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ausnet-my.sharepoint.com/personal/ian_mcnicol_ausnetservices_com_au/Documents/AER Draft decision/"/>
    </mc:Choice>
  </mc:AlternateContent>
  <xr:revisionPtr revIDLastSave="0" documentId="8_{7AE80FBF-A662-4ABE-B950-94619055D682}" xr6:coauthVersionLast="45" xr6:coauthVersionMax="45" xr10:uidLastSave="{00000000-0000-0000-0000-000000000000}"/>
  <bookViews>
    <workbookView xWindow="2145" yWindow="2475" windowWidth="15375" windowHeight="7875" tabRatio="817" xr2:uid="{00000000-000D-0000-FFFF-FFFF00000000}"/>
  </bookViews>
  <sheets>
    <sheet name="Contents" sheetId="14" r:id="rId1"/>
    <sheet name="Escalation" sheetId="23" r:id="rId2"/>
    <sheet name="Assumptions" sheetId="13" r:id="rId3"/>
    <sheet name="Allocations" sheetId="1" r:id="rId4"/>
    <sheet name="Connections" sheetId="4" r:id="rId5"/>
    <sheet name="2015-19_Actuals" sheetId="17" r:id="rId6"/>
    <sheet name="Capex_ActualCY18" sheetId="33" r:id="rId7"/>
    <sheet name="Capex_ActualCY19" sheetId="34" r:id="rId8"/>
    <sheet name="Co-Gen F'cast" sheetId="21" r:id="rId9"/>
    <sheet name="Capex_Fcast_Direct" sheetId="2" r:id="rId10"/>
    <sheet name="Other_codes" sheetId="6" r:id="rId11"/>
    <sheet name="Downer Support" sheetId="5" r:id="rId12"/>
    <sheet name="Capex_Fcast_Total" sheetId="7" r:id="rId13"/>
    <sheet name="Cost_Recovery" sheetId="19" r:id="rId14"/>
    <sheet name="Contr_Fcast" sheetId="8" r:id="rId15"/>
    <sheet name="Summary_Output" sheetId="9" r:id="rId16"/>
    <sheet name="RFM_PTRM Input" sheetId="24" r:id="rId17"/>
    <sheet name="Charts--&gt;" sheetId="39" r:id="rId18"/>
    <sheet name="SCS_Total" sheetId="36" r:id="rId19"/>
    <sheet name="SCS_excl Gifted+Co Gen" sheetId="35" r:id="rId20"/>
    <sheet name="Gifted I&amp;C" sheetId="38" r:id="rId21"/>
    <sheet name="Large Co Gen" sheetId="37" r:id="rId22"/>
    <sheet name="RIN_Outputs" sheetId="12" r:id="rId23"/>
    <sheet name="2.17-2.18 CapCons" sheetId="27" r:id="rId24"/>
    <sheet name="2.5 Connections" sheetId="11" r:id="rId25"/>
    <sheet name="Direct_view" sheetId="28" r:id="rId26"/>
    <sheet name="CapCon_view" sheetId="30" r:id="rId27"/>
    <sheet name="Historical_CY" sheetId="29" r:id="rId28"/>
    <sheet name="2.5.3 Volumes" sheetId="31" r:id="rId29"/>
    <sheet name="4.3 Connections" sheetId="3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P" localSheetId="26">#REF!</definedName>
    <definedName name="\P" localSheetId="6">#REF!</definedName>
    <definedName name="\P" localSheetId="7">#REF!</definedName>
    <definedName name="\P">#REF!</definedName>
    <definedName name="___DEC01">'[1]ED Customer Services'!$A$94:$M$121</definedName>
    <definedName name="___PG1" localSheetId="26">#REF!</definedName>
    <definedName name="___PG1" localSheetId="7">#REF!</definedName>
    <definedName name="___PG1">#REF!</definedName>
    <definedName name="___PG10" localSheetId="26">#REF!</definedName>
    <definedName name="___PG10">#REF!</definedName>
    <definedName name="___PG11" localSheetId="26">#REF!</definedName>
    <definedName name="___PG11">#REF!</definedName>
    <definedName name="___PG12" localSheetId="26">#REF!</definedName>
    <definedName name="___PG12">#REF!</definedName>
    <definedName name="___PG13" localSheetId="26">#REF!</definedName>
    <definedName name="___PG13">#REF!</definedName>
    <definedName name="___PG14" localSheetId="26">#REF!</definedName>
    <definedName name="___PG14">#REF!</definedName>
    <definedName name="___PG15" localSheetId="26">#REF!</definedName>
    <definedName name="___PG15">#REF!</definedName>
    <definedName name="___PG2" localSheetId="26">#REF!</definedName>
    <definedName name="___PG2">#REF!</definedName>
    <definedName name="___PG3" localSheetId="26">[2]ELIMINATIONS!#REF!</definedName>
    <definedName name="___PG3">[2]ELIMINATIONS!#REF!</definedName>
    <definedName name="___PG8" localSheetId="26">#REF!</definedName>
    <definedName name="___PG8" localSheetId="7">#REF!</definedName>
    <definedName name="___PG8">#REF!</definedName>
    <definedName name="___PG9" localSheetId="26">#REF!</definedName>
    <definedName name="___PG9">#REF!</definedName>
    <definedName name="___WRK12" localSheetId="26">#REF!</definedName>
    <definedName name="___WRK12">#REF!</definedName>
    <definedName name="__123Graph_AARREARSB" hidden="1">'[3]00DATES'!$D$276:$D$287</definedName>
    <definedName name="__123Graph_AARREARSG" hidden="1">'[3]00DATES'!$D$192:$D$203</definedName>
    <definedName name="__123Graph_AARREARSS" hidden="1">'[3]00DATES'!$D$220:$D$231</definedName>
    <definedName name="__123Graph_AARREARST" hidden="1">'[3]00DATES'!$D$304:$D$315</definedName>
    <definedName name="__123Graph_ARECOVERIESG" hidden="1">'[3]00DATES'!$D$89:$D$100</definedName>
    <definedName name="__123Graph_ARECOVERIESS" hidden="1">'[3]00DATES'!$B$114:$B$125</definedName>
    <definedName name="__123Graph_AREFFO" hidden="1">'[3]00DATES'!$D$90:$D$101</definedName>
    <definedName name="__123Graph_AVISITSFO" hidden="1">'[3]00DATES'!$D$163:$D$174</definedName>
    <definedName name="__123Graph_BARREARSB" hidden="1">'[3]00DATES'!$F$276:$F$287</definedName>
    <definedName name="__123Graph_BARREARSG" hidden="1">'[3]00DATES'!$F$192:$F$203</definedName>
    <definedName name="__123Graph_BARREARSS" hidden="1">'[3]00DATES'!$F$220:$F$231</definedName>
    <definedName name="__123Graph_BARREARST" hidden="1">'[3]00DATES'!$F$304:$F$315</definedName>
    <definedName name="__123Graph_BRECOVERIESG" hidden="1">'[3]00DATES'!$F$89:$F$100</definedName>
    <definedName name="__123Graph_BRECOVERIESS" hidden="1">'[3]00DATES'!$D$114:$D$125</definedName>
    <definedName name="__123Graph_BREFFO" hidden="1">'[3]00DATES'!$F$90:$F$101</definedName>
    <definedName name="__123Graph_BVISITSFO" hidden="1">'[3]00DATES'!$F$163:$F$174</definedName>
    <definedName name="__123Graph_CRECOVERIESG" hidden="1">'[3]00DATES'!$G$89:$G$100</definedName>
    <definedName name="__123Graph_CRECOVERIESS" hidden="1">'[3]00DATES'!$E$114:$E$125</definedName>
    <definedName name="__123Graph_CVISITSFO" hidden="1">'[3]00DATES'!$G$163:$G$174</definedName>
    <definedName name="__123Graph_DARREARSB" hidden="1">'[3]00DATES'!$E$276:$E$287</definedName>
    <definedName name="__123Graph_DARREARSG" hidden="1">'[3]00DATES'!$E$192:$E$203</definedName>
    <definedName name="__123Graph_DARREARSS" hidden="1">'[3]00DATES'!$E$220:$E$231</definedName>
    <definedName name="__123Graph_DARREARST" hidden="1">'[3]00DATES'!$E$304:$E$315</definedName>
    <definedName name="__123Graph_DRECOVERIESG" hidden="1">'[3]00DATES'!$E$89:$E$100</definedName>
    <definedName name="__123Graph_DRECOVERIESS" hidden="1">'[3]00DATES'!$C$114:$C$125</definedName>
    <definedName name="__123Graph_DREFFO" hidden="1">'[3]00DATES'!$E$90:$E$101</definedName>
    <definedName name="__123Graph_DVISITSFO" hidden="1">'[3]00DATES'!$E$163:$E$174</definedName>
    <definedName name="__123Graph_XARREARSB" hidden="1">'[3]00DATES'!$A$276:$A$287</definedName>
    <definedName name="__123Graph_XARREARSG" hidden="1">'[3]00DATES'!$A$192:$A$203</definedName>
    <definedName name="__123Graph_XARREARSS" hidden="1">'[3]00DATES'!$A$220:$A$231</definedName>
    <definedName name="__123Graph_XARREARST" hidden="1">'[3]00DATES'!$A$304:$A$315</definedName>
    <definedName name="__123Graph_XRECOVERIESG" hidden="1">'[3]00DATES'!$A$89:$A$100</definedName>
    <definedName name="__123Graph_XRECOVERIESS" hidden="1">'[3]00DATES'!$A$114:$A$125</definedName>
    <definedName name="__123Graph_XVISITSFO" hidden="1">'[3]00DATES'!$A$163:$A$174</definedName>
    <definedName name="__DEC01">'[1]ED Customer Services'!$A$94:$M$121</definedName>
    <definedName name="__PG1" localSheetId="26">#REF!</definedName>
    <definedName name="__PG1" localSheetId="7">#REF!</definedName>
    <definedName name="__PG1">#REF!</definedName>
    <definedName name="__PG10" localSheetId="26">#REF!</definedName>
    <definedName name="__PG10">#REF!</definedName>
    <definedName name="__PG11" localSheetId="26">#REF!</definedName>
    <definedName name="__PG11">#REF!</definedName>
    <definedName name="__PG12" localSheetId="26">#REF!</definedName>
    <definedName name="__PG12">#REF!</definedName>
    <definedName name="__PG13" localSheetId="26">#REF!</definedName>
    <definedName name="__PG13">#REF!</definedName>
    <definedName name="__PG14" localSheetId="26">#REF!</definedName>
    <definedName name="__PG14">#REF!</definedName>
    <definedName name="__PG15" localSheetId="26">#REF!</definedName>
    <definedName name="__PG15">#REF!</definedName>
    <definedName name="__PG2" localSheetId="26">#REF!</definedName>
    <definedName name="__PG2">#REF!</definedName>
    <definedName name="__PG3" localSheetId="26">[2]ELIMINATIONS!#REF!</definedName>
    <definedName name="__PG3">[2]ELIMINATIONS!#REF!</definedName>
    <definedName name="__PG8" localSheetId="26">#REF!</definedName>
    <definedName name="__PG8" localSheetId="7">#REF!</definedName>
    <definedName name="__PG8">#REF!</definedName>
    <definedName name="__PG9" localSheetId="26">#REF!</definedName>
    <definedName name="__PG9">#REF!</definedName>
    <definedName name="__WRK12" localSheetId="26">#REF!</definedName>
    <definedName name="__WRK12">#REF!</definedName>
    <definedName name="_1__123Graph_A__LTR" hidden="1">'[3]00DATES'!$D$8:$D$19</definedName>
    <definedName name="_1_OUNF" localSheetId="26">#REF!</definedName>
    <definedName name="_1_OUNF" localSheetId="7">#REF!</definedName>
    <definedName name="_1_OUNF">#REF!</definedName>
    <definedName name="_10__123Graph_D__LTR" hidden="1">'[3]00DATES'!$E$8:$E$19</definedName>
    <definedName name="_11__123Graph_DO_S_GAS" hidden="1">'[3]00DATES'!$E$39:$E$50</definedName>
    <definedName name="_12__123Graph_DT_OVER" hidden="1">'[3]00DATES'!$E$65:$E$76</definedName>
    <definedName name="_2__123Graph_AO_S_GAS" hidden="1">'[3]00DATES'!$D$39:$D$50</definedName>
    <definedName name="_3__123Graph_AT_OVER" hidden="1">'[3]00DATES'!$D$65:$D$76</definedName>
    <definedName name="_4__123Graph_B__LTR" hidden="1">'[3]00DATES'!$F$8:$F$19</definedName>
    <definedName name="_5__123Graph_BO_S_GAS" hidden="1">'[3]00DATES'!$F$39:$F$50</definedName>
    <definedName name="_6__123Graph_BT_OVER" hidden="1">'[3]00DATES'!$F$65:$F$76</definedName>
    <definedName name="_7__123Graph_C__LTR" hidden="1">'[3]00DATES'!$G$8:$G$19</definedName>
    <definedName name="_8__123Graph_CO_S_GAS" hidden="1">'[3]00DATES'!$G$39:$G$50</definedName>
    <definedName name="_9__123Graph_CT_OVER" hidden="1">'[3]00DATES'!$G$65:$G$76</definedName>
    <definedName name="_Capex">[4]GA!$P$57</definedName>
    <definedName name="_DEC01">'[1]ED Customer Services'!$A$94:$M$121</definedName>
    <definedName name="_PG1" localSheetId="26">#REF!</definedName>
    <definedName name="_PG1" localSheetId="6">#REF!</definedName>
    <definedName name="_PG1" localSheetId="7">#REF!</definedName>
    <definedName name="_PG1">#REF!</definedName>
    <definedName name="_PG10" localSheetId="26">#REF!</definedName>
    <definedName name="_PG10">#REF!</definedName>
    <definedName name="_PG11" localSheetId="26">#REF!</definedName>
    <definedName name="_PG11">#REF!</definedName>
    <definedName name="_PG12" localSheetId="26">#REF!</definedName>
    <definedName name="_PG12">#REF!</definedName>
    <definedName name="_PG13" localSheetId="26">#REF!</definedName>
    <definedName name="_PG13">#REF!</definedName>
    <definedName name="_PG14" localSheetId="26">#REF!</definedName>
    <definedName name="_PG14">#REF!</definedName>
    <definedName name="_PG15" localSheetId="26">#REF!</definedName>
    <definedName name="_PG15">#REF!</definedName>
    <definedName name="_PG2" localSheetId="26">#REF!</definedName>
    <definedName name="_PG2">#REF!</definedName>
    <definedName name="_PG3" localSheetId="26">[2]ELIMINATIONS!#REF!</definedName>
    <definedName name="_PG3">[2]ELIMINATIONS!#REF!</definedName>
    <definedName name="_PG8" localSheetId="26">#REF!</definedName>
    <definedName name="_PG8" localSheetId="7">#REF!</definedName>
    <definedName name="_PG8">#REF!</definedName>
    <definedName name="_PG9" localSheetId="26">#REF!</definedName>
    <definedName name="_PG9">#REF!</definedName>
    <definedName name="_WRK12" localSheetId="26">#REF!</definedName>
    <definedName name="_WRK12">#REF!</definedName>
    <definedName name="abc" localSheetId="26">#REF!</definedName>
    <definedName name="abc">#REF!</definedName>
    <definedName name="ACCTNG_SERV">[5]Sheet1!$C$336:$V$350</definedName>
    <definedName name="Activity">[6]Data!$D$3:$D$108</definedName>
    <definedName name="Actual_EDD" localSheetId="26">#REF!</definedName>
    <definedName name="Actual_EDD" localSheetId="6">#REF!</definedName>
    <definedName name="Actual_EDD" localSheetId="7">#REF!</definedName>
    <definedName name="Actual_EDD">#REF!</definedName>
    <definedName name="Actual_EDDCDDCoefficients" localSheetId="26">#REF!</definedName>
    <definedName name="Actual_EDDCDDCoefficients">#REF!</definedName>
    <definedName name="Actual_IndustryProportions" localSheetId="26">#REF!</definedName>
    <definedName name="Actual_IndustryProportions">#REF!</definedName>
    <definedName name="Actual_NetworkTariffInputs" localSheetId="26">#REF!</definedName>
    <definedName name="Actual_NetworkTariffInputs">#REF!</definedName>
    <definedName name="Actual_New_customer_connections" localSheetId="26">#REF!</definedName>
    <definedName name="Actual_New_customer_connections">#REF!</definedName>
    <definedName name="Actual_OtherDrivers_CustClasses" localSheetId="26">#REF!</definedName>
    <definedName name="Actual_OtherDrivers_CustClasses">#REF!</definedName>
    <definedName name="Actual_OtherDrivers_SpecificTariffCodes" localSheetId="26">#REF!</definedName>
    <definedName name="Actual_OtherDrivers_SpecificTariffCodes">#REF!</definedName>
    <definedName name="Actual_Retail_Price_Assumptions" localSheetId="26">#REF!</definedName>
    <definedName name="Actual_Retail_Price_Assumptions">#REF!</definedName>
    <definedName name="Actual_SolarPV" localSheetId="26">#REF!</definedName>
    <definedName name="Actual_SolarPV">#REF!</definedName>
    <definedName name="AER_PROJECTS" localSheetId="26">#REF!</definedName>
    <definedName name="AER_PROJECTS">#REF!</definedName>
    <definedName name="AMBalTrend">'[1]ED Services'!$A$96:$K$111</definedName>
    <definedName name="AMBalView">'[1]ED Services'!$A$8:$K$23</definedName>
    <definedName name="AMPRO">'[1]ED Services'!$A$120:$L$146</definedName>
    <definedName name="AMProj">'[1]ED Services'!$A$121:$L$143</definedName>
    <definedName name="AMProjNo">'[1]ED Services'!$A$35:$L$57</definedName>
    <definedName name="AMProTrend">'[1]ED Services'!$A$123:$K$138</definedName>
    <definedName name="AMProView">'[1]ED Services'!$A$36:$K$51</definedName>
    <definedName name="AMTrend">'[1]ED Services'!$A$96:$L$119</definedName>
    <definedName name="AMWIP">'[1]ED Services'!$A$94:$L$120</definedName>
    <definedName name="Analysis_Type" localSheetId="26">#REF!</definedName>
    <definedName name="Analysis_Type" localSheetId="6">#REF!</definedName>
    <definedName name="Analysis_Type" localSheetId="7">#REF!</definedName>
    <definedName name="Analysis_Type">#REF!</definedName>
    <definedName name="anscount" hidden="1">1</definedName>
    <definedName name="As_Of_Date" localSheetId="26">#REF!</definedName>
    <definedName name="As_Of_Date" localSheetId="7">#REF!</definedName>
    <definedName name="As_Of_Date">#REF!</definedName>
    <definedName name="As_Of_Month_Year" localSheetId="26">#REF!</definedName>
    <definedName name="As_Of_Month_Year">#REF!</definedName>
    <definedName name="As_Of_Period" localSheetId="26">#REF!</definedName>
    <definedName name="As_Of_Period">#REF!</definedName>
    <definedName name="AS2DocOpenMode" hidden="1">"AS2DocumentBrowse"</definedName>
    <definedName name="AS2NamedRange" hidden="1">2</definedName>
    <definedName name="ASD" localSheetId="26">#REF!</definedName>
    <definedName name="ASD" localSheetId="7">#REF!</definedName>
    <definedName name="ASD">#REF!</definedName>
    <definedName name="ass">'[1]ED Services'!$A$33:$L$57</definedName>
    <definedName name="Asset1" localSheetId="26">#REF!</definedName>
    <definedName name="Asset1" localSheetId="6">#REF!</definedName>
    <definedName name="Asset1" localSheetId="7">#REF!</definedName>
    <definedName name="Asset1">#REF!</definedName>
    <definedName name="Asset10" localSheetId="26">#REF!</definedName>
    <definedName name="Asset10">#REF!</definedName>
    <definedName name="Asset11" localSheetId="26">#REF!</definedName>
    <definedName name="Asset11">#REF!</definedName>
    <definedName name="asset11a" localSheetId="26">#REF!</definedName>
    <definedName name="asset11a">#REF!</definedName>
    <definedName name="Asset12" localSheetId="26">#REF!</definedName>
    <definedName name="Asset12">#REF!</definedName>
    <definedName name="Asset13" localSheetId="26">#REF!</definedName>
    <definedName name="Asset13">#REF!</definedName>
    <definedName name="Asset14" localSheetId="26">#REF!</definedName>
    <definedName name="Asset14">#REF!</definedName>
    <definedName name="Asset15" localSheetId="26">#REF!</definedName>
    <definedName name="Asset15">#REF!</definedName>
    <definedName name="Asset16" localSheetId="26">#REF!</definedName>
    <definedName name="Asset16">#REF!</definedName>
    <definedName name="Asset17" localSheetId="26">#REF!</definedName>
    <definedName name="Asset17">#REF!</definedName>
    <definedName name="Asset18" localSheetId="26">#REF!</definedName>
    <definedName name="Asset18">#REF!</definedName>
    <definedName name="Asset19" localSheetId="26">#REF!</definedName>
    <definedName name="Asset19">#REF!</definedName>
    <definedName name="Asset2" localSheetId="26">#REF!</definedName>
    <definedName name="Asset2">#REF!</definedName>
    <definedName name="Asset20" localSheetId="26">#REF!</definedName>
    <definedName name="Asset20">#REF!</definedName>
    <definedName name="Asset3" localSheetId="26">#REF!</definedName>
    <definedName name="Asset3">#REF!</definedName>
    <definedName name="Asset4" localSheetId="26">#REF!</definedName>
    <definedName name="Asset4">#REF!</definedName>
    <definedName name="Asset5" localSheetId="26">#REF!</definedName>
    <definedName name="Asset5">#REF!</definedName>
    <definedName name="Asset6" localSheetId="26">#REF!</definedName>
    <definedName name="Asset6">#REF!</definedName>
    <definedName name="Asset7" localSheetId="26">#REF!</definedName>
    <definedName name="Asset7">#REF!</definedName>
    <definedName name="Asset8" localSheetId="26">#REF!</definedName>
    <definedName name="Asset8">#REF!</definedName>
    <definedName name="Asset9" localSheetId="26">#REF!</definedName>
    <definedName name="Asset9">#REF!</definedName>
    <definedName name="ASSETS" localSheetId="26">#REF!</definedName>
    <definedName name="ASSETS">#REF!</definedName>
    <definedName name="Balance" localSheetId="26">#REF!</definedName>
    <definedName name="Balance">#REF!</definedName>
    <definedName name="BalanceSheet" localSheetId="26">#REF!</definedName>
    <definedName name="BalanceSheet">#REF!</definedName>
    <definedName name="BalTrends" localSheetId="26">#REF!</definedName>
    <definedName name="BalTrends">#REF!</definedName>
    <definedName name="BalView" localSheetId="26">#REF!</definedName>
    <definedName name="BalView">#REF!</definedName>
    <definedName name="Base_year">'[7]Forecast input'!$C$11</definedName>
    <definedName name="BKA" localSheetId="26">#REF!</definedName>
    <definedName name="BKA" localSheetId="6">#REF!</definedName>
    <definedName name="BKA" localSheetId="7">#REF!</definedName>
    <definedName name="BKA">#REF!</definedName>
    <definedName name="BKL" localSheetId="26">#REF!</definedName>
    <definedName name="BKL">#REF!</definedName>
    <definedName name="BNE_MESSAGES_HIDDEN" localSheetId="26" hidden="1">#REF!</definedName>
    <definedName name="BNE_MESSAGES_HIDDEN" hidden="1">#REF!</definedName>
    <definedName name="BO" localSheetId="26">#REF!</definedName>
    <definedName name="BO">#REF!</definedName>
    <definedName name="budelim">'[8]Bud Elim'!$C$8:$F$39</definedName>
    <definedName name="BUDGETCURRENCYCODE1">[9]CRITERIA1!$B$16</definedName>
    <definedName name="BudgetData">'[10]9899 Revenue Data'!$C$3:$P$4</definedName>
    <definedName name="BUDGETNAME1">[9]CRITERIA1!$B$13</definedName>
    <definedName name="BUDGETORG1">[9]CRITERIA1!$B$14</definedName>
    <definedName name="Bus_Unit_Name" localSheetId="26">#REF!</definedName>
    <definedName name="Bus_Unit_Name" localSheetId="6">#REF!</definedName>
    <definedName name="Bus_Unit_Name" localSheetId="7">#REF!</definedName>
    <definedName name="Bus_Unit_Name">#REF!</definedName>
    <definedName name="Bus_Unit_Value" localSheetId="26">#REF!</definedName>
    <definedName name="Bus_Unit_Value">#REF!</definedName>
    <definedName name="BUV" localSheetId="26">#REF!</definedName>
    <definedName name="BUV">#REF!</definedName>
    <definedName name="calc_revenue_rev_cust_class" localSheetId="26">#REF!</definedName>
    <definedName name="calc_revenue_rev_cust_class">#REF!</definedName>
    <definedName name="calc_sales_rev_cust_class" localSheetId="26">#REF!</definedName>
    <definedName name="calc_sales_rev_cust_class">#REF!</definedName>
    <definedName name="Category">[4]GA!$M$30</definedName>
    <definedName name="cbcs" localSheetId="26">#REF!</definedName>
    <definedName name="cbcs" localSheetId="7">#REF!</definedName>
    <definedName name="cbcs">#REF!</definedName>
    <definedName name="cbcsn" localSheetId="26">#REF!</definedName>
    <definedName name="cbcsn">#REF!</definedName>
    <definedName name="cbefm" localSheetId="26">#REF!</definedName>
    <definedName name="cbefm">#REF!</definedName>
    <definedName name="cbefmn" localSheetId="26">#REF!</definedName>
    <definedName name="cbefmn">#REF!</definedName>
    <definedName name="cbnwm" localSheetId="26">#REF!</definedName>
    <definedName name="cbnwm">#REF!</definedName>
    <definedName name="cbnwmn" localSheetId="26">#REF!</definedName>
    <definedName name="cbnwmn">#REF!</definedName>
    <definedName name="CF12_" localSheetId="26">#REF!</definedName>
    <definedName name="CF12_">#REF!</definedName>
    <definedName name="Company">[4]GA!$G$13</definedName>
    <definedName name="CorpFunction">'[11]Manual Adjustment'!$B$18:$E$26</definedName>
    <definedName name="CPI_adj_2014" localSheetId="13">[12]Assumptions!$B$18</definedName>
    <definedName name="CPI_adj_2015" localSheetId="13">[12]Assumptions!$B$19</definedName>
    <definedName name="CPI_adj_Jun21">Escalation!$I$9</definedName>
    <definedName name="cs" localSheetId="26">#REF!</definedName>
    <definedName name="cs" localSheetId="6">#REF!</definedName>
    <definedName name="cs" localSheetId="7">#REF!</definedName>
    <definedName name="cs">#REF!</definedName>
    <definedName name="csn" localSheetId="26">#REF!</definedName>
    <definedName name="csn">#REF!</definedName>
    <definedName name="CurrentBP">[13]Drivers!$B$1</definedName>
    <definedName name="CurrentMth">'[14]KPI Data'!$C$1</definedName>
    <definedName name="D_T_Split">'[11]Manual Adjustment'!$B$6:$G$13</definedName>
    <definedName name="Data">[4]GA!$G$15</definedName>
    <definedName name="DBNAME1">[9]CRITERIA1!$B$39</definedName>
    <definedName name="DDOL">[10]RevenueGraphData!$A$23:$P$26</definedName>
    <definedName name="DEBT" localSheetId="26">#REF!</definedName>
    <definedName name="DEBT" localSheetId="6">#REF!</definedName>
    <definedName name="DEBT" localSheetId="7">#REF!</definedName>
    <definedName name="DEBT">#REF!</definedName>
    <definedName name="Dept_Consol" localSheetId="26">#REF!</definedName>
    <definedName name="Dept_Consol">#REF!</definedName>
    <definedName name="Dept_Corp_Services" localSheetId="26">#REF!</definedName>
    <definedName name="Dept_Corp_Services">#REF!</definedName>
    <definedName name="Dept_Cust_Services" localSheetId="26">#REF!</definedName>
    <definedName name="Dept_Cust_Services">#REF!</definedName>
    <definedName name="Dept_EEE0" localSheetId="26">#REF!</definedName>
    <definedName name="Dept_EEE0">#REF!</definedName>
    <definedName name="Dept_Energy" localSheetId="26">#REF!</definedName>
    <definedName name="Dept_Energy">#REF!</definedName>
    <definedName name="Dept_Name" localSheetId="26">#REF!</definedName>
    <definedName name="Dept_Name">#REF!</definedName>
    <definedName name="Dept_Network_Own" localSheetId="26">#REF!</definedName>
    <definedName name="Dept_Network_Own">#REF!</definedName>
    <definedName name="Dept_Other_Units" localSheetId="26">#REF!</definedName>
    <definedName name="Dept_Other_Units">#REF!</definedName>
    <definedName name="Dept_Value" localSheetId="26">#REF!</definedName>
    <definedName name="Dept_Value">#REF!</definedName>
    <definedName name="DISPLACEMENT">'[7]Forecast input'!$DB$4</definedName>
    <definedName name="DNSP">[15]Outcomes!$B$2</definedName>
    <definedName name="DPJS">[10]RevenueGraphData!$A$18:$P$21</definedName>
    <definedName name="e">[16]Strategies!$B$6:$Q$160</definedName>
    <definedName name="e13pl">[8]E13!$C$2:$V$240</definedName>
    <definedName name="e23pl">[8]E23!$C$13:$S$127</definedName>
    <definedName name="efm" localSheetId="26">#REF!</definedName>
    <definedName name="efm" localSheetId="6">#REF!</definedName>
    <definedName name="efm" localSheetId="7">#REF!</definedName>
    <definedName name="efm">#REF!</definedName>
    <definedName name="efmn" localSheetId="26">#REF!</definedName>
    <definedName name="efmn">#REF!</definedName>
    <definedName name="Elec_Capex">[4]GA!$M$57</definedName>
    <definedName name="ELEC_VEH">'[7]Forecast Calcs'!$B$2376</definedName>
    <definedName name="EmpOff">[13]Headcount!$A$49:$N$59</definedName>
    <definedName name="EmpOn">[13]Headcount!$A$25:$S$34</definedName>
    <definedName name="EPDResult" localSheetId="26">[13]!EPDResult</definedName>
    <definedName name="EPDResult" localSheetId="7">[13]!EPDResult</definedName>
    <definedName name="EPDResult" localSheetId="18">[13]!EPDResult</definedName>
    <definedName name="EPDResult">[13]!EPDResult</definedName>
    <definedName name="ESCCat">'[17]Combined Proj Sum'!$P$1:$P$65536</definedName>
    <definedName name="EV_CC_B">'[7]Forecast input'!$B$137:$B$148</definedName>
    <definedName name="EV_CC_C">'[7]Forecast input'!$C$137:$C$148</definedName>
    <definedName name="EV_CC_D">'[7]Forecast input'!$D$137:$D$148</definedName>
    <definedName name="EV_CC_E">'[7]Forecast input'!$E$137:$E$148</definedName>
    <definedName name="EV_TC_B">'[7]Forecast input'!$B$119:$B$130</definedName>
    <definedName name="EV_TC_C">'[7]Forecast input'!$C$119:$C$130</definedName>
    <definedName name="EV_TC_D">'[7]Forecast input'!$D$119:$D$130</definedName>
    <definedName name="EV_TC_E">'[7]Forecast input'!$E$119:$E$130</definedName>
    <definedName name="EXP_KWH">'[7]Forecast input'!$CX$6</definedName>
    <definedName name="ExpenditureType">[6]Data!$B$3:$B$305</definedName>
    <definedName name="EXPORT">'[7]Forecast input'!$DB$3</definedName>
    <definedName name="Fiscal_Year" localSheetId="26">#REF!</definedName>
    <definedName name="Fiscal_Year" localSheetId="6">#REF!</definedName>
    <definedName name="Fiscal_Year" localSheetId="7">#REF!</definedName>
    <definedName name="Fiscal_Year">#REF!</definedName>
    <definedName name="FIXED_">'[7]Forecast input'!$CT$3</definedName>
    <definedName name="Footer1" localSheetId="26">#REF!</definedName>
    <definedName name="Footer1" localSheetId="6">#REF!</definedName>
    <definedName name="Footer1" localSheetId="7">#REF!</definedName>
    <definedName name="Footer1">#REF!</definedName>
    <definedName name="Footer2" localSheetId="26">#REF!</definedName>
    <definedName name="Footer2">#REF!</definedName>
    <definedName name="Format" localSheetId="26">#REF!</definedName>
    <definedName name="Format">#REF!</definedName>
    <definedName name="FTE">[14]FTE!$A$58:$O$72</definedName>
    <definedName name="FULLYR">15</definedName>
    <definedName name="Gas_Capex">[4]GA!$N$57</definedName>
    <definedName name="Goto_CapexByDept">#N/A</definedName>
    <definedName name="gotoswitchboard" localSheetId="26">[13]!gotoswitchboard</definedName>
    <definedName name="gotoswitchboard" localSheetId="7">[13]!gotoswitchboard</definedName>
    <definedName name="gotoswitchboard" localSheetId="18">[13]!gotoswitchboard</definedName>
    <definedName name="gotoswitchboard">[13]!gotoswitchboard</definedName>
    <definedName name="HCount">'[13]H_C Graphs'!$A$290:$M$298</definedName>
    <definedName name="Header_Egy" localSheetId="26">'[18]P&amp;L'!#REF!</definedName>
    <definedName name="Header_Egy" localSheetId="7">'[18]P&amp;L'!#REF!</definedName>
    <definedName name="Header_Egy">'[18]P&amp;L'!#REF!</definedName>
    <definedName name="Header_NA" localSheetId="26">'[18]P&amp;L'!#REF!</definedName>
    <definedName name="Header_NA" localSheetId="7">'[18]P&amp;L'!#REF!</definedName>
    <definedName name="Header_NA">'[18]P&amp;L'!#REF!</definedName>
    <definedName name="Header1" localSheetId="26">#REF!</definedName>
    <definedName name="Header1" localSheetId="6">#REF!</definedName>
    <definedName name="Header1" localSheetId="7">#REF!</definedName>
    <definedName name="Header1">#REF!</definedName>
    <definedName name="Header10" localSheetId="26">'[18]P&amp;L'!#REF!</definedName>
    <definedName name="Header10" localSheetId="6">'[18]P&amp;L'!#REF!</definedName>
    <definedName name="Header10" localSheetId="7">'[18]P&amp;L'!#REF!</definedName>
    <definedName name="Header10">'[18]P&amp;L'!#REF!</definedName>
    <definedName name="Header2" localSheetId="26">#REF!</definedName>
    <definedName name="Header2" localSheetId="6">#REF!</definedName>
    <definedName name="Header2" localSheetId="7">#REF!</definedName>
    <definedName name="Header2">#REF!</definedName>
    <definedName name="Header3" localSheetId="26">#REF!</definedName>
    <definedName name="Header3">#REF!</definedName>
    <definedName name="Header4" localSheetId="26">#REF!</definedName>
    <definedName name="Header4">#REF!</definedName>
    <definedName name="Header5" localSheetId="26">#REF!</definedName>
    <definedName name="Header5">#REF!</definedName>
    <definedName name="Header6" localSheetId="26">#REF!</definedName>
    <definedName name="Header6">#REF!</definedName>
    <definedName name="Header7" localSheetId="26">#REF!</definedName>
    <definedName name="Header7">#REF!</definedName>
    <definedName name="Header8" localSheetId="26">#REF!</definedName>
    <definedName name="Header8">#REF!</definedName>
    <definedName name="Header9" localSheetId="26">'[18]P&amp;L'!#REF!</definedName>
    <definedName name="Header9">'[18]P&amp;L'!#REF!</definedName>
    <definedName name="hide_n1" localSheetId="26">#REF!</definedName>
    <definedName name="hide_n1" localSheetId="6">#REF!</definedName>
    <definedName name="hide_n1" localSheetId="7">#REF!</definedName>
    <definedName name="hide_n1">#REF!</definedName>
    <definedName name="hide_n10" localSheetId="26">'[19]P&amp;L(E01)'!#REF!</definedName>
    <definedName name="hide_n10" localSheetId="6">'[19]P&amp;L(E01)'!#REF!</definedName>
    <definedName name="hide_n10" localSheetId="7">'[19]P&amp;L(E01)'!#REF!</definedName>
    <definedName name="hide_n10">'[19]P&amp;L(E01)'!#REF!</definedName>
    <definedName name="hide_n11" localSheetId="26">'[19]P&amp;L(E01)'!#REF!</definedName>
    <definedName name="hide_n11">'[19]P&amp;L(E01)'!#REF!</definedName>
    <definedName name="hide_n12" localSheetId="26">'[19]P&amp;L(E01)'!#REF!</definedName>
    <definedName name="hide_n12">'[19]P&amp;L(E01)'!#REF!</definedName>
    <definedName name="hide_n13" localSheetId="26">'[20]PsoftP&amp;L'!#REF!</definedName>
    <definedName name="hide_n13">'[20]PsoftP&amp;L'!#REF!</definedName>
    <definedName name="hide_n13new" localSheetId="26">'[21]E13 TXU Trading'!#REF!</definedName>
    <definedName name="hide_n13new">'[21]E13 TXU Trading'!#REF!</definedName>
    <definedName name="hide_n14" localSheetId="26">'[20]PsoftP&amp;L'!#REF!</definedName>
    <definedName name="hide_n14">'[20]PsoftP&amp;L'!#REF!</definedName>
    <definedName name="hide_n14new" localSheetId="26">'[21]E13 TXU Trading'!#REF!</definedName>
    <definedName name="hide_n14new">'[21]E13 TXU Trading'!#REF!</definedName>
    <definedName name="hide_n15" localSheetId="26">#REF!</definedName>
    <definedName name="hide_n15" localSheetId="6">#REF!</definedName>
    <definedName name="hide_n15" localSheetId="7">#REF!</definedName>
    <definedName name="hide_n15">#REF!</definedName>
    <definedName name="hide_n16" localSheetId="26">#REF!</definedName>
    <definedName name="hide_n16">#REF!</definedName>
    <definedName name="hide_n17" localSheetId="26">'[22]Single Entity'!#REF!</definedName>
    <definedName name="hide_n17">'[22]Single Entity'!#REF!</definedName>
    <definedName name="hide_n18" localSheetId="26">'[22]Single Entity'!#REF!</definedName>
    <definedName name="hide_n18">'[22]Single Entity'!#REF!</definedName>
    <definedName name="hide_n19" localSheetId="26">'[22]Single Entity'!#REF!</definedName>
    <definedName name="hide_n19">'[22]Single Entity'!#REF!</definedName>
    <definedName name="hide_n2" localSheetId="26">#REF!</definedName>
    <definedName name="hide_n2" localSheetId="6">#REF!</definedName>
    <definedName name="hide_n2" localSheetId="7">#REF!</definedName>
    <definedName name="hide_n2">#REF!</definedName>
    <definedName name="hide_n20" localSheetId="26">'[22]Single Entity'!#REF!</definedName>
    <definedName name="hide_n20" localSheetId="6">'[22]Single Entity'!#REF!</definedName>
    <definedName name="hide_n20" localSheetId="7">'[22]Single Entity'!#REF!</definedName>
    <definedName name="hide_n20">'[22]Single Entity'!#REF!</definedName>
    <definedName name="hide_n3" localSheetId="26">#REF!</definedName>
    <definedName name="hide_n3" localSheetId="6">#REF!</definedName>
    <definedName name="hide_n3" localSheetId="7">#REF!</definedName>
    <definedName name="hide_n3">#REF!</definedName>
    <definedName name="hide_n4" localSheetId="26">#REF!</definedName>
    <definedName name="hide_n4">#REF!</definedName>
    <definedName name="hide_n5" localSheetId="26">#REF!</definedName>
    <definedName name="hide_n5">#REF!</definedName>
    <definedName name="hide_n6" localSheetId="26">#REF!</definedName>
    <definedName name="hide_n6">#REF!</definedName>
    <definedName name="hide_n8" localSheetId="26">'[19]P&amp;L(E01)'!#REF!</definedName>
    <definedName name="hide_n8">'[19]P&amp;L(E01)'!#REF!</definedName>
    <definedName name="hide_n9" localSheetId="26">'[19]P&amp;L(E01)'!#REF!</definedName>
    <definedName name="hide_n9">'[19]P&amp;L(E01)'!#REF!</definedName>
    <definedName name="hide_r1" localSheetId="26">#REF!</definedName>
    <definedName name="hide_r1" localSheetId="6">#REF!</definedName>
    <definedName name="hide_r1" localSheetId="7">#REF!</definedName>
    <definedName name="hide_r1">#REF!</definedName>
    <definedName name="hide_r10" localSheetId="26">'[19]P&amp;L(E01)'!#REF!</definedName>
    <definedName name="hide_r10" localSheetId="6">'[19]P&amp;L(E01)'!#REF!</definedName>
    <definedName name="hide_r10" localSheetId="7">'[19]P&amp;L(E01)'!#REF!</definedName>
    <definedName name="hide_r10">'[19]P&amp;L(E01)'!#REF!</definedName>
    <definedName name="hide_r11" localSheetId="26">'[19]P&amp;L(E01)'!#REF!</definedName>
    <definedName name="hide_r11">'[19]P&amp;L(E01)'!#REF!</definedName>
    <definedName name="hide_r12" localSheetId="26">'[19]P&amp;L(E01)'!#REF!</definedName>
    <definedName name="hide_r12">'[19]P&amp;L(E01)'!#REF!</definedName>
    <definedName name="hide_r13" localSheetId="26">'[20]PsoftP&amp;L'!#REF!</definedName>
    <definedName name="hide_r13">'[20]PsoftP&amp;L'!#REF!</definedName>
    <definedName name="hide_r14" localSheetId="26">'[20]PsoftP&amp;L'!#REF!</definedName>
    <definedName name="hide_r14">'[20]PsoftP&amp;L'!#REF!</definedName>
    <definedName name="hide_r15" localSheetId="26">#REF!</definedName>
    <definedName name="hide_r15" localSheetId="6">#REF!</definedName>
    <definedName name="hide_r15" localSheetId="7">#REF!</definedName>
    <definedName name="hide_r15">#REF!</definedName>
    <definedName name="hide_r16" localSheetId="26">#REF!</definedName>
    <definedName name="hide_r16">#REF!</definedName>
    <definedName name="hide_r17" localSheetId="26">'[22]Single Entity'!#REF!</definedName>
    <definedName name="hide_r17">'[22]Single Entity'!#REF!</definedName>
    <definedName name="hide_r18" localSheetId="26">'[22]Single Entity'!#REF!</definedName>
    <definedName name="hide_r18">'[22]Single Entity'!#REF!</definedName>
    <definedName name="hide_r2" localSheetId="26">#REF!</definedName>
    <definedName name="hide_r2" localSheetId="6">#REF!</definedName>
    <definedName name="hide_r2" localSheetId="7">#REF!</definedName>
    <definedName name="hide_r2">#REF!</definedName>
    <definedName name="hide_r3" localSheetId="26">#REF!</definedName>
    <definedName name="hide_r3">#REF!</definedName>
    <definedName name="hide_r4" localSheetId="26">#REF!</definedName>
    <definedName name="hide_r4">#REF!</definedName>
    <definedName name="hide_r5" localSheetId="26">#REF!</definedName>
    <definedName name="hide_r5">#REF!</definedName>
    <definedName name="hide_r6" localSheetId="26">#REF!</definedName>
    <definedName name="hide_r6">#REF!</definedName>
    <definedName name="hide_r8" localSheetId="26">'[19]P&amp;L(E01)'!#REF!</definedName>
    <definedName name="hide_r8">'[19]P&amp;L(E01)'!#REF!</definedName>
    <definedName name="hide_r9" localSheetId="26">'[19]P&amp;L(E01)'!#REF!</definedName>
    <definedName name="hide_r9">'[19]P&amp;L(E01)'!#REF!</definedName>
    <definedName name="hideCAPEXrows" localSheetId="26">[13]!hideCAPEXrows</definedName>
    <definedName name="hideCAPEXrows" localSheetId="7">[13]!hideCAPEXrows</definedName>
    <definedName name="hideCAPEXrows" localSheetId="18">[13]!hideCAPEXrows</definedName>
    <definedName name="hideCAPEXrows">[13]!hideCAPEXrows</definedName>
    <definedName name="hider15" localSheetId="26">#REF!</definedName>
    <definedName name="hider15" localSheetId="6">#REF!</definedName>
    <definedName name="hider15" localSheetId="7">#REF!</definedName>
    <definedName name="hider15">#REF!</definedName>
    <definedName name="IDN" localSheetId="26">#REF!</definedName>
    <definedName name="IDN">#REF!</definedName>
    <definedName name="IFN" localSheetId="26">#REF!</definedName>
    <definedName name="IFN">#REF!</definedName>
    <definedName name="INCREASED">'[7]Forecast input'!$DC$3</definedName>
    <definedName name="INSTALL_NO">'[7]Forecast input'!$DB$5</definedName>
    <definedName name="IT_CostCentres">'[11]Manual Adjustment'!$B$30:$E$40</definedName>
    <definedName name="KWH">'[7]Forecast input'!$CX$4</definedName>
    <definedName name="LACTUALS_SYTD_FBUSINESS_UNIT_VE01_FDEPTID_TORG_STRUCTURE_N95145S" localSheetId="26">#REF!</definedName>
    <definedName name="LACTUALS_SYTD_FBUSINESS_UNIT_VE01_FDEPTID_TORG_STRUCTURE_N95145S" localSheetId="6">#REF!</definedName>
    <definedName name="LACTUALS_SYTD_FBUSINESS_UNIT_VE01_FDEPTID_TORG_STRUCTURE_N95145S" localSheetId="7">#REF!</definedName>
    <definedName name="LACTUALS_SYTD_FBUSINESS_UNIT_VE01_FDEPTID_TORG_STRUCTURE_N95145S">#REF!</definedName>
    <definedName name="LACTUALS_SYTD_FBUSINESS_UNIT_VE03">"hide_r7"</definedName>
    <definedName name="Layout" localSheetId="26">#REF!</definedName>
    <definedName name="Layout" localSheetId="7">#REF!</definedName>
    <definedName name="Layout">#REF!</definedName>
    <definedName name="LBL" localSheetId="26">#REF!</definedName>
    <definedName name="LBL">#REF!</definedName>
    <definedName name="Ledger_Head1" localSheetId="26">#REF!</definedName>
    <definedName name="Ledger_Head1">#REF!</definedName>
    <definedName name="Ledger_Head2" localSheetId="26">#REF!</definedName>
    <definedName name="Ledger_Head2">#REF!</definedName>
    <definedName name="Ledger_header2" localSheetId="26">#REF!</definedName>
    <definedName name="Ledger_header2">#REF!</definedName>
    <definedName name="Level1aPL" localSheetId="26">#REF!</definedName>
    <definedName name="Level1aPL">#REF!</definedName>
    <definedName name="LIABILITIES" localSheetId="26">#REF!</definedName>
    <definedName name="LIABILITIES">#REF!</definedName>
    <definedName name="LTIs">[14]FTE!$A$107:$O$118</definedName>
    <definedName name="LU_Category">[4]Lookup_BL!$C$38:$C$40</definedName>
    <definedName name="LU_Co_Ind">[23]Lookup_BL!$D$16:$D$17</definedName>
    <definedName name="LU_Company">[4]Lookup_BL!$C$16:$C$17</definedName>
    <definedName name="LU_Data">[4]Lookup_BL!$C$33:$C$35</definedName>
    <definedName name="LU_Month">[4]Lookup_BL!$C$10:$C$13</definedName>
    <definedName name="LU_MonthStart">[24]Reference_LU!$I$15</definedName>
    <definedName name="LU_Option_Names">[25]Lookup_Tables_BL!$D$26:$D$30</definedName>
    <definedName name="LU_Year">[4]Lookup_BL!$C$20:$C$30</definedName>
    <definedName name="Macro1">[26]Macro1!$A$1</definedName>
    <definedName name="Macro2">[26]Macro1!$A$38</definedName>
    <definedName name="Macro3">[26]Macro1!$A$45</definedName>
    <definedName name="Macro4">[26]Macro1!$A$52</definedName>
    <definedName name="Macro5">[26]Macro1!$A$59</definedName>
    <definedName name="ManOperating">#N/A</definedName>
    <definedName name="Manual_Adj">'[11]Manual Adjustment'!$B$44:$E$52</definedName>
    <definedName name="Matt" localSheetId="26">#REF!</definedName>
    <definedName name="Matt" localSheetId="6">#REF!</definedName>
    <definedName name="Matt" localSheetId="7">#REF!</definedName>
    <definedName name="Matt">#REF!</definedName>
    <definedName name="MEPS">'[7]Forecast Calcs'!$B$2768</definedName>
    <definedName name="Model_Name">[4]GC!$C$10</definedName>
    <definedName name="Month">[4]GA!$G$9</definedName>
    <definedName name="Months" localSheetId="26">#REF!</definedName>
    <definedName name="Months" localSheetId="7">#REF!</definedName>
    <definedName name="Months">#REF!</definedName>
    <definedName name="Movement" localSheetId="26">#REF!</definedName>
    <definedName name="Movement">#REF!</definedName>
    <definedName name="multiplier" localSheetId="26">#REF!</definedName>
    <definedName name="multiplier">#REF!</definedName>
    <definedName name="neo">'[1]ED Customer Services'!$A$122:$M$147</definedName>
    <definedName name="NetNoProjects" localSheetId="26">#REF!</definedName>
    <definedName name="NetNoProjects" localSheetId="7">#REF!</definedName>
    <definedName name="NetNoProjects">#REF!</definedName>
    <definedName name="NetNoProjs" localSheetId="26">#REF!</definedName>
    <definedName name="NetNoProjs">#REF!</definedName>
    <definedName name="NetOpsBal">'[1]ED Customer Services'!$A$7:$L$31</definedName>
    <definedName name="NetOpsBalTrends">'[1]ED Customer Services'!$A$96:$L$112</definedName>
    <definedName name="NetOpsPro">'[1]ED Customer Services'!$Q$1:$Q$65536</definedName>
    <definedName name="NetOpsProTrend">'[1]ED Customer Services'!$A$124:$L$140</definedName>
    <definedName name="NetOpsTrend">'[1]ED Customer Services'!$A$96:$M$119</definedName>
    <definedName name="NetOpsTrPr">'[1]ED Customer Services'!$A$123:$M$147</definedName>
    <definedName name="NETP">'[1]ED Customer Services'!$A$35:$L$59</definedName>
    <definedName name="NETPRODEC" localSheetId="26">#REF!</definedName>
    <definedName name="NETPRODEC" localSheetId="7">#REF!</definedName>
    <definedName name="NETPRODEC">#REF!</definedName>
    <definedName name="NetProj2" localSheetId="26">#REF!</definedName>
    <definedName name="NetProj2">#REF!</definedName>
    <definedName name="NetProjDEc01" localSheetId="26">#REF!</definedName>
    <definedName name="NetProjDEc01">#REF!</definedName>
    <definedName name="NetProTrend" localSheetId="26">#REF!</definedName>
    <definedName name="NetProTrend">#REF!</definedName>
    <definedName name="NETTREND" localSheetId="26">#REF!</definedName>
    <definedName name="NETTREND">#REF!</definedName>
    <definedName name="NetWIPDec01" localSheetId="26">#REF!</definedName>
    <definedName name="NetWIPDec01">#REF!</definedName>
    <definedName name="NetworkProj" localSheetId="26">#REF!</definedName>
    <definedName name="NetworkProj">#REF!</definedName>
    <definedName name="NEWPG2" localSheetId="26">#REF!</definedName>
    <definedName name="NEWPG2">#REF!</definedName>
    <definedName name="NEWPG4" localSheetId="26">#REF!</definedName>
    <definedName name="NEWPG4">#REF!</definedName>
    <definedName name="NoproTrend" localSheetId="26">#REF!</definedName>
    <definedName name="NoproTrend">#REF!</definedName>
    <definedName name="Now" localSheetId="26">#REF!</definedName>
    <definedName name="Now">#REF!</definedName>
    <definedName name="NPI">'[10]APKPI DataSheet'!$A$2:$J$145</definedName>
    <definedName name="NTI_B">'[7]Forecast input'!$B$156:$B$538</definedName>
    <definedName name="NTI_E">'[7]Forecast input'!$E$156:$E$538</definedName>
    <definedName name="NTI_F">'[7]Forecast input'!$F$156:$F$538</definedName>
    <definedName name="NTI_G">'[7]Forecast input'!$G$156:$G$538</definedName>
    <definedName name="NUMBER">'[7]Forecast input'!$CX$3</definedName>
    <definedName name="NvsASD">"V2005-12-31"</definedName>
    <definedName name="NvsAutoDrillOk">"VN"</definedName>
    <definedName name="NvsElapsedTime">0.00271145833539777</definedName>
    <definedName name="NvsEndTime">38722.6824355324</definedName>
    <definedName name="NvsInstSpec">"%,FBUSINESS_UNIT,TSPIA_POSTSALE,NT&amp;D_CONSOL"</definedName>
    <definedName name="NvsLayoutType">"M3"</definedName>
    <definedName name="NvsNplSpec">"%,X,RZF..,CZF.."</definedName>
    <definedName name="NvsPanelEffdt">"V2005-01-01"</definedName>
    <definedName name="NvsPanelSetid">"VSHARE"</definedName>
    <definedName name="NvsReqBU">"VEEE0"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"BUS_UNIT_TBL_FS"</definedName>
    <definedName name="NvsValTbl.DEPTID">"DEPARTMENT_TBL"</definedName>
    <definedName name="NvsValTbl.PROPOSAL_ID">"BD_PROPOSAL_ID"</definedName>
    <definedName name="NvsValTbl.SCENARIO">"BD_SCENARIO_TBL"</definedName>
    <definedName name="NWBalView" localSheetId="26">#REF!</definedName>
    <definedName name="NWBalView" localSheetId="7">#REF!</definedName>
    <definedName name="NWBalView">#REF!</definedName>
    <definedName name="nwm" localSheetId="26">#REF!</definedName>
    <definedName name="nwm">#REF!</definedName>
    <definedName name="nwmn" localSheetId="26">#REF!</definedName>
    <definedName name="nwmn">#REF!</definedName>
    <definedName name="NWProTrends" localSheetId="26">#REF!</definedName>
    <definedName name="NWProTrends">#REF!</definedName>
    <definedName name="ONEWATT_STBY">'[7]Forecast Calcs'!$B$3162</definedName>
    <definedName name="OPSPRO">'[1]ED Customer Services'!$A$34:$L$60</definedName>
    <definedName name="OPSTR">'[1]ED Customer Services'!$A$96:$M$120</definedName>
    <definedName name="OPSTRE">'[1]ED Customer Services'!$A$94:$M$121</definedName>
    <definedName name="OPSTREND">'[1]ED Customer Services'!$A$96:$M$121</definedName>
    <definedName name="OPSWIP">'[1]ED Customer Services'!$A$6:$M$31</definedName>
    <definedName name="OtherPro">[1]Other!$A$33:$L$58</definedName>
    <definedName name="PerGj">[10]RevenueGraphData!$A$13:$P$16</definedName>
    <definedName name="PerGjD">[10]RevenueGraphData!$A$28:$P$31</definedName>
    <definedName name="Period_Name" localSheetId="26">#REF!</definedName>
    <definedName name="Period_Name" localSheetId="6">#REF!</definedName>
    <definedName name="Period_Name" localSheetId="7">#REF!</definedName>
    <definedName name="Period_Name">#REF!</definedName>
    <definedName name="Period1" localSheetId="26">#REF!</definedName>
    <definedName name="Period1">#REF!</definedName>
    <definedName name="Period2" localSheetId="26">#REF!</definedName>
    <definedName name="Period2">#REF!</definedName>
    <definedName name="Period3" localSheetId="26">#REF!</definedName>
    <definedName name="Period3">#REF!</definedName>
    <definedName name="Period4" localSheetId="26">#REF!</definedName>
    <definedName name="Period4">#REF!</definedName>
    <definedName name="Period5" localSheetId="26">'[27]Dec00 BS'!#REF!</definedName>
    <definedName name="Period5">'[27]Dec00 BS'!#REF!</definedName>
    <definedName name="Period6" localSheetId="26">#REF!</definedName>
    <definedName name="Period6" localSheetId="6">#REF!</definedName>
    <definedName name="Period6" localSheetId="7">#REF!</definedName>
    <definedName name="Period6">#REF!</definedName>
    <definedName name="PG6_7" localSheetId="26">#REF!</definedName>
    <definedName name="PG6_7">#REF!</definedName>
    <definedName name="placcounts">[28]Report!$A$1:$AN$690</definedName>
    <definedName name="PLData">'[29]PL Data 9899'!$B$7:$O$41</definedName>
    <definedName name="_xlnm.Print_Area" localSheetId="4">Connections!$A$1:$T$24</definedName>
    <definedName name="_xlnm.Print_Area" localSheetId="14">Contr_Fcast!$A$1:$AB$50</definedName>
    <definedName name="_xlnm.Print_Area" localSheetId="15">Summary_Output!$A$1:$Q$56</definedName>
    <definedName name="_xlnm.Print_Titles" localSheetId="15">Summary_Output!$4:$5</definedName>
    <definedName name="Print3" localSheetId="26">#REF!</definedName>
    <definedName name="Print3" localSheetId="6">#REF!</definedName>
    <definedName name="Print3" localSheetId="7">#REF!</definedName>
    <definedName name="Print3">#REF!</definedName>
    <definedName name="Print4" localSheetId="26">#REF!</definedName>
    <definedName name="Print4">#REF!</definedName>
    <definedName name="Print5" localSheetId="26">#REF!</definedName>
    <definedName name="Print5">#REF!</definedName>
    <definedName name="PRNTALL" localSheetId="26">#REF!</definedName>
    <definedName name="PRNTALL">#REF!</definedName>
    <definedName name="Project_Lead_Times">'[30]Lead times'!$A$7:$D$23</definedName>
    <definedName name="Project_Lead_Times_Local">'[31]Lead times'!$A$5:$D$22</definedName>
    <definedName name="ProjType">'[17]Combined Proj Sum'!$K$1:$K$65536</definedName>
    <definedName name="qryExcelExport" localSheetId="26">#REF!</definedName>
    <definedName name="qryExcelExport" localSheetId="6">#REF!</definedName>
    <definedName name="qryExcelExport" localSheetId="7">#REF!</definedName>
    <definedName name="qryExcelExport">#REF!</definedName>
    <definedName name="qryXLDateListOutput" localSheetId="26">#REF!</definedName>
    <definedName name="qryXLDateListOutput">#REF!</definedName>
    <definedName name="qryXLOutput" localSheetId="26">#REF!</definedName>
    <definedName name="qryXLOutput">#REF!</definedName>
    <definedName name="qryXLOutputAssetClass" localSheetId="26">#REF!</definedName>
    <definedName name="qryXLOutputAssetClass">#REF!</definedName>
    <definedName name="qryXLOutputAssetClassGroups" localSheetId="26">#REF!</definedName>
    <definedName name="qryXLOutputAssetClassGroups">#REF!</definedName>
    <definedName name="Query7" localSheetId="26">#REF!</definedName>
    <definedName name="Query7">#REF!</definedName>
    <definedName name="Recover">[26]Macro1!$A$94</definedName>
    <definedName name="REDUCED">'[7]Forecast input'!$DC$4</definedName>
    <definedName name="Ref_1" localSheetId="26">#REF!</definedName>
    <definedName name="Ref_1" localSheetId="6">#REF!</definedName>
    <definedName name="Ref_1" localSheetId="7">#REF!</definedName>
    <definedName name="Ref_1">#REF!</definedName>
    <definedName name="Report_Request" localSheetId="26">#REF!</definedName>
    <definedName name="Report_Request">#REF!</definedName>
    <definedName name="Report_Timespan" localSheetId="26">#REF!</definedName>
    <definedName name="Report_Timespan">#REF!</definedName>
    <definedName name="Report_Title" localSheetId="26">#REF!</definedName>
    <definedName name="Report_Title">#REF!</definedName>
    <definedName name="REVENUE">'[32]Revenue Recon'!$C$111:$C$125</definedName>
    <definedName name="SCN" localSheetId="26">#REF!</definedName>
    <definedName name="SCN" localSheetId="6">#REF!</definedName>
    <definedName name="SCN" localSheetId="7">#REF!</definedName>
    <definedName name="SCN">#REF!</definedName>
    <definedName name="SETOFBOOKSNAME1">[9]CRITERIA1!$B$2</definedName>
    <definedName name="SFD" localSheetId="26">#REF!</definedName>
    <definedName name="SFD" localSheetId="6">#REF!</definedName>
    <definedName name="SFD" localSheetId="7">#REF!</definedName>
    <definedName name="SFD">#REF!</definedName>
    <definedName name="SFV" localSheetId="26">#REF!</definedName>
    <definedName name="SFV">#REF!</definedName>
    <definedName name="SickLeave">[14]FTE!$A$91:$O$105</definedName>
    <definedName name="SIXSTAR_ER">'[7]Forecast Calcs'!$B$3556</definedName>
    <definedName name="SolarB">'[7]Forecast input'!$B$88:$B$112</definedName>
    <definedName name="SolarC">'[7]Forecast input'!$C$88:$C$112</definedName>
    <definedName name="SolarG">'[7]Forecast input'!$G$88:$G$112</definedName>
    <definedName name="Source_Cost">'[33]Source Data'!$A$58:$AG$381</definedName>
    <definedName name="SPAN_Cost" localSheetId="26">#REF!</definedName>
    <definedName name="SPAN_Cost" localSheetId="6">#REF!</definedName>
    <definedName name="SPAN_Cost" localSheetId="7">#REF!</definedName>
    <definedName name="SPAN_Cost">#REF!</definedName>
    <definedName name="SPAND_Asset_Maintenance">[23]GA!$M$32</definedName>
    <definedName name="SPAND_Both_Analysis_Elec_Total">[4]SPAND_Both_BO!$AH$8</definedName>
    <definedName name="SPAND_Both_Analysis_Gas_Total">[4]SPAND_Both_BO!$AI$8</definedName>
    <definedName name="SPAND_Both_CostName">[4]SPAND_Both_BO!$H$8</definedName>
    <definedName name="SPAND_Both_Elec_OH">[4]SPAND_Both_BO!$X$8</definedName>
    <definedName name="SPAND_Both_Gas_OH">[4]SPAND_Both_BO!$Y$8</definedName>
    <definedName name="SPAND_Both_OH2">[4]SPAND_Both_BO!$P$8</definedName>
    <definedName name="SPAND_Both_Total">[4]SPAND_Both_BO!$H$6</definedName>
    <definedName name="SPAND_Company_Super_Account">[4]GA!$M$24</definedName>
    <definedName name="SPAND_Company_Super_Cost">[4]GA!$M$25</definedName>
    <definedName name="SPAND_DB_Super_Account">[4]GA!$N$24</definedName>
    <definedName name="SPAND_DB_Super_Cost">[4]GA!$N$25</definedName>
    <definedName name="SPAND_Elec_Capex" localSheetId="26">#REF!</definedName>
    <definedName name="SPAND_Elec_Capex" localSheetId="7">#REF!</definedName>
    <definedName name="SPAND_Elec_Capex">#REF!</definedName>
    <definedName name="SPAND_Elec_Capex_YTD">[11]SPAND_Summary_BO!$K$24</definedName>
    <definedName name="SPAND_Elec_OH_Actual">[34]SPAND_Summary_BO!$K$28</definedName>
    <definedName name="SPAND_Elec_Opex" localSheetId="26">#REF!</definedName>
    <definedName name="SPAND_Elec_Opex" localSheetId="6">#REF!</definedName>
    <definedName name="SPAND_Elec_Opex" localSheetId="7">#REF!</definedName>
    <definedName name="SPAND_Elec_Opex">#REF!</definedName>
    <definedName name="SPAND_Gas_Capex" localSheetId="26">#REF!</definedName>
    <definedName name="SPAND_Gas_Capex">#REF!</definedName>
    <definedName name="SPAND_Gas_Capex_YTD">[11]SPAND_Summary_BO!$M$24</definedName>
    <definedName name="SPAND_Gas_OH_Actual">[34]SPAND_Summary_BO!$M$28</definedName>
    <definedName name="SPAND_Gas_Opex" localSheetId="26">#REF!</definedName>
    <definedName name="SPAND_Gas_Opex" localSheetId="6">#REF!</definedName>
    <definedName name="SPAND_Gas_Opex" localSheetId="7">#REF!</definedName>
    <definedName name="SPAND_Gas_Opex">#REF!</definedName>
    <definedName name="SPAND_Labour_ABC" localSheetId="26">#REF!</definedName>
    <definedName name="SPAND_Labour_ABC">#REF!</definedName>
    <definedName name="SPAND_Labour_ADJ" localSheetId="26">#REF!</definedName>
    <definedName name="SPAND_Labour_ADJ">#REF!</definedName>
    <definedName name="SPAND_Labour_Amount" localSheetId="26">#REF!</definedName>
    <definedName name="SPAND_Labour_Amount">#REF!</definedName>
    <definedName name="SPAND_Labour_Analysis_Elec_Capex" localSheetId="26">#REF!</definedName>
    <definedName name="SPAND_Labour_Analysis_Elec_Capex">#REF!</definedName>
    <definedName name="SPAND_Labour_Analysis_Elec_Opex" localSheetId="26">#REF!</definedName>
    <definedName name="SPAND_Labour_Analysis_Elec_Opex">#REF!</definedName>
    <definedName name="SPAND_Labour_Analysis_Elec_Total">[4]SPAND_Labour_BO!$AH$8</definedName>
    <definedName name="SPAND_Labour_Analysis_Gas_Capex" localSheetId="26">#REF!</definedName>
    <definedName name="SPAND_Labour_Analysis_Gas_Capex" localSheetId="6">#REF!</definedName>
    <definedName name="SPAND_Labour_Analysis_Gas_Capex" localSheetId="7">#REF!</definedName>
    <definedName name="SPAND_Labour_Analysis_Gas_Capex">#REF!</definedName>
    <definedName name="SPAND_Labour_Analysis_Gas_Opex" localSheetId="26">#REF!</definedName>
    <definedName name="SPAND_Labour_Analysis_Gas_Opex">#REF!</definedName>
    <definedName name="SPAND_Labour_Analysis_Gas_Total">[4]SPAND_Labour_BO!$AI$8</definedName>
    <definedName name="SPAND_Labour_Analysis_Total" localSheetId="26">#REF!</definedName>
    <definedName name="SPAND_Labour_Analysis_Total" localSheetId="6">#REF!</definedName>
    <definedName name="SPAND_Labour_Analysis_Total" localSheetId="7">#REF!</definedName>
    <definedName name="SPAND_Labour_Analysis_Total">#REF!</definedName>
    <definedName name="SPAND_Labour_Analysis_Unreg_Capex" localSheetId="26">#REF!</definedName>
    <definedName name="SPAND_Labour_Analysis_Unreg_Capex">#REF!</definedName>
    <definedName name="SPAND_Labour_Analysis_Unreg_Opex" localSheetId="26">#REF!</definedName>
    <definedName name="SPAND_Labour_Analysis_Unreg_Opex">#REF!</definedName>
    <definedName name="SPAND_Labour_Analysis_Unreg_Total" localSheetId="26">#REF!</definedName>
    <definedName name="SPAND_Labour_Analysis_Unreg_Total">#REF!</definedName>
    <definedName name="SPAND_Labour_Asset" localSheetId="26">#REF!</definedName>
    <definedName name="SPAND_Labour_Asset">#REF!</definedName>
    <definedName name="SPAND_Labour_CompanySuper" localSheetId="26">#REF!</definedName>
    <definedName name="SPAND_Labour_CompanySuper">#REF!</definedName>
    <definedName name="SPAND_Labour_Cost" localSheetId="26">#REF!</definedName>
    <definedName name="SPAND_Labour_Cost">#REF!</definedName>
    <definedName name="SPAND_Labour_CostName">[4]SPAND_Labour_BO!$H$8</definedName>
    <definedName name="SPAND_Labour_DBSuper" localSheetId="26">#REF!</definedName>
    <definedName name="SPAND_Labour_DBSuper" localSheetId="6">#REF!</definedName>
    <definedName name="SPAND_Labour_DBSuper" localSheetId="7">#REF!</definedName>
    <definedName name="SPAND_Labour_DBSuper">#REF!</definedName>
    <definedName name="SPAND_Labour_Elec_Capex" localSheetId="26">#REF!</definedName>
    <definedName name="SPAND_Labour_Elec_Capex">#REF!</definedName>
    <definedName name="SPAND_Labour_Elec_Corp" localSheetId="26">#REF!</definedName>
    <definedName name="SPAND_Labour_Elec_Corp">#REF!</definedName>
    <definedName name="SPAND_Labour_Elec_OH">[4]SPAND_Labour_BO!$X$8</definedName>
    <definedName name="SPAND_Labour_Exclu" localSheetId="26">#REF!</definedName>
    <definedName name="SPAND_Labour_Exclu" localSheetId="6">#REF!</definedName>
    <definedName name="SPAND_Labour_Exclu" localSheetId="7">#REF!</definedName>
    <definedName name="SPAND_Labour_Exclu">#REF!</definedName>
    <definedName name="SPAND_Labour_FTE" localSheetId="26">#REF!</definedName>
    <definedName name="SPAND_Labour_FTE">#REF!</definedName>
    <definedName name="SPAND_Labour_Gas_Capex" localSheetId="26">#REF!</definedName>
    <definedName name="SPAND_Labour_Gas_Capex">#REF!</definedName>
    <definedName name="SPAND_Labour_Gas_Corp" localSheetId="26">#REF!</definedName>
    <definedName name="SPAND_Labour_Gas_Corp">#REF!</definedName>
    <definedName name="SPAND_Labour_Gas_OH">[4]SPAND_Labour_BO!$Y$8</definedName>
    <definedName name="SPAND_Labour_LessDirect" localSheetId="26">#REF!</definedName>
    <definedName name="SPAND_Labour_LessDirect" localSheetId="6">#REF!</definedName>
    <definedName name="SPAND_Labour_LessDirect" localSheetId="7">#REF!</definedName>
    <definedName name="SPAND_Labour_LessDirect">#REF!</definedName>
    <definedName name="SPAND_Labour_OH" localSheetId="26">#REF!</definedName>
    <definedName name="SPAND_Labour_OH">#REF!</definedName>
    <definedName name="SPAND_Labour_OH1" localSheetId="26">#REF!</definedName>
    <definedName name="SPAND_Labour_OH1">#REF!</definedName>
    <definedName name="SPAND_Labour_OH2">[4]SPAND_Labour_BO!$P$8</definedName>
    <definedName name="SPAND_Labour_Total">[4]SPAND_Labour_BO!$H$6</definedName>
    <definedName name="SPAND_Labour_Total_Capex" localSheetId="26">#REF!</definedName>
    <definedName name="SPAND_Labour_Total_Capex" localSheetId="6">#REF!</definedName>
    <definedName name="SPAND_Labour_Total_Capex" localSheetId="7">#REF!</definedName>
    <definedName name="SPAND_Labour_Total_Capex">#REF!</definedName>
    <definedName name="SPAND_Labour_Total_FTE">[23]GA!$M$15</definedName>
    <definedName name="SPAND_NonLabour_ABC" localSheetId="26">#REF!</definedName>
    <definedName name="SPAND_NonLabour_ABC" localSheetId="6">#REF!</definedName>
    <definedName name="SPAND_NonLabour_ABC" localSheetId="7">#REF!</definedName>
    <definedName name="SPAND_NonLabour_ABC">#REF!</definedName>
    <definedName name="SPAND_NonLabour_ADJ" localSheetId="26">#REF!</definedName>
    <definedName name="SPAND_NonLabour_ADJ">#REF!</definedName>
    <definedName name="SPAND_NonLabour_Amount" localSheetId="26">#REF!</definedName>
    <definedName name="SPAND_NonLabour_Amount">#REF!</definedName>
    <definedName name="SPAND_NonLabour_Analysis_Elec_Capex" localSheetId="26">#REF!</definedName>
    <definedName name="SPAND_NonLabour_Analysis_Elec_Capex">#REF!</definedName>
    <definedName name="SPAND_NonLabour_Analysis_Elec_Opex" localSheetId="26">#REF!</definedName>
    <definedName name="SPAND_NonLabour_Analysis_Elec_Opex">#REF!</definedName>
    <definedName name="SPAND_NonLabour_Analysis_Elec_Total">[4]SPAND_NonLabour_BO!$AH$8</definedName>
    <definedName name="SPAND_NonLabour_Analysis_Gas_Capex" localSheetId="26">#REF!</definedName>
    <definedName name="SPAND_NonLabour_Analysis_Gas_Capex" localSheetId="6">#REF!</definedName>
    <definedName name="SPAND_NonLabour_Analysis_Gas_Capex" localSheetId="7">#REF!</definedName>
    <definedName name="SPAND_NonLabour_Analysis_Gas_Capex">#REF!</definedName>
    <definedName name="SPAND_NonLabour_Analysis_Gas_Opex" localSheetId="26">#REF!</definedName>
    <definedName name="SPAND_NonLabour_Analysis_Gas_Opex">#REF!</definedName>
    <definedName name="SPAND_NonLabour_Analysis_Gas_Total">[4]SPAND_NonLabour_BO!$AI$8</definedName>
    <definedName name="SPAND_NonLabour_Analysis_Total" localSheetId="26">#REF!</definedName>
    <definedName name="SPAND_NonLabour_Analysis_Total" localSheetId="6">#REF!</definedName>
    <definedName name="SPAND_NonLabour_Analysis_Total" localSheetId="7">#REF!</definedName>
    <definedName name="SPAND_NonLabour_Analysis_Total">#REF!</definedName>
    <definedName name="SPAND_NonLabour_Analysis_Unreg_Capex" localSheetId="26">#REF!</definedName>
    <definedName name="SPAND_NonLabour_Analysis_Unreg_Capex">#REF!</definedName>
    <definedName name="SPAND_NonLabour_Analysis_Unreg_Opex" localSheetId="26">#REF!</definedName>
    <definedName name="SPAND_NonLabour_Analysis_Unreg_Opex">#REF!</definedName>
    <definedName name="SPAND_NonLabour_Analysis_Unreg_Total" localSheetId="26">#REF!</definedName>
    <definedName name="SPAND_NonLabour_Analysis_Unreg_Total">#REF!</definedName>
    <definedName name="SPAND_NonLabour_Asset" localSheetId="26">#REF!</definedName>
    <definedName name="SPAND_NonLabour_Asset">#REF!</definedName>
    <definedName name="SPAND_NonLabour_CompanySuper" localSheetId="26">#REF!</definedName>
    <definedName name="SPAND_NonLabour_CompanySuper">#REF!</definedName>
    <definedName name="SPAND_NonLabour_Cost" localSheetId="26">#REF!</definedName>
    <definedName name="SPAND_NonLabour_Cost">#REF!</definedName>
    <definedName name="SPAND_NonLabour_CostName">[4]SPAND_NonLabour_BO!$H$8</definedName>
    <definedName name="SPAND_NonLabour_DBSuper" localSheetId="26">#REF!</definedName>
    <definedName name="SPAND_NonLabour_DBSuper" localSheetId="6">#REF!</definedName>
    <definedName name="SPAND_NonLabour_DBSuper" localSheetId="7">#REF!</definedName>
    <definedName name="SPAND_NonLabour_DBSuper">#REF!</definedName>
    <definedName name="SPAND_NonLabour_Elec_Capex" localSheetId="26">#REF!</definedName>
    <definedName name="SPAND_NonLabour_Elec_Capex">#REF!</definedName>
    <definedName name="SPAND_NonLabour_Elec_Corp" localSheetId="26">#REF!</definedName>
    <definedName name="SPAND_NonLabour_Elec_Corp">#REF!</definedName>
    <definedName name="SPAND_NonLabour_Elec_OH">[4]SPAND_NonLabour_BO!$X$8</definedName>
    <definedName name="SPAND_NonLabour_Exclu" localSheetId="26">#REF!</definedName>
    <definedName name="SPAND_NonLabour_Exclu" localSheetId="6">#REF!</definedName>
    <definedName name="SPAND_NonLabour_Exclu" localSheetId="7">#REF!</definedName>
    <definedName name="SPAND_NonLabour_Exclu">#REF!</definedName>
    <definedName name="SPAND_NonLabour_FTE" localSheetId="26">#REF!</definedName>
    <definedName name="SPAND_NonLabour_FTE">#REF!</definedName>
    <definedName name="SPAND_NonLabour_Gas_Capex" localSheetId="26">#REF!</definedName>
    <definedName name="SPAND_NonLabour_Gas_Capex">#REF!</definedName>
    <definedName name="SPAND_NonLabour_Gas_Corp" localSheetId="26">#REF!</definedName>
    <definedName name="SPAND_NonLabour_Gas_Corp">#REF!</definedName>
    <definedName name="SPAND_NonLabour_Gas_OH">[4]SPAND_NonLabour_BO!$Y$8</definedName>
    <definedName name="SPAND_NonLabour_GL_Count" localSheetId="26">#REF!</definedName>
    <definedName name="SPAND_NonLabour_GL_Count" localSheetId="6">#REF!</definedName>
    <definedName name="SPAND_NonLabour_GL_Count" localSheetId="7">#REF!</definedName>
    <definedName name="SPAND_NonLabour_GL_Count">#REF!</definedName>
    <definedName name="SPAND_NonLabour_LessDirect" localSheetId="26">#REF!</definedName>
    <definedName name="SPAND_NonLabour_LessDirect">#REF!</definedName>
    <definedName name="SPAND_NonLabour_OH" localSheetId="26">#REF!</definedName>
    <definedName name="SPAND_NonLabour_OH">#REF!</definedName>
    <definedName name="SPAND_NonLabour_OH1" localSheetId="26">#REF!</definedName>
    <definedName name="SPAND_NonLabour_OH1">#REF!</definedName>
    <definedName name="SPAND_NonLabour_OH2">[4]SPAND_NonLabour_BO!$P$8</definedName>
    <definedName name="SPAND_NonLabour_PA_Count" localSheetId="26">[35]SPAND_NonLabour_BO!#REF!</definedName>
    <definedName name="SPAND_NonLabour_PA_Count" localSheetId="7">[35]SPAND_NonLabour_BO!#REF!</definedName>
    <definedName name="SPAND_NonLabour_PA_Count">[35]SPAND_NonLabour_BO!#REF!</definedName>
    <definedName name="SPAND_NonLabour_Total">[4]SPAND_NonLabour_BO!$H$6</definedName>
    <definedName name="SPAND_NonLabour_Total_Capex" localSheetId="26">#REF!</definedName>
    <definedName name="SPAND_NonLabour_Total_Capex" localSheetId="6">#REF!</definedName>
    <definedName name="SPAND_NonLabour_Total_Capex" localSheetId="7">#REF!</definedName>
    <definedName name="SPAND_NonLabour_Total_Capex">#REF!</definedName>
    <definedName name="SPAND_NonLabour_Total_FTE">[23]GA!$M$16</definedName>
    <definedName name="SPAND_Other_Co_Analysis_Elec_Total">[23]SPAND_Other_Co_BO!$AJ$8</definedName>
    <definedName name="SPAND_Other_Co_Analysis_Gas_Total">[23]SPAND_Other_Co_BO!$AK$8</definedName>
    <definedName name="SPAND_Other_Co_Capex_YTD" localSheetId="26">#REF!</definedName>
    <definedName name="SPAND_Other_Co_Capex_YTD" localSheetId="6">#REF!</definedName>
    <definedName name="SPAND_Other_Co_Capex_YTD" localSheetId="7">#REF!</definedName>
    <definedName name="SPAND_Other_Co_Capex_YTD">#REF!</definedName>
    <definedName name="SPAND_Other_Co_CostName">[23]SPAND_Other_Co_BO!$H$8</definedName>
    <definedName name="SPAND_Other_Co_Elec_OH">[23]SPAND_Other_Co_BO!$Z$8</definedName>
    <definedName name="SPAND_Other_Co_Gas_OH">[23]SPAND_Other_Co_BO!$AA$8</definedName>
    <definedName name="SPAND_Other_Co_OH2">[23]SPAND_Other_Co_BO!$R$8</definedName>
    <definedName name="SPAND_Other_Co_Total">[23]SPAND_Other_Co_BO!$H$6</definedName>
    <definedName name="SPAND_SPIMS">[4]GA!$L$57</definedName>
    <definedName name="SPAND_SPIMS_Elec">[4]GA!$P$48</definedName>
    <definedName name="SPAND_SPIMS_Gas">[4]GA!$P$51</definedName>
    <definedName name="SPAND_Total_Asset">[23]GA!$M$30</definedName>
    <definedName name="SPAND_Total_Company_Super">[23]GA!$M$25</definedName>
    <definedName name="SPAND_Total_DB_Super">[23]GA!$N$25</definedName>
    <definedName name="SPAND_Total_Maintenance">[23]GA!$M$31</definedName>
    <definedName name="SPAND_Unreg_Capex" localSheetId="26">#REF!</definedName>
    <definedName name="SPAND_Unreg_Capex" localSheetId="6">#REF!</definedName>
    <definedName name="SPAND_Unreg_Capex" localSheetId="7">#REF!</definedName>
    <definedName name="SPAND_Unreg_Capex">#REF!</definedName>
    <definedName name="SPAND_Unreg_Opex" localSheetId="26">#REF!</definedName>
    <definedName name="SPAND_Unreg_Opex">#REF!</definedName>
    <definedName name="SPANT__Capex" localSheetId="26">#REF!</definedName>
    <definedName name="SPANT__Capex">#REF!</definedName>
    <definedName name="SPANT__Capex_YTD">[11]SPANT_Summary_BO!$K$24</definedName>
    <definedName name="SPANT__Opex" localSheetId="26">#REF!</definedName>
    <definedName name="SPANT__Opex" localSheetId="6">#REF!</definedName>
    <definedName name="SPANT__Opex" localSheetId="7">#REF!</definedName>
    <definedName name="SPANT__Opex">#REF!</definedName>
    <definedName name="SPANT_Asset_Maintenance">[23]GA!$N$32</definedName>
    <definedName name="SPANT_Both_CostName">[4]SPANT_Both_BO!$H$8</definedName>
    <definedName name="SPANT_Both_OH2">[4]SPANT_Both_BO!$P$8</definedName>
    <definedName name="SPANT_Both_Total">[4]SPANT_Both_BO!$H$6</definedName>
    <definedName name="SPANT_Both_Total_Capex">[4]SPANT_Both_BO!$U$8</definedName>
    <definedName name="SPANT_Company_Super_Account">[4]GA!$O$24</definedName>
    <definedName name="SPANT_Company_Super_Cost">[4]GA!$O$25</definedName>
    <definedName name="SPANT_DB_Super_Account">[4]GA!$P$24</definedName>
    <definedName name="SPANT_DB_Super_Cost">[4]GA!$P$25</definedName>
    <definedName name="SPANT_Labour_Analysis_Total">[23]SPANT_Labour_BO!$AF$8</definedName>
    <definedName name="SPANT_Labour_CostName">[4]SPANT_Labour_BO!$H$8</definedName>
    <definedName name="SPANT_Labour_OH2">[4]SPANT_Labour_BO!$P$8</definedName>
    <definedName name="SPANT_Labour_Total">[4]SPANT_Labour_BO!$H$6</definedName>
    <definedName name="SPANT_Labour_Total_Capex">[4]SPANT_Labour_BO!$U$8</definedName>
    <definedName name="SPANT_Labour_Total_FTE">[23]GA!$N$15</definedName>
    <definedName name="SPANT_NonLabour_Analysis_Total">[23]SPANT_NonLabour_BO!$AF$8</definedName>
    <definedName name="SPANT_NonLabour_CostName">[4]SPANT_NonLabour_BO!$H$8</definedName>
    <definedName name="SPANT_NonLabour_OH2">[4]SPANT_NonLabour_BO!$P$8</definedName>
    <definedName name="SPANT_NonLabour_Total">[4]SPANT_NonLabour_BO!$H$6</definedName>
    <definedName name="SPANT_NonLabour_Total_Capex">[4]SPANT_NonLabour_BO!$U$8</definedName>
    <definedName name="SPANT_NonLabour_Total_FTE">[23]GA!$N$16</definedName>
    <definedName name="SPANT_Other_Co_Analysis_Total">[23]SPANT_Other_Co_BO!$AF$8</definedName>
    <definedName name="SPANT_Other_Co_CostName">[23]SPANT_Other_Co_BO!$H$8</definedName>
    <definedName name="SPANT_Other_Co_OH2">[23]SPANT_Other_Co_BO!$R$8</definedName>
    <definedName name="SPANT_Other_Co_Total">[23]SPANT_Other_Co_BO!$H$6</definedName>
    <definedName name="SPANT_Other_Co_Total_Capex">[23]SPANT_Other_Co_BO!$X$8</definedName>
    <definedName name="SPANT_SPIMS">[4]GA!$O$57</definedName>
    <definedName name="SPANT_Total_Asset">[23]GA!$N$30</definedName>
    <definedName name="SPANT_Total_Company_Super">[23]GA!$O$25</definedName>
    <definedName name="SPANT_Total_DB_Super">[23]GA!$P$25</definedName>
    <definedName name="SPANT_Total_Maintenance">[23]GA!$N$31</definedName>
    <definedName name="SPANT_Unreg_Capex" localSheetId="26">#REF!</definedName>
    <definedName name="SPANT_Unreg_Capex" localSheetId="6">#REF!</definedName>
    <definedName name="SPANT_Unreg_Capex" localSheetId="7">#REF!</definedName>
    <definedName name="SPANT_Unreg_Capex">#REF!</definedName>
    <definedName name="SPANT_Unreg_Opex" localSheetId="26">#REF!</definedName>
    <definedName name="SPANT_Unreg_Opex">#REF!</definedName>
    <definedName name="Start_date">'[7]Forecast input'!$C$12</definedName>
    <definedName name="Strategies">[36]Strategies!$B$7:$Q$141</definedName>
    <definedName name="StratPro">'[1]Information Systems'!$A$33:$L$58</definedName>
    <definedName name="SUMM_EXP_KWH">'[7]Forecast input'!$CX$7</definedName>
    <definedName name="TableName">"Dummy"</definedName>
    <definedName name="TariffD">'[10]9798 Revenue Data'!$C$26:$AX$27</definedName>
    <definedName name="TariffV">'[10]9798 Revenue Data'!$C$20:$BB$21</definedName>
    <definedName name="Thousands" localSheetId="6">[37]Assumptions!$B$19</definedName>
    <definedName name="Thousands" localSheetId="7">[37]Assumptions!$B$19</definedName>
    <definedName name="Thousands">Assumptions!$B$19</definedName>
    <definedName name="TM1REBUILDOPTION">1</definedName>
    <definedName name="top" localSheetId="26">#REF!</definedName>
    <definedName name="top" localSheetId="7">#REF!</definedName>
    <definedName name="top">#REF!</definedName>
    <definedName name="TotalEnergyCustClass_Output" localSheetId="26">#REF!</definedName>
    <definedName name="TotalEnergyCustClass_Output">#REF!</definedName>
    <definedName name="TotalEnergyTariffComponent_Output" localSheetId="26">#REF!</definedName>
    <definedName name="TotalEnergyTariffComponent_Output">#REF!</definedName>
    <definedName name="unhideCAPEXrows" localSheetId="26">[13]!unhideCAPEXrows</definedName>
    <definedName name="unhideCAPEXrows" localSheetId="7">[13]!unhideCAPEXrows</definedName>
    <definedName name="unhideCAPEXrows" localSheetId="18">[13]!unhideCAPEXrows</definedName>
    <definedName name="unhideCAPEXrows">[13]!unhideCAPEXrows</definedName>
    <definedName name="Unit" localSheetId="26">#REF!</definedName>
    <definedName name="Unit" localSheetId="6">#REF!</definedName>
    <definedName name="Unit" localSheetId="7">#REF!</definedName>
    <definedName name="Unit">#REF!</definedName>
    <definedName name="Unused_Reason2" localSheetId="26">'[7]Forecast Calcs'!#REF!</definedName>
    <definedName name="Unused_Reason2" localSheetId="6">'[7]Forecast Calcs'!#REF!</definedName>
    <definedName name="Unused_Reason2" localSheetId="7">'[7]Forecast Calcs'!#REF!</definedName>
    <definedName name="Unused_Reason2">'[7]Forecast Calcs'!#REF!</definedName>
    <definedName name="Unused_Reason3" localSheetId="26">'[7]Forecast Calcs'!#REF!</definedName>
    <definedName name="Unused_Reason3">'[7]Forecast Calcs'!#REF!</definedName>
    <definedName name="VDOL">[10]RevenueGraphData!$A$8:$P$11</definedName>
    <definedName name="VPJS">[10]RevenueGraphData!$A$3:$P$6</definedName>
    <definedName name="WFA">[14]FTE!$A$74:$O$88</definedName>
    <definedName name="WUGS" localSheetId="26">#REF!</definedName>
    <definedName name="WUGS" localSheetId="6">#REF!</definedName>
    <definedName name="WUGS" localSheetId="7">#REF!</definedName>
    <definedName name="WUGS">#REF!</definedName>
    <definedName name="Year">[4]GA!$G$11</definedName>
    <definedName name="Years">'[38]1.0 Business &amp; other details  '!$C$35:$G$35</definedName>
    <definedName name="YEE">16</definedName>
    <definedName name="YTD">15</definedName>
    <definedName name="YTDC">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23" l="1"/>
  <c r="P17" i="23"/>
  <c r="O17" i="23"/>
  <c r="N17" i="23"/>
  <c r="M17" i="23"/>
  <c r="L17" i="23"/>
  <c r="K17" i="23"/>
  <c r="J17" i="23"/>
  <c r="J18" i="23"/>
  <c r="K18" i="23"/>
  <c r="L18" i="23"/>
  <c r="M18" i="23"/>
  <c r="N18" i="23"/>
  <c r="O18" i="23"/>
  <c r="P18" i="23"/>
  <c r="Q18" i="23"/>
  <c r="G77" i="7"/>
  <c r="N77" i="7"/>
  <c r="M77" i="7"/>
  <c r="L77" i="7"/>
  <c r="K77" i="7"/>
  <c r="J77" i="7"/>
  <c r="I77" i="7"/>
  <c r="H77" i="7"/>
  <c r="J39" i="7"/>
  <c r="J56" i="7"/>
  <c r="J67" i="7"/>
  <c r="J15" i="8"/>
  <c r="J29" i="9"/>
  <c r="G21" i="24"/>
  <c r="J22" i="9"/>
  <c r="J23" i="9"/>
  <c r="J52" i="7"/>
  <c r="J63" i="7"/>
  <c r="J11" i="8"/>
  <c r="J24" i="9"/>
  <c r="J53" i="7"/>
  <c r="J64" i="7"/>
  <c r="J25" i="9"/>
  <c r="J26" i="9"/>
  <c r="J54" i="7"/>
  <c r="J65" i="7"/>
  <c r="J13" i="8"/>
  <c r="J27" i="9"/>
  <c r="J55" i="7"/>
  <c r="J66" i="7"/>
  <c r="J14" i="8"/>
  <c r="J28" i="9"/>
  <c r="J30" i="9"/>
  <c r="J57" i="7"/>
  <c r="J68" i="7"/>
  <c r="J16" i="8"/>
  <c r="J31" i="9"/>
  <c r="J58" i="7"/>
  <c r="J69" i="7"/>
  <c r="J17" i="9"/>
  <c r="J32" i="9"/>
  <c r="J33" i="9"/>
  <c r="G22" i="24"/>
  <c r="K39" i="7"/>
  <c r="K56" i="7"/>
  <c r="K67" i="7"/>
  <c r="K15" i="8"/>
  <c r="K29" i="9"/>
  <c r="H21" i="24"/>
  <c r="K22" i="9"/>
  <c r="K23" i="9"/>
  <c r="K52" i="7"/>
  <c r="K63" i="7"/>
  <c r="K11" i="8"/>
  <c r="K24" i="9"/>
  <c r="K53" i="7"/>
  <c r="K64" i="7"/>
  <c r="K25" i="9"/>
  <c r="K26" i="9"/>
  <c r="K54" i="7"/>
  <c r="K65" i="7"/>
  <c r="K13" i="8"/>
  <c r="K27" i="9"/>
  <c r="K55" i="7"/>
  <c r="K66" i="7"/>
  <c r="K14" i="8"/>
  <c r="K28" i="9"/>
  <c r="K30" i="9"/>
  <c r="K57" i="7"/>
  <c r="K68" i="7"/>
  <c r="K16" i="8"/>
  <c r="K31" i="9"/>
  <c r="K58" i="7"/>
  <c r="K69" i="7"/>
  <c r="K17" i="9"/>
  <c r="K32" i="9"/>
  <c r="K33" i="9"/>
  <c r="H22" i="24"/>
  <c r="L39" i="7"/>
  <c r="L56" i="7"/>
  <c r="L67" i="7"/>
  <c r="L15" i="8"/>
  <c r="L29" i="9"/>
  <c r="I21" i="24"/>
  <c r="L22" i="9"/>
  <c r="L23" i="9"/>
  <c r="L52" i="7"/>
  <c r="L63" i="7"/>
  <c r="L11" i="8"/>
  <c r="L24" i="9"/>
  <c r="L53" i="7"/>
  <c r="L64" i="7"/>
  <c r="L25" i="9"/>
  <c r="L26" i="9"/>
  <c r="L54" i="7"/>
  <c r="L65" i="7"/>
  <c r="L13" i="8"/>
  <c r="L27" i="9"/>
  <c r="L55" i="7"/>
  <c r="L66" i="7"/>
  <c r="L14" i="8"/>
  <c r="L28" i="9"/>
  <c r="L30" i="9"/>
  <c r="L57" i="7"/>
  <c r="L68" i="7"/>
  <c r="L16" i="8"/>
  <c r="L31" i="9"/>
  <c r="L58" i="7"/>
  <c r="L69" i="7"/>
  <c r="L17" i="9"/>
  <c r="L32" i="9"/>
  <c r="L33" i="9"/>
  <c r="I22" i="24"/>
  <c r="M39" i="7"/>
  <c r="M56" i="7"/>
  <c r="M67" i="7"/>
  <c r="M15" i="8"/>
  <c r="M29" i="9"/>
  <c r="J21" i="24"/>
  <c r="M22" i="9"/>
  <c r="M23" i="9"/>
  <c r="M52" i="7"/>
  <c r="M63" i="7"/>
  <c r="M11" i="8"/>
  <c r="M24" i="9"/>
  <c r="M53" i="7"/>
  <c r="M64" i="7"/>
  <c r="M25" i="9"/>
  <c r="M26" i="9"/>
  <c r="M54" i="7"/>
  <c r="M65" i="7"/>
  <c r="M13" i="8"/>
  <c r="M27" i="9"/>
  <c r="M55" i="7"/>
  <c r="M66" i="7"/>
  <c r="M14" i="8"/>
  <c r="M28" i="9"/>
  <c r="M30" i="9"/>
  <c r="M57" i="7"/>
  <c r="M68" i="7"/>
  <c r="M16" i="8"/>
  <c r="M31" i="9"/>
  <c r="M58" i="7"/>
  <c r="M69" i="7"/>
  <c r="M17" i="9"/>
  <c r="M32" i="9"/>
  <c r="M33" i="9"/>
  <c r="J22" i="24"/>
  <c r="N39" i="7"/>
  <c r="N56" i="7"/>
  <c r="N67" i="7"/>
  <c r="N15" i="8"/>
  <c r="N29" i="9"/>
  <c r="K21" i="24"/>
  <c r="N22" i="9"/>
  <c r="N23" i="9"/>
  <c r="N52" i="7"/>
  <c r="N63" i="7"/>
  <c r="N11" i="8"/>
  <c r="N24" i="9"/>
  <c r="N53" i="7"/>
  <c r="N64" i="7"/>
  <c r="N25" i="9"/>
  <c r="N26" i="9"/>
  <c r="N54" i="7"/>
  <c r="N65" i="7"/>
  <c r="N13" i="8"/>
  <c r="N27" i="9"/>
  <c r="N55" i="7"/>
  <c r="N66" i="7"/>
  <c r="N14" i="8"/>
  <c r="N28" i="9"/>
  <c r="N30" i="9"/>
  <c r="N57" i="7"/>
  <c r="N68" i="7"/>
  <c r="N16" i="8"/>
  <c r="N31" i="9"/>
  <c r="N58" i="7"/>
  <c r="N69" i="7"/>
  <c r="N17" i="9"/>
  <c r="N32" i="9"/>
  <c r="N33" i="9"/>
  <c r="K22" i="24"/>
  <c r="J50" i="9"/>
  <c r="K50" i="9"/>
  <c r="L50" i="9"/>
  <c r="M50" i="9"/>
  <c r="N50" i="9"/>
  <c r="O50" i="9"/>
  <c r="J51" i="7"/>
  <c r="J62" i="7"/>
  <c r="J7" i="9"/>
  <c r="J40" i="9"/>
  <c r="K51" i="7"/>
  <c r="K62" i="7"/>
  <c r="K7" i="9"/>
  <c r="K40" i="9"/>
  <c r="L51" i="7"/>
  <c r="L62" i="7"/>
  <c r="L7" i="9"/>
  <c r="L40" i="9"/>
  <c r="M51" i="7"/>
  <c r="M62" i="7"/>
  <c r="M7" i="9"/>
  <c r="M40" i="9"/>
  <c r="N51" i="7"/>
  <c r="N62" i="7"/>
  <c r="N7" i="9"/>
  <c r="N40" i="9"/>
  <c r="O40" i="9"/>
  <c r="J41" i="9"/>
  <c r="K41" i="9"/>
  <c r="L41" i="9"/>
  <c r="M41" i="9"/>
  <c r="N41" i="9"/>
  <c r="O41" i="9"/>
  <c r="J9" i="9"/>
  <c r="J42" i="9"/>
  <c r="K9" i="9"/>
  <c r="K42" i="9"/>
  <c r="L9" i="9"/>
  <c r="L42" i="9"/>
  <c r="M9" i="9"/>
  <c r="M42" i="9"/>
  <c r="N9" i="9"/>
  <c r="N42" i="9"/>
  <c r="O42" i="9"/>
  <c r="J10" i="9"/>
  <c r="J43" i="9"/>
  <c r="K10" i="9"/>
  <c r="K43" i="9"/>
  <c r="L10" i="9"/>
  <c r="L43" i="9"/>
  <c r="M10" i="9"/>
  <c r="M43" i="9"/>
  <c r="N10" i="9"/>
  <c r="N43" i="9"/>
  <c r="O43" i="9"/>
  <c r="J44" i="9"/>
  <c r="K44" i="9"/>
  <c r="L44" i="9"/>
  <c r="M44" i="9"/>
  <c r="N44" i="9"/>
  <c r="O44" i="9"/>
  <c r="J12" i="9"/>
  <c r="J45" i="9"/>
  <c r="K12" i="9"/>
  <c r="K45" i="9"/>
  <c r="L12" i="9"/>
  <c r="L45" i="9"/>
  <c r="M12" i="9"/>
  <c r="M45" i="9"/>
  <c r="N12" i="9"/>
  <c r="N45" i="9"/>
  <c r="O45" i="9"/>
  <c r="J13" i="9"/>
  <c r="J46" i="9"/>
  <c r="K13" i="9"/>
  <c r="K46" i="9"/>
  <c r="L13" i="9"/>
  <c r="L46" i="9"/>
  <c r="M13" i="9"/>
  <c r="M46" i="9"/>
  <c r="N13" i="9"/>
  <c r="N46" i="9"/>
  <c r="O46" i="9"/>
  <c r="J14" i="9"/>
  <c r="J47" i="9"/>
  <c r="K14" i="9"/>
  <c r="K47" i="9"/>
  <c r="L14" i="9"/>
  <c r="L47" i="9"/>
  <c r="M14" i="9"/>
  <c r="M47" i="9"/>
  <c r="N14" i="9"/>
  <c r="N47" i="9"/>
  <c r="O47" i="9"/>
  <c r="O48" i="9"/>
  <c r="J16" i="9"/>
  <c r="J49" i="9"/>
  <c r="K16" i="9"/>
  <c r="K49" i="9"/>
  <c r="L16" i="9"/>
  <c r="L49" i="9"/>
  <c r="M16" i="9"/>
  <c r="M49" i="9"/>
  <c r="N16" i="9"/>
  <c r="N49" i="9"/>
  <c r="O49" i="9"/>
  <c r="O51" i="9"/>
  <c r="N48" i="9"/>
  <c r="N51" i="9"/>
  <c r="M48" i="9"/>
  <c r="M51" i="9"/>
  <c r="L48" i="9"/>
  <c r="L51" i="9"/>
  <c r="K48" i="9"/>
  <c r="K51" i="9"/>
  <c r="O32" i="9"/>
  <c r="O22" i="9"/>
  <c r="O23" i="9"/>
  <c r="O24" i="9"/>
  <c r="O25" i="9"/>
  <c r="O26" i="9"/>
  <c r="O27" i="9"/>
  <c r="O28" i="9"/>
  <c r="O29" i="9"/>
  <c r="O30" i="9"/>
  <c r="O31" i="9"/>
  <c r="O33" i="9"/>
  <c r="O7" i="9"/>
  <c r="O8" i="9"/>
  <c r="O9" i="9"/>
  <c r="O10" i="9"/>
  <c r="O11" i="9"/>
  <c r="O12" i="9"/>
  <c r="O13" i="9"/>
  <c r="O14" i="9"/>
  <c r="O15" i="9"/>
  <c r="O16" i="9"/>
  <c r="O17" i="9"/>
  <c r="O18" i="9"/>
  <c r="N15" i="9"/>
  <c r="N18" i="9"/>
  <c r="M15" i="9"/>
  <c r="M18" i="9"/>
  <c r="L15" i="9"/>
  <c r="L18" i="9"/>
  <c r="K15" i="9"/>
  <c r="K18" i="9"/>
  <c r="J48" i="9"/>
  <c r="J51" i="9"/>
  <c r="J15" i="9"/>
  <c r="J18" i="9"/>
  <c r="I51" i="7"/>
  <c r="K7" i="19"/>
  <c r="K36" i="19"/>
  <c r="H7" i="19"/>
  <c r="H36" i="19"/>
  <c r="H66" i="19"/>
  <c r="I7" i="19"/>
  <c r="I36" i="19"/>
  <c r="I66" i="19"/>
  <c r="K56" i="19"/>
  <c r="I10" i="8"/>
  <c r="I22" i="9"/>
  <c r="I23" i="9"/>
  <c r="I52" i="7"/>
  <c r="K8" i="19"/>
  <c r="K37" i="19"/>
  <c r="H8" i="19"/>
  <c r="H37" i="19"/>
  <c r="H67" i="19"/>
  <c r="I8" i="19"/>
  <c r="I37" i="19"/>
  <c r="I67" i="19"/>
  <c r="K57" i="19"/>
  <c r="I11" i="8"/>
  <c r="I24" i="9"/>
  <c r="I53" i="7"/>
  <c r="K9" i="19"/>
  <c r="K38" i="19"/>
  <c r="H9" i="19"/>
  <c r="H38" i="19"/>
  <c r="H68" i="19"/>
  <c r="I9" i="19"/>
  <c r="I38" i="19"/>
  <c r="I68" i="19"/>
  <c r="K58" i="19"/>
  <c r="I12" i="8"/>
  <c r="I25" i="9"/>
  <c r="I26" i="9"/>
  <c r="I54" i="7"/>
  <c r="K10" i="19"/>
  <c r="K39" i="19"/>
  <c r="H10" i="19"/>
  <c r="H39" i="19"/>
  <c r="H69" i="19"/>
  <c r="I10" i="19"/>
  <c r="I39" i="19"/>
  <c r="I69" i="19"/>
  <c r="K59" i="19"/>
  <c r="K20" i="19"/>
  <c r="I27" i="9"/>
  <c r="I55" i="7"/>
  <c r="K11" i="19"/>
  <c r="K40" i="19"/>
  <c r="H11" i="19"/>
  <c r="H40" i="19"/>
  <c r="H70" i="19"/>
  <c r="I11" i="19"/>
  <c r="I40" i="19"/>
  <c r="I70" i="19"/>
  <c r="K60" i="19"/>
  <c r="K21" i="19"/>
  <c r="I28" i="9"/>
  <c r="I56" i="7"/>
  <c r="K12" i="19"/>
  <c r="K41" i="19"/>
  <c r="K61" i="19"/>
  <c r="K22" i="19"/>
  <c r="I29" i="9"/>
  <c r="I30" i="9"/>
  <c r="I57" i="7"/>
  <c r="K13" i="19"/>
  <c r="K42" i="19"/>
  <c r="H13" i="19"/>
  <c r="H42" i="19"/>
  <c r="H72" i="19"/>
  <c r="I13" i="19"/>
  <c r="I42" i="19"/>
  <c r="I72" i="19"/>
  <c r="K62" i="19"/>
  <c r="I16" i="8"/>
  <c r="I31" i="9"/>
  <c r="I58" i="7"/>
  <c r="I69" i="7"/>
  <c r="I17" i="9"/>
  <c r="I32" i="9"/>
  <c r="I33" i="9"/>
  <c r="H51" i="7"/>
  <c r="J7" i="19"/>
  <c r="J36" i="19"/>
  <c r="J56" i="19"/>
  <c r="H10" i="8"/>
  <c r="H22" i="9"/>
  <c r="H23" i="9"/>
  <c r="H52" i="7"/>
  <c r="J8" i="19"/>
  <c r="J37" i="19"/>
  <c r="J57" i="19"/>
  <c r="H11" i="8"/>
  <c r="H24" i="9"/>
  <c r="H53" i="7"/>
  <c r="J9" i="19"/>
  <c r="J38" i="19"/>
  <c r="J58" i="19"/>
  <c r="H12" i="8"/>
  <c r="H25" i="9"/>
  <c r="H26" i="9"/>
  <c r="H54" i="7"/>
  <c r="J10" i="19"/>
  <c r="J39" i="19"/>
  <c r="J59" i="19"/>
  <c r="J20" i="19"/>
  <c r="H27" i="9"/>
  <c r="H55" i="7"/>
  <c r="J11" i="19"/>
  <c r="J40" i="19"/>
  <c r="J60" i="19"/>
  <c r="J21" i="19"/>
  <c r="H28" i="9"/>
  <c r="H30" i="9"/>
  <c r="H57" i="7"/>
  <c r="J13" i="19"/>
  <c r="J42" i="19"/>
  <c r="J62" i="19"/>
  <c r="H16" i="8"/>
  <c r="H31" i="9"/>
  <c r="H58" i="7"/>
  <c r="H69" i="7"/>
  <c r="H17" i="9"/>
  <c r="H32" i="9"/>
  <c r="H33" i="9"/>
  <c r="G23" i="9"/>
  <c r="G26" i="9"/>
  <c r="G30" i="9"/>
  <c r="G33" i="9"/>
  <c r="F33" i="9"/>
  <c r="E33" i="9"/>
  <c r="D33" i="9"/>
  <c r="C33" i="9"/>
  <c r="T2" i="2"/>
  <c r="M11" i="30"/>
  <c r="L11" i="30"/>
  <c r="K11" i="30"/>
  <c r="J11" i="30"/>
  <c r="K3" i="5"/>
  <c r="I11" i="30"/>
  <c r="H11" i="30"/>
  <c r="G11" i="30"/>
  <c r="G12" i="8"/>
  <c r="G25" i="9"/>
  <c r="F11" i="30"/>
  <c r="F12" i="8"/>
  <c r="F25" i="9"/>
  <c r="F26" i="9"/>
  <c r="E11" i="30"/>
  <c r="H56" i="7"/>
  <c r="H67" i="7"/>
  <c r="H14" i="9"/>
  <c r="H7" i="37"/>
  <c r="H10" i="37"/>
  <c r="G56" i="7"/>
  <c r="G67" i="7"/>
  <c r="G14" i="9"/>
  <c r="G7" i="37"/>
  <c r="G10" i="37"/>
  <c r="F56" i="7"/>
  <c r="F67" i="7"/>
  <c r="F14" i="9"/>
  <c r="F7" i="37"/>
  <c r="F10" i="37"/>
  <c r="E56" i="7"/>
  <c r="E67" i="7"/>
  <c r="E14" i="9"/>
  <c r="E7" i="37"/>
  <c r="E10" i="37"/>
  <c r="D56" i="7"/>
  <c r="D67" i="7"/>
  <c r="D14" i="9"/>
  <c r="D7" i="37"/>
  <c r="D10" i="37"/>
  <c r="C56" i="7"/>
  <c r="C67" i="7"/>
  <c r="C14" i="9"/>
  <c r="C7" i="37"/>
  <c r="C10" i="37"/>
  <c r="I67" i="7"/>
  <c r="I14" i="9"/>
  <c r="I7" i="37"/>
  <c r="I10" i="37"/>
  <c r="N8" i="37"/>
  <c r="M8" i="37"/>
  <c r="L8" i="37"/>
  <c r="K8" i="37"/>
  <c r="J8" i="37"/>
  <c r="I8" i="37"/>
  <c r="H29" i="9"/>
  <c r="H8" i="37"/>
  <c r="G29" i="9"/>
  <c r="G8" i="37"/>
  <c r="F29" i="9"/>
  <c r="F8" i="37"/>
  <c r="E29" i="9"/>
  <c r="E8" i="37"/>
  <c r="D29" i="9"/>
  <c r="D8" i="37"/>
  <c r="C29" i="9"/>
  <c r="C8" i="37"/>
  <c r="J13" i="5"/>
  <c r="O9" i="4"/>
  <c r="O14" i="4"/>
  <c r="O34" i="4"/>
  <c r="O13" i="4"/>
  <c r="I37" i="4"/>
  <c r="J14" i="4"/>
  <c r="K16" i="4"/>
  <c r="L16" i="4"/>
  <c r="M16" i="4"/>
  <c r="O16" i="4"/>
  <c r="K17" i="4"/>
  <c r="L17" i="4"/>
  <c r="M17" i="4"/>
  <c r="O17" i="4"/>
  <c r="N9" i="4"/>
  <c r="N14" i="4"/>
  <c r="N34" i="4"/>
  <c r="N13" i="4"/>
  <c r="N16" i="4"/>
  <c r="N17" i="4"/>
  <c r="J8" i="21"/>
  <c r="S9" i="4"/>
  <c r="S14" i="4"/>
  <c r="S13" i="4"/>
  <c r="S16" i="4"/>
  <c r="S17" i="4"/>
  <c r="I8" i="21"/>
  <c r="R9" i="4"/>
  <c r="R14" i="4"/>
  <c r="R13" i="4"/>
  <c r="R16" i="4"/>
  <c r="R17" i="4"/>
  <c r="H8" i="21"/>
  <c r="Q9" i="4"/>
  <c r="Q14" i="4"/>
  <c r="Q13" i="4"/>
  <c r="Q16" i="4"/>
  <c r="Q17" i="4"/>
  <c r="P9" i="4"/>
  <c r="P14" i="4"/>
  <c r="P34" i="4"/>
  <c r="P13" i="4"/>
  <c r="P16" i="4"/>
  <c r="P17" i="4"/>
  <c r="K8" i="21"/>
  <c r="T9" i="4"/>
  <c r="T14" i="4"/>
  <c r="T13" i="4"/>
  <c r="T16" i="4"/>
  <c r="T17" i="4"/>
  <c r="P10" i="4"/>
  <c r="Q10" i="4"/>
  <c r="R10" i="4"/>
  <c r="S10" i="4"/>
  <c r="T10" i="4"/>
  <c r="K9" i="23"/>
  <c r="J9" i="23"/>
  <c r="I9" i="23"/>
  <c r="J5" i="8"/>
  <c r="K5" i="8"/>
  <c r="L5" i="8"/>
  <c r="M5" i="8"/>
  <c r="N5" i="8"/>
  <c r="L8" i="23"/>
  <c r="K5" i="19"/>
  <c r="O10" i="4"/>
  <c r="I62" i="7"/>
  <c r="I7" i="9"/>
  <c r="N10" i="4"/>
  <c r="H5" i="8"/>
  <c r="H62" i="7"/>
  <c r="H7" i="9"/>
  <c r="O62" i="7"/>
  <c r="O63" i="7"/>
  <c r="O64" i="7"/>
  <c r="O65" i="7"/>
  <c r="O66" i="7"/>
  <c r="O67" i="7"/>
  <c r="O68" i="7"/>
  <c r="O69" i="7"/>
  <c r="O70" i="7"/>
  <c r="N70" i="7"/>
  <c r="M70" i="7"/>
  <c r="L70" i="7"/>
  <c r="K70" i="7"/>
  <c r="J70" i="7"/>
  <c r="I63" i="7"/>
  <c r="I64" i="7"/>
  <c r="I65" i="7"/>
  <c r="I66" i="7"/>
  <c r="I68" i="7"/>
  <c r="I70" i="7"/>
  <c r="H63" i="7"/>
  <c r="H64" i="7"/>
  <c r="H65" i="7"/>
  <c r="H66" i="7"/>
  <c r="H68" i="7"/>
  <c r="H70" i="7"/>
  <c r="H40" i="9"/>
  <c r="H9" i="9"/>
  <c r="H42" i="9"/>
  <c r="H10" i="9"/>
  <c r="H43" i="9"/>
  <c r="H12" i="9"/>
  <c r="H45" i="9"/>
  <c r="H13" i="9"/>
  <c r="H46" i="9"/>
  <c r="H47" i="9"/>
  <c r="H41" i="9"/>
  <c r="H44" i="9"/>
  <c r="H48" i="9"/>
  <c r="H16" i="9"/>
  <c r="H49" i="9"/>
  <c r="H50" i="9"/>
  <c r="H51" i="9"/>
  <c r="I40" i="9"/>
  <c r="I9" i="9"/>
  <c r="I42" i="9"/>
  <c r="I10" i="9"/>
  <c r="I43" i="9"/>
  <c r="I12" i="9"/>
  <c r="I45" i="9"/>
  <c r="I13" i="9"/>
  <c r="I46" i="9"/>
  <c r="I47" i="9"/>
  <c r="I41" i="9"/>
  <c r="I44" i="9"/>
  <c r="I48" i="9"/>
  <c r="I16" i="9"/>
  <c r="I49" i="9"/>
  <c r="I50" i="9"/>
  <c r="I51" i="9"/>
  <c r="N15" i="4"/>
  <c r="M15" i="4"/>
  <c r="L15" i="4"/>
  <c r="K15" i="4"/>
  <c r="L21" i="24"/>
  <c r="L22" i="24"/>
  <c r="L29" i="24"/>
  <c r="G9" i="24"/>
  <c r="H9" i="24"/>
  <c r="I9" i="24"/>
  <c r="J9" i="24"/>
  <c r="K9" i="24"/>
  <c r="L9" i="24"/>
  <c r="G10" i="24"/>
  <c r="H10" i="24"/>
  <c r="I10" i="24"/>
  <c r="J10" i="24"/>
  <c r="K10" i="24"/>
  <c r="L10" i="24"/>
  <c r="L17" i="24"/>
  <c r="D55" i="1"/>
  <c r="J3" i="2"/>
  <c r="L3" i="2"/>
  <c r="I3" i="2"/>
  <c r="J37" i="4"/>
  <c r="K14" i="4"/>
  <c r="K3" i="2"/>
  <c r="L14" i="4"/>
  <c r="M14" i="4"/>
  <c r="I17" i="6"/>
  <c r="J17" i="6"/>
  <c r="K17" i="6"/>
  <c r="L17" i="6"/>
  <c r="G3" i="7"/>
  <c r="K11" i="21"/>
  <c r="K10" i="21"/>
  <c r="K14" i="21"/>
  <c r="J11" i="21"/>
  <c r="J10" i="21"/>
  <c r="J14" i="21"/>
  <c r="I11" i="21"/>
  <c r="I10" i="21"/>
  <c r="I14" i="21"/>
  <c r="H11" i="21"/>
  <c r="H10" i="21"/>
  <c r="H14" i="21"/>
  <c r="G11" i="21"/>
  <c r="G10" i="21"/>
  <c r="G14" i="21"/>
  <c r="F11" i="21"/>
  <c r="F10" i="21"/>
  <c r="F14" i="21"/>
  <c r="E11" i="21"/>
  <c r="E12" i="21"/>
  <c r="E10" i="21"/>
  <c r="E14" i="21"/>
  <c r="D8" i="21"/>
  <c r="D11" i="21"/>
  <c r="D12" i="21"/>
  <c r="D10" i="21"/>
  <c r="D14" i="21"/>
  <c r="C8" i="21"/>
  <c r="C11" i="21"/>
  <c r="C12" i="21"/>
  <c r="C10" i="21"/>
  <c r="C14" i="21"/>
  <c r="I22" i="19"/>
  <c r="I61" i="19"/>
  <c r="H22" i="19"/>
  <c r="H61" i="19"/>
  <c r="J5" i="19"/>
  <c r="J51" i="19"/>
  <c r="E24" i="19"/>
  <c r="F24" i="19"/>
  <c r="D24" i="19"/>
  <c r="C24" i="19"/>
  <c r="O46" i="4"/>
  <c r="O18" i="4"/>
  <c r="I39" i="7"/>
  <c r="H17" i="19"/>
  <c r="H56" i="19"/>
  <c r="I17" i="19"/>
  <c r="I56" i="19"/>
  <c r="K17" i="19"/>
  <c r="H18" i="19"/>
  <c r="H57" i="19"/>
  <c r="I18" i="19"/>
  <c r="I57" i="19"/>
  <c r="K18" i="19"/>
  <c r="H19" i="19"/>
  <c r="H58" i="19"/>
  <c r="I19" i="19"/>
  <c r="I58" i="19"/>
  <c r="K19" i="19"/>
  <c r="H20" i="19"/>
  <c r="H59" i="19"/>
  <c r="I20" i="19"/>
  <c r="I59" i="19"/>
  <c r="H21" i="19"/>
  <c r="H60" i="19"/>
  <c r="I21" i="19"/>
  <c r="I60" i="19"/>
  <c r="H23" i="19"/>
  <c r="H62" i="19"/>
  <c r="I23" i="19"/>
  <c r="I62" i="19"/>
  <c r="K23" i="19"/>
  <c r="K24" i="19"/>
  <c r="K63" i="19"/>
  <c r="K53" i="19"/>
  <c r="K25" i="19"/>
  <c r="N46" i="4"/>
  <c r="N18" i="4"/>
  <c r="H39" i="7"/>
  <c r="J17" i="19"/>
  <c r="J18" i="19"/>
  <c r="J19" i="19"/>
  <c r="J23" i="19"/>
  <c r="G24" i="19"/>
  <c r="H24" i="19"/>
  <c r="H25" i="19"/>
  <c r="I24" i="19"/>
  <c r="I25" i="19"/>
  <c r="J12" i="19"/>
  <c r="P46" i="4"/>
  <c r="P18" i="4"/>
  <c r="Q46" i="4"/>
  <c r="Q18" i="4"/>
  <c r="R46" i="4"/>
  <c r="R18" i="4"/>
  <c r="S46" i="4"/>
  <c r="S18" i="4"/>
  <c r="T46" i="4"/>
  <c r="T18" i="4"/>
  <c r="G57" i="7"/>
  <c r="G68" i="7"/>
  <c r="G51" i="7"/>
  <c r="G62" i="7"/>
  <c r="G52" i="7"/>
  <c r="G63" i="7"/>
  <c r="G53" i="7"/>
  <c r="G64" i="7"/>
  <c r="G54" i="7"/>
  <c r="G65" i="7"/>
  <c r="G55" i="7"/>
  <c r="G66" i="7"/>
  <c r="G58" i="7"/>
  <c r="G69" i="7"/>
  <c r="G70" i="7"/>
  <c r="F3" i="7"/>
  <c r="F57" i="7"/>
  <c r="F68" i="7"/>
  <c r="F51" i="7"/>
  <c r="F62" i="7"/>
  <c r="F53" i="7"/>
  <c r="F64" i="7"/>
  <c r="F52" i="7"/>
  <c r="F63" i="7"/>
  <c r="F54" i="7"/>
  <c r="F65" i="7"/>
  <c r="F55" i="7"/>
  <c r="F66" i="7"/>
  <c r="F58" i="7"/>
  <c r="F69" i="7"/>
  <c r="F70" i="7"/>
  <c r="K14" i="19"/>
  <c r="I59" i="7"/>
  <c r="K15" i="19"/>
  <c r="J14" i="19"/>
  <c r="H59" i="7"/>
  <c r="J15" i="19"/>
  <c r="K70" i="19"/>
  <c r="I26" i="8"/>
  <c r="I5" i="8"/>
  <c r="O3" i="37"/>
  <c r="D8" i="23"/>
  <c r="E8" i="23"/>
  <c r="F8" i="23"/>
  <c r="G8" i="23"/>
  <c r="H8" i="23"/>
  <c r="K8" i="23"/>
  <c r="J8" i="23"/>
  <c r="Q15" i="4"/>
  <c r="T36" i="4"/>
  <c r="T15" i="4"/>
  <c r="S36" i="4"/>
  <c r="S15" i="4"/>
  <c r="R36" i="4"/>
  <c r="R15" i="4"/>
  <c r="Q36" i="4"/>
  <c r="P36" i="4"/>
  <c r="P15" i="4"/>
  <c r="O36" i="4"/>
  <c r="O15" i="4"/>
  <c r="H29" i="1"/>
  <c r="J11" i="37"/>
  <c r="K11" i="37"/>
  <c r="L11" i="37"/>
  <c r="M11" i="37"/>
  <c r="N11" i="37"/>
  <c r="G4" i="5"/>
  <c r="H4" i="5"/>
  <c r="F4" i="5"/>
  <c r="M8" i="23"/>
  <c r="H9" i="23"/>
  <c r="G9" i="23"/>
  <c r="F9" i="23"/>
  <c r="E9" i="23"/>
  <c r="D9" i="23"/>
  <c r="D56" i="19"/>
  <c r="D57" i="19"/>
  <c r="D58" i="19"/>
  <c r="D59" i="19"/>
  <c r="D60" i="19"/>
  <c r="D61" i="19"/>
  <c r="D62" i="19"/>
  <c r="D63" i="19"/>
  <c r="C56" i="19"/>
  <c r="C57" i="19"/>
  <c r="C58" i="19"/>
  <c r="C59" i="19"/>
  <c r="C60" i="19"/>
  <c r="C61" i="19"/>
  <c r="C62" i="19"/>
  <c r="C63" i="19"/>
  <c r="I53" i="19"/>
  <c r="H53" i="19"/>
  <c r="G53" i="19"/>
  <c r="F53" i="19"/>
  <c r="E53" i="19"/>
  <c r="D53" i="19"/>
  <c r="C53" i="19"/>
  <c r="D70" i="19"/>
  <c r="C70" i="19"/>
  <c r="D40" i="19"/>
  <c r="C40" i="19"/>
  <c r="C31" i="19"/>
  <c r="I63" i="19"/>
  <c r="H63" i="19"/>
  <c r="D31" i="19"/>
  <c r="E60" i="19"/>
  <c r="I41" i="17"/>
  <c r="I40" i="17"/>
  <c r="I39" i="17"/>
  <c r="I38" i="17"/>
  <c r="I37" i="17"/>
  <c r="I36" i="17"/>
  <c r="I35" i="17"/>
  <c r="I12" i="19"/>
  <c r="I42" i="17"/>
  <c r="I33" i="19"/>
  <c r="G28" i="8"/>
  <c r="G26" i="8"/>
  <c r="I31" i="19"/>
  <c r="G25" i="8"/>
  <c r="I30" i="19"/>
  <c r="I52" i="17"/>
  <c r="I28" i="19"/>
  <c r="G23" i="8"/>
  <c r="I32" i="19"/>
  <c r="I41" i="19"/>
  <c r="I71" i="19"/>
  <c r="G27" i="8"/>
  <c r="I29" i="19"/>
  <c r="G24" i="8"/>
  <c r="I14" i="19"/>
  <c r="I15" i="19"/>
  <c r="I27" i="19"/>
  <c r="G22" i="8"/>
  <c r="I43" i="19"/>
  <c r="D29" i="34"/>
  <c r="D30" i="34"/>
  <c r="F25" i="34"/>
  <c r="F24" i="34"/>
  <c r="F23" i="34"/>
  <c r="F22" i="34"/>
  <c r="F21" i="34"/>
  <c r="F20" i="34"/>
  <c r="F19" i="34"/>
  <c r="F18" i="34"/>
  <c r="E26" i="34"/>
  <c r="M10" i="4"/>
  <c r="F7" i="38"/>
  <c r="F11" i="34"/>
  <c r="F10" i="34"/>
  <c r="F9" i="34"/>
  <c r="F8" i="34"/>
  <c r="F7" i="34"/>
  <c r="F6" i="34"/>
  <c r="F5" i="34"/>
  <c r="F26" i="34"/>
  <c r="D12" i="34"/>
  <c r="F4" i="34"/>
  <c r="E12" i="34"/>
  <c r="D26" i="34"/>
  <c r="F12" i="34"/>
  <c r="F14" i="34"/>
  <c r="D32" i="34"/>
  <c r="D31" i="34"/>
  <c r="D33" i="34"/>
  <c r="H41" i="17"/>
  <c r="H40" i="17"/>
  <c r="H39" i="17"/>
  <c r="H38" i="17"/>
  <c r="H37" i="17"/>
  <c r="H36" i="17"/>
  <c r="H35" i="17"/>
  <c r="H12" i="19"/>
  <c r="E25" i="33"/>
  <c r="D25" i="33"/>
  <c r="F24" i="33"/>
  <c r="F23" i="33"/>
  <c r="F22" i="33"/>
  <c r="F21" i="33"/>
  <c r="F20" i="33"/>
  <c r="F19" i="33"/>
  <c r="F18" i="33"/>
  <c r="F17" i="33"/>
  <c r="F25" i="33"/>
  <c r="E12" i="33"/>
  <c r="D12" i="33"/>
  <c r="F11" i="33"/>
  <c r="F10" i="33"/>
  <c r="F9" i="33"/>
  <c r="F8" i="33"/>
  <c r="F7" i="33"/>
  <c r="F6" i="33"/>
  <c r="F5" i="33"/>
  <c r="F4" i="33"/>
  <c r="F12" i="33"/>
  <c r="H30" i="19"/>
  <c r="H28" i="19"/>
  <c r="F24" i="8"/>
  <c r="H29" i="19"/>
  <c r="H32" i="19"/>
  <c r="H41" i="19"/>
  <c r="H71" i="19"/>
  <c r="F27" i="8"/>
  <c r="H52" i="17"/>
  <c r="F25" i="8"/>
  <c r="H31" i="19"/>
  <c r="F26" i="8"/>
  <c r="D18" i="11"/>
  <c r="D17" i="11"/>
  <c r="D43" i="32"/>
  <c r="D42" i="32"/>
  <c r="H33" i="19"/>
  <c r="F23" i="8"/>
  <c r="H14" i="19"/>
  <c r="H15" i="19"/>
  <c r="H27" i="19"/>
  <c r="F28" i="8"/>
  <c r="D75" i="11"/>
  <c r="D74" i="11"/>
  <c r="F22" i="8"/>
  <c r="H43" i="19"/>
  <c r="E20" i="31"/>
  <c r="E11" i="31"/>
  <c r="E8" i="31"/>
  <c r="K18" i="11"/>
  <c r="J18" i="11"/>
  <c r="I18" i="11"/>
  <c r="H18" i="11"/>
  <c r="G18" i="11"/>
  <c r="F18" i="11"/>
  <c r="E18" i="11"/>
  <c r="K17" i="11"/>
  <c r="J17" i="11"/>
  <c r="I17" i="11"/>
  <c r="H17" i="11"/>
  <c r="G17" i="11"/>
  <c r="F17" i="11"/>
  <c r="E17" i="11"/>
  <c r="K40" i="32"/>
  <c r="K43" i="32"/>
  <c r="J40" i="32"/>
  <c r="J42" i="32"/>
  <c r="I40" i="32"/>
  <c r="I42" i="32"/>
  <c r="H40" i="32"/>
  <c r="H42" i="32"/>
  <c r="G40" i="32"/>
  <c r="G43" i="32"/>
  <c r="F40" i="32"/>
  <c r="F42" i="32"/>
  <c r="E40" i="32"/>
  <c r="E42" i="32"/>
  <c r="G42" i="32"/>
  <c r="K42" i="32"/>
  <c r="H43" i="32"/>
  <c r="E43" i="32"/>
  <c r="I43" i="32"/>
  <c r="F43" i="32"/>
  <c r="J43" i="32"/>
  <c r="G20" i="31"/>
  <c r="E21" i="32"/>
  <c r="F20" i="31"/>
  <c r="F21" i="32"/>
  <c r="G21" i="32"/>
  <c r="H20" i="31"/>
  <c r="H21" i="32"/>
  <c r="I20" i="31"/>
  <c r="I21" i="32"/>
  <c r="J20" i="31"/>
  <c r="J21" i="32"/>
  <c r="K20" i="31"/>
  <c r="K21" i="32"/>
  <c r="L20" i="31"/>
  <c r="M35" i="29"/>
  <c r="L35" i="29"/>
  <c r="K35" i="29"/>
  <c r="J35" i="29"/>
  <c r="I35" i="29"/>
  <c r="H35" i="29"/>
  <c r="G35" i="29"/>
  <c r="F35" i="29"/>
  <c r="E35" i="29"/>
  <c r="N35" i="29"/>
  <c r="M32" i="29"/>
  <c r="M46" i="29"/>
  <c r="L32" i="29"/>
  <c r="L46" i="29"/>
  <c r="K32" i="29"/>
  <c r="K46" i="29"/>
  <c r="J32" i="29"/>
  <c r="J46" i="29"/>
  <c r="I32" i="29"/>
  <c r="I46" i="29"/>
  <c r="H32" i="29"/>
  <c r="H46" i="29"/>
  <c r="G32" i="29"/>
  <c r="G46" i="29"/>
  <c r="F32" i="29"/>
  <c r="F46" i="29"/>
  <c r="E32" i="29"/>
  <c r="E46" i="29"/>
  <c r="N32" i="29"/>
  <c r="N46" i="29"/>
  <c r="K75" i="11"/>
  <c r="J75" i="11"/>
  <c r="I75" i="11"/>
  <c r="H75" i="11"/>
  <c r="G75" i="11"/>
  <c r="F75" i="11"/>
  <c r="E75" i="11"/>
  <c r="K74" i="11"/>
  <c r="J74" i="11"/>
  <c r="I74" i="11"/>
  <c r="H74" i="11"/>
  <c r="G74" i="11"/>
  <c r="F74" i="11"/>
  <c r="E74" i="11"/>
  <c r="L11" i="31"/>
  <c r="K11" i="31"/>
  <c r="J11" i="31"/>
  <c r="I11" i="31"/>
  <c r="H11" i="31"/>
  <c r="G11" i="31"/>
  <c r="F11" i="31"/>
  <c r="L8" i="31"/>
  <c r="K8" i="31"/>
  <c r="J8" i="31"/>
  <c r="I8" i="31"/>
  <c r="H8" i="31"/>
  <c r="G8" i="31"/>
  <c r="F8" i="31"/>
  <c r="R45" i="29"/>
  <c r="Q45" i="29"/>
  <c r="R43" i="29"/>
  <c r="Q43" i="29"/>
  <c r="Q41" i="29"/>
  <c r="Q35" i="29"/>
  <c r="P40" i="29"/>
  <c r="N52" i="29"/>
  <c r="R44" i="29"/>
  <c r="M52" i="29"/>
  <c r="Q44" i="29"/>
  <c r="L52" i="29"/>
  <c r="P44" i="29"/>
  <c r="S44" i="29"/>
  <c r="K52" i="29"/>
  <c r="J52" i="29"/>
  <c r="I52" i="29"/>
  <c r="H52" i="29"/>
  <c r="G52" i="29"/>
  <c r="F52" i="29"/>
  <c r="E52" i="29"/>
  <c r="N51" i="29"/>
  <c r="R42" i="29"/>
  <c r="M51" i="29"/>
  <c r="Q42" i="29"/>
  <c r="L51" i="29"/>
  <c r="P42" i="29"/>
  <c r="K51" i="29"/>
  <c r="J51" i="29"/>
  <c r="I51" i="29"/>
  <c r="H51" i="29"/>
  <c r="G51" i="29"/>
  <c r="F51" i="29"/>
  <c r="E51" i="29"/>
  <c r="N50" i="29"/>
  <c r="R39" i="29"/>
  <c r="M50" i="29"/>
  <c r="Q38" i="29"/>
  <c r="L50" i="29"/>
  <c r="P38" i="29"/>
  <c r="K50" i="29"/>
  <c r="J50" i="29"/>
  <c r="I50" i="29"/>
  <c r="H50" i="29"/>
  <c r="G50" i="29"/>
  <c r="F50" i="29"/>
  <c r="E50" i="29"/>
  <c r="N49" i="29"/>
  <c r="R34" i="29"/>
  <c r="M49" i="29"/>
  <c r="Q32" i="29"/>
  <c r="L49" i="29"/>
  <c r="P34" i="29"/>
  <c r="K49" i="29"/>
  <c r="J49" i="29"/>
  <c r="I49" i="29"/>
  <c r="H49" i="29"/>
  <c r="G49" i="29"/>
  <c r="F49" i="29"/>
  <c r="E49" i="29"/>
  <c r="S42" i="29"/>
  <c r="P39" i="29"/>
  <c r="S39" i="29"/>
  <c r="Q39" i="29"/>
  <c r="P41" i="29"/>
  <c r="P45" i="29"/>
  <c r="S45" i="29"/>
  <c r="Q40" i="29"/>
  <c r="S40" i="29"/>
  <c r="P43" i="29"/>
  <c r="S43" i="29"/>
  <c r="R41" i="29"/>
  <c r="P35" i="29"/>
  <c r="Q33" i="29"/>
  <c r="R40" i="29"/>
  <c r="P36" i="29"/>
  <c r="Q36" i="29"/>
  <c r="P37" i="29"/>
  <c r="Q37" i="29"/>
  <c r="R36" i="29"/>
  <c r="S36" i="29"/>
  <c r="R38" i="29"/>
  <c r="S38" i="29"/>
  <c r="R35" i="29"/>
  <c r="S35" i="29"/>
  <c r="R37" i="29"/>
  <c r="P32" i="29"/>
  <c r="Q34" i="29"/>
  <c r="S34" i="29"/>
  <c r="P33" i="29"/>
  <c r="R33" i="29"/>
  <c r="R32" i="29"/>
  <c r="S33" i="29"/>
  <c r="S37" i="29"/>
  <c r="S41" i="29"/>
  <c r="S32" i="29"/>
  <c r="D17" i="30"/>
  <c r="D15" i="30"/>
  <c r="D14" i="30"/>
  <c r="D12" i="30"/>
  <c r="D11" i="30"/>
  <c r="D9" i="30"/>
  <c r="D8" i="30"/>
  <c r="D7" i="30"/>
  <c r="D6" i="30"/>
  <c r="D17" i="28"/>
  <c r="D15" i="28"/>
  <c r="D14" i="28"/>
  <c r="D12" i="28"/>
  <c r="D11" i="28"/>
  <c r="D9" i="28"/>
  <c r="D8" i="28"/>
  <c r="D7" i="28"/>
  <c r="D6" i="28"/>
  <c r="L15" i="24"/>
  <c r="L13" i="24"/>
  <c r="L39" i="24"/>
  <c r="L37" i="24"/>
  <c r="L27" i="24"/>
  <c r="L26" i="24"/>
  <c r="L25" i="24"/>
  <c r="K5" i="5"/>
  <c r="L5" i="5"/>
  <c r="M5" i="5"/>
  <c r="N5" i="5"/>
  <c r="O5" i="5"/>
  <c r="AP6" i="2"/>
  <c r="H48" i="1"/>
  <c r="I48" i="1"/>
  <c r="J48" i="1"/>
  <c r="K48" i="1"/>
  <c r="L48" i="1"/>
  <c r="K43" i="1"/>
  <c r="L43" i="1"/>
  <c r="M43" i="1"/>
  <c r="N43" i="1"/>
  <c r="O43" i="1"/>
  <c r="F5" i="21"/>
  <c r="T6" i="2"/>
  <c r="U6" i="2"/>
  <c r="O44" i="4"/>
  <c r="O37" i="4"/>
  <c r="P8" i="4"/>
  <c r="Q8" i="4"/>
  <c r="R8" i="4"/>
  <c r="S8" i="4"/>
  <c r="T8" i="4"/>
  <c r="AG6" i="2"/>
  <c r="AH6" i="2"/>
  <c r="AI6" i="2"/>
  <c r="AJ6" i="2"/>
  <c r="K10" i="4"/>
  <c r="L10" i="4"/>
  <c r="K29" i="4"/>
  <c r="L29" i="4"/>
  <c r="L46" i="4"/>
  <c r="L18" i="4"/>
  <c r="M9" i="23"/>
  <c r="N9" i="23"/>
  <c r="O9" i="23"/>
  <c r="P9" i="23"/>
  <c r="Q9" i="23"/>
  <c r="K16" i="31"/>
  <c r="K37" i="31"/>
  <c r="J94" i="11"/>
  <c r="H16" i="31"/>
  <c r="H37" i="31"/>
  <c r="G94" i="11"/>
  <c r="M46" i="4"/>
  <c r="M18" i="4"/>
  <c r="K18" i="4"/>
  <c r="L28" i="24"/>
  <c r="L24" i="24"/>
  <c r="L23" i="24"/>
  <c r="L16" i="24"/>
  <c r="L14" i="24"/>
  <c r="L12" i="24"/>
  <c r="L11" i="24"/>
  <c r="AQ6" i="2"/>
  <c r="AO6" i="2"/>
  <c r="AN6" i="2"/>
  <c r="AM6" i="2"/>
  <c r="I17" i="4"/>
  <c r="G13" i="19"/>
  <c r="G42" i="19"/>
  <c r="F13" i="19"/>
  <c r="F42" i="19"/>
  <c r="K5" i="21"/>
  <c r="J5" i="21"/>
  <c r="I5" i="21"/>
  <c r="H5" i="21"/>
  <c r="G5" i="21"/>
  <c r="E5" i="21"/>
  <c r="J34" i="4"/>
  <c r="J11" i="4"/>
  <c r="J18" i="4"/>
  <c r="I18" i="4"/>
  <c r="I16" i="4"/>
  <c r="H41" i="4"/>
  <c r="H37" i="4"/>
  <c r="I34" i="4"/>
  <c r="H34" i="4"/>
  <c r="I11" i="4"/>
  <c r="H29" i="4"/>
  <c r="K37" i="4"/>
  <c r="S37" i="4"/>
  <c r="R37" i="4"/>
  <c r="Q37" i="4"/>
  <c r="N37" i="4"/>
  <c r="M37" i="4"/>
  <c r="L37" i="4"/>
  <c r="J20" i="23"/>
  <c r="H26" i="1"/>
  <c r="H25" i="1"/>
  <c r="H24" i="1"/>
  <c r="L13" i="23"/>
  <c r="M13" i="23"/>
  <c r="E4" i="5"/>
  <c r="H3" i="2"/>
  <c r="F7" i="23"/>
  <c r="F4" i="24"/>
  <c r="T37" i="4"/>
  <c r="H30" i="1"/>
  <c r="G19" i="4"/>
  <c r="H31" i="1"/>
  <c r="J16" i="4"/>
  <c r="P37" i="4"/>
  <c r="J17" i="4"/>
  <c r="H44" i="4"/>
  <c r="I28" i="4"/>
  <c r="J44" i="4"/>
  <c r="J41" i="4"/>
  <c r="H39" i="1"/>
  <c r="H38" i="1"/>
  <c r="H34" i="1"/>
  <c r="H32" i="1"/>
  <c r="H28" i="1"/>
  <c r="H27" i="1"/>
  <c r="H23" i="1"/>
  <c r="E19" i="4"/>
  <c r="F19" i="4"/>
  <c r="D19" i="4"/>
  <c r="C58" i="7"/>
  <c r="D58" i="7"/>
  <c r="E58" i="7"/>
  <c r="O58" i="7"/>
  <c r="O47" i="7"/>
  <c r="K34" i="4"/>
  <c r="L35" i="24"/>
  <c r="L36" i="24"/>
  <c r="L40" i="24"/>
  <c r="K20" i="23"/>
  <c r="L38" i="24"/>
  <c r="E3" i="7"/>
  <c r="D3" i="7"/>
  <c r="H6" i="31"/>
  <c r="H27" i="31"/>
  <c r="R34" i="4"/>
  <c r="M29" i="4"/>
  <c r="Q34" i="4"/>
  <c r="T34" i="4"/>
  <c r="S34" i="4"/>
  <c r="L34" i="4"/>
  <c r="M34" i="4"/>
  <c r="G17" i="6"/>
  <c r="G3" i="2"/>
  <c r="C3" i="7"/>
  <c r="D4" i="5"/>
  <c r="H17" i="6"/>
  <c r="H3" i="7"/>
  <c r="J16" i="31"/>
  <c r="J37" i="31"/>
  <c r="I94" i="11"/>
  <c r="I76" i="11"/>
  <c r="L16" i="31"/>
  <c r="L37" i="31"/>
  <c r="K94" i="11"/>
  <c r="K76" i="11"/>
  <c r="E4" i="24"/>
  <c r="Q29" i="4"/>
  <c r="Q48" i="4"/>
  <c r="S29" i="4"/>
  <c r="S48" i="4"/>
  <c r="T29" i="4"/>
  <c r="T48" i="4"/>
  <c r="R29" i="4"/>
  <c r="R48" i="4"/>
  <c r="N29" i="4"/>
  <c r="N48" i="4"/>
  <c r="G10" i="19"/>
  <c r="G39" i="19"/>
  <c r="G8" i="19"/>
  <c r="G37" i="19"/>
  <c r="F7" i="19"/>
  <c r="F10" i="19"/>
  <c r="F39" i="19"/>
  <c r="G7" i="19"/>
  <c r="G27" i="19"/>
  <c r="F9" i="19"/>
  <c r="F38" i="19"/>
  <c r="F12" i="19"/>
  <c r="F41" i="19"/>
  <c r="G11" i="19"/>
  <c r="G40" i="19"/>
  <c r="G9" i="19"/>
  <c r="G38" i="19"/>
  <c r="G12" i="19"/>
  <c r="G41" i="19"/>
  <c r="F8" i="19"/>
  <c r="F37" i="19"/>
  <c r="F11" i="19"/>
  <c r="F40" i="19"/>
  <c r="F16" i="31"/>
  <c r="G16" i="31"/>
  <c r="G37" i="31"/>
  <c r="F94" i="11"/>
  <c r="E16" i="31"/>
  <c r="E37" i="31"/>
  <c r="D94" i="11"/>
  <c r="D76" i="11"/>
  <c r="E7" i="38"/>
  <c r="H10" i="31"/>
  <c r="H31" i="31"/>
  <c r="H33" i="31"/>
  <c r="C30" i="19"/>
  <c r="C39" i="19"/>
  <c r="C69" i="19"/>
  <c r="D30" i="19"/>
  <c r="D39" i="19"/>
  <c r="D69" i="19"/>
  <c r="C27" i="19"/>
  <c r="C36" i="19"/>
  <c r="C28" i="19"/>
  <c r="C37" i="19"/>
  <c r="C67" i="19"/>
  <c r="C32" i="19"/>
  <c r="C41" i="19"/>
  <c r="C71" i="19"/>
  <c r="C29" i="19"/>
  <c r="C38" i="19"/>
  <c r="C68" i="19"/>
  <c r="F57" i="19"/>
  <c r="F59" i="19"/>
  <c r="F61" i="19"/>
  <c r="G59" i="19"/>
  <c r="G30" i="19"/>
  <c r="E58" i="19"/>
  <c r="E61" i="19"/>
  <c r="G62" i="19"/>
  <c r="G33" i="19"/>
  <c r="E62" i="19"/>
  <c r="G56" i="19"/>
  <c r="G60" i="19"/>
  <c r="F58" i="19"/>
  <c r="F60" i="19"/>
  <c r="F62" i="19"/>
  <c r="F33" i="19"/>
  <c r="G57" i="19"/>
  <c r="G61" i="19"/>
  <c r="E57" i="19"/>
  <c r="E59" i="19"/>
  <c r="P29" i="4"/>
  <c r="P48" i="4"/>
  <c r="AS6" i="2"/>
  <c r="AR6" i="2"/>
  <c r="E38" i="17"/>
  <c r="H76" i="6"/>
  <c r="P44" i="4"/>
  <c r="G76" i="11"/>
  <c r="J76" i="11"/>
  <c r="V6" i="2"/>
  <c r="G5" i="31"/>
  <c r="G26" i="31"/>
  <c r="I16" i="31"/>
  <c r="I37" i="31"/>
  <c r="H94" i="11"/>
  <c r="E37" i="17"/>
  <c r="I76" i="6"/>
  <c r="H42" i="17"/>
  <c r="L20" i="23"/>
  <c r="M20" i="23"/>
  <c r="N20" i="23"/>
  <c r="G7" i="23"/>
  <c r="AT6" i="2"/>
  <c r="AK6" i="2"/>
  <c r="AU6" i="2"/>
  <c r="J5" i="31"/>
  <c r="J26" i="31"/>
  <c r="G6" i="31"/>
  <c r="G27" i="31"/>
  <c r="E36" i="17"/>
  <c r="E41" i="17"/>
  <c r="N44" i="4"/>
  <c r="Q44" i="4"/>
  <c r="T44" i="4"/>
  <c r="K41" i="4"/>
  <c r="M48" i="4"/>
  <c r="R44" i="4"/>
  <c r="F48" i="7"/>
  <c r="L48" i="4"/>
  <c r="L41" i="4"/>
  <c r="K6" i="31"/>
  <c r="K27" i="31"/>
  <c r="L44" i="4"/>
  <c r="L13" i="4"/>
  <c r="M44" i="4"/>
  <c r="S44" i="4"/>
  <c r="L6" i="31"/>
  <c r="L27" i="31"/>
  <c r="M13" i="4"/>
  <c r="H5" i="31"/>
  <c r="I5" i="31"/>
  <c r="K48" i="4"/>
  <c r="L9" i="4"/>
  <c r="J6" i="31"/>
  <c r="K44" i="4"/>
  <c r="K11" i="4"/>
  <c r="O29" i="4"/>
  <c r="O48" i="4"/>
  <c r="M9" i="4"/>
  <c r="I6" i="31"/>
  <c r="I27" i="31"/>
  <c r="I44" i="4"/>
  <c r="E35" i="17"/>
  <c r="F42" i="17"/>
  <c r="I13" i="4"/>
  <c r="I14" i="4"/>
  <c r="I41" i="4"/>
  <c r="J13" i="4"/>
  <c r="K13" i="4"/>
  <c r="C42" i="17"/>
  <c r="E39" i="17"/>
  <c r="D42" i="17"/>
  <c r="E40" i="17"/>
  <c r="G42" i="17"/>
  <c r="C14" i="19"/>
  <c r="H19" i="4"/>
  <c r="J29" i="4"/>
  <c r="I29" i="4"/>
  <c r="C48" i="7"/>
  <c r="F17" i="6"/>
  <c r="O19" i="4"/>
  <c r="H12" i="31"/>
  <c r="F37" i="31"/>
  <c r="E94" i="11"/>
  <c r="F28" i="19"/>
  <c r="D7" i="38"/>
  <c r="G28" i="19"/>
  <c r="D4" i="24"/>
  <c r="G28" i="9"/>
  <c r="G27" i="9"/>
  <c r="G5" i="8"/>
  <c r="F23" i="9"/>
  <c r="F8" i="9"/>
  <c r="F41" i="9"/>
  <c r="F11" i="9"/>
  <c r="F44" i="9"/>
  <c r="F27" i="9"/>
  <c r="F28" i="9"/>
  <c r="F5" i="8"/>
  <c r="G44" i="9"/>
  <c r="F30" i="19"/>
  <c r="F49" i="7"/>
  <c r="F32" i="19"/>
  <c r="G31" i="19"/>
  <c r="G67" i="19"/>
  <c r="E23" i="8"/>
  <c r="F29" i="19"/>
  <c r="G72" i="19"/>
  <c r="E28" i="8"/>
  <c r="G69" i="19"/>
  <c r="E25" i="8"/>
  <c r="G36" i="19"/>
  <c r="G43" i="19"/>
  <c r="G14" i="19"/>
  <c r="G70" i="19"/>
  <c r="E26" i="8"/>
  <c r="E8" i="19"/>
  <c r="E37" i="19"/>
  <c r="E67" i="19"/>
  <c r="C23" i="8"/>
  <c r="G32" i="19"/>
  <c r="G52" i="17"/>
  <c r="G71" i="19"/>
  <c r="E27" i="8"/>
  <c r="P19" i="4"/>
  <c r="F71" i="19"/>
  <c r="D27" i="8"/>
  <c r="F67" i="19"/>
  <c r="D23" i="8"/>
  <c r="F31" i="19"/>
  <c r="E11" i="19"/>
  <c r="F70" i="19"/>
  <c r="D26" i="8"/>
  <c r="F69" i="19"/>
  <c r="D25" i="8"/>
  <c r="F36" i="19"/>
  <c r="F43" i="19"/>
  <c r="F14" i="19"/>
  <c r="F72" i="19"/>
  <c r="D28" i="8"/>
  <c r="F68" i="19"/>
  <c r="D24" i="8"/>
  <c r="F52" i="17"/>
  <c r="G10" i="31"/>
  <c r="G31" i="31"/>
  <c r="G33" i="31"/>
  <c r="F87" i="11"/>
  <c r="N19" i="4"/>
  <c r="I10" i="31"/>
  <c r="I31" i="31"/>
  <c r="I33" i="31"/>
  <c r="Q19" i="4"/>
  <c r="L10" i="31"/>
  <c r="L12" i="31"/>
  <c r="T19" i="4"/>
  <c r="J10" i="31"/>
  <c r="J31" i="31"/>
  <c r="J33" i="31"/>
  <c r="I84" i="11"/>
  <c r="R19" i="4"/>
  <c r="K10" i="31"/>
  <c r="K12" i="31"/>
  <c r="S19" i="4"/>
  <c r="C66" i="19"/>
  <c r="D14" i="19"/>
  <c r="C33" i="19"/>
  <c r="C42" i="19"/>
  <c r="C72" i="19"/>
  <c r="D28" i="19"/>
  <c r="D37" i="19"/>
  <c r="D67" i="19"/>
  <c r="D33" i="19"/>
  <c r="D42" i="19"/>
  <c r="D72" i="19"/>
  <c r="D27" i="19"/>
  <c r="D36" i="19"/>
  <c r="D32" i="19"/>
  <c r="D41" i="19"/>
  <c r="D71" i="19"/>
  <c r="D29" i="19"/>
  <c r="D38" i="19"/>
  <c r="D68" i="19"/>
  <c r="F56" i="19"/>
  <c r="F27" i="19"/>
  <c r="G58" i="19"/>
  <c r="G29" i="19"/>
  <c r="E56" i="19"/>
  <c r="E48" i="7"/>
  <c r="E49" i="7"/>
  <c r="E12" i="19"/>
  <c r="E9" i="19"/>
  <c r="E7" i="19"/>
  <c r="E27" i="19"/>
  <c r="E13" i="19"/>
  <c r="E10" i="19"/>
  <c r="E52" i="7"/>
  <c r="E63" i="7"/>
  <c r="E9" i="9"/>
  <c r="D48" i="7"/>
  <c r="D49" i="7"/>
  <c r="E10" i="31"/>
  <c r="E12" i="31"/>
  <c r="M19" i="4"/>
  <c r="F5" i="31"/>
  <c r="F26" i="31"/>
  <c r="E5" i="31"/>
  <c r="N40" i="4"/>
  <c r="O40" i="4"/>
  <c r="P40" i="4"/>
  <c r="E14" i="31"/>
  <c r="E35" i="31"/>
  <c r="E7" i="31"/>
  <c r="E28" i="31"/>
  <c r="E6" i="31"/>
  <c r="E27" i="31"/>
  <c r="E54" i="7"/>
  <c r="E65" i="7"/>
  <c r="E12" i="9"/>
  <c r="E76" i="11"/>
  <c r="F76" i="11"/>
  <c r="H76" i="11"/>
  <c r="W6" i="2"/>
  <c r="F6" i="31"/>
  <c r="F27" i="31"/>
  <c r="H7" i="23"/>
  <c r="E55" i="7"/>
  <c r="E66" i="7"/>
  <c r="E13" i="9"/>
  <c r="F10" i="31"/>
  <c r="F31" i="31"/>
  <c r="F33" i="31"/>
  <c r="E42" i="17"/>
  <c r="O20" i="23"/>
  <c r="E69" i="7"/>
  <c r="E17" i="9"/>
  <c r="E50" i="9"/>
  <c r="D69" i="7"/>
  <c r="D17" i="9"/>
  <c r="D50" i="9"/>
  <c r="C69" i="7"/>
  <c r="C17" i="9"/>
  <c r="C50" i="9"/>
  <c r="G17" i="9"/>
  <c r="G50" i="9"/>
  <c r="C4" i="24"/>
  <c r="F17" i="9"/>
  <c r="F50" i="9"/>
  <c r="N8" i="23"/>
  <c r="D55" i="7"/>
  <c r="D66" i="7"/>
  <c r="D13" i="9"/>
  <c r="D52" i="7"/>
  <c r="D63" i="7"/>
  <c r="D9" i="9"/>
  <c r="G85" i="11"/>
  <c r="G87" i="11"/>
  <c r="G86" i="11"/>
  <c r="G88" i="11"/>
  <c r="G84" i="11"/>
  <c r="O30" i="4"/>
  <c r="I26" i="31"/>
  <c r="M41" i="4"/>
  <c r="L5" i="31"/>
  <c r="J27" i="31"/>
  <c r="L19" i="4"/>
  <c r="H26" i="31"/>
  <c r="K5" i="31"/>
  <c r="J9" i="4"/>
  <c r="J19" i="4"/>
  <c r="I9" i="4"/>
  <c r="I19" i="4"/>
  <c r="K9" i="4"/>
  <c r="K19" i="4"/>
  <c r="J48" i="4"/>
  <c r="E13" i="31"/>
  <c r="P30" i="4"/>
  <c r="H13" i="31"/>
  <c r="R30" i="4"/>
  <c r="J13" i="31"/>
  <c r="T30" i="4"/>
  <c r="L13" i="31"/>
  <c r="S30" i="4"/>
  <c r="K13" i="31"/>
  <c r="Q30" i="4"/>
  <c r="I13" i="31"/>
  <c r="N30" i="4"/>
  <c r="E53" i="7"/>
  <c r="E64" i="7"/>
  <c r="L31" i="31"/>
  <c r="L33" i="31"/>
  <c r="K84" i="11"/>
  <c r="K66" i="11"/>
  <c r="K88" i="11"/>
  <c r="K70" i="11"/>
  <c r="E26" i="9"/>
  <c r="E11" i="9"/>
  <c r="E44" i="9"/>
  <c r="E23" i="9"/>
  <c r="E8" i="9"/>
  <c r="E41" i="9"/>
  <c r="E27" i="9"/>
  <c r="E28" i="9"/>
  <c r="F11" i="8"/>
  <c r="F24" i="9"/>
  <c r="E6" i="30"/>
  <c r="F13" i="8"/>
  <c r="F15" i="8"/>
  <c r="F16" i="8"/>
  <c r="F31" i="9"/>
  <c r="F14" i="8"/>
  <c r="F10" i="8"/>
  <c r="G11" i="8"/>
  <c r="G16" i="8"/>
  <c r="G14" i="8"/>
  <c r="G13" i="8"/>
  <c r="G15" i="8"/>
  <c r="G10" i="8"/>
  <c r="G66" i="19"/>
  <c r="E22" i="8"/>
  <c r="F84" i="11"/>
  <c r="F66" i="11"/>
  <c r="F88" i="11"/>
  <c r="F70" i="11"/>
  <c r="F85" i="11"/>
  <c r="F67" i="11"/>
  <c r="F86" i="11"/>
  <c r="F68" i="11"/>
  <c r="I88" i="11"/>
  <c r="I70" i="11"/>
  <c r="K31" i="31"/>
  <c r="K33" i="31"/>
  <c r="J86" i="11"/>
  <c r="J68" i="11"/>
  <c r="E28" i="19"/>
  <c r="G12" i="31"/>
  <c r="G63" i="19"/>
  <c r="G15" i="19"/>
  <c r="F15" i="19"/>
  <c r="E31" i="31"/>
  <c r="E33" i="31"/>
  <c r="D87" i="11"/>
  <c r="D69" i="11"/>
  <c r="E40" i="19"/>
  <c r="E70" i="19"/>
  <c r="C26" i="8"/>
  <c r="E31" i="19"/>
  <c r="E39" i="19"/>
  <c r="E69" i="19"/>
  <c r="C25" i="8"/>
  <c r="E30" i="19"/>
  <c r="E38" i="19"/>
  <c r="E68" i="19"/>
  <c r="C24" i="8"/>
  <c r="E29" i="19"/>
  <c r="E63" i="19"/>
  <c r="F63" i="19"/>
  <c r="E42" i="19"/>
  <c r="E72" i="19"/>
  <c r="C28" i="8"/>
  <c r="E33" i="19"/>
  <c r="E41" i="19"/>
  <c r="E71" i="19"/>
  <c r="C27" i="8"/>
  <c r="E32" i="19"/>
  <c r="E36" i="19"/>
  <c r="E14" i="19"/>
  <c r="D51" i="7"/>
  <c r="D62" i="7"/>
  <c r="I86" i="11"/>
  <c r="I68" i="11"/>
  <c r="I85" i="11"/>
  <c r="I67" i="11"/>
  <c r="I12" i="31"/>
  <c r="I87" i="11"/>
  <c r="I69" i="11"/>
  <c r="J12" i="31"/>
  <c r="C43" i="19"/>
  <c r="D66" i="19"/>
  <c r="D43" i="19"/>
  <c r="F66" i="19"/>
  <c r="D22" i="8"/>
  <c r="G68" i="19"/>
  <c r="E24" i="8"/>
  <c r="E52" i="17"/>
  <c r="E57" i="7"/>
  <c r="E68" i="7"/>
  <c r="E16" i="9"/>
  <c r="G14" i="31"/>
  <c r="G35" i="31"/>
  <c r="O41" i="4"/>
  <c r="G7" i="31"/>
  <c r="G28" i="31"/>
  <c r="G30" i="31"/>
  <c r="F82" i="11"/>
  <c r="F14" i="31"/>
  <c r="F35" i="31"/>
  <c r="F7" i="31"/>
  <c r="F28" i="31"/>
  <c r="F30" i="31"/>
  <c r="E83" i="11"/>
  <c r="N41" i="4"/>
  <c r="E26" i="31"/>
  <c r="E30" i="31"/>
  <c r="E9" i="31"/>
  <c r="E15" i="31"/>
  <c r="E34" i="31"/>
  <c r="C49" i="7"/>
  <c r="F12" i="31"/>
  <c r="I7" i="23"/>
  <c r="J7" i="23"/>
  <c r="K7" i="23"/>
  <c r="L7" i="23"/>
  <c r="M7" i="23"/>
  <c r="N7" i="23"/>
  <c r="O7" i="23"/>
  <c r="P7" i="23"/>
  <c r="Q7" i="23"/>
  <c r="X6" i="2"/>
  <c r="G13" i="31"/>
  <c r="G34" i="31"/>
  <c r="C53" i="7"/>
  <c r="C64" i="7"/>
  <c r="P20" i="23"/>
  <c r="E8" i="30"/>
  <c r="O8" i="23"/>
  <c r="E5" i="8"/>
  <c r="G67" i="11"/>
  <c r="H86" i="11"/>
  <c r="H84" i="11"/>
  <c r="H87" i="11"/>
  <c r="H88" i="11"/>
  <c r="H85" i="11"/>
  <c r="G70" i="11"/>
  <c r="G66" i="11"/>
  <c r="G68" i="11"/>
  <c r="F69" i="11"/>
  <c r="I66" i="11"/>
  <c r="E87" i="11"/>
  <c r="E88" i="11"/>
  <c r="E84" i="11"/>
  <c r="E86" i="11"/>
  <c r="E85" i="11"/>
  <c r="G69" i="11"/>
  <c r="H7" i="31"/>
  <c r="H14" i="31"/>
  <c r="H35" i="31"/>
  <c r="P41" i="4"/>
  <c r="Q40" i="4"/>
  <c r="K26" i="31"/>
  <c r="L26" i="31"/>
  <c r="I34" i="31"/>
  <c r="K34" i="31"/>
  <c r="F13" i="31"/>
  <c r="H34" i="31"/>
  <c r="L34" i="31"/>
  <c r="J34" i="31"/>
  <c r="D53" i="7"/>
  <c r="D64" i="7"/>
  <c r="D54" i="7"/>
  <c r="K87" i="11"/>
  <c r="K69" i="11"/>
  <c r="K85" i="11"/>
  <c r="K67" i="11"/>
  <c r="K86" i="11"/>
  <c r="K68" i="11"/>
  <c r="J85" i="11"/>
  <c r="J67" i="11"/>
  <c r="E10" i="9"/>
  <c r="D26" i="9"/>
  <c r="D11" i="9"/>
  <c r="D10" i="9"/>
  <c r="D23" i="9"/>
  <c r="D8" i="9"/>
  <c r="D27" i="9"/>
  <c r="D28" i="9"/>
  <c r="E10" i="8"/>
  <c r="E16" i="8"/>
  <c r="E31" i="9"/>
  <c r="E49" i="9"/>
  <c r="E11" i="8"/>
  <c r="E24" i="9"/>
  <c r="E13" i="8"/>
  <c r="E14" i="8"/>
  <c r="E15" i="8"/>
  <c r="E12" i="8"/>
  <c r="E25" i="9"/>
  <c r="J84" i="11"/>
  <c r="J66" i="11"/>
  <c r="J88" i="11"/>
  <c r="J70" i="11"/>
  <c r="J87" i="11"/>
  <c r="J69" i="11"/>
  <c r="D84" i="11"/>
  <c r="D66" i="11"/>
  <c r="D86" i="11"/>
  <c r="D68" i="11"/>
  <c r="D88" i="11"/>
  <c r="D70" i="11"/>
  <c r="D85" i="11"/>
  <c r="D67" i="11"/>
  <c r="E43" i="19"/>
  <c r="E66" i="19"/>
  <c r="C22" i="8"/>
  <c r="E15" i="19"/>
  <c r="G9" i="31"/>
  <c r="E17" i="31"/>
  <c r="C54" i="7"/>
  <c r="C65" i="7"/>
  <c r="F9" i="31"/>
  <c r="F81" i="11"/>
  <c r="F63" i="11"/>
  <c r="F83" i="11"/>
  <c r="F65" i="11"/>
  <c r="D82" i="11"/>
  <c r="D64" i="11"/>
  <c r="D83" i="11"/>
  <c r="D65" i="11"/>
  <c r="D81" i="11"/>
  <c r="D63" i="11"/>
  <c r="E36" i="31"/>
  <c r="E38" i="31"/>
  <c r="C21" i="24"/>
  <c r="E17" i="30"/>
  <c r="E15" i="30"/>
  <c r="E9" i="30"/>
  <c r="E7" i="30"/>
  <c r="E12" i="30"/>
  <c r="G15" i="31"/>
  <c r="E81" i="11"/>
  <c r="E82" i="11"/>
  <c r="E64" i="11"/>
  <c r="C55" i="7"/>
  <c r="C66" i="7"/>
  <c r="C13" i="9"/>
  <c r="C52" i="7"/>
  <c r="C63" i="7"/>
  <c r="C9" i="9"/>
  <c r="Q20" i="23"/>
  <c r="E47" i="9"/>
  <c r="E45" i="9"/>
  <c r="E46" i="9"/>
  <c r="F22" i="9"/>
  <c r="F17" i="8"/>
  <c r="F18" i="8"/>
  <c r="P8" i="23"/>
  <c r="D5" i="8"/>
  <c r="E70" i="11"/>
  <c r="H66" i="11"/>
  <c r="E67" i="11"/>
  <c r="E69" i="11"/>
  <c r="H67" i="11"/>
  <c r="H68" i="11"/>
  <c r="E68" i="11"/>
  <c r="H70" i="11"/>
  <c r="E66" i="11"/>
  <c r="H69" i="11"/>
  <c r="H28" i="31"/>
  <c r="H30" i="31"/>
  <c r="H9" i="31"/>
  <c r="H15" i="31"/>
  <c r="I7" i="31"/>
  <c r="I14" i="31"/>
  <c r="Q41" i="4"/>
  <c r="R40" i="4"/>
  <c r="E65" i="11"/>
  <c r="F64" i="11"/>
  <c r="G36" i="31"/>
  <c r="G38" i="31"/>
  <c r="H36" i="31"/>
  <c r="F15" i="31"/>
  <c r="F34" i="31"/>
  <c r="D65" i="7"/>
  <c r="J82" i="6"/>
  <c r="C57" i="7"/>
  <c r="C68" i="7"/>
  <c r="C16" i="9"/>
  <c r="E42" i="9"/>
  <c r="C23" i="9"/>
  <c r="C8" i="9"/>
  <c r="C26" i="9"/>
  <c r="C11" i="9"/>
  <c r="C10" i="9"/>
  <c r="C28" i="9"/>
  <c r="C46" i="9"/>
  <c r="C27" i="9"/>
  <c r="D15" i="8"/>
  <c r="D12" i="8"/>
  <c r="D25" i="9"/>
  <c r="D14" i="8"/>
  <c r="D16" i="8"/>
  <c r="D31" i="9"/>
  <c r="D11" i="8"/>
  <c r="D24" i="9"/>
  <c r="D42" i="9"/>
  <c r="D13" i="8"/>
  <c r="D10" i="8"/>
  <c r="E13" i="30"/>
  <c r="E43" i="9"/>
  <c r="G17" i="31"/>
  <c r="D89" i="11"/>
  <c r="D91" i="11"/>
  <c r="D73" i="11"/>
  <c r="D90" i="11"/>
  <c r="D72" i="11"/>
  <c r="E10" i="30"/>
  <c r="F30" i="9"/>
  <c r="E14" i="30"/>
  <c r="E16" i="30"/>
  <c r="E63" i="11"/>
  <c r="Q8" i="23"/>
  <c r="H17" i="31"/>
  <c r="C12" i="9"/>
  <c r="E22" i="9"/>
  <c r="E30" i="9"/>
  <c r="E17" i="8"/>
  <c r="E18" i="8"/>
  <c r="C5" i="8"/>
  <c r="D46" i="9"/>
  <c r="D47" i="9"/>
  <c r="D41" i="9"/>
  <c r="D7" i="9"/>
  <c r="H38" i="31"/>
  <c r="I35" i="31"/>
  <c r="I36" i="31"/>
  <c r="H91" i="11"/>
  <c r="I15" i="31"/>
  <c r="I9" i="31"/>
  <c r="I28" i="31"/>
  <c r="I30" i="31"/>
  <c r="J14" i="31"/>
  <c r="J7" i="31"/>
  <c r="R41" i="4"/>
  <c r="S40" i="4"/>
  <c r="G81" i="11"/>
  <c r="G82" i="11"/>
  <c r="G83" i="11"/>
  <c r="F17" i="31"/>
  <c r="F90" i="11"/>
  <c r="F91" i="11"/>
  <c r="F89" i="11"/>
  <c r="G89" i="11"/>
  <c r="G91" i="11"/>
  <c r="G90" i="11"/>
  <c r="F36" i="31"/>
  <c r="D12" i="9"/>
  <c r="G7" i="38"/>
  <c r="C41" i="9"/>
  <c r="D44" i="9"/>
  <c r="C14" i="8"/>
  <c r="C13" i="8"/>
  <c r="C16" i="8"/>
  <c r="C31" i="9"/>
  <c r="C49" i="9"/>
  <c r="C11" i="8"/>
  <c r="C24" i="9"/>
  <c r="C42" i="9"/>
  <c r="C12" i="8"/>
  <c r="C25" i="9"/>
  <c r="C43" i="9"/>
  <c r="C15" i="8"/>
  <c r="C10" i="8"/>
  <c r="E35" i="9"/>
  <c r="E62" i="9"/>
  <c r="D27" i="35"/>
  <c r="E57" i="9"/>
  <c r="D27" i="36"/>
  <c r="D43" i="9"/>
  <c r="F35" i="9"/>
  <c r="F62" i="9"/>
  <c r="F57" i="9"/>
  <c r="E27" i="36"/>
  <c r="C22" i="24"/>
  <c r="C29" i="24"/>
  <c r="H90" i="11"/>
  <c r="H72" i="11"/>
  <c r="D71" i="11"/>
  <c r="D77" i="11"/>
  <c r="D78" i="11"/>
  <c r="D95" i="11"/>
  <c r="D96" i="11"/>
  <c r="G41" i="9"/>
  <c r="E18" i="30"/>
  <c r="E19" i="30"/>
  <c r="D22" i="9"/>
  <c r="D30" i="9"/>
  <c r="D17" i="8"/>
  <c r="D18" i="8"/>
  <c r="C45" i="9"/>
  <c r="C47" i="9"/>
  <c r="H89" i="11"/>
  <c r="G64" i="11"/>
  <c r="J28" i="31"/>
  <c r="J30" i="31"/>
  <c r="J9" i="31"/>
  <c r="G63" i="11"/>
  <c r="J35" i="31"/>
  <c r="J36" i="31"/>
  <c r="J15" i="31"/>
  <c r="H82" i="11"/>
  <c r="H83" i="11"/>
  <c r="H81" i="11"/>
  <c r="I38" i="31"/>
  <c r="K7" i="31"/>
  <c r="K14" i="31"/>
  <c r="T40" i="4"/>
  <c r="S41" i="4"/>
  <c r="I17" i="31"/>
  <c r="G65" i="11"/>
  <c r="G72" i="11"/>
  <c r="F72" i="11"/>
  <c r="F73" i="11"/>
  <c r="G73" i="11"/>
  <c r="E91" i="11"/>
  <c r="E89" i="11"/>
  <c r="E90" i="11"/>
  <c r="H73" i="11"/>
  <c r="G95" i="11"/>
  <c r="G96" i="11"/>
  <c r="G71" i="11"/>
  <c r="F95" i="11"/>
  <c r="F96" i="11"/>
  <c r="F71" i="11"/>
  <c r="F38" i="31"/>
  <c r="F44" i="1"/>
  <c r="E51" i="7"/>
  <c r="D45" i="9"/>
  <c r="D15" i="9"/>
  <c r="D57" i="7"/>
  <c r="E44" i="1"/>
  <c r="C5" i="38"/>
  <c r="C7" i="38"/>
  <c r="H7" i="38"/>
  <c r="I8" i="38"/>
  <c r="J8" i="38"/>
  <c r="K8" i="38"/>
  <c r="C44" i="9"/>
  <c r="D35" i="9"/>
  <c r="D62" i="9"/>
  <c r="C27" i="35"/>
  <c r="D57" i="9"/>
  <c r="C27" i="36"/>
  <c r="E27" i="35"/>
  <c r="H95" i="11"/>
  <c r="H96" i="11"/>
  <c r="H71" i="11"/>
  <c r="C17" i="8"/>
  <c r="C18" i="8"/>
  <c r="C22" i="9"/>
  <c r="C30" i="9"/>
  <c r="C35" i="9"/>
  <c r="D40" i="9"/>
  <c r="D48" i="9"/>
  <c r="K28" i="31"/>
  <c r="K30" i="31"/>
  <c r="K9" i="31"/>
  <c r="H65" i="11"/>
  <c r="I81" i="11"/>
  <c r="I82" i="11"/>
  <c r="I83" i="11"/>
  <c r="H64" i="11"/>
  <c r="L14" i="31"/>
  <c r="L7" i="31"/>
  <c r="T41" i="4"/>
  <c r="J17" i="31"/>
  <c r="K35" i="31"/>
  <c r="K36" i="31"/>
  <c r="K15" i="31"/>
  <c r="H63" i="11"/>
  <c r="J38" i="31"/>
  <c r="I91" i="11"/>
  <c r="I89" i="11"/>
  <c r="I90" i="11"/>
  <c r="G22" i="9"/>
  <c r="F14" i="30"/>
  <c r="F32" i="30"/>
  <c r="G77" i="11"/>
  <c r="G78" i="11"/>
  <c r="E73" i="11"/>
  <c r="F77" i="11"/>
  <c r="F78" i="11"/>
  <c r="E72" i="11"/>
  <c r="E95" i="11"/>
  <c r="E96" i="11"/>
  <c r="E71" i="11"/>
  <c r="D68" i="7"/>
  <c r="D59" i="7"/>
  <c r="I82" i="6"/>
  <c r="E59" i="7"/>
  <c r="E62" i="7"/>
  <c r="E14" i="28"/>
  <c r="L8" i="38"/>
  <c r="F12" i="9"/>
  <c r="F45" i="9"/>
  <c r="E8" i="28"/>
  <c r="E17" i="28"/>
  <c r="K82" i="6"/>
  <c r="E7" i="28"/>
  <c r="E12" i="28"/>
  <c r="F13" i="9"/>
  <c r="F46" i="9"/>
  <c r="E9" i="28"/>
  <c r="E15" i="28"/>
  <c r="E16" i="28"/>
  <c r="F10" i="9"/>
  <c r="E11" i="28"/>
  <c r="F9" i="9"/>
  <c r="F42" i="9"/>
  <c r="E6" i="28"/>
  <c r="R76" i="6"/>
  <c r="S76" i="6"/>
  <c r="P76" i="6"/>
  <c r="M76" i="6"/>
  <c r="H77" i="11"/>
  <c r="H78" i="11"/>
  <c r="G7" i="28"/>
  <c r="I73" i="11"/>
  <c r="I65" i="11"/>
  <c r="I14" i="30"/>
  <c r="K38" i="31"/>
  <c r="J90" i="11"/>
  <c r="J91" i="11"/>
  <c r="J89" i="11"/>
  <c r="I64" i="11"/>
  <c r="I72" i="11"/>
  <c r="L28" i="31"/>
  <c r="L30" i="31"/>
  <c r="L9" i="31"/>
  <c r="I63" i="11"/>
  <c r="I95" i="11"/>
  <c r="I96" i="11"/>
  <c r="K17" i="31"/>
  <c r="I71" i="11"/>
  <c r="L35" i="31"/>
  <c r="L36" i="31"/>
  <c r="L15" i="31"/>
  <c r="J83" i="11"/>
  <c r="J81" i="11"/>
  <c r="J82" i="11"/>
  <c r="E77" i="11"/>
  <c r="E78" i="11"/>
  <c r="N76" i="6"/>
  <c r="O76" i="6"/>
  <c r="J12" i="28"/>
  <c r="J30" i="28"/>
  <c r="J48" i="28"/>
  <c r="J7" i="28"/>
  <c r="J25" i="28"/>
  <c r="J43" i="28"/>
  <c r="H7" i="28"/>
  <c r="H12" i="28"/>
  <c r="L7" i="28"/>
  <c r="L25" i="28"/>
  <c r="L43" i="28"/>
  <c r="L12" i="28"/>
  <c r="L30" i="28"/>
  <c r="L48" i="28"/>
  <c r="F7" i="28"/>
  <c r="F12" i="28"/>
  <c r="J76" i="6"/>
  <c r="E70" i="7"/>
  <c r="E71" i="7"/>
  <c r="E7" i="9"/>
  <c r="D16" i="9"/>
  <c r="D70" i="7"/>
  <c r="D71" i="7"/>
  <c r="G44" i="1"/>
  <c r="Q76" i="6"/>
  <c r="M8" i="38"/>
  <c r="F47" i="9"/>
  <c r="F43" i="9"/>
  <c r="F25" i="28"/>
  <c r="F43" i="28"/>
  <c r="F30" i="28"/>
  <c r="F48" i="28"/>
  <c r="F16" i="9"/>
  <c r="F49" i="9"/>
  <c r="C5" i="21"/>
  <c r="C9" i="24"/>
  <c r="C33" i="24"/>
  <c r="E13" i="28"/>
  <c r="E10" i="28"/>
  <c r="F8" i="28"/>
  <c r="F26" i="28"/>
  <c r="F44" i="28"/>
  <c r="M7" i="28"/>
  <c r="M25" i="28"/>
  <c r="M43" i="28"/>
  <c r="F11" i="28"/>
  <c r="J14" i="30"/>
  <c r="K14" i="30"/>
  <c r="G12" i="28"/>
  <c r="H30" i="28"/>
  <c r="H48" i="28"/>
  <c r="J64" i="11"/>
  <c r="L38" i="31"/>
  <c r="K90" i="11"/>
  <c r="K91" i="11"/>
  <c r="K89" i="11"/>
  <c r="J63" i="11"/>
  <c r="J95" i="11"/>
  <c r="J96" i="11"/>
  <c r="I77" i="11"/>
  <c r="I78" i="11"/>
  <c r="K83" i="11"/>
  <c r="K82" i="11"/>
  <c r="K81" i="11"/>
  <c r="J72" i="11"/>
  <c r="L17" i="31"/>
  <c r="J71" i="11"/>
  <c r="J73" i="11"/>
  <c r="J65" i="11"/>
  <c r="H25" i="28"/>
  <c r="H43" i="28"/>
  <c r="K12" i="28"/>
  <c r="K30" i="28"/>
  <c r="K48" i="28"/>
  <c r="K7" i="28"/>
  <c r="K25" i="28"/>
  <c r="K43" i="28"/>
  <c r="I12" i="28"/>
  <c r="I30" i="28"/>
  <c r="I7" i="28"/>
  <c r="I25" i="28"/>
  <c r="G25" i="28"/>
  <c r="G43" i="28"/>
  <c r="E40" i="9"/>
  <c r="E48" i="9"/>
  <c r="E51" i="9"/>
  <c r="E58" i="9"/>
  <c r="D24" i="36"/>
  <c r="E15" i="9"/>
  <c r="E18" i="9"/>
  <c r="D49" i="9"/>
  <c r="D51" i="9"/>
  <c r="D58" i="9"/>
  <c r="C24" i="36"/>
  <c r="D18" i="9"/>
  <c r="R82" i="6"/>
  <c r="P82" i="6"/>
  <c r="Q82" i="6"/>
  <c r="D44" i="1"/>
  <c r="C51" i="7"/>
  <c r="N82" i="6"/>
  <c r="F59" i="7"/>
  <c r="I6" i="28"/>
  <c r="H6" i="28"/>
  <c r="D61" i="9"/>
  <c r="D63" i="9"/>
  <c r="D56" i="9"/>
  <c r="E56" i="9"/>
  <c r="E61" i="9"/>
  <c r="E63" i="9"/>
  <c r="H12" i="30"/>
  <c r="K72" i="19"/>
  <c r="K33" i="19"/>
  <c r="D37" i="9"/>
  <c r="D36" i="9"/>
  <c r="E36" i="9"/>
  <c r="E37" i="9"/>
  <c r="K76" i="6"/>
  <c r="E18" i="28"/>
  <c r="E19" i="28"/>
  <c r="F13" i="28"/>
  <c r="F29" i="28"/>
  <c r="F6" i="28"/>
  <c r="F24" i="28"/>
  <c r="F14" i="28"/>
  <c r="F32" i="28"/>
  <c r="M12" i="28"/>
  <c r="M30" i="28"/>
  <c r="M48" i="28"/>
  <c r="M82" i="6"/>
  <c r="G30" i="28"/>
  <c r="G48" i="28"/>
  <c r="K65" i="11"/>
  <c r="J77" i="11"/>
  <c r="J78" i="11"/>
  <c r="K72" i="11"/>
  <c r="K63" i="11"/>
  <c r="K95" i="11"/>
  <c r="K96" i="11"/>
  <c r="K71" i="11"/>
  <c r="K64" i="11"/>
  <c r="K73" i="11"/>
  <c r="J7" i="30"/>
  <c r="J25" i="30"/>
  <c r="J12" i="30"/>
  <c r="J30" i="30"/>
  <c r="L12" i="30"/>
  <c r="L30" i="30"/>
  <c r="L7" i="30"/>
  <c r="L25" i="30"/>
  <c r="K12" i="30"/>
  <c r="K30" i="30"/>
  <c r="K7" i="30"/>
  <c r="K25" i="30"/>
  <c r="I43" i="28"/>
  <c r="N25" i="28"/>
  <c r="I48" i="28"/>
  <c r="H8" i="28"/>
  <c r="H9" i="28"/>
  <c r="H15" i="28"/>
  <c r="E34" i="9"/>
  <c r="E19" i="9"/>
  <c r="D19" i="9"/>
  <c r="D34" i="9"/>
  <c r="C62" i="7"/>
  <c r="C7" i="9"/>
  <c r="C59" i="7"/>
  <c r="F7" i="9"/>
  <c r="F71" i="7"/>
  <c r="I15" i="28"/>
  <c r="I33" i="28"/>
  <c r="I51" i="28"/>
  <c r="H14" i="28"/>
  <c r="H16" i="28"/>
  <c r="H6" i="30"/>
  <c r="I8" i="28"/>
  <c r="I26" i="28"/>
  <c r="I44" i="28"/>
  <c r="K6" i="28"/>
  <c r="K24" i="28"/>
  <c r="K8" i="28"/>
  <c r="K26" i="28"/>
  <c r="K44" i="28"/>
  <c r="H7" i="30"/>
  <c r="J33" i="19"/>
  <c r="J72" i="19"/>
  <c r="H28" i="8"/>
  <c r="C24" i="35"/>
  <c r="D24" i="35"/>
  <c r="J11" i="28"/>
  <c r="I14" i="8"/>
  <c r="I13" i="8"/>
  <c r="K11" i="28"/>
  <c r="K13" i="28"/>
  <c r="K15" i="28"/>
  <c r="K33" i="28"/>
  <c r="K51" i="28"/>
  <c r="G9" i="28"/>
  <c r="H27" i="28"/>
  <c r="H45" i="28"/>
  <c r="G6" i="28"/>
  <c r="H24" i="28"/>
  <c r="G8" i="28"/>
  <c r="G26" i="28"/>
  <c r="G44" i="28"/>
  <c r="J8" i="28"/>
  <c r="J26" i="28"/>
  <c r="J44" i="28"/>
  <c r="F15" i="28"/>
  <c r="F33" i="28"/>
  <c r="F51" i="28"/>
  <c r="F50" i="28"/>
  <c r="F42" i="28"/>
  <c r="F47" i="28"/>
  <c r="F49" i="28"/>
  <c r="F31" i="28"/>
  <c r="F9" i="28"/>
  <c r="K14" i="28"/>
  <c r="N30" i="28"/>
  <c r="F17" i="28"/>
  <c r="F35" i="28"/>
  <c r="F53" i="28"/>
  <c r="D38" i="11"/>
  <c r="D19" i="11"/>
  <c r="S82" i="6"/>
  <c r="M12" i="30"/>
  <c r="M30" i="30"/>
  <c r="N48" i="28"/>
  <c r="H17" i="28"/>
  <c r="I14" i="28"/>
  <c r="I32" i="28"/>
  <c r="L14" i="30"/>
  <c r="L32" i="30"/>
  <c r="K77" i="11"/>
  <c r="K78" i="11"/>
  <c r="N43" i="28"/>
  <c r="I24" i="28"/>
  <c r="K32" i="30"/>
  <c r="I32" i="30"/>
  <c r="J32" i="30"/>
  <c r="H10" i="28"/>
  <c r="F15" i="9"/>
  <c r="F18" i="9"/>
  <c r="F40" i="9"/>
  <c r="F48" i="9"/>
  <c r="F51" i="9"/>
  <c r="F58" i="9"/>
  <c r="E24" i="36"/>
  <c r="O57" i="7"/>
  <c r="O82" i="6"/>
  <c r="C70" i="7"/>
  <c r="C71" i="7"/>
  <c r="I9" i="28"/>
  <c r="I27" i="28"/>
  <c r="I45" i="28"/>
  <c r="I11" i="28"/>
  <c r="I13" i="28"/>
  <c r="I17" i="28"/>
  <c r="I35" i="28"/>
  <c r="I53" i="28"/>
  <c r="G38" i="11"/>
  <c r="H11" i="28"/>
  <c r="H13" i="28"/>
  <c r="K9" i="28"/>
  <c r="K27" i="28"/>
  <c r="K45" i="28"/>
  <c r="L14" i="28"/>
  <c r="L32" i="28"/>
  <c r="L50" i="28"/>
  <c r="I15" i="8"/>
  <c r="K29" i="28"/>
  <c r="K47" i="28"/>
  <c r="K49" i="28"/>
  <c r="G24" i="28"/>
  <c r="G42" i="28"/>
  <c r="K16" i="28"/>
  <c r="G12" i="30"/>
  <c r="H30" i="30"/>
  <c r="G7" i="30"/>
  <c r="H25" i="30"/>
  <c r="F61" i="9"/>
  <c r="F63" i="9"/>
  <c r="F56" i="9"/>
  <c r="J6" i="28"/>
  <c r="J24" i="28"/>
  <c r="H26" i="28"/>
  <c r="H44" i="28"/>
  <c r="J14" i="28"/>
  <c r="J32" i="28"/>
  <c r="J50" i="28"/>
  <c r="K69" i="19"/>
  <c r="I25" i="8"/>
  <c r="K28" i="19"/>
  <c r="K67" i="19"/>
  <c r="I23" i="8"/>
  <c r="G14" i="28"/>
  <c r="G32" i="28"/>
  <c r="G50" i="28"/>
  <c r="G15" i="28"/>
  <c r="H33" i="28"/>
  <c r="H51" i="28"/>
  <c r="J15" i="28"/>
  <c r="J33" i="28"/>
  <c r="J51" i="28"/>
  <c r="K8" i="30"/>
  <c r="K26" i="30"/>
  <c r="J9" i="28"/>
  <c r="J27" i="28"/>
  <c r="J45" i="28"/>
  <c r="F36" i="9"/>
  <c r="F37" i="9"/>
  <c r="G10" i="28"/>
  <c r="F16" i="28"/>
  <c r="K32" i="28"/>
  <c r="K34" i="28"/>
  <c r="F52" i="28"/>
  <c r="F34" i="28"/>
  <c r="G27" i="28"/>
  <c r="G45" i="28"/>
  <c r="F27" i="28"/>
  <c r="F10" i="28"/>
  <c r="M7" i="30"/>
  <c r="M25" i="30"/>
  <c r="I10" i="28"/>
  <c r="M14" i="30"/>
  <c r="M32" i="30"/>
  <c r="N32" i="30"/>
  <c r="I16" i="28"/>
  <c r="I48" i="7"/>
  <c r="K42" i="28"/>
  <c r="H42" i="28"/>
  <c r="I28" i="28"/>
  <c r="I42" i="28"/>
  <c r="I34" i="28"/>
  <c r="I50" i="28"/>
  <c r="J13" i="28"/>
  <c r="J29" i="28"/>
  <c r="F19" i="9"/>
  <c r="F34" i="9"/>
  <c r="C10" i="24"/>
  <c r="C15" i="9"/>
  <c r="C18" i="9"/>
  <c r="C40" i="9"/>
  <c r="C48" i="9"/>
  <c r="C51" i="9"/>
  <c r="I8" i="30"/>
  <c r="J59" i="7"/>
  <c r="I29" i="28"/>
  <c r="I47" i="28"/>
  <c r="I49" i="28"/>
  <c r="J48" i="7"/>
  <c r="K17" i="28"/>
  <c r="K35" i="28"/>
  <c r="K53" i="28"/>
  <c r="I38" i="11"/>
  <c r="I19" i="11"/>
  <c r="H18" i="28"/>
  <c r="H19" i="28"/>
  <c r="K28" i="28"/>
  <c r="K10" i="28"/>
  <c r="F9" i="24"/>
  <c r="L15" i="28"/>
  <c r="K31" i="28"/>
  <c r="H28" i="28"/>
  <c r="E24" i="35"/>
  <c r="J29" i="30"/>
  <c r="J31" i="30"/>
  <c r="K71" i="19"/>
  <c r="K31" i="19"/>
  <c r="H15" i="30"/>
  <c r="K30" i="19"/>
  <c r="J16" i="28"/>
  <c r="J15" i="30"/>
  <c r="G33" i="28"/>
  <c r="G51" i="28"/>
  <c r="G52" i="28"/>
  <c r="H32" i="28"/>
  <c r="H50" i="28"/>
  <c r="H52" i="28"/>
  <c r="J52" i="28"/>
  <c r="G11" i="28"/>
  <c r="G29" i="28"/>
  <c r="G47" i="28"/>
  <c r="G49" i="28"/>
  <c r="G16" i="28"/>
  <c r="K68" i="19"/>
  <c r="I24" i="8"/>
  <c r="K29" i="19"/>
  <c r="C36" i="9"/>
  <c r="C37" i="9"/>
  <c r="G17" i="28"/>
  <c r="H35" i="28"/>
  <c r="H53" i="28"/>
  <c r="F38" i="11"/>
  <c r="F19" i="11"/>
  <c r="J34" i="28"/>
  <c r="J10" i="28"/>
  <c r="I29" i="30"/>
  <c r="H13" i="30"/>
  <c r="J17" i="28"/>
  <c r="J35" i="28"/>
  <c r="J53" i="28"/>
  <c r="H38" i="11"/>
  <c r="H19" i="11"/>
  <c r="J8" i="30"/>
  <c r="J26" i="30"/>
  <c r="F18" i="28"/>
  <c r="F19" i="28"/>
  <c r="K50" i="28"/>
  <c r="K52" i="28"/>
  <c r="G28" i="28"/>
  <c r="F45" i="28"/>
  <c r="F46" i="28"/>
  <c r="F28" i="28"/>
  <c r="F36" i="28"/>
  <c r="I18" i="28"/>
  <c r="I19" i="28"/>
  <c r="L8" i="28"/>
  <c r="L26" i="28"/>
  <c r="L11" i="28"/>
  <c r="G19" i="11"/>
  <c r="K46" i="28"/>
  <c r="H46" i="28"/>
  <c r="G46" i="28"/>
  <c r="I12" i="30"/>
  <c r="I30" i="30"/>
  <c r="N30" i="30"/>
  <c r="I7" i="30"/>
  <c r="I25" i="30"/>
  <c r="N25" i="30"/>
  <c r="I26" i="30"/>
  <c r="J47" i="28"/>
  <c r="J49" i="28"/>
  <c r="J31" i="28"/>
  <c r="J28" i="28"/>
  <c r="J42" i="28"/>
  <c r="I52" i="28"/>
  <c r="I46" i="28"/>
  <c r="C34" i="9"/>
  <c r="C19" i="9"/>
  <c r="J7" i="37"/>
  <c r="C34" i="24"/>
  <c r="C41" i="24"/>
  <c r="C17" i="24"/>
  <c r="J12" i="37"/>
  <c r="K18" i="28"/>
  <c r="K19" i="28"/>
  <c r="I15" i="9"/>
  <c r="I18" i="9"/>
  <c r="I61" i="9"/>
  <c r="I71" i="7"/>
  <c r="I31" i="28"/>
  <c r="I36" i="28"/>
  <c r="I37" i="28"/>
  <c r="O40" i="7"/>
  <c r="L17" i="28"/>
  <c r="L35" i="28"/>
  <c r="L53" i="28"/>
  <c r="L48" i="7"/>
  <c r="K17" i="30"/>
  <c r="K35" i="30"/>
  <c r="I57" i="11"/>
  <c r="L59" i="7"/>
  <c r="K36" i="28"/>
  <c r="L6" i="28"/>
  <c r="L24" i="28"/>
  <c r="L9" i="28"/>
  <c r="L27" i="28"/>
  <c r="L45" i="28"/>
  <c r="I17" i="30"/>
  <c r="I35" i="30"/>
  <c r="K13" i="30"/>
  <c r="H14" i="8"/>
  <c r="H13" i="8"/>
  <c r="J71" i="7"/>
  <c r="H9" i="30"/>
  <c r="J13" i="30"/>
  <c r="K32" i="19"/>
  <c r="H8" i="30"/>
  <c r="G34" i="28"/>
  <c r="H17" i="30"/>
  <c r="F21" i="24"/>
  <c r="I15" i="30"/>
  <c r="H34" i="28"/>
  <c r="J9" i="30"/>
  <c r="J27" i="30"/>
  <c r="K15" i="30"/>
  <c r="K9" i="30"/>
  <c r="G13" i="28"/>
  <c r="G18" i="28"/>
  <c r="G19" i="28"/>
  <c r="G31" i="28"/>
  <c r="H29" i="28"/>
  <c r="H31" i="28"/>
  <c r="K48" i="7"/>
  <c r="J70" i="19"/>
  <c r="H26" i="8"/>
  <c r="J69" i="19"/>
  <c r="H25" i="8"/>
  <c r="J28" i="19"/>
  <c r="J67" i="19"/>
  <c r="H23" i="8"/>
  <c r="G35" i="28"/>
  <c r="G53" i="28"/>
  <c r="E38" i="11"/>
  <c r="E19" i="11"/>
  <c r="H48" i="7"/>
  <c r="K59" i="7"/>
  <c r="J18" i="28"/>
  <c r="J19" i="28"/>
  <c r="K54" i="28"/>
  <c r="F37" i="28"/>
  <c r="F54" i="28"/>
  <c r="F55" i="28"/>
  <c r="L29" i="28"/>
  <c r="L13" i="28"/>
  <c r="L33" i="28"/>
  <c r="L16" i="28"/>
  <c r="L44" i="28"/>
  <c r="M11" i="28"/>
  <c r="J46" i="28"/>
  <c r="J54" i="28"/>
  <c r="I13" i="30"/>
  <c r="J36" i="28"/>
  <c r="I31" i="30"/>
  <c r="J16" i="30"/>
  <c r="J33" i="30"/>
  <c r="J34" i="30"/>
  <c r="I54" i="28"/>
  <c r="L7" i="37"/>
  <c r="L12" i="37"/>
  <c r="G6" i="30"/>
  <c r="H24" i="30"/>
  <c r="K7" i="37"/>
  <c r="I56" i="9"/>
  <c r="K43" i="19"/>
  <c r="I55" i="28"/>
  <c r="K37" i="28"/>
  <c r="F10" i="24"/>
  <c r="F17" i="24"/>
  <c r="I19" i="9"/>
  <c r="M6" i="28"/>
  <c r="M24" i="28"/>
  <c r="N24" i="28"/>
  <c r="O51" i="7"/>
  <c r="M8" i="28"/>
  <c r="M26" i="28"/>
  <c r="M44" i="28"/>
  <c r="N44" i="28"/>
  <c r="L71" i="7"/>
  <c r="K55" i="28"/>
  <c r="I33" i="24"/>
  <c r="M48" i="7"/>
  <c r="L10" i="28"/>
  <c r="L18" i="28"/>
  <c r="L19" i="28"/>
  <c r="I5" i="27"/>
  <c r="I6" i="27"/>
  <c r="M59" i="7"/>
  <c r="M15" i="28"/>
  <c r="M33" i="28"/>
  <c r="M51" i="28"/>
  <c r="M9" i="28"/>
  <c r="M27" i="28"/>
  <c r="M45" i="28"/>
  <c r="N45" i="28"/>
  <c r="K29" i="30"/>
  <c r="K31" i="30"/>
  <c r="H10" i="30"/>
  <c r="F33" i="24"/>
  <c r="I9" i="30"/>
  <c r="I27" i="30"/>
  <c r="J61" i="9"/>
  <c r="J56" i="9"/>
  <c r="J30" i="19"/>
  <c r="G8" i="30"/>
  <c r="H26" i="30"/>
  <c r="J31" i="19"/>
  <c r="G15" i="30"/>
  <c r="K71" i="7"/>
  <c r="H36" i="28"/>
  <c r="H37" i="28"/>
  <c r="K33" i="30"/>
  <c r="K34" i="30"/>
  <c r="K16" i="30"/>
  <c r="H47" i="28"/>
  <c r="H49" i="28"/>
  <c r="K27" i="30"/>
  <c r="G36" i="28"/>
  <c r="G37" i="28"/>
  <c r="I17" i="8"/>
  <c r="J68" i="19"/>
  <c r="H24" i="8"/>
  <c r="J29" i="19"/>
  <c r="G54" i="28"/>
  <c r="K66" i="19"/>
  <c r="I22" i="8"/>
  <c r="F15" i="27"/>
  <c r="J37" i="28"/>
  <c r="J17" i="30"/>
  <c r="J35" i="30"/>
  <c r="H57" i="11"/>
  <c r="O43" i="7"/>
  <c r="O42" i="7"/>
  <c r="L42" i="28"/>
  <c r="L28" i="28"/>
  <c r="M13" i="28"/>
  <c r="M29" i="28"/>
  <c r="N29" i="28"/>
  <c r="N31" i="28"/>
  <c r="O54" i="7"/>
  <c r="J38" i="11"/>
  <c r="O53" i="7"/>
  <c r="L51" i="28"/>
  <c r="L34" i="28"/>
  <c r="M8" i="30"/>
  <c r="M26" i="30"/>
  <c r="L47" i="28"/>
  <c r="L31" i="28"/>
  <c r="J55" i="28"/>
  <c r="G57" i="11"/>
  <c r="I33" i="30"/>
  <c r="I16" i="30"/>
  <c r="G33" i="24"/>
  <c r="J19" i="9"/>
  <c r="K12" i="37"/>
  <c r="M17" i="28"/>
  <c r="M35" i="28"/>
  <c r="M53" i="28"/>
  <c r="K38" i="11"/>
  <c r="K19" i="11"/>
  <c r="N26" i="28"/>
  <c r="M14" i="28"/>
  <c r="M32" i="28"/>
  <c r="N32" i="28"/>
  <c r="J5" i="27"/>
  <c r="J6" i="27"/>
  <c r="L19" i="9"/>
  <c r="I17" i="24"/>
  <c r="L61" i="9"/>
  <c r="L56" i="9"/>
  <c r="H5" i="27"/>
  <c r="H6" i="27"/>
  <c r="F5" i="27"/>
  <c r="F6" i="27"/>
  <c r="G5" i="27"/>
  <c r="G6" i="27"/>
  <c r="O55" i="7"/>
  <c r="O44" i="7"/>
  <c r="N33" i="28"/>
  <c r="N27" i="28"/>
  <c r="M10" i="28"/>
  <c r="G14" i="30"/>
  <c r="G32" i="30"/>
  <c r="G13" i="30"/>
  <c r="K61" i="9"/>
  <c r="H54" i="28"/>
  <c r="H55" i="28"/>
  <c r="K56" i="9"/>
  <c r="G9" i="30"/>
  <c r="G10" i="30"/>
  <c r="G55" i="28"/>
  <c r="I18" i="8"/>
  <c r="H14" i="30"/>
  <c r="I58" i="9"/>
  <c r="H25" i="36"/>
  <c r="K27" i="19"/>
  <c r="J66" i="19"/>
  <c r="H22" i="8"/>
  <c r="H33" i="30"/>
  <c r="M29" i="30"/>
  <c r="M31" i="30"/>
  <c r="H33" i="24"/>
  <c r="K19" i="9"/>
  <c r="J19" i="11"/>
  <c r="L36" i="28"/>
  <c r="L37" i="28"/>
  <c r="M42" i="28"/>
  <c r="M28" i="28"/>
  <c r="N51" i="28"/>
  <c r="L52" i="28"/>
  <c r="M47" i="28"/>
  <c r="M49" i="28"/>
  <c r="M31" i="28"/>
  <c r="M9" i="30"/>
  <c r="M27" i="30"/>
  <c r="M15" i="30"/>
  <c r="L49" i="28"/>
  <c r="L46" i="28"/>
  <c r="I34" i="30"/>
  <c r="G17" i="24"/>
  <c r="O41" i="7"/>
  <c r="O52" i="7"/>
  <c r="M34" i="28"/>
  <c r="M36" i="28"/>
  <c r="M6" i="30"/>
  <c r="M50" i="28"/>
  <c r="M52" i="28"/>
  <c r="M16" i="28"/>
  <c r="M18" i="28"/>
  <c r="M19" i="28"/>
  <c r="N53" i="28"/>
  <c r="N35" i="28"/>
  <c r="N28" i="28"/>
  <c r="N48" i="7"/>
  <c r="O45" i="7"/>
  <c r="M71" i="7"/>
  <c r="K17" i="8"/>
  <c r="J17" i="8"/>
  <c r="L17" i="8"/>
  <c r="N34" i="28"/>
  <c r="H29" i="30"/>
  <c r="H31" i="30"/>
  <c r="H71" i="7"/>
  <c r="I62" i="9"/>
  <c r="I57" i="9"/>
  <c r="H28" i="36"/>
  <c r="H27" i="30"/>
  <c r="H28" i="30"/>
  <c r="G16" i="30"/>
  <c r="I35" i="9"/>
  <c r="F22" i="24"/>
  <c r="I34" i="9"/>
  <c r="H32" i="30"/>
  <c r="H34" i="30"/>
  <c r="H16" i="30"/>
  <c r="H18" i="30"/>
  <c r="H19" i="30"/>
  <c r="E9" i="24"/>
  <c r="H15" i="9"/>
  <c r="H18" i="9"/>
  <c r="J27" i="19"/>
  <c r="M13" i="30"/>
  <c r="H17" i="24"/>
  <c r="L54" i="28"/>
  <c r="L55" i="28"/>
  <c r="M16" i="30"/>
  <c r="M33" i="30"/>
  <c r="M34" i="30"/>
  <c r="L15" i="30"/>
  <c r="L9" i="30"/>
  <c r="L27" i="30"/>
  <c r="N27" i="30"/>
  <c r="M46" i="28"/>
  <c r="N42" i="28"/>
  <c r="N47" i="28"/>
  <c r="N49" i="28"/>
  <c r="L8" i="30"/>
  <c r="L26" i="30"/>
  <c r="N26" i="30"/>
  <c r="M7" i="37"/>
  <c r="O48" i="7"/>
  <c r="N50" i="28"/>
  <c r="N52" i="28"/>
  <c r="N36" i="28"/>
  <c r="N59" i="7"/>
  <c r="O56" i="7"/>
  <c r="O59" i="7"/>
  <c r="L17" i="30"/>
  <c r="L35" i="30"/>
  <c r="J57" i="11"/>
  <c r="M17" i="8"/>
  <c r="M56" i="9"/>
  <c r="I6" i="30"/>
  <c r="J58" i="9"/>
  <c r="I26" i="36"/>
  <c r="K6" i="30"/>
  <c r="L58" i="9"/>
  <c r="K26" i="36"/>
  <c r="K58" i="9"/>
  <c r="J26" i="36"/>
  <c r="J6" i="30"/>
  <c r="M37" i="28"/>
  <c r="H28" i="35"/>
  <c r="I63" i="9"/>
  <c r="H61" i="9"/>
  <c r="H56" i="9"/>
  <c r="F29" i="24"/>
  <c r="F34" i="24"/>
  <c r="F41" i="24"/>
  <c r="I37" i="9"/>
  <c r="I36" i="9"/>
  <c r="H19" i="9"/>
  <c r="E10" i="24"/>
  <c r="M54" i="28"/>
  <c r="M55" i="28"/>
  <c r="L29" i="30"/>
  <c r="L13" i="30"/>
  <c r="M24" i="30"/>
  <c r="M10" i="30"/>
  <c r="L33" i="30"/>
  <c r="L16" i="30"/>
  <c r="L6" i="30"/>
  <c r="N46" i="28"/>
  <c r="M12" i="37"/>
  <c r="N54" i="28"/>
  <c r="N55" i="28"/>
  <c r="N7" i="37"/>
  <c r="N12" i="37"/>
  <c r="N71" i="7"/>
  <c r="J33" i="24"/>
  <c r="M19" i="9"/>
  <c r="J17" i="24"/>
  <c r="M61" i="9"/>
  <c r="M58" i="9"/>
  <c r="L26" i="36"/>
  <c r="J24" i="30"/>
  <c r="J10" i="30"/>
  <c r="J18" i="30"/>
  <c r="J19" i="30"/>
  <c r="K24" i="30"/>
  <c r="K10" i="30"/>
  <c r="K18" i="30"/>
  <c r="K19" i="30"/>
  <c r="J57" i="9"/>
  <c r="I29" i="36"/>
  <c r="J34" i="9"/>
  <c r="J62" i="9"/>
  <c r="J35" i="9"/>
  <c r="L62" i="9"/>
  <c r="L35" i="9"/>
  <c r="L57" i="9"/>
  <c r="K29" i="36"/>
  <c r="L34" i="9"/>
  <c r="K57" i="9"/>
  <c r="J29" i="36"/>
  <c r="K35" i="9"/>
  <c r="K62" i="9"/>
  <c r="K34" i="9"/>
  <c r="I24" i="30"/>
  <c r="I10" i="30"/>
  <c r="I18" i="30"/>
  <c r="I19" i="30"/>
  <c r="M62" i="9"/>
  <c r="H25" i="35"/>
  <c r="M35" i="9"/>
  <c r="M57" i="9"/>
  <c r="E17" i="24"/>
  <c r="L24" i="30"/>
  <c r="L10" i="30"/>
  <c r="L18" i="30"/>
  <c r="L19" i="30"/>
  <c r="L34" i="30"/>
  <c r="N33" i="30"/>
  <c r="N34" i="30"/>
  <c r="M28" i="30"/>
  <c r="L31" i="30"/>
  <c r="N29" i="30"/>
  <c r="N31" i="30"/>
  <c r="M34" i="9"/>
  <c r="O7" i="37"/>
  <c r="O19" i="9"/>
  <c r="N17" i="8"/>
  <c r="J37" i="9"/>
  <c r="J36" i="9"/>
  <c r="K28" i="30"/>
  <c r="K36" i="30"/>
  <c r="K37" i="30"/>
  <c r="J29" i="35"/>
  <c r="K63" i="9"/>
  <c r="J26" i="35"/>
  <c r="G34" i="24"/>
  <c r="G41" i="24"/>
  <c r="G29" i="24"/>
  <c r="K37" i="9"/>
  <c r="K36" i="9"/>
  <c r="L37" i="9"/>
  <c r="L36" i="9"/>
  <c r="J63" i="9"/>
  <c r="I26" i="35"/>
  <c r="I29" i="35"/>
  <c r="I28" i="30"/>
  <c r="I36" i="30"/>
  <c r="I37" i="30"/>
  <c r="H29" i="24"/>
  <c r="H34" i="24"/>
  <c r="H41" i="24"/>
  <c r="I29" i="24"/>
  <c r="I34" i="24"/>
  <c r="I41" i="24"/>
  <c r="K29" i="35"/>
  <c r="L63" i="9"/>
  <c r="K26" i="35"/>
  <c r="J28" i="30"/>
  <c r="J36" i="30"/>
  <c r="J37" i="30"/>
  <c r="M37" i="9"/>
  <c r="M36" i="9"/>
  <c r="L29" i="36"/>
  <c r="L29" i="35"/>
  <c r="M63" i="9"/>
  <c r="J34" i="24"/>
  <c r="J41" i="24"/>
  <c r="J29" i="24"/>
  <c r="L28" i="30"/>
  <c r="L36" i="30"/>
  <c r="L37" i="30"/>
  <c r="N24" i="30"/>
  <c r="G9" i="27"/>
  <c r="F9" i="27"/>
  <c r="I9" i="27"/>
  <c r="J9" i="27"/>
  <c r="H9" i="27"/>
  <c r="M17" i="30"/>
  <c r="O34" i="9"/>
  <c r="N61" i="9"/>
  <c r="N56" i="9"/>
  <c r="O56" i="9"/>
  <c r="K17" i="24"/>
  <c r="N19" i="9"/>
  <c r="L26" i="35"/>
  <c r="N28" i="30"/>
  <c r="F8" i="27"/>
  <c r="I8" i="27"/>
  <c r="H8" i="27"/>
  <c r="J8" i="27"/>
  <c r="G8" i="27"/>
  <c r="O61" i="9"/>
  <c r="M35" i="30"/>
  <c r="M18" i="30"/>
  <c r="M19" i="30"/>
  <c r="N58" i="9"/>
  <c r="K33" i="24"/>
  <c r="L33" i="24"/>
  <c r="N35" i="9"/>
  <c r="N34" i="9"/>
  <c r="N62" i="9"/>
  <c r="N57" i="9"/>
  <c r="I10" i="27"/>
  <c r="F10" i="27"/>
  <c r="J10" i="27"/>
  <c r="G10" i="27"/>
  <c r="H10" i="27"/>
  <c r="N36" i="9"/>
  <c r="N37" i="9"/>
  <c r="O35" i="9"/>
  <c r="M29" i="35"/>
  <c r="O62" i="9"/>
  <c r="M26" i="36"/>
  <c r="O58" i="9"/>
  <c r="M29" i="36"/>
  <c r="O57" i="9"/>
  <c r="K34" i="24"/>
  <c r="K57" i="11"/>
  <c r="N35" i="30"/>
  <c r="N36" i="30"/>
  <c r="M36" i="30"/>
  <c r="M37" i="30"/>
  <c r="K29" i="24"/>
  <c r="N63" i="9"/>
  <c r="H11" i="27"/>
  <c r="G11" i="27"/>
  <c r="J11" i="27"/>
  <c r="F11" i="27"/>
  <c r="I11" i="27"/>
  <c r="K41" i="24"/>
  <c r="L34" i="24"/>
  <c r="L41" i="24"/>
  <c r="M26" i="35"/>
  <c r="O63" i="9"/>
  <c r="K25" i="29"/>
  <c r="K24" i="29"/>
  <c r="N25" i="29"/>
  <c r="R17" i="29"/>
  <c r="R16" i="29"/>
  <c r="R18" i="29"/>
  <c r="N24" i="29"/>
  <c r="R14" i="29"/>
  <c r="R13" i="29"/>
  <c r="R15" i="29"/>
  <c r="N22" i="29"/>
  <c r="R6" i="29"/>
  <c r="R7" i="29"/>
  <c r="R5" i="29"/>
  <c r="N23" i="29"/>
  <c r="R12" i="29"/>
  <c r="N19" i="29"/>
  <c r="R10" i="29"/>
  <c r="R11" i="29"/>
  <c r="R8" i="29"/>
  <c r="R9" i="29"/>
  <c r="H25" i="29"/>
  <c r="J25" i="29"/>
  <c r="E25" i="29"/>
  <c r="I25" i="29"/>
  <c r="F25" i="29"/>
  <c r="G25" i="29"/>
  <c r="M25" i="29"/>
  <c r="Q17" i="29"/>
  <c r="L23" i="29"/>
  <c r="P10" i="29"/>
  <c r="L25" i="29"/>
  <c r="P17" i="29"/>
  <c r="G23" i="29"/>
  <c r="P12" i="29"/>
  <c r="P8" i="29"/>
  <c r="S8" i="29"/>
  <c r="D28" i="11"/>
  <c r="D9" i="11"/>
  <c r="F24" i="29"/>
  <c r="H23" i="29"/>
  <c r="H24" i="29"/>
  <c r="L24" i="29"/>
  <c r="P15" i="29"/>
  <c r="G24" i="29"/>
  <c r="E24" i="29"/>
  <c r="E23" i="29"/>
  <c r="J23" i="29"/>
  <c r="K23" i="29"/>
  <c r="M23" i="29"/>
  <c r="Q8" i="29"/>
  <c r="P16" i="29"/>
  <c r="P18" i="29"/>
  <c r="I22" i="29"/>
  <c r="I19" i="29"/>
  <c r="J19" i="29"/>
  <c r="J22" i="29"/>
  <c r="I24" i="29"/>
  <c r="S17" i="29"/>
  <c r="I23" i="29"/>
  <c r="F23" i="29"/>
  <c r="J24" i="29"/>
  <c r="Q9" i="29"/>
  <c r="P9" i="29"/>
  <c r="P11" i="29"/>
  <c r="Q18" i="29"/>
  <c r="Q16" i="29"/>
  <c r="P13" i="29"/>
  <c r="P14" i="29"/>
  <c r="G22" i="29"/>
  <c r="Q12" i="29"/>
  <c r="S12" i="29"/>
  <c r="K22" i="29"/>
  <c r="Q10" i="29"/>
  <c r="S9" i="29"/>
  <c r="M22" i="29"/>
  <c r="Q5" i="29"/>
  <c r="S18" i="29"/>
  <c r="L19" i="29"/>
  <c r="L22" i="29"/>
  <c r="P7" i="29"/>
  <c r="G19" i="29"/>
  <c r="E28" i="11"/>
  <c r="F28" i="11"/>
  <c r="J47" i="11"/>
  <c r="J28" i="11"/>
  <c r="I28" i="11"/>
  <c r="I47" i="11"/>
  <c r="K28" i="11"/>
  <c r="F47" i="11"/>
  <c r="K47" i="11"/>
  <c r="H47" i="11"/>
  <c r="G28" i="11"/>
  <c r="H28" i="11"/>
  <c r="G47" i="11"/>
  <c r="K19" i="29"/>
  <c r="H22" i="29"/>
  <c r="H19" i="29"/>
  <c r="E22" i="29"/>
  <c r="E19" i="29"/>
  <c r="S16" i="29"/>
  <c r="Q11" i="29"/>
  <c r="S11" i="29"/>
  <c r="F51" i="11"/>
  <c r="D32" i="11"/>
  <c r="D13" i="11"/>
  <c r="F29" i="11"/>
  <c r="F10" i="11"/>
  <c r="D29" i="11"/>
  <c r="D10" i="11"/>
  <c r="D31" i="11"/>
  <c r="D12" i="11"/>
  <c r="I9" i="11"/>
  <c r="F9" i="11"/>
  <c r="G9" i="11"/>
  <c r="K9" i="11"/>
  <c r="E9" i="11"/>
  <c r="G48" i="11"/>
  <c r="F32" i="11"/>
  <c r="H9" i="11"/>
  <c r="J9" i="11"/>
  <c r="H32" i="11"/>
  <c r="Q6" i="29"/>
  <c r="K48" i="11"/>
  <c r="G32" i="11"/>
  <c r="J51" i="11"/>
  <c r="Q7" i="29"/>
  <c r="S7" i="29"/>
  <c r="I51" i="11"/>
  <c r="M19" i="29"/>
  <c r="G29" i="11"/>
  <c r="F48" i="11"/>
  <c r="I48" i="11"/>
  <c r="H29" i="11"/>
  <c r="J48" i="11"/>
  <c r="E29" i="11"/>
  <c r="H48" i="11"/>
  <c r="K29" i="11"/>
  <c r="J29" i="11"/>
  <c r="S10" i="29"/>
  <c r="H51" i="11"/>
  <c r="K32" i="11"/>
  <c r="G51" i="11"/>
  <c r="I29" i="11"/>
  <c r="K51" i="11"/>
  <c r="J32" i="11"/>
  <c r="I32" i="11"/>
  <c r="E32" i="11"/>
  <c r="F31" i="11"/>
  <c r="E31" i="11"/>
  <c r="F50" i="11"/>
  <c r="I31" i="11"/>
  <c r="J50" i="11"/>
  <c r="I50" i="11"/>
  <c r="K31" i="11"/>
  <c r="J31" i="11"/>
  <c r="G31" i="11"/>
  <c r="H31" i="11"/>
  <c r="H50" i="11"/>
  <c r="K50" i="11"/>
  <c r="G50" i="11"/>
  <c r="P6" i="29"/>
  <c r="M24" i="29"/>
  <c r="Q13" i="29"/>
  <c r="S13" i="29"/>
  <c r="P5" i="29"/>
  <c r="S5" i="29"/>
  <c r="D25" i="11"/>
  <c r="D33" i="11"/>
  <c r="D14" i="11"/>
  <c r="T12" i="29"/>
  <c r="U12" i="29"/>
  <c r="D30" i="11"/>
  <c r="D11" i="11"/>
  <c r="K46" i="11"/>
  <c r="D27" i="11"/>
  <c r="D8" i="11"/>
  <c r="H12" i="11"/>
  <c r="G12" i="11"/>
  <c r="E12" i="11"/>
  <c r="F13" i="11"/>
  <c r="F12" i="11"/>
  <c r="J13" i="11"/>
  <c r="K13" i="11"/>
  <c r="H10" i="11"/>
  <c r="H13" i="11"/>
  <c r="K12" i="11"/>
  <c r="I10" i="11"/>
  <c r="E10" i="11"/>
  <c r="J12" i="11"/>
  <c r="I12" i="11"/>
  <c r="E13" i="11"/>
  <c r="G13" i="11"/>
  <c r="E30" i="11"/>
  <c r="K49" i="11"/>
  <c r="K30" i="11"/>
  <c r="K10" i="11"/>
  <c r="J10" i="11"/>
  <c r="G10" i="11"/>
  <c r="I13" i="11"/>
  <c r="H49" i="11"/>
  <c r="S6" i="29"/>
  <c r="J45" i="11"/>
  <c r="G30" i="11"/>
  <c r="F30" i="11"/>
  <c r="I49" i="11"/>
  <c r="J30" i="11"/>
  <c r="G49" i="11"/>
  <c r="J49" i="11"/>
  <c r="F49" i="11"/>
  <c r="H30" i="11"/>
  <c r="I30" i="11"/>
  <c r="E25" i="11"/>
  <c r="F27" i="11"/>
  <c r="K27" i="11"/>
  <c r="J46" i="11"/>
  <c r="G27" i="11"/>
  <c r="J27" i="11"/>
  <c r="I46" i="11"/>
  <c r="F46" i="11"/>
  <c r="H46" i="11"/>
  <c r="I27" i="11"/>
  <c r="G46" i="11"/>
  <c r="H27" i="11"/>
  <c r="E27" i="11"/>
  <c r="F33" i="11"/>
  <c r="F52" i="11"/>
  <c r="H33" i="11"/>
  <c r="E33" i="11"/>
  <c r="K33" i="11"/>
  <c r="I52" i="11"/>
  <c r="I33" i="11"/>
  <c r="J33" i="11"/>
  <c r="J52" i="11"/>
  <c r="G33" i="11"/>
  <c r="K52" i="11"/>
  <c r="H52" i="11"/>
  <c r="G52" i="11"/>
  <c r="Q15" i="29"/>
  <c r="S15" i="29"/>
  <c r="Q14" i="29"/>
  <c r="S14" i="29"/>
  <c r="I44" i="11"/>
  <c r="F25" i="11"/>
  <c r="I25" i="11"/>
  <c r="K44" i="11"/>
  <c r="J44" i="11"/>
  <c r="K25" i="11"/>
  <c r="G25" i="11"/>
  <c r="J25" i="11"/>
  <c r="H25" i="11"/>
  <c r="H44" i="11"/>
  <c r="F44" i="11"/>
  <c r="G44" i="11"/>
  <c r="H26" i="11"/>
  <c r="H7" i="11"/>
  <c r="H45" i="11"/>
  <c r="I26" i="11"/>
  <c r="I7" i="11"/>
  <c r="J26" i="11"/>
  <c r="J7" i="11"/>
  <c r="T7" i="29"/>
  <c r="D26" i="11"/>
  <c r="D7" i="11"/>
  <c r="D34" i="11"/>
  <c r="D15" i="11"/>
  <c r="D35" i="11"/>
  <c r="D16" i="11"/>
  <c r="D6" i="11"/>
  <c r="K45" i="11"/>
  <c r="K6" i="11"/>
  <c r="K14" i="11"/>
  <c r="I11" i="11"/>
  <c r="G11" i="11"/>
  <c r="K11" i="11"/>
  <c r="H6" i="11"/>
  <c r="J14" i="11"/>
  <c r="I8" i="11"/>
  <c r="H11" i="11"/>
  <c r="J11" i="11"/>
  <c r="G26" i="11"/>
  <c r="E26" i="11"/>
  <c r="J6" i="11"/>
  <c r="I14" i="11"/>
  <c r="H14" i="11"/>
  <c r="G8" i="11"/>
  <c r="E11" i="11"/>
  <c r="F6" i="11"/>
  <c r="E14" i="11"/>
  <c r="I45" i="11"/>
  <c r="G45" i="11"/>
  <c r="K26" i="11"/>
  <c r="F26" i="11"/>
  <c r="F45" i="11"/>
  <c r="G6" i="11"/>
  <c r="I6" i="11"/>
  <c r="G14" i="11"/>
  <c r="H8" i="11"/>
  <c r="E6" i="11"/>
  <c r="F11" i="11"/>
  <c r="K8" i="11"/>
  <c r="F14" i="11"/>
  <c r="J8" i="11"/>
  <c r="F8" i="11"/>
  <c r="E8" i="11"/>
  <c r="T15" i="29"/>
  <c r="F34" i="11"/>
  <c r="I53" i="11"/>
  <c r="J34" i="11"/>
  <c r="I34" i="11"/>
  <c r="F53" i="11"/>
  <c r="E34" i="11"/>
  <c r="K34" i="11"/>
  <c r="J53" i="11"/>
  <c r="H34" i="11"/>
  <c r="G34" i="11"/>
  <c r="K53" i="11"/>
  <c r="H53" i="11"/>
  <c r="G53" i="11"/>
  <c r="F35" i="11"/>
  <c r="J54" i="11"/>
  <c r="I54" i="11"/>
  <c r="I35" i="11"/>
  <c r="J35" i="11"/>
  <c r="H35" i="11"/>
  <c r="K35" i="11"/>
  <c r="F54" i="11"/>
  <c r="E35" i="11"/>
  <c r="K54" i="11"/>
  <c r="G35" i="11"/>
  <c r="H54" i="11"/>
  <c r="G54" i="11"/>
  <c r="D20" i="11"/>
  <c r="D39" i="11"/>
  <c r="D40" i="11"/>
  <c r="F7" i="11"/>
  <c r="G16" i="11"/>
  <c r="I16" i="11"/>
  <c r="H15" i="11"/>
  <c r="K7" i="11"/>
  <c r="K16" i="11"/>
  <c r="G7" i="11"/>
  <c r="E7" i="11"/>
  <c r="F15" i="11"/>
  <c r="E16" i="11"/>
  <c r="H16" i="11"/>
  <c r="K15" i="11"/>
  <c r="I15" i="11"/>
  <c r="J16" i="11"/>
  <c r="F16" i="11"/>
  <c r="G15" i="11"/>
  <c r="E15" i="11"/>
  <c r="J15" i="11"/>
  <c r="J39" i="11"/>
  <c r="J40" i="11"/>
  <c r="I58" i="11"/>
  <c r="I59" i="11"/>
  <c r="J58" i="11"/>
  <c r="J59" i="11"/>
  <c r="K39" i="11"/>
  <c r="K40" i="11"/>
  <c r="H58" i="11"/>
  <c r="H59" i="11"/>
  <c r="F39" i="11"/>
  <c r="F40" i="11"/>
  <c r="I39" i="11"/>
  <c r="I40" i="11"/>
  <c r="G39" i="11"/>
  <c r="G40" i="11"/>
  <c r="E39" i="11"/>
  <c r="E40" i="11"/>
  <c r="H39" i="11"/>
  <c r="H40" i="11"/>
  <c r="G58" i="11"/>
  <c r="G59" i="11"/>
  <c r="K58" i="11"/>
  <c r="K59" i="11"/>
  <c r="D21" i="11"/>
  <c r="J20" i="11"/>
  <c r="J21" i="11"/>
  <c r="K20" i="11"/>
  <c r="K21" i="11"/>
  <c r="E20" i="11"/>
  <c r="E21" i="11"/>
  <c r="I20" i="11"/>
  <c r="I21" i="11"/>
  <c r="H20" i="11"/>
  <c r="H21" i="11"/>
  <c r="F20" i="11"/>
  <c r="F21" i="11"/>
  <c r="G20" i="11"/>
  <c r="G21" i="11"/>
  <c r="F22" i="29"/>
  <c r="F19" i="29"/>
  <c r="G12" i="9"/>
  <c r="F8" i="30"/>
  <c r="G10" i="9"/>
  <c r="L82" i="6"/>
  <c r="G16" i="9"/>
  <c r="G31" i="9"/>
  <c r="D15" i="27"/>
  <c r="G48" i="7"/>
  <c r="G26" i="30"/>
  <c r="F26" i="30"/>
  <c r="G13" i="9"/>
  <c r="G9" i="9"/>
  <c r="G45" i="9"/>
  <c r="F29" i="30"/>
  <c r="G43" i="9"/>
  <c r="G49" i="7"/>
  <c r="H44" i="1"/>
  <c r="G46" i="9"/>
  <c r="G24" i="9"/>
  <c r="G17" i="8"/>
  <c r="G18" i="8"/>
  <c r="F12" i="30"/>
  <c r="F7" i="30"/>
  <c r="F9" i="30"/>
  <c r="F15" i="30"/>
  <c r="G49" i="9"/>
  <c r="G59" i="7"/>
  <c r="F17" i="30"/>
  <c r="D21" i="24"/>
  <c r="G47" i="9"/>
  <c r="D9" i="24"/>
  <c r="G29" i="30"/>
  <c r="D5" i="21"/>
  <c r="G30" i="30"/>
  <c r="F30" i="30"/>
  <c r="F31" i="30"/>
  <c r="F27" i="30"/>
  <c r="G27" i="30"/>
  <c r="F13" i="30"/>
  <c r="F35" i="30"/>
  <c r="D57" i="11"/>
  <c r="F6" i="30"/>
  <c r="F16" i="30"/>
  <c r="G33" i="30"/>
  <c r="G34" i="30"/>
  <c r="F33" i="30"/>
  <c r="F34" i="30"/>
  <c r="D33" i="24"/>
  <c r="G7" i="9"/>
  <c r="G71" i="7"/>
  <c r="F25" i="30"/>
  <c r="G25" i="30"/>
  <c r="G42" i="9"/>
  <c r="G31" i="30"/>
  <c r="E50" i="11"/>
  <c r="G35" i="9"/>
  <c r="G57" i="9"/>
  <c r="G62" i="9"/>
  <c r="L76" i="6"/>
  <c r="D54" i="11"/>
  <c r="D52" i="11"/>
  <c r="D53" i="11"/>
  <c r="D22" i="24"/>
  <c r="D29" i="24"/>
  <c r="G24" i="30"/>
  <c r="F24" i="30"/>
  <c r="F10" i="30"/>
  <c r="F18" i="30"/>
  <c r="F19" i="30"/>
  <c r="E53" i="11"/>
  <c r="E54" i="11"/>
  <c r="E52" i="11"/>
  <c r="G40" i="9"/>
  <c r="G48" i="9"/>
  <c r="G51" i="9"/>
  <c r="G58" i="9"/>
  <c r="G15" i="9"/>
  <c r="G18" i="9"/>
  <c r="D51" i="11"/>
  <c r="D47" i="11"/>
  <c r="D50" i="11"/>
  <c r="D48" i="11"/>
  <c r="D49" i="11"/>
  <c r="E49" i="11"/>
  <c r="E48" i="11"/>
  <c r="F27" i="36"/>
  <c r="F24" i="36"/>
  <c r="E51" i="11"/>
  <c r="E47" i="11"/>
  <c r="F27" i="35"/>
  <c r="G36" i="9"/>
  <c r="G61" i="9"/>
  <c r="G56" i="9"/>
  <c r="G37" i="9"/>
  <c r="G28" i="30"/>
  <c r="G19" i="9"/>
  <c r="D10" i="24"/>
  <c r="F28" i="30"/>
  <c r="F36" i="30"/>
  <c r="F37" i="30"/>
  <c r="G34" i="9"/>
  <c r="G63" i="9"/>
  <c r="O37" i="9"/>
  <c r="O36" i="9"/>
  <c r="D34" i="24"/>
  <c r="D41" i="24"/>
  <c r="D17" i="24"/>
  <c r="D45" i="11"/>
  <c r="D44" i="11"/>
  <c r="D46" i="11"/>
  <c r="E44" i="11"/>
  <c r="E46" i="11"/>
  <c r="E45" i="11"/>
  <c r="F24" i="35"/>
  <c r="D58" i="11"/>
  <c r="D59" i="11"/>
  <c r="J61" i="19"/>
  <c r="J22" i="19"/>
  <c r="G17" i="30"/>
  <c r="G35" i="30"/>
  <c r="E57" i="11"/>
  <c r="E58" i="11"/>
  <c r="G36" i="30"/>
  <c r="E59" i="11"/>
  <c r="H62" i="9"/>
  <c r="H63" i="9"/>
  <c r="G18" i="30"/>
  <c r="G37" i="30"/>
  <c r="H58" i="9"/>
  <c r="H57" i="9"/>
  <c r="J41" i="19"/>
  <c r="J71" i="19"/>
  <c r="H27" i="8"/>
  <c r="E15" i="27"/>
  <c r="D5" i="27"/>
  <c r="D6" i="27"/>
  <c r="D8" i="27"/>
  <c r="D9" i="27"/>
  <c r="D10" i="27"/>
  <c r="D11" i="27"/>
  <c r="H35" i="30"/>
  <c r="F57" i="11"/>
  <c r="F58" i="11"/>
  <c r="H36" i="30"/>
  <c r="F59" i="11"/>
  <c r="E5" i="27"/>
  <c r="E6" i="27"/>
  <c r="E8" i="27"/>
  <c r="E9" i="27"/>
  <c r="E10" i="27"/>
  <c r="E11" i="27"/>
  <c r="H37" i="30"/>
  <c r="H35" i="9"/>
  <c r="H37" i="9"/>
  <c r="H36" i="9"/>
  <c r="E21" i="24"/>
  <c r="E33" i="24"/>
  <c r="E22" i="24"/>
  <c r="E34" i="24"/>
  <c r="E41" i="24"/>
  <c r="G28" i="35"/>
  <c r="G28" i="36"/>
  <c r="G25" i="35"/>
  <c r="E29" i="24"/>
  <c r="G19" i="30"/>
  <c r="J32" i="19"/>
  <c r="H34" i="9"/>
  <c r="H15" i="8"/>
  <c r="H17" i="8"/>
  <c r="J63" i="19"/>
  <c r="H18" i="8"/>
  <c r="G25" i="36"/>
  <c r="J43" i="19"/>
  <c r="J24" i="19"/>
  <c r="J53" i="19"/>
  <c r="J25" i="19"/>
</calcChain>
</file>

<file path=xl/sharedStrings.xml><?xml version="1.0" encoding="utf-8"?>
<sst xmlns="http://schemas.openxmlformats.org/spreadsheetml/2006/main" count="1691" uniqueCount="432">
  <si>
    <t>Private Electric Line Repl</t>
  </si>
  <si>
    <t>Meters T/Switches &amp; Services</t>
  </si>
  <si>
    <t>Recoverable &amp; Special Works</t>
  </si>
  <si>
    <t>SCS Capex</t>
  </si>
  <si>
    <t>Total</t>
  </si>
  <si>
    <t>Source:  Regulatory Accounting Team</t>
  </si>
  <si>
    <t>Workcode</t>
  </si>
  <si>
    <t>CY2015</t>
  </si>
  <si>
    <t>CY2016</t>
  </si>
  <si>
    <t>CY2017</t>
  </si>
  <si>
    <t>CY2018</t>
  </si>
  <si>
    <t>CY2019</t>
  </si>
  <si>
    <t>CY2020</t>
  </si>
  <si>
    <t>118 - COGENERATION PROJECTS</t>
  </si>
  <si>
    <t>CY2010</t>
  </si>
  <si>
    <t>CY2011</t>
  </si>
  <si>
    <t>CY2012</t>
  </si>
  <si>
    <t>CY2013</t>
  </si>
  <si>
    <t>CY2014</t>
  </si>
  <si>
    <t>Actual</t>
  </si>
  <si>
    <t>Forecast</t>
  </si>
  <si>
    <t>Average Unit Cost per connection ($000's)</t>
  </si>
  <si>
    <t>Customer Connections Splits</t>
  </si>
  <si>
    <t>Direct Labour Cost</t>
  </si>
  <si>
    <t>Direct Material Cost</t>
  </si>
  <si>
    <t>Contracts Cost</t>
  </si>
  <si>
    <t>Other Cost</t>
  </si>
  <si>
    <t>Connections Capex Forecast</t>
  </si>
  <si>
    <t>Other Customer Capex - Non connection related</t>
  </si>
  <si>
    <t>Reg Forecast</t>
  </si>
  <si>
    <t>Source: Oracle report: 109 112 116 Capex (Direct) 2011-13.xlsm</t>
  </si>
  <si>
    <t>Labour</t>
  </si>
  <si>
    <t>Materials</t>
  </si>
  <si>
    <t>Contracts</t>
  </si>
  <si>
    <t>Other</t>
  </si>
  <si>
    <t>Gross Capex</t>
  </si>
  <si>
    <t>Average</t>
  </si>
  <si>
    <t>RESIDENTIAL</t>
  </si>
  <si>
    <t>COMMERCIAL/INDUSTRIAL</t>
  </si>
  <si>
    <t>SUBDIVISION</t>
  </si>
  <si>
    <t>EMBEDDED GENERATION</t>
  </si>
  <si>
    <t>Code</t>
  </si>
  <si>
    <t>CONNECTION SUBCATEGORY</t>
  </si>
  <si>
    <t>EDPR RIN Template Outputs</t>
  </si>
  <si>
    <t>Connections Forecast Assumptions</t>
  </si>
  <si>
    <t>Connection Category</t>
  </si>
  <si>
    <t>Unit Rate</t>
  </si>
  <si>
    <t>Volume</t>
  </si>
  <si>
    <t>Historical proportion of forecast residential connections</t>
  </si>
  <si>
    <t>Historical proportion of forecast non-residential connections</t>
  </si>
  <si>
    <t>N/A - forecast driven by historical costs incurred</t>
  </si>
  <si>
    <t>(Note, this activity is excluded from total Connections Forecast)</t>
  </si>
  <si>
    <t>(This activity is excluded from Connections Forecast)</t>
  </si>
  <si>
    <t>AusNet Overheads Allocation</t>
  </si>
  <si>
    <t>In Thousands</t>
  </si>
  <si>
    <t>1.  Assumptions</t>
  </si>
  <si>
    <t>2.5 Connections</t>
  </si>
  <si>
    <t>a.</t>
  </si>
  <si>
    <t>b.</t>
  </si>
  <si>
    <t>c.</t>
  </si>
  <si>
    <t>d.</t>
  </si>
  <si>
    <t>Total Expenditure Forecast</t>
  </si>
  <si>
    <t>Historical Cost recovery</t>
  </si>
  <si>
    <t>Contributions Forecast</t>
  </si>
  <si>
    <t>Historical Cost Recovery</t>
  </si>
  <si>
    <t>Connections Expenditure Forecast - All activities</t>
  </si>
  <si>
    <t>Non-Connection related Direct Expenditure Forecast</t>
  </si>
  <si>
    <t>Connection related Direct Expenditure Forecast</t>
  </si>
  <si>
    <t>Thousands</t>
  </si>
  <si>
    <t>Other Lookups</t>
  </si>
  <si>
    <t>Table of Contents</t>
  </si>
  <si>
    <t>(This activity is excluded from Connections forecast as this is reported under Reinforcement &amp; Safety Capex)</t>
  </si>
  <si>
    <t>Table A:  Basis of Forecast Unit rates &amp; Volumes by Work code</t>
  </si>
  <si>
    <t>Underlying forecast connections supplied by Revenue Forecasting Team</t>
  </si>
  <si>
    <r>
      <t xml:space="preserve">Estimated historic &amp; forecast Connections for Capex </t>
    </r>
    <r>
      <rPr>
        <b/>
        <vertAlign val="superscript"/>
        <sz val="11"/>
        <color theme="1"/>
        <rFont val="Calibri"/>
        <family val="2"/>
      </rPr>
      <t>#</t>
    </r>
  </si>
  <si>
    <t>Customer Capex work codes allocation for Reg Accounts purposes</t>
  </si>
  <si>
    <t>Connections</t>
  </si>
  <si>
    <t>Regulatory &amp; Financial Allocations</t>
  </si>
  <si>
    <t>Check</t>
  </si>
  <si>
    <t>Labour Type</t>
  </si>
  <si>
    <t>Internal labour real rate</t>
  </si>
  <si>
    <t>Internal labour index</t>
  </si>
  <si>
    <t>External labour real rate</t>
  </si>
  <si>
    <t>External labour index</t>
  </si>
  <si>
    <t>No of lots - 1018</t>
  </si>
  <si>
    <t>No of lots - 1019</t>
  </si>
  <si>
    <t>No of Proj - 1018</t>
  </si>
  <si>
    <t>No of Proj - 1019</t>
  </si>
  <si>
    <t>Base</t>
  </si>
  <si>
    <t>G/A</t>
  </si>
  <si>
    <t>LOW DENSITY HOUSING</t>
  </si>
  <si>
    <t>Lots</t>
  </si>
  <si>
    <t>Projects</t>
  </si>
  <si>
    <t>4 mths</t>
  </si>
  <si>
    <t>8mths</t>
  </si>
  <si>
    <t>Direct costs excl Tenix OH</t>
  </si>
  <si>
    <t>LOW DENSITY HOUSING - SUBDIVISION</t>
  </si>
  <si>
    <t>F'cast</t>
  </si>
  <si>
    <t>Historical / Forecast Volumes incl Gifted Assets</t>
  </si>
  <si>
    <t>No of projects</t>
  </si>
  <si>
    <t>FY22</t>
  </si>
  <si>
    <t>FY23</t>
  </si>
  <si>
    <t>FY24</t>
  </si>
  <si>
    <t>CY18</t>
  </si>
  <si>
    <t>CY19</t>
  </si>
  <si>
    <t>CY20</t>
  </si>
  <si>
    <t>1012 - MEDIUM DENSITY HOUSING - No of Lots</t>
  </si>
  <si>
    <t>1013 - U/GROUND SERVICE INSTALLATION - no of projects</t>
  </si>
  <si>
    <t>1014 - BUSINESS SUPPLY PROJECTS - no of projects</t>
  </si>
  <si>
    <t>MEDIUM DENSITY HOUSING - SUBDIVISION</t>
  </si>
  <si>
    <t>UNDERGROUND SERVICE INSTALLATION</t>
  </si>
  <si>
    <t>BUSINESS SUPPLY PROJECTS</t>
  </si>
  <si>
    <t>COMPLEX RESIDENTIAL SUPPLY PROJECTS</t>
  </si>
  <si>
    <t>COGENERATION PROJECTS</t>
  </si>
  <si>
    <t>PRIVATE ELECTRIC LINE REPLACEMENT - RESIDENTIAL</t>
  </si>
  <si>
    <t>Comments</t>
  </si>
  <si>
    <t>Average contribution rate - SCS only</t>
  </si>
  <si>
    <t>Contributions exc Gifted assets</t>
  </si>
  <si>
    <t>Avg contribution rate - SCS, exc Gifted</t>
  </si>
  <si>
    <t>Avg contribution rate - SCS, exc Gifted, exc Co-Gen</t>
  </si>
  <si>
    <t>2021-25</t>
  </si>
  <si>
    <t>2017 Actual splits</t>
  </si>
  <si>
    <t>Includes Turnkey Contracts</t>
  </si>
  <si>
    <t>2017 actual splits - excl Gifted assets</t>
  </si>
  <si>
    <t>2010-14 Avg splits</t>
  </si>
  <si>
    <t>Total Res Conn - SCS</t>
  </si>
  <si>
    <t>$2018</t>
  </si>
  <si>
    <t>$2014 to Nominal</t>
  </si>
  <si>
    <t>Nominal to $2018</t>
  </si>
  <si>
    <t>AusNet Overheads ($2018)</t>
  </si>
  <si>
    <t>Direct Expenditure (In $2018)</t>
  </si>
  <si>
    <t>Direct Labour Unit Cost ($2018)</t>
  </si>
  <si>
    <t>Direct Material Unit Cost ($2018)</t>
  </si>
  <si>
    <t>Direct Contracts Unit Cost ($2018)</t>
  </si>
  <si>
    <t>Direct Other Unit Cost ($2018)</t>
  </si>
  <si>
    <t>CPI - Nominal to $2018</t>
  </si>
  <si>
    <t>TURNKEY - GIFTED ASSETS</t>
  </si>
  <si>
    <t>AusNet Design and Construct</t>
  </si>
  <si>
    <t>TURNKEY - HV Rebates (Payments to Developers)</t>
  </si>
  <si>
    <t>AusNet Design and Construct (2% of all volume)</t>
  </si>
  <si>
    <t>Gross Capex $2018</t>
  </si>
  <si>
    <t>Direct Expenditure - $Nom</t>
  </si>
  <si>
    <t>Tenix OH's - $Nom</t>
  </si>
  <si>
    <t>Direct Exp (In $2018 dollars)</t>
  </si>
  <si>
    <t>TOTAL</t>
  </si>
  <si>
    <t>$Nominal</t>
  </si>
  <si>
    <t>Connections Forecast Summary - Standard Control Services</t>
  </si>
  <si>
    <t>FY25</t>
  </si>
  <si>
    <t>CPI 8 cities - Jun to Jun, 1 year lagged</t>
  </si>
  <si>
    <t>CPI 8 cities - Sept to Sept, 1 year lagged</t>
  </si>
  <si>
    <t>Note, AusNet D shifts from CPI basis of Sept qtr to Jun qtr commencing from 2016 (start of 2016-20 control period) as per AusNet D 2016-20 Final Determination - Control mechanisms - attachment 14, May 2016</t>
  </si>
  <si>
    <t>AusNet CPI Table</t>
  </si>
  <si>
    <t>Labour Escalation</t>
  </si>
  <si>
    <t>2.  Escalation</t>
  </si>
  <si>
    <t>3. Regulatory &amp; Financial Allocations</t>
  </si>
  <si>
    <t>4. Connections (Historical / Forecast)</t>
  </si>
  <si>
    <t>Total no of Projects</t>
  </si>
  <si>
    <t>Total Lots</t>
  </si>
  <si>
    <t>Direct costs excl Tenix OH / Downer support</t>
  </si>
  <si>
    <t>Tenix OH / Downer Support</t>
  </si>
  <si>
    <t>Historical</t>
  </si>
  <si>
    <t>$Nominal, $000's</t>
  </si>
  <si>
    <t>Direct costs incl Tenix OH / Downer support</t>
  </si>
  <si>
    <t>Standard Control Services</t>
  </si>
  <si>
    <t>Actual / Historical</t>
  </si>
  <si>
    <t>Gifted assets based on avg cost per lot, excludes AusNet overhead allocation</t>
  </si>
  <si>
    <t>Contrib forecasts - 2% of all projects (AusNet D&amp;C)</t>
  </si>
  <si>
    <t>Capitalised Overheads</t>
  </si>
  <si>
    <t>&lt;SPARE&gt;</t>
  </si>
  <si>
    <t>AusNet Overhead rate - New Connections</t>
  </si>
  <si>
    <t>Capitalised OH rate</t>
  </si>
  <si>
    <t>Co Generation Projects Forecast</t>
  </si>
  <si>
    <t>Downer Support costs ($2018)</t>
  </si>
  <si>
    <t>Direct excl Downer Support costs ($2018)</t>
  </si>
  <si>
    <t>Total Direct costs ($2018)</t>
  </si>
  <si>
    <t>AusNet Overheads</t>
  </si>
  <si>
    <t>Excluding real cost escalators, $2018</t>
  </si>
  <si>
    <t>With Labour Escalators, $2018</t>
  </si>
  <si>
    <t>Downer Support costs Allocation</t>
  </si>
  <si>
    <t>NEW SERVICE</t>
  </si>
  <si>
    <t>Avg over historic period 2010-13 (Ex Meters T/Switches &amp; Services)</t>
  </si>
  <si>
    <t>Avg over historic period 2010-13 (Ex Recoverable &amp; Special Works)</t>
  </si>
  <si>
    <t>Gross Capex - $2018</t>
  </si>
  <si>
    <t>Tenix OH Total (incl 1016, 1020, 1002)  ($2018)</t>
  </si>
  <si>
    <t>Direct Costs excluding escalators ($2018)</t>
  </si>
  <si>
    <t>Direct Costs including escalators ($2018)</t>
  </si>
  <si>
    <t>Expenditure Splits - per AusNet Services' Accounting systems and 2017 RIN response supporting documents</t>
  </si>
  <si>
    <t>Gifted assets only</t>
  </si>
  <si>
    <t>Overall split of Work Assignment</t>
  </si>
  <si>
    <t>Turnkey / Gifted by Developers to AusNet D</t>
  </si>
  <si>
    <t>AusNet DES &amp;Const, Ext. Design &amp; AusNet Construct</t>
  </si>
  <si>
    <t>As per forecast approach</t>
  </si>
  <si>
    <t>Downer Support cost Allocations</t>
  </si>
  <si>
    <t>C.I.C</t>
  </si>
  <si>
    <t>Downer support Allocation</t>
  </si>
  <si>
    <t>Total Direct $2018 incl escalators (incl Downer)</t>
  </si>
  <si>
    <t>Total Direct $2018 incl escalators (excl Downer)</t>
  </si>
  <si>
    <t>Capex by RAB Class</t>
  </si>
  <si>
    <t>Subtransmission</t>
  </si>
  <si>
    <t>Distribution system assets</t>
  </si>
  <si>
    <t>SCADA/Network control</t>
  </si>
  <si>
    <t>Non-network general assets - IT</t>
  </si>
  <si>
    <t>Non-network general assets - Other</t>
  </si>
  <si>
    <t>Land</t>
  </si>
  <si>
    <t>Customer Contributions</t>
  </si>
  <si>
    <t>Net Capex</t>
  </si>
  <si>
    <t>Direct costs excluding Downer Support costs</t>
  </si>
  <si>
    <t>RFM &amp; PTRM output</t>
  </si>
  <si>
    <t>Summary Output - Total Gross, Contributions &amp; Net Expenditure</t>
  </si>
  <si>
    <t>Capex &amp; Contributions by Asset Class</t>
  </si>
  <si>
    <t>Non-network - Metering related IT</t>
  </si>
  <si>
    <t>Subtransmission connections</t>
  </si>
  <si>
    <t>Overheads</t>
  </si>
  <si>
    <t>Gifted</t>
  </si>
  <si>
    <t>Cash</t>
  </si>
  <si>
    <t>TURNKEY - LV/HV Rebates (Payments to Developers)</t>
  </si>
  <si>
    <t>Turnkey - Gifted Assets - Medium Density Housing</t>
  </si>
  <si>
    <t>Volume of Gifted lots</t>
  </si>
  <si>
    <t>Volume per LV/HV rebates</t>
  </si>
  <si>
    <t>Jan-Jun21</t>
  </si>
  <si>
    <t>FY26</t>
  </si>
  <si>
    <t>FY22-26</t>
  </si>
  <si>
    <t>Nominal to Jun $2021</t>
  </si>
  <si>
    <t>Gross Capex - Jun $2021</t>
  </si>
  <si>
    <t>2022-26</t>
  </si>
  <si>
    <t>OHDs apply only to non-gifted capex</t>
  </si>
  <si>
    <t>Real June $2021</t>
  </si>
  <si>
    <t>Total Gross Capex (Jun $2021)</t>
  </si>
  <si>
    <t>Customer Contributions - Jun $2021</t>
  </si>
  <si>
    <t>Total Contributions (Jun $2021)</t>
  </si>
  <si>
    <t>Net Capex - Jun $2021</t>
  </si>
  <si>
    <t>Total Net Capex (Jun $2021)</t>
  </si>
  <si>
    <t>Net growth forecasts plus abolishments / attrition</t>
  </si>
  <si>
    <t>(6 mths)</t>
  </si>
  <si>
    <t>(12 mths)</t>
  </si>
  <si>
    <t>Non-Network Leasehold Land &amp; Buildings</t>
  </si>
  <si>
    <t>3 year average split per annual CA RIN</t>
  </si>
  <si>
    <t>Capitalised Overheads recovered - $2018</t>
  </si>
  <si>
    <t>Capitalised Overheads recovered - $Jun 2021</t>
  </si>
  <si>
    <t>Capitalised network overheads</t>
  </si>
  <si>
    <t>Capitalised corporate overheads</t>
  </si>
  <si>
    <t>2019-20</t>
  </si>
  <si>
    <t>2020-21</t>
  </si>
  <si>
    <t>Cal Year</t>
  </si>
  <si>
    <t>June Financial Year</t>
  </si>
  <si>
    <t>Total - $Jun 2021</t>
  </si>
  <si>
    <t>STANDARD CONTROL SERVICES CAPCONS (For Reset RIN Tables 2.1.7 and 2.1.8)</t>
  </si>
  <si>
    <t>TOTAL DIRECT COST</t>
  </si>
  <si>
    <t>DIRECT COST (incl Downer support) including labour escalators ($000's, Jun $2021)</t>
  </si>
  <si>
    <t>DIRECT COST (incl Downer support) including labour escalators ($000's, $2018)</t>
  </si>
  <si>
    <t>Allocation</t>
  </si>
  <si>
    <t>SUBTOTAL</t>
  </si>
  <si>
    <t>FY20</t>
  </si>
  <si>
    <t>FY21</t>
  </si>
  <si>
    <t>TOTAL DIRECT</t>
  </si>
  <si>
    <t>Simple connection LV</t>
  </si>
  <si>
    <t>Complex connection LV</t>
  </si>
  <si>
    <t>Complex connection HV</t>
  </si>
  <si>
    <t>Complex connection HV (customer connected at LV, minor HV works)</t>
  </si>
  <si>
    <t>Complex connection HV (customer connected at LV, upstream asset works)</t>
  </si>
  <si>
    <t>Complex connection HV (customer connected at HV)</t>
  </si>
  <si>
    <t>Complex connection sub-transmission</t>
  </si>
  <si>
    <t>Complex connection HV (no upstream asset works)</t>
  </si>
  <si>
    <t>Complex connection HV (with upstream asset works)</t>
  </si>
  <si>
    <t>Complex connection HV (small capacity)</t>
  </si>
  <si>
    <t>Complex connection HV (large capacity)</t>
  </si>
  <si>
    <t>New Historical RIN - CY data (WB2) - 2.5 Connections</t>
  </si>
  <si>
    <t>Subtotal by category</t>
  </si>
  <si>
    <t>3 Year</t>
  </si>
  <si>
    <t>CONNECTION CLASSIFICATION</t>
  </si>
  <si>
    <t xml:space="preserve">Direct costs (including CC) - $Nominal </t>
  </si>
  <si>
    <t>Forecast Direct Expenditures - including capital contributions ($000's, $Jun 2021)</t>
  </si>
  <si>
    <t>Forecast Capital Contributions - TOTAL (000's, $Jun 2021)</t>
  </si>
  <si>
    <t>DIRECT COST (incl Downer support) including labour escalators ($000's, $2018) - FY Basis</t>
  </si>
  <si>
    <t>Forecast Capital Contributions - TOTAL (000's, $Jun 2021) - FY Basis</t>
  </si>
  <si>
    <t>ACS (90% residential historical average)</t>
  </si>
  <si>
    <t>(3 year average split per annual CA RIN)</t>
  </si>
  <si>
    <t>SCS Only - New Historical CA RIN 2.5</t>
  </si>
  <si>
    <t>Calendar Year</t>
  </si>
  <si>
    <t>Volumes</t>
  </si>
  <si>
    <t>TOTAL VOLUMES</t>
  </si>
  <si>
    <t>ACS (10% commercial historical average)</t>
  </si>
  <si>
    <t>ACS fee based connections forecast</t>
  </si>
  <si>
    <t>NEW CONNECTIONS - ALL - Volumes</t>
  </si>
  <si>
    <t>NEW CONNECTIONS - Standard Control Service</t>
  </si>
  <si>
    <t>NEW CONNECTIONS - SCS Only</t>
  </si>
  <si>
    <t>Standard Control Service</t>
  </si>
  <si>
    <t>Volumes - ALL</t>
  </si>
  <si>
    <t>Fee Based Connections</t>
  </si>
  <si>
    <t>OH Res</t>
  </si>
  <si>
    <t>OH Com</t>
  </si>
  <si>
    <t>UG Res</t>
  </si>
  <si>
    <t>UG Com</t>
  </si>
  <si>
    <t>historical average residential split</t>
  </si>
  <si>
    <t>historical average commercial split</t>
  </si>
  <si>
    <t>95mm2 overhead service from LVABC – After Hours</t>
  </si>
  <si>
    <t>95mm2 overhead service from LVABC – Business Hours</t>
  </si>
  <si>
    <t>Multi-phase underground connection with a CT connected meter – After Hours</t>
  </si>
  <si>
    <t>Multi-phase underground with a CT connected meter – Business Hours</t>
  </si>
  <si>
    <t>Multi-phase underground with a directly connected meter – After Hours</t>
  </si>
  <si>
    <t>Multi-phase underground with a directly connected meter on group metering panel – Business Hours</t>
  </si>
  <si>
    <t>Multi-phase underground with a directly connected meter – Business Hours</t>
  </si>
  <si>
    <t>Multi-phase overhead connection with a CT connected meter – After Hours</t>
  </si>
  <si>
    <t xml:space="preserve">Multi-phase overhead with a CT connected meter </t>
  </si>
  <si>
    <t>Multi-phase overhead with a directly connected meter– After Hours</t>
  </si>
  <si>
    <t>Multi-phase overhead with a directly connected meter – Business Hours</t>
  </si>
  <si>
    <t>Single Phase underground – After Hours</t>
  </si>
  <si>
    <t>Single Phase underground with a directly connected meter on group metering panel – Business Hours</t>
  </si>
  <si>
    <t>Single Phase underground – Business Hours</t>
  </si>
  <si>
    <t>Single Phase Overhead – After Hours</t>
  </si>
  <si>
    <t>Single Phase Overhead – Business Hours</t>
  </si>
  <si>
    <t>2025-26</t>
  </si>
  <si>
    <t>2024-25</t>
  </si>
  <si>
    <t>2023-24</t>
  </si>
  <si>
    <t>2022-23</t>
  </si>
  <si>
    <t>2021-22</t>
  </si>
  <si>
    <t>VOLUMES (0's)</t>
  </si>
  <si>
    <t>EXPENDITURE 
($0's, real June 2021)</t>
  </si>
  <si>
    <t>Residential</t>
  </si>
  <si>
    <t>Commercial</t>
  </si>
  <si>
    <t>ALL - SCS and ACS</t>
  </si>
  <si>
    <t>2018-19</t>
  </si>
  <si>
    <t>FY19</t>
  </si>
  <si>
    <t>FY22-26 period</t>
  </si>
  <si>
    <t>ACS Fee based connections forecast - RIN template 4.3 (Fee-based services)</t>
  </si>
  <si>
    <t>$Jun 2021 ($000's)</t>
  </si>
  <si>
    <t>Per AusNet Services 2018 Regulatory Accounts</t>
  </si>
  <si>
    <t>Work codes excluded from the SCS Connections forecast: -</t>
  </si>
  <si>
    <t>CY2018 Actual Capex by Work code</t>
  </si>
  <si>
    <t>Total Direct costs incl Gifted</t>
  </si>
  <si>
    <t>Source: AusNet Services 2018 Annual Reporting RIN information</t>
  </si>
  <si>
    <t>CY2018 Capital Contributions</t>
  </si>
  <si>
    <t>CY2019 Actual Capex by Work code</t>
  </si>
  <si>
    <t>SCS</t>
  </si>
  <si>
    <t>ACS</t>
  </si>
  <si>
    <t>1020</t>
  </si>
  <si>
    <t>Source: AusNet Services 2019 Annual Reporting RIN information</t>
  </si>
  <si>
    <t>SCS Total</t>
  </si>
  <si>
    <t>CY2019 Capital Contributions</t>
  </si>
  <si>
    <t>Total Direct excluding Gifted assets (SCS/ACS)</t>
  </si>
  <si>
    <t>Total Direct excluding Gifted assets (SCS only)</t>
  </si>
  <si>
    <t>Total Direct excluding Total Capital contributions (SCS only)</t>
  </si>
  <si>
    <t>Forecast (FY22-26)</t>
  </si>
  <si>
    <t>Total Direct including Total Capital contributions (SCS only)</t>
  </si>
  <si>
    <t>Direct Only, $2018 ($000's)</t>
  </si>
  <si>
    <t>Jan-Jun-21</t>
  </si>
  <si>
    <t>BUSINESS SUPPLY PROJECTS - GIFTED</t>
  </si>
  <si>
    <t>Direct costs plus Overheads</t>
  </si>
  <si>
    <t>Capital Contributions excluding Gifted Assets</t>
  </si>
  <si>
    <t>Average Cost recovery excluding Gifted Assets</t>
  </si>
  <si>
    <t>Average Cost recovery including Gifted Assets</t>
  </si>
  <si>
    <t>Forecast Customer Contributions - Excluding Gifted Assets</t>
  </si>
  <si>
    <t>Real $2018 to $Jun-21</t>
  </si>
  <si>
    <t>Forecast based on updated recovery rates</t>
  </si>
  <si>
    <t>Average Cost Recovery - Excluding Gifted Assets</t>
  </si>
  <si>
    <t>Current Period Actual/Forecast</t>
  </si>
  <si>
    <t>Project Fee</t>
  </si>
  <si>
    <t>Average fees for multi-lot developments</t>
  </si>
  <si>
    <t>From Capex model --&gt;</t>
  </si>
  <si>
    <t>Contributions</t>
  </si>
  <si>
    <t>Including Gifted Assets</t>
  </si>
  <si>
    <t>Excluding Gifted Assets, Excl Co-Gen</t>
  </si>
  <si>
    <t>2016-19 Actual Net Capex</t>
  </si>
  <si>
    <t>2020-Jun-21 F'cst Net Capex</t>
  </si>
  <si>
    <t>2016-19 Actual Cust Contr</t>
  </si>
  <si>
    <t>2020-Jun-21 F'cst Cust Contr</t>
  </si>
  <si>
    <t>2022-26 F'cst Net Capex</t>
  </si>
  <si>
    <t>2022-26 F'cst Cust Contr</t>
  </si>
  <si>
    <t>Gross Expenditure (Direct costs plus Overheads basis) - $Nominal</t>
  </si>
  <si>
    <t>Capital Contributions including Gifted Assets - $Nominal</t>
  </si>
  <si>
    <t>Gross Capex excluding Gifted Assets - $Nominal</t>
  </si>
  <si>
    <t>Gifted assets - $Nominal</t>
  </si>
  <si>
    <t>Capital Contributions excluding Gifted Assets - $Nominal</t>
  </si>
  <si>
    <t>Current period Act/Forecast</t>
  </si>
  <si>
    <t>Mid Year Nominal to Jun $2021</t>
  </si>
  <si>
    <t>GIFTED ASSETS - I&amp;C</t>
  </si>
  <si>
    <t>2016-19 Actual Cap Cons</t>
  </si>
  <si>
    <t>2022-26 F'cst Cap Cons</t>
  </si>
  <si>
    <t>Initial Proposal - FY22-26</t>
  </si>
  <si>
    <t>Revised Porposal</t>
  </si>
  <si>
    <t>2020 F'cst Net Capex</t>
  </si>
  <si>
    <t>2020 F'cst Cap Cons</t>
  </si>
  <si>
    <t>real $2021</t>
  </si>
  <si>
    <t>ASD Revised Proposal</t>
  </si>
  <si>
    <t>ASD Initial Proposal</t>
  </si>
  <si>
    <t>Cash contributions</t>
  </si>
  <si>
    <t>Gifted Assets</t>
  </si>
  <si>
    <t>Net Capex (before overheads)</t>
  </si>
  <si>
    <t>Connection volume</t>
  </si>
  <si>
    <t>Confidential</t>
  </si>
  <si>
    <t>$0's</t>
  </si>
  <si>
    <t>Mid Year $2018 to $Jun-21</t>
  </si>
  <si>
    <t>source: actual CPI to Jun-19 Qtr, actual CPI for 6 months to June 2021 (AER Draft Decision 5.5 year RFM) and forecast CPI for FY22-26 (AER Draft Decision PTRM model - 2022-26)</t>
  </si>
  <si>
    <t>2021-22 COVID adjustment ratio</t>
  </si>
  <si>
    <t>GIFTED ASSETS - I&amp;C, Direct costs</t>
  </si>
  <si>
    <t># Actual / forecast connection volumes derived using 2 year rolling average except for the half year period (Jan-Jun21) and FY22</t>
  </si>
  <si>
    <t>Project &amp; Contract fees - Turnkey multi-lot developments</t>
  </si>
  <si>
    <t>Calendar years</t>
  </si>
  <si>
    <t>H121</t>
  </si>
  <si>
    <t>Gifted assets based on avg cost per connection, excludes AusNet overhead allocation</t>
  </si>
  <si>
    <t>ASD Construct volume</t>
  </si>
  <si>
    <t>Contract Fee</t>
  </si>
  <si>
    <t>4 yr historical avg unit rate (2016-19).   Prior to CY16 these costs are wrapped up in a single work code including 1018 costs.</t>
  </si>
  <si>
    <t>4 yr historical avg unit rate (2016-19)</t>
  </si>
  <si>
    <t>4 yr historical avg direct costs incurred (2016-19)</t>
  </si>
  <si>
    <t>We have updated our forecast of large embedded generation projects for the 2021-26 period as described under s.3.5.3.3 of the Revised Proposal.</t>
  </si>
  <si>
    <t>Our revised avg unit rate for for the 2022-26 regulatory period as described under s.11.3.3.4 of the Revised Proposal.</t>
  </si>
  <si>
    <r>
      <t xml:space="preserve">A. Third party construct and developer gifts assets to AusNet Services:-
     1. Gifted LV Assets - at agreed unit cost per lot (subject to annual CPI inflation)
     2. HV Rebates - Our </t>
    </r>
    <r>
      <rPr>
        <sz val="11"/>
        <rFont val="Calibri"/>
        <family val="2"/>
        <scheme val="minor"/>
      </rPr>
      <t>revised avg unit rate for the 2022-26 regulatory period as described under s.3.5.3.2 of the Revised Proposal.</t>
    </r>
    <r>
      <rPr>
        <sz val="11"/>
        <color theme="1"/>
        <rFont val="Calibri"/>
        <family val="2"/>
        <scheme val="minor"/>
      </rPr>
      <t xml:space="preserve">
B. AusNet Design &amp; Construct - CY19 historical unit rate</t>
    </r>
  </si>
  <si>
    <t>2.17-2.17 CapCons</t>
  </si>
  <si>
    <t>Direct_view</t>
  </si>
  <si>
    <t>CapCon_view</t>
  </si>
  <si>
    <t>Historical_CY</t>
  </si>
  <si>
    <t>2.5.3 Volumes</t>
  </si>
  <si>
    <t>4.3 Fee Based Connections</t>
  </si>
  <si>
    <t>e.</t>
  </si>
  <si>
    <t>f.</t>
  </si>
  <si>
    <t>g.</t>
  </si>
  <si>
    <t>Charts</t>
  </si>
  <si>
    <t>Total Connections - Excluding Gifted Assets</t>
  </si>
  <si>
    <t>For Capex model input</t>
  </si>
  <si>
    <t xml:space="preserve">Source: ASD - EDPR 2022-26 Revised Proposal - Labour Price Escalation calculation - 031220 - PUBLIC - 2019-26 forecasts based on an average of forecasts prepared by Deloitte &amp; BIS forecasts. Forecast of EGWWS Victoria real WPI. </t>
  </si>
  <si>
    <t>Co-generation capex forecast</t>
  </si>
  <si>
    <t>2019 capex and capital contributions</t>
  </si>
  <si>
    <t>2018 capex and capital contributions</t>
  </si>
  <si>
    <t>2015 to 2019 capex dissagregation</t>
  </si>
  <si>
    <t>5. Historical capex</t>
  </si>
  <si>
    <t>6. Capital Expenditure Forecast</t>
  </si>
  <si>
    <t>7. Customer Contributions Analysis</t>
  </si>
  <si>
    <t>8.  Forecast Summary</t>
  </si>
  <si>
    <t>9. EDPR RIN Outputs</t>
  </si>
  <si>
    <t>New Connections Direct costs subject to Overheads (Incl Downer) - $2018</t>
  </si>
  <si>
    <t>** Public version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</si>
</sst>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;[Red]\-&quot;$&quot;#,##0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00"/>
    <numFmt numFmtId="167" formatCode="0.0%"/>
    <numFmt numFmtId="168" formatCode="&quot;$&quot;#,##0.00;[Red]&quot;$&quot;#,##0.00"/>
    <numFmt numFmtId="169" formatCode="&quot;$&quot;#,##0;[Red]&quot;$&quot;#,##0"/>
    <numFmt numFmtId="170" formatCode="_-* #,##0.0_-;\-* #,##0.0_-;_-* &quot;-&quot;??_-;_-@_-"/>
    <numFmt numFmtId="171" formatCode="_-* #,##0_-;\-* #,##0_-;_-* &quot;-&quot;??_-;_-@_-"/>
    <numFmt numFmtId="172" formatCode="0.0000"/>
    <numFmt numFmtId="173" formatCode="&quot;$&quot;#,##0.000;[Red]&quot;$&quot;#,##0.000"/>
    <numFmt numFmtId="174" formatCode="#,##0.000"/>
    <numFmt numFmtId="175" formatCode="_-&quot;$&quot;* #,##0_-;\-&quot;$&quot;* #,##0_-;_-&quot;$&quot;* &quot;-&quot;??_-;_-@_-"/>
    <numFmt numFmtId="176" formatCode="_-&quot;$&quot;* #,##0.0_-;\-&quot;$&quot;* #,##0.0_-;_-&quot;$&quot;* &quot;-&quot;??_-;_-@_-"/>
    <numFmt numFmtId="177" formatCode="&quot;$&quot;#,##0"/>
    <numFmt numFmtId="178" formatCode="_-* #,##0.000_-;\-* #,##0.000_-;_-* &quot;-&quot;??_-;_-@_-"/>
    <numFmt numFmtId="179" formatCode="#,##0.0"/>
    <numFmt numFmtId="180" formatCode="&quot;$&quot;#,##0.0"/>
    <numFmt numFmtId="181" formatCode="&quot;$&quot;#,##0.0_);[Red]\(&quot;$&quot;#,##0.0\)"/>
    <numFmt numFmtId="182" formatCode="0.000%"/>
    <numFmt numFmtId="183" formatCode="#,##0.0000"/>
    <numFmt numFmtId="184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Font="1"/>
    <xf numFmtId="164" fontId="0" fillId="0" borderId="2" xfId="0" applyNumberFormat="1" applyFont="1" applyBorder="1"/>
    <xf numFmtId="164" fontId="0" fillId="0" borderId="0" xfId="0" applyNumberFormat="1" applyFont="1" applyBorder="1"/>
    <xf numFmtId="166" fontId="0" fillId="0" borderId="0" xfId="0" applyNumberFormat="1" applyFont="1"/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0" fillId="0" borderId="0" xfId="0" applyNumberFormat="1" applyFont="1"/>
    <xf numFmtId="9" fontId="0" fillId="0" borderId="0" xfId="1" applyFont="1"/>
    <xf numFmtId="167" fontId="0" fillId="0" borderId="0" xfId="1" applyNumberFormat="1" applyFont="1"/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164" fontId="0" fillId="5" borderId="0" xfId="0" applyNumberFormat="1" applyFont="1" applyFill="1"/>
    <xf numFmtId="9" fontId="0" fillId="0" borderId="0" xfId="1" applyFont="1" applyBorder="1"/>
    <xf numFmtId="3" fontId="0" fillId="0" borderId="0" xfId="0" applyNumberFormat="1" applyFont="1" applyFill="1"/>
    <xf numFmtId="0" fontId="7" fillId="0" borderId="0" xfId="0" applyFont="1"/>
    <xf numFmtId="165" fontId="0" fillId="0" borderId="0" xfId="0" applyNumberFormat="1" applyFont="1"/>
    <xf numFmtId="0" fontId="0" fillId="0" borderId="1" xfId="0" applyFont="1" applyBorder="1"/>
    <xf numFmtId="3" fontId="2" fillId="0" borderId="0" xfId="0" applyNumberFormat="1" applyFont="1"/>
    <xf numFmtId="1" fontId="0" fillId="0" borderId="0" xfId="0" applyNumberFormat="1" applyFont="1" applyFill="1"/>
    <xf numFmtId="1" fontId="3" fillId="0" borderId="0" xfId="0" applyNumberFormat="1" applyFont="1" applyFill="1"/>
    <xf numFmtId="0" fontId="8" fillId="0" borderId="0" xfId="0" applyFont="1"/>
    <xf numFmtId="9" fontId="0" fillId="0" borderId="0" xfId="0" applyNumberFormat="1" applyFont="1"/>
    <xf numFmtId="167" fontId="0" fillId="3" borderId="3" xfId="1" applyNumberFormat="1" applyFont="1" applyFill="1" applyBorder="1" applyAlignment="1">
      <alignment vertical="center"/>
    </xf>
    <xf numFmtId="0" fontId="0" fillId="3" borderId="3" xfId="0" applyFont="1" applyFill="1" applyBorder="1"/>
    <xf numFmtId="0" fontId="0" fillId="0" borderId="0" xfId="0" quotePrefix="1" applyFont="1"/>
    <xf numFmtId="168" fontId="0" fillId="0" borderId="0" xfId="0" applyNumberFormat="1" applyFont="1"/>
    <xf numFmtId="0" fontId="0" fillId="2" borderId="0" xfId="0" applyFill="1"/>
    <xf numFmtId="0" fontId="10" fillId="2" borderId="0" xfId="0" applyFont="1" applyFill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9" fontId="0" fillId="0" borderId="0" xfId="0" applyNumberFormat="1" applyFont="1" applyFill="1"/>
    <xf numFmtId="0" fontId="1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13" fillId="3" borderId="0" xfId="2" applyFill="1"/>
    <xf numFmtId="0" fontId="14" fillId="3" borderId="0" xfId="2" applyFont="1" applyFill="1"/>
    <xf numFmtId="0" fontId="15" fillId="3" borderId="0" xfId="0" applyFont="1" applyFill="1" applyAlignment="1">
      <alignment horizontal="right"/>
    </xf>
    <xf numFmtId="0" fontId="2" fillId="0" borderId="0" xfId="0" applyFont="1" applyAlignment="1"/>
    <xf numFmtId="0" fontId="16" fillId="3" borderId="0" xfId="0" applyFont="1" applyFill="1"/>
    <xf numFmtId="0" fontId="0" fillId="6" borderId="0" xfId="0" applyFont="1" applyFill="1"/>
    <xf numFmtId="0" fontId="10" fillId="3" borderId="0" xfId="2" applyFont="1" applyFill="1"/>
    <xf numFmtId="0" fontId="10" fillId="0" borderId="0" xfId="2" applyFont="1" applyFill="1"/>
    <xf numFmtId="0" fontId="19" fillId="0" borderId="0" xfId="2" applyFont="1" applyFill="1"/>
    <xf numFmtId="0" fontId="0" fillId="0" borderId="0" xfId="0" applyFill="1"/>
    <xf numFmtId="0" fontId="19" fillId="2" borderId="0" xfId="2" applyFont="1" applyFill="1"/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/>
    <xf numFmtId="166" fontId="0" fillId="3" borderId="3" xfId="0" applyNumberFormat="1" applyFill="1" applyBorder="1"/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64" fontId="2" fillId="0" borderId="4" xfId="0" applyNumberFormat="1" applyFont="1" applyBorder="1"/>
    <xf numFmtId="164" fontId="0" fillId="0" borderId="0" xfId="0" applyNumberFormat="1" applyFont="1" applyFill="1"/>
    <xf numFmtId="170" fontId="0" fillId="0" borderId="0" xfId="3" applyNumberFormat="1" applyFont="1" applyBorder="1"/>
    <xf numFmtId="170" fontId="0" fillId="0" borderId="0" xfId="3" applyNumberFormat="1" applyFont="1"/>
    <xf numFmtId="0" fontId="0" fillId="0" borderId="0" xfId="0" applyFont="1" applyAlignment="1">
      <alignment horizontal="left" indent="1"/>
    </xf>
    <xf numFmtId="170" fontId="0" fillId="0" borderId="0" xfId="3" applyNumberFormat="1" applyFont="1" applyFill="1" applyBorder="1"/>
    <xf numFmtId="0" fontId="6" fillId="0" borderId="0" xfId="0" applyFont="1" applyFill="1"/>
    <xf numFmtId="0" fontId="19" fillId="3" borderId="0" xfId="2" applyFont="1" applyFill="1"/>
    <xf numFmtId="0" fontId="2" fillId="3" borderId="0" xfId="0" applyFont="1" applyFill="1"/>
    <xf numFmtId="0" fontId="9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/>
    </xf>
    <xf numFmtId="3" fontId="0" fillId="3" borderId="0" xfId="0" applyNumberFormat="1" applyFill="1"/>
    <xf numFmtId="3" fontId="0" fillId="3" borderId="0" xfId="0" applyNumberFormat="1" applyFill="1" applyBorder="1"/>
    <xf numFmtId="0" fontId="20" fillId="0" borderId="0" xfId="0" applyFont="1" applyFill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71" fontId="0" fillId="3" borderId="0" xfId="3" applyNumberFormat="1" applyFont="1" applyFill="1"/>
    <xf numFmtId="171" fontId="0" fillId="3" borderId="12" xfId="3" applyNumberFormat="1" applyFont="1" applyFill="1" applyBorder="1"/>
    <xf numFmtId="171" fontId="0" fillId="3" borderId="1" xfId="3" applyNumberFormat="1" applyFont="1" applyFill="1" applyBorder="1"/>
    <xf numFmtId="171" fontId="0" fillId="3" borderId="13" xfId="3" applyNumberFormat="1" applyFont="1" applyFill="1" applyBorder="1"/>
    <xf numFmtId="171" fontId="0" fillId="3" borderId="2" xfId="3" applyNumberFormat="1" applyFont="1" applyFill="1" applyBorder="1"/>
    <xf numFmtId="171" fontId="2" fillId="3" borderId="14" xfId="3" applyNumberFormat="1" applyFont="1" applyFill="1" applyBorder="1"/>
    <xf numFmtId="171" fontId="2" fillId="3" borderId="2" xfId="3" applyNumberFormat="1" applyFont="1" applyFill="1" applyBorder="1"/>
    <xf numFmtId="171" fontId="0" fillId="3" borderId="10" xfId="3" applyNumberFormat="1" applyFont="1" applyFill="1" applyBorder="1"/>
    <xf numFmtId="171" fontId="0" fillId="3" borderId="0" xfId="3" applyNumberFormat="1" applyFont="1" applyFill="1" applyBorder="1"/>
    <xf numFmtId="171" fontId="0" fillId="3" borderId="11" xfId="3" applyNumberFormat="1" applyFont="1" applyFill="1" applyBorder="1"/>
    <xf numFmtId="171" fontId="0" fillId="3" borderId="6" xfId="3" applyNumberFormat="1" applyFont="1" applyFill="1" applyBorder="1"/>
    <xf numFmtId="0" fontId="3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3" fontId="0" fillId="0" borderId="1" xfId="0" applyNumberFormat="1" applyFont="1" applyFill="1" applyBorder="1"/>
    <xf numFmtId="173" fontId="0" fillId="0" borderId="0" xfId="0" applyNumberFormat="1" applyFont="1"/>
    <xf numFmtId="165" fontId="0" fillId="0" borderId="0" xfId="0" applyNumberFormat="1" applyFont="1" applyFill="1"/>
    <xf numFmtId="1" fontId="0" fillId="0" borderId="0" xfId="0" applyNumberFormat="1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20" fillId="0" borderId="0" xfId="0" applyFont="1"/>
    <xf numFmtId="43" fontId="0" fillId="0" borderId="0" xfId="0" applyNumberFormat="1"/>
    <xf numFmtId="0" fontId="0" fillId="0" borderId="0" xfId="0" quotePrefix="1"/>
    <xf numFmtId="43" fontId="0" fillId="0" borderId="0" xfId="3" applyFont="1"/>
    <xf numFmtId="43" fontId="0" fillId="0" borderId="0" xfId="0" applyNumberFormat="1" applyFont="1" applyFill="1"/>
    <xf numFmtId="164" fontId="0" fillId="0" borderId="0" xfId="0" applyNumberFormat="1" applyFont="1" applyFill="1" applyBorder="1"/>
    <xf numFmtId="164" fontId="0" fillId="0" borderId="2" xfId="0" applyNumberFormat="1" applyFont="1" applyFill="1" applyBorder="1"/>
    <xf numFmtId="3" fontId="0" fillId="0" borderId="0" xfId="0" applyNumberFormat="1" applyFont="1" applyAlignment="1">
      <alignment horizontal="center"/>
    </xf>
    <xf numFmtId="1" fontId="0" fillId="0" borderId="0" xfId="0" applyNumberFormat="1" applyFont="1"/>
    <xf numFmtId="0" fontId="0" fillId="0" borderId="0" xfId="0" applyFont="1" applyFill="1" applyAlignment="1">
      <alignment horizontal="center"/>
    </xf>
    <xf numFmtId="171" fontId="0" fillId="0" borderId="0" xfId="0" applyNumberFormat="1" applyFont="1"/>
    <xf numFmtId="0" fontId="2" fillId="0" borderId="10" xfId="0" applyFont="1" applyBorder="1" applyAlignment="1">
      <alignment horizontal="center"/>
    </xf>
    <xf numFmtId="0" fontId="0" fillId="0" borderId="10" xfId="0" applyFont="1" applyBorder="1"/>
    <xf numFmtId="164" fontId="0" fillId="0" borderId="10" xfId="0" applyNumberFormat="1" applyFont="1" applyBorder="1"/>
    <xf numFmtId="164" fontId="0" fillId="0" borderId="5" xfId="0" applyNumberFormat="1" applyFont="1" applyBorder="1"/>
    <xf numFmtId="9" fontId="0" fillId="0" borderId="10" xfId="1" applyFont="1" applyBorder="1"/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66" fontId="0" fillId="0" borderId="0" xfId="0" applyNumberFormat="1"/>
    <xf numFmtId="9" fontId="0" fillId="0" borderId="0" xfId="0" applyNumberFormat="1"/>
    <xf numFmtId="3" fontId="0" fillId="0" borderId="0" xfId="0" applyNumberFormat="1" applyFont="1" applyBorder="1"/>
    <xf numFmtId="0" fontId="0" fillId="0" borderId="0" xfId="0" applyFont="1" applyAlignment="1">
      <alignment horizontal="right"/>
    </xf>
    <xf numFmtId="0" fontId="0" fillId="0" borderId="3" xfId="0" applyFont="1" applyFill="1" applyBorder="1"/>
    <xf numFmtId="167" fontId="0" fillId="0" borderId="3" xfId="1" applyNumberFormat="1" applyFont="1" applyFill="1" applyBorder="1" applyAlignment="1">
      <alignment vertical="center"/>
    </xf>
    <xf numFmtId="10" fontId="0" fillId="0" borderId="3" xfId="1" applyNumberFormat="1" applyFont="1" applyFill="1" applyBorder="1" applyAlignment="1">
      <alignment vertical="center"/>
    </xf>
    <xf numFmtId="3" fontId="2" fillId="0" borderId="0" xfId="0" applyNumberFormat="1" applyFont="1" applyFill="1"/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164" fontId="0" fillId="5" borderId="0" xfId="0" applyNumberFormat="1" applyFont="1" applyFill="1" applyBorder="1"/>
    <xf numFmtId="164" fontId="7" fillId="0" borderId="0" xfId="0" applyNumberFormat="1" applyFont="1" applyFill="1"/>
    <xf numFmtId="0" fontId="20" fillId="0" borderId="0" xfId="0" applyFont="1" applyAlignment="1">
      <alignment wrapText="1"/>
    </xf>
    <xf numFmtId="164" fontId="2" fillId="0" borderId="0" xfId="1" applyNumberFormat="1" applyFont="1" applyBorder="1"/>
    <xf numFmtId="0" fontId="0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Font="1" applyBorder="1"/>
    <xf numFmtId="164" fontId="0" fillId="0" borderId="17" xfId="0" applyNumberFormat="1" applyFont="1" applyBorder="1"/>
    <xf numFmtId="164" fontId="2" fillId="0" borderId="19" xfId="0" applyNumberFormat="1" applyFont="1" applyBorder="1"/>
    <xf numFmtId="164" fontId="7" fillId="0" borderId="17" xfId="0" applyNumberFormat="1" applyFont="1" applyFill="1" applyBorder="1"/>
    <xf numFmtId="164" fontId="0" fillId="5" borderId="17" xfId="0" applyNumberFormat="1" applyFont="1" applyFill="1" applyBorder="1"/>
    <xf numFmtId="0" fontId="22" fillId="0" borderId="0" xfId="0" applyFont="1"/>
    <xf numFmtId="1" fontId="0" fillId="0" borderId="0" xfId="0" applyNumberFormat="1" applyFont="1" applyFill="1" applyBorder="1"/>
    <xf numFmtId="166" fontId="0" fillId="0" borderId="0" xfId="0" applyNumberFormat="1" applyFont="1" applyFill="1"/>
    <xf numFmtId="0" fontId="23" fillId="0" borderId="0" xfId="0" applyFont="1"/>
    <xf numFmtId="164" fontId="0" fillId="0" borderId="10" xfId="0" applyNumberFormat="1" applyFont="1" applyFill="1" applyBorder="1"/>
    <xf numFmtId="174" fontId="0" fillId="0" borderId="0" xfId="0" applyNumberFormat="1" applyFont="1"/>
    <xf numFmtId="0" fontId="0" fillId="0" borderId="0" xfId="0" applyFont="1" applyFill="1" applyAlignment="1">
      <alignment horizontal="left" indent="1"/>
    </xf>
    <xf numFmtId="164" fontId="0" fillId="0" borderId="5" xfId="0" applyNumberFormat="1" applyFont="1" applyFill="1" applyBorder="1"/>
    <xf numFmtId="164" fontId="0" fillId="0" borderId="23" xfId="0" applyNumberFormat="1" applyFont="1" applyFill="1" applyBorder="1"/>
    <xf numFmtId="164" fontId="0" fillId="0" borderId="3" xfId="0" applyNumberFormat="1" applyFont="1" applyFill="1" applyBorder="1"/>
    <xf numFmtId="164" fontId="0" fillId="0" borderId="23" xfId="0" applyNumberFormat="1" applyFont="1" applyBorder="1"/>
    <xf numFmtId="164" fontId="0" fillId="0" borderId="3" xfId="0" applyNumberFormat="1" applyFont="1" applyBorder="1"/>
    <xf numFmtId="164" fontId="0" fillId="10" borderId="0" xfId="0" applyNumberFormat="1" applyFont="1" applyFill="1" applyBorder="1"/>
    <xf numFmtId="164" fontId="0" fillId="10" borderId="10" xfId="0" applyNumberFormat="1" applyFont="1" applyFill="1" applyBorder="1"/>
    <xf numFmtId="0" fontId="24" fillId="0" borderId="0" xfId="0" applyFont="1"/>
    <xf numFmtId="0" fontId="0" fillId="0" borderId="3" xfId="0" applyBorder="1"/>
    <xf numFmtId="10" fontId="0" fillId="0" borderId="3" xfId="1" applyNumberFormat="1" applyFont="1" applyBorder="1"/>
    <xf numFmtId="0" fontId="0" fillId="6" borderId="3" xfId="0" applyFill="1" applyBorder="1"/>
    <xf numFmtId="10" fontId="0" fillId="6" borderId="3" xfId="1" applyNumberFormat="1" applyFont="1" applyFill="1" applyBorder="1"/>
    <xf numFmtId="10" fontId="0" fillId="0" borderId="3" xfId="0" applyNumberFormat="1" applyBorder="1"/>
    <xf numFmtId="172" fontId="0" fillId="0" borderId="3" xfId="0" applyNumberFormat="1" applyBorder="1"/>
    <xf numFmtId="172" fontId="0" fillId="0" borderId="3" xfId="3" applyNumberFormat="1" applyFont="1" applyBorder="1"/>
    <xf numFmtId="0" fontId="0" fillId="0" borderId="3" xfId="0" applyBorder="1" applyAlignment="1">
      <alignment horizontal="center"/>
    </xf>
    <xf numFmtId="0" fontId="0" fillId="0" borderId="3" xfId="0" applyFont="1" applyBorder="1"/>
    <xf numFmtId="166" fontId="4" fillId="0" borderId="3" xfId="0" applyNumberFormat="1" applyFont="1" applyBorder="1"/>
    <xf numFmtId="0" fontId="0" fillId="0" borderId="0" xfId="0" applyAlignment="1">
      <alignment horizontal="center"/>
    </xf>
    <xf numFmtId="3" fontId="2" fillId="0" borderId="5" xfId="0" applyNumberFormat="1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11" xfId="0" applyNumberFormat="1" applyFont="1" applyFill="1" applyBorder="1"/>
    <xf numFmtId="164" fontId="0" fillId="0" borderId="6" xfId="0" applyNumberFormat="1" applyFont="1" applyFill="1" applyBorder="1"/>
    <xf numFmtId="171" fontId="0" fillId="0" borderId="0" xfId="3" applyNumberFormat="1" applyFont="1" applyFill="1"/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7" fontId="0" fillId="0" borderId="0" xfId="0" applyNumberFormat="1" applyFont="1"/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0" fontId="0" fillId="11" borderId="0" xfId="0" applyFill="1"/>
    <xf numFmtId="43" fontId="0" fillId="0" borderId="0" xfId="3" applyFont="1" applyFill="1"/>
    <xf numFmtId="0" fontId="7" fillId="0" borderId="0" xfId="0" applyFont="1" applyFill="1"/>
    <xf numFmtId="43" fontId="0" fillId="0" borderId="0" xfId="0" applyNumberFormat="1" applyFill="1"/>
    <xf numFmtId="172" fontId="0" fillId="0" borderId="0" xfId="0" applyNumberFormat="1" applyFont="1"/>
    <xf numFmtId="10" fontId="0" fillId="8" borderId="3" xfId="0" applyNumberFormat="1" applyFill="1" applyBorder="1"/>
    <xf numFmtId="166" fontId="0" fillId="8" borderId="3" xfId="0" applyNumberFormat="1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5" fillId="0" borderId="0" xfId="0" applyFont="1" applyFill="1"/>
    <xf numFmtId="0" fontId="0" fillId="0" borderId="0" xfId="0" applyFont="1" applyAlignment="1">
      <alignment horizontal="center"/>
    </xf>
    <xf numFmtId="171" fontId="0" fillId="0" borderId="0" xfId="3" applyNumberFormat="1" applyFont="1"/>
    <xf numFmtId="171" fontId="0" fillId="0" borderId="1" xfId="3" applyNumberFormat="1" applyFont="1" applyBorder="1"/>
    <xf numFmtId="171" fontId="2" fillId="0" borderId="0" xfId="3" applyNumberFormat="1" applyFont="1"/>
    <xf numFmtId="171" fontId="0" fillId="0" borderId="10" xfId="3" applyNumberFormat="1" applyFont="1" applyBorder="1"/>
    <xf numFmtId="171" fontId="0" fillId="0" borderId="15" xfId="3" applyNumberFormat="1" applyFont="1" applyBorder="1"/>
    <xf numFmtId="171" fontId="2" fillId="0" borderId="10" xfId="3" applyNumberFormat="1" applyFont="1" applyBorder="1"/>
    <xf numFmtId="171" fontId="0" fillId="0" borderId="23" xfId="3" applyNumberFormat="1" applyFont="1" applyBorder="1"/>
    <xf numFmtId="171" fontId="0" fillId="0" borderId="25" xfId="3" applyNumberFormat="1" applyFont="1" applyBorder="1"/>
    <xf numFmtId="171" fontId="2" fillId="0" borderId="23" xfId="3" applyNumberFormat="1" applyFont="1" applyBorder="1"/>
    <xf numFmtId="0" fontId="0" fillId="0" borderId="10" xfId="0" applyFont="1" applyBorder="1" applyAlignment="1">
      <alignment horizontal="center"/>
    </xf>
    <xf numFmtId="0" fontId="0" fillId="0" borderId="16" xfId="0" applyBorder="1"/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" xfId="0" applyFont="1" applyBorder="1"/>
    <xf numFmtId="172" fontId="0" fillId="0" borderId="0" xfId="0" applyNumberFormat="1"/>
    <xf numFmtId="171" fontId="2" fillId="0" borderId="0" xfId="3" applyNumberFormat="1" applyFont="1" applyBorder="1"/>
    <xf numFmtId="0" fontId="10" fillId="0" borderId="0" xfId="0" applyFont="1" applyFill="1"/>
    <xf numFmtId="0" fontId="26" fillId="0" borderId="0" xfId="2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2"/>
    </xf>
    <xf numFmtId="0" fontId="0" fillId="0" borderId="0" xfId="0" applyAlignment="1">
      <alignment horizontal="left"/>
    </xf>
    <xf numFmtId="171" fontId="0" fillId="0" borderId="0" xfId="0" applyNumberFormat="1"/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2" fillId="0" borderId="3" xfId="0" applyFont="1" applyFill="1" applyBorder="1" applyAlignment="1">
      <alignment horizontal="center"/>
    </xf>
    <xf numFmtId="172" fontId="0" fillId="0" borderId="3" xfId="3" applyNumberFormat="1" applyFont="1" applyFill="1" applyBorder="1"/>
    <xf numFmtId="0" fontId="11" fillId="0" borderId="0" xfId="0" applyFont="1"/>
    <xf numFmtId="168" fontId="0" fillId="0" borderId="0" xfId="0" applyNumberFormat="1" applyFont="1" applyAlignment="1">
      <alignment horizontal="center"/>
    </xf>
    <xf numFmtId="171" fontId="0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17" fontId="2" fillId="0" borderId="0" xfId="0" applyNumberFormat="1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17" fontId="0" fillId="3" borderId="3" xfId="0" applyNumberFormat="1" applyFill="1" applyBorder="1" applyAlignment="1">
      <alignment horizontal="center" vertical="center"/>
    </xf>
    <xf numFmtId="17" fontId="0" fillId="0" borderId="0" xfId="0" applyNumberFormat="1" applyFont="1" applyAlignment="1">
      <alignment horizontal="center"/>
    </xf>
    <xf numFmtId="17" fontId="0" fillId="0" borderId="0" xfId="0" applyNumberFormat="1" applyFill="1"/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3" fontId="9" fillId="0" borderId="0" xfId="0" applyNumberFormat="1" applyFont="1" applyFill="1"/>
    <xf numFmtId="17" fontId="2" fillId="0" borderId="10" xfId="0" applyNumberFormat="1" applyFont="1" applyBorder="1" applyAlignment="1">
      <alignment horizontal="center"/>
    </xf>
    <xf numFmtId="17" fontId="2" fillId="0" borderId="23" xfId="0" applyNumberFormat="1" applyFont="1" applyBorder="1" applyAlignment="1">
      <alignment horizontal="center"/>
    </xf>
    <xf numFmtId="10" fontId="0" fillId="0" borderId="3" xfId="0" applyNumberFormat="1" applyFill="1" applyBorder="1"/>
    <xf numFmtId="9" fontId="0" fillId="3" borderId="0" xfId="0" applyNumberFormat="1" applyFill="1"/>
    <xf numFmtId="10" fontId="0" fillId="0" borderId="0" xfId="0" applyNumberFormat="1" applyFont="1"/>
    <xf numFmtId="171" fontId="0" fillId="3" borderId="15" xfId="3" applyNumberFormat="1" applyFont="1" applyFill="1" applyBorder="1"/>
    <xf numFmtId="171" fontId="0" fillId="3" borderId="16" xfId="3" applyNumberFormat="1" applyFont="1" applyFill="1" applyBorder="1"/>
    <xf numFmtId="171" fontId="0" fillId="12" borderId="0" xfId="3" applyNumberFormat="1" applyFont="1" applyFill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5" xfId="0" applyBorder="1"/>
    <xf numFmtId="0" fontId="0" fillId="0" borderId="2" xfId="0" applyBorder="1"/>
    <xf numFmtId="0" fontId="2" fillId="0" borderId="5" xfId="0" applyFont="1" applyBorder="1"/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7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 applyAlignment="1"/>
    <xf numFmtId="171" fontId="0" fillId="3" borderId="24" xfId="3" applyNumberFormat="1" applyFont="1" applyFill="1" applyBorder="1"/>
    <xf numFmtId="171" fontId="0" fillId="3" borderId="9" xfId="3" applyNumberFormat="1" applyFont="1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171" fontId="0" fillId="3" borderId="23" xfId="3" applyNumberFormat="1" applyFont="1" applyFill="1" applyBorder="1"/>
    <xf numFmtId="171" fontId="0" fillId="3" borderId="25" xfId="3" applyNumberFormat="1" applyFont="1" applyFill="1" applyBorder="1"/>
    <xf numFmtId="0" fontId="0" fillId="3" borderId="1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3" borderId="5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/>
    <xf numFmtId="171" fontId="0" fillId="3" borderId="3" xfId="3" applyNumberFormat="1" applyFont="1" applyFill="1" applyBorder="1"/>
    <xf numFmtId="0" fontId="0" fillId="3" borderId="2" xfId="0" applyFill="1" applyBorder="1"/>
    <xf numFmtId="171" fontId="2" fillId="3" borderId="3" xfId="3" applyNumberFormat="1" applyFont="1" applyFill="1" applyBorder="1"/>
    <xf numFmtId="0" fontId="7" fillId="3" borderId="0" xfId="0" applyFont="1" applyFill="1"/>
    <xf numFmtId="169" fontId="0" fillId="3" borderId="0" xfId="0" applyNumberFormat="1" applyFont="1" applyFill="1"/>
    <xf numFmtId="169" fontId="9" fillId="3" borderId="0" xfId="0" applyNumberFormat="1" applyFont="1" applyFill="1"/>
    <xf numFmtId="169" fontId="0" fillId="3" borderId="0" xfId="0" applyNumberFormat="1" applyFill="1"/>
    <xf numFmtId="169" fontId="0" fillId="3" borderId="1" xfId="0" applyNumberFormat="1" applyFill="1" applyBorder="1"/>
    <xf numFmtId="169" fontId="2" fillId="3" borderId="0" xfId="0" applyNumberFormat="1" applyFont="1" applyFill="1"/>
    <xf numFmtId="0" fontId="0" fillId="3" borderId="15" xfId="0" applyFill="1" applyBorder="1" applyAlignment="1">
      <alignment horizontal="right"/>
    </xf>
    <xf numFmtId="171" fontId="0" fillId="3" borderId="0" xfId="0" applyNumberFormat="1" applyFill="1"/>
    <xf numFmtId="171" fontId="0" fillId="3" borderId="26" xfId="3" applyNumberFormat="1" applyFont="1" applyFill="1" applyBorder="1"/>
    <xf numFmtId="171" fontId="0" fillId="3" borderId="8" xfId="3" applyNumberFormat="1" applyFont="1" applyFill="1" applyBorder="1"/>
    <xf numFmtId="171" fontId="0" fillId="3" borderId="14" xfId="3" applyNumberFormat="1" applyFont="1" applyFill="1" applyBorder="1"/>
    <xf numFmtId="171" fontId="0" fillId="3" borderId="9" xfId="3" applyNumberFormat="1" applyFont="1" applyFill="1" applyBorder="1" applyAlignment="1">
      <alignment horizontal="center"/>
    </xf>
    <xf numFmtId="171" fontId="0" fillId="3" borderId="0" xfId="3" applyNumberFormat="1" applyFont="1" applyFill="1" applyBorder="1" applyAlignment="1">
      <alignment horizontal="center"/>
    </xf>
    <xf numFmtId="171" fontId="0" fillId="3" borderId="1" xfId="3" applyNumberFormat="1" applyFont="1" applyFill="1" applyBorder="1" applyAlignment="1">
      <alignment horizontal="center"/>
    </xf>
    <xf numFmtId="171" fontId="0" fillId="3" borderId="2" xfId="3" applyNumberFormat="1" applyFont="1" applyFill="1" applyBorder="1" applyAlignment="1">
      <alignment horizontal="center"/>
    </xf>
    <xf numFmtId="0" fontId="2" fillId="3" borderId="2" xfId="0" applyFont="1" applyFill="1" applyBorder="1"/>
    <xf numFmtId="171" fontId="2" fillId="3" borderId="6" xfId="3" applyNumberFormat="1" applyFont="1" applyFill="1" applyBorder="1"/>
    <xf numFmtId="43" fontId="0" fillId="3" borderId="0" xfId="3" applyFont="1" applyFill="1"/>
    <xf numFmtId="171" fontId="0" fillId="3" borderId="7" xfId="3" applyNumberFormat="1" applyFont="1" applyFill="1" applyBorder="1"/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/>
    <xf numFmtId="0" fontId="0" fillId="3" borderId="24" xfId="0" applyFill="1" applyBorder="1"/>
    <xf numFmtId="0" fontId="0" fillId="3" borderId="23" xfId="0" applyFill="1" applyBorder="1"/>
    <xf numFmtId="0" fontId="0" fillId="3" borderId="25" xfId="0" applyFill="1" applyBorder="1"/>
    <xf numFmtId="0" fontId="2" fillId="3" borderId="3" xfId="0" applyFont="1" applyFill="1" applyBorder="1"/>
    <xf numFmtId="171" fontId="2" fillId="0" borderId="0" xfId="0" applyNumberFormat="1" applyFont="1"/>
    <xf numFmtId="171" fontId="2" fillId="3" borderId="3" xfId="0" applyNumberFormat="1" applyFont="1" applyFill="1" applyBorder="1"/>
    <xf numFmtId="0" fontId="20" fillId="3" borderId="0" xfId="0" applyFont="1" applyFill="1"/>
    <xf numFmtId="164" fontId="0" fillId="0" borderId="17" xfId="0" applyNumberFormat="1" applyFont="1" applyFill="1" applyBorder="1"/>
    <xf numFmtId="164" fontId="0" fillId="0" borderId="18" xfId="0" applyNumberFormat="1" applyFont="1" applyFill="1" applyBorder="1"/>
    <xf numFmtId="171" fontId="0" fillId="12" borderId="24" xfId="3" applyNumberFormat="1" applyFont="1" applyFill="1" applyBorder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9" fontId="0" fillId="0" borderId="0" xfId="0" applyNumberFormat="1" applyFill="1"/>
    <xf numFmtId="0" fontId="0" fillId="0" borderId="9" xfId="0" applyBorder="1"/>
    <xf numFmtId="3" fontId="0" fillId="0" borderId="9" xfId="0" applyNumberFormat="1" applyBorder="1"/>
    <xf numFmtId="3" fontId="0" fillId="0" borderId="8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11" xfId="0" applyNumberFormat="1" applyBorder="1"/>
    <xf numFmtId="0" fontId="0" fillId="0" borderId="15" xfId="0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3" fontId="0" fillId="0" borderId="16" xfId="0" applyNumberFormat="1" applyBorder="1"/>
    <xf numFmtId="3" fontId="0" fillId="0" borderId="2" xfId="0" applyNumberFormat="1" applyBorder="1"/>
    <xf numFmtId="3" fontId="0" fillId="0" borderId="6" xfId="0" applyNumberFormat="1" applyBorder="1"/>
    <xf numFmtId="3" fontId="2" fillId="0" borderId="2" xfId="0" applyNumberFormat="1" applyFont="1" applyBorder="1"/>
    <xf numFmtId="3" fontId="2" fillId="0" borderId="6" xfId="0" applyNumberFormat="1" applyFont="1" applyBorder="1"/>
    <xf numFmtId="3" fontId="0" fillId="0" borderId="7" xfId="0" applyNumberFormat="1" applyBorder="1"/>
    <xf numFmtId="3" fontId="0" fillId="0" borderId="10" xfId="0" applyNumberFormat="1" applyBorder="1"/>
    <xf numFmtId="3" fontId="0" fillId="0" borderId="15" xfId="0" applyNumberFormat="1" applyBorder="1"/>
    <xf numFmtId="3" fontId="0" fillId="0" borderId="5" xfId="0" applyNumberFormat="1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7" fillId="0" borderId="10" xfId="0" applyFont="1" applyBorder="1"/>
    <xf numFmtId="0" fontId="27" fillId="0" borderId="0" xfId="0" applyFont="1" applyBorder="1"/>
    <xf numFmtId="3" fontId="27" fillId="0" borderId="15" xfId="0" applyNumberFormat="1" applyFont="1" applyBorder="1"/>
    <xf numFmtId="3" fontId="27" fillId="0" borderId="1" xfId="0" applyNumberFormat="1" applyFont="1" applyBorder="1"/>
    <xf numFmtId="3" fontId="27" fillId="0" borderId="16" xfId="0" applyNumberFormat="1" applyFont="1" applyBorder="1"/>
    <xf numFmtId="1" fontId="0" fillId="4" borderId="0" xfId="0" applyNumberFormat="1" applyFill="1"/>
    <xf numFmtId="171" fontId="0" fillId="12" borderId="1" xfId="3" applyNumberFormat="1" applyFont="1" applyFill="1" applyBorder="1" applyAlignment="1">
      <alignment horizontal="center"/>
    </xf>
    <xf numFmtId="3" fontId="0" fillId="0" borderId="10" xfId="0" applyNumberFormat="1" applyFill="1" applyBorder="1"/>
    <xf numFmtId="3" fontId="0" fillId="0" borderId="15" xfId="0" applyNumberFormat="1" applyFill="1" applyBorder="1"/>
    <xf numFmtId="167" fontId="0" fillId="0" borderId="0" xfId="0" applyNumberFormat="1"/>
    <xf numFmtId="9" fontId="0" fillId="0" borderId="0" xfId="0" applyNumberFormat="1" applyFill="1" applyBorder="1"/>
    <xf numFmtId="9" fontId="0" fillId="0" borderId="0" xfId="0" applyNumberFormat="1" applyBorder="1"/>
    <xf numFmtId="9" fontId="0" fillId="0" borderId="1" xfId="1" applyFont="1" applyBorder="1"/>
    <xf numFmtId="9" fontId="0" fillId="0" borderId="1" xfId="0" applyNumberFormat="1" applyBorder="1"/>
    <xf numFmtId="167" fontId="0" fillId="0" borderId="0" xfId="1" applyNumberFormat="1" applyFont="1" applyBorder="1"/>
    <xf numFmtId="9" fontId="0" fillId="0" borderId="0" xfId="1" applyNumberFormat="1" applyFont="1" applyBorder="1"/>
    <xf numFmtId="9" fontId="0" fillId="0" borderId="1" xfId="1" applyNumberFormat="1" applyFont="1" applyBorder="1"/>
    <xf numFmtId="3" fontId="0" fillId="0" borderId="0" xfId="0" applyNumberFormat="1" applyFill="1"/>
    <xf numFmtId="0" fontId="0" fillId="0" borderId="0" xfId="0" applyFont="1" applyFill="1" applyBorder="1"/>
    <xf numFmtId="166" fontId="0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0" fontId="0" fillId="0" borderId="0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2" fillId="12" borderId="3" xfId="3" applyNumberFormat="1" applyFont="1" applyFill="1" applyBorder="1"/>
    <xf numFmtId="0" fontId="0" fillId="12" borderId="0" xfId="0" applyFill="1"/>
    <xf numFmtId="3" fontId="0" fillId="0" borderId="0" xfId="0" applyNumberFormat="1" applyFill="1" applyBorder="1"/>
    <xf numFmtId="3" fontId="0" fillId="0" borderId="1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 applyFill="1" applyAlignment="1">
      <alignment horizontal="right"/>
    </xf>
    <xf numFmtId="0" fontId="4" fillId="0" borderId="3" xfId="0" applyFont="1" applyFill="1" applyBorder="1"/>
    <xf numFmtId="167" fontId="0" fillId="0" borderId="3" xfId="1" applyNumberFormat="1" applyFont="1" applyFill="1" applyBorder="1"/>
    <xf numFmtId="167" fontId="0" fillId="0" borderId="3" xfId="1" applyNumberFormat="1" applyFont="1" applyBorder="1"/>
    <xf numFmtId="0" fontId="2" fillId="0" borderId="5" xfId="0" applyFont="1" applyBorder="1" applyAlignment="1">
      <alignment vertical="center"/>
    </xf>
    <xf numFmtId="0" fontId="0" fillId="0" borderId="6" xfId="0" applyBorder="1"/>
    <xf numFmtId="0" fontId="2" fillId="0" borderId="0" xfId="0" applyFont="1" applyAlignment="1">
      <alignment horizontal="center" wrapText="1"/>
    </xf>
    <xf numFmtId="166" fontId="0" fillId="0" borderId="3" xfId="0" applyNumberFormat="1" applyFill="1" applyBorder="1"/>
    <xf numFmtId="0" fontId="28" fillId="3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67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left"/>
    </xf>
    <xf numFmtId="9" fontId="0" fillId="0" borderId="10" xfId="0" applyNumberFormat="1" applyFont="1" applyBorder="1"/>
    <xf numFmtId="0" fontId="2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1" fontId="0" fillId="0" borderId="0" xfId="0" applyNumberFormat="1" applyFill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168" fontId="0" fillId="0" borderId="0" xfId="0" applyNumberFormat="1" applyFont="1" applyFill="1"/>
    <xf numFmtId="9" fontId="0" fillId="0" borderId="10" xfId="0" applyNumberFormat="1" applyFont="1" applyFill="1" applyBorder="1"/>
    <xf numFmtId="9" fontId="0" fillId="0" borderId="23" xfId="0" applyNumberFormat="1" applyFont="1" applyFill="1" applyBorder="1"/>
    <xf numFmtId="0" fontId="18" fillId="0" borderId="0" xfId="0" applyFont="1" applyFill="1"/>
    <xf numFmtId="0" fontId="12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0" fillId="0" borderId="15" xfId="0" applyNumberFormat="1" applyFont="1" applyFill="1" applyBorder="1"/>
    <xf numFmtId="164" fontId="0" fillId="0" borderId="1" xfId="0" applyNumberFormat="1" applyFont="1" applyFill="1" applyBorder="1"/>
    <xf numFmtId="164" fontId="0" fillId="0" borderId="16" xfId="0" applyNumberFormat="1" applyFont="1" applyFill="1" applyBorder="1"/>
    <xf numFmtId="0" fontId="2" fillId="0" borderId="24" xfId="0" applyFont="1" applyFill="1" applyBorder="1" applyAlignment="1">
      <alignment horizontal="center"/>
    </xf>
    <xf numFmtId="164" fontId="0" fillId="0" borderId="25" xfId="0" applyNumberFormat="1" applyFont="1" applyFill="1" applyBorder="1"/>
    <xf numFmtId="0" fontId="0" fillId="0" borderId="7" xfId="0" applyFont="1" applyBorder="1"/>
    <xf numFmtId="164" fontId="0" fillId="0" borderId="24" xfId="0" applyNumberFormat="1" applyFont="1" applyBorder="1"/>
    <xf numFmtId="164" fontId="0" fillId="0" borderId="7" xfId="0" applyNumberFormat="1" applyFont="1" applyBorder="1"/>
    <xf numFmtId="164" fontId="0" fillId="0" borderId="9" xfId="0" applyNumberFormat="1" applyFont="1" applyFill="1" applyBorder="1"/>
    <xf numFmtId="0" fontId="0" fillId="0" borderId="15" xfId="0" applyFont="1" applyBorder="1"/>
    <xf numFmtId="164" fontId="0" fillId="0" borderId="15" xfId="0" applyNumberFormat="1" applyFont="1" applyBorder="1"/>
    <xf numFmtId="9" fontId="0" fillId="0" borderId="9" xfId="0" applyNumberFormat="1" applyFont="1" applyFill="1" applyBorder="1"/>
    <xf numFmtId="9" fontId="0" fillId="0" borderId="7" xfId="0" applyNumberFormat="1" applyFont="1" applyFill="1" applyBorder="1"/>
    <xf numFmtId="9" fontId="0" fillId="0" borderId="24" xfId="0" applyNumberFormat="1" applyFont="1" applyFill="1" applyBorder="1"/>
    <xf numFmtId="9" fontId="0" fillId="0" borderId="0" xfId="0" applyNumberFormat="1" applyFont="1" applyFill="1" applyBorder="1"/>
    <xf numFmtId="9" fontId="0" fillId="0" borderId="0" xfId="1" applyNumberFormat="1" applyFont="1" applyFill="1" applyBorder="1"/>
    <xf numFmtId="9" fontId="0" fillId="0" borderId="0" xfId="1" applyFont="1" applyFill="1" applyBorder="1"/>
    <xf numFmtId="9" fontId="0" fillId="0" borderId="0" xfId="0" applyNumberFormat="1" applyFont="1" applyBorder="1"/>
    <xf numFmtId="9" fontId="0" fillId="0" borderId="11" xfId="0" applyNumberFormat="1" applyFont="1" applyBorder="1"/>
    <xf numFmtId="9" fontId="0" fillId="0" borderId="1" xfId="0" applyNumberFormat="1" applyFont="1" applyFill="1" applyBorder="1"/>
    <xf numFmtId="9" fontId="0" fillId="0" borderId="15" xfId="0" applyNumberFormat="1" applyFont="1" applyFill="1" applyBorder="1"/>
    <xf numFmtId="9" fontId="0" fillId="0" borderId="1" xfId="1" applyFont="1" applyFill="1" applyBorder="1"/>
    <xf numFmtId="9" fontId="0" fillId="0" borderId="25" xfId="0" applyNumberFormat="1" applyFont="1" applyFill="1" applyBorder="1"/>
    <xf numFmtId="9" fontId="0" fillId="0" borderId="15" xfId="0" applyNumberFormat="1" applyFont="1" applyBorder="1"/>
    <xf numFmtId="9" fontId="0" fillId="0" borderId="1" xfId="0" applyNumberFormat="1" applyFont="1" applyBorder="1"/>
    <xf numFmtId="9" fontId="0" fillId="0" borderId="16" xfId="0" applyNumberFormat="1" applyFont="1" applyBorder="1"/>
    <xf numFmtId="9" fontId="1" fillId="0" borderId="0" xfId="1" applyFont="1" applyFill="1" applyBorder="1"/>
    <xf numFmtId="0" fontId="0" fillId="0" borderId="0" xfId="0" applyFont="1" applyAlignment="1">
      <alignment horizontal="center"/>
    </xf>
    <xf numFmtId="164" fontId="0" fillId="0" borderId="7" xfId="0" applyNumberFormat="1" applyFont="1" applyFill="1" applyBorder="1"/>
    <xf numFmtId="164" fontId="0" fillId="0" borderId="8" xfId="0" applyNumberFormat="1" applyFont="1" applyFill="1" applyBorder="1"/>
    <xf numFmtId="9" fontId="0" fillId="0" borderId="11" xfId="0" applyNumberFormat="1" applyFont="1" applyFill="1" applyBorder="1"/>
    <xf numFmtId="9" fontId="0" fillId="0" borderId="8" xfId="0" applyNumberFormat="1" applyFont="1" applyFill="1" applyBorder="1"/>
    <xf numFmtId="3" fontId="0" fillId="14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Fill="1"/>
    <xf numFmtId="171" fontId="2" fillId="0" borderId="0" xfId="0" applyNumberFormat="1" applyFont="1" applyFill="1"/>
    <xf numFmtId="164" fontId="2" fillId="0" borderId="0" xfId="0" applyNumberFormat="1" applyFont="1"/>
    <xf numFmtId="0" fontId="31" fillId="0" borderId="0" xfId="0" applyFont="1" applyFill="1"/>
    <xf numFmtId="176" fontId="0" fillId="0" borderId="0" xfId="0" applyNumberFormat="1"/>
    <xf numFmtId="0" fontId="7" fillId="0" borderId="10" xfId="0" applyFont="1" applyFill="1" applyBorder="1"/>
    <xf numFmtId="167" fontId="2" fillId="0" borderId="0" xfId="1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75" fontId="0" fillId="0" borderId="0" xfId="0" applyNumberFormat="1" applyFont="1" applyFill="1"/>
    <xf numFmtId="10" fontId="0" fillId="14" borderId="3" xfId="0" applyNumberFormat="1" applyFill="1" applyBorder="1"/>
    <xf numFmtId="0" fontId="0" fillId="0" borderId="0" xfId="0" applyFont="1" applyAlignment="1"/>
    <xf numFmtId="0" fontId="7" fillId="0" borderId="0" xfId="0" applyFont="1" applyAlignment="1"/>
    <xf numFmtId="172" fontId="0" fillId="0" borderId="0" xfId="0" applyNumberFormat="1" applyFont="1" applyFill="1"/>
    <xf numFmtId="1" fontId="3" fillId="0" borderId="0" xfId="0" applyNumberFormat="1" applyFont="1" applyFill="1" applyBorder="1"/>
    <xf numFmtId="177" fontId="0" fillId="0" borderId="0" xfId="0" applyNumberForma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1" xfId="0" applyNumberFormat="1" applyFont="1" applyBorder="1"/>
    <xf numFmtId="170" fontId="0" fillId="0" borderId="27" xfId="3" applyNumberFormat="1" applyFont="1" applyBorder="1"/>
    <xf numFmtId="0" fontId="2" fillId="0" borderId="28" xfId="0" applyFont="1" applyBorder="1" applyAlignment="1">
      <alignment horizontal="center"/>
    </xf>
    <xf numFmtId="164" fontId="0" fillId="0" borderId="28" xfId="0" applyNumberFormat="1" applyFont="1" applyBorder="1"/>
    <xf numFmtId="164" fontId="7" fillId="0" borderId="0" xfId="0" applyNumberFormat="1" applyFont="1" applyFill="1" applyBorder="1"/>
    <xf numFmtId="164" fontId="7" fillId="0" borderId="28" xfId="0" applyNumberFormat="1" applyFont="1" applyFill="1" applyBorder="1"/>
    <xf numFmtId="164" fontId="0" fillId="5" borderId="28" xfId="0" applyNumberFormat="1" applyFont="1" applyFill="1" applyBorder="1"/>
    <xf numFmtId="164" fontId="2" fillId="0" borderId="4" xfId="0" applyNumberFormat="1" applyFont="1" applyFill="1" applyBorder="1"/>
    <xf numFmtId="164" fontId="2" fillId="0" borderId="30" xfId="0" applyNumberFormat="1" applyFont="1" applyBorder="1"/>
    <xf numFmtId="0" fontId="7" fillId="0" borderId="1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Font="1" applyBorder="1"/>
    <xf numFmtId="164" fontId="0" fillId="0" borderId="28" xfId="0" applyNumberFormat="1" applyFont="1" applyFill="1" applyBorder="1"/>
    <xf numFmtId="164" fontId="0" fillId="0" borderId="29" xfId="0" applyNumberFormat="1" applyFont="1" applyFill="1" applyBorder="1"/>
    <xf numFmtId="164" fontId="0" fillId="0" borderId="31" xfId="0" applyNumberFormat="1" applyFont="1" applyBorder="1"/>
    <xf numFmtId="164" fontId="0" fillId="0" borderId="32" xfId="0" applyNumberFormat="1" applyFont="1" applyBorder="1"/>
    <xf numFmtId="164" fontId="0" fillId="0" borderId="0" xfId="0" quotePrefix="1" applyNumberFormat="1" applyFont="1" applyAlignment="1">
      <alignment horizontal="center"/>
    </xf>
    <xf numFmtId="172" fontId="0" fillId="0" borderId="3" xfId="0" applyNumberFormat="1" applyFill="1" applyBorder="1"/>
    <xf numFmtId="10" fontId="0" fillId="10" borderId="0" xfId="1" applyNumberFormat="1" applyFont="1" applyFill="1" applyBorder="1"/>
    <xf numFmtId="172" fontId="0" fillId="14" borderId="0" xfId="1" applyNumberFormat="1" applyFont="1" applyFill="1"/>
    <xf numFmtId="172" fontId="0" fillId="0" borderId="0" xfId="0" applyNumberFormat="1" applyFill="1"/>
    <xf numFmtId="178" fontId="0" fillId="0" borderId="0" xfId="3" applyNumberFormat="1" applyFont="1"/>
    <xf numFmtId="175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/>
    </xf>
    <xf numFmtId="179" fontId="0" fillId="0" borderId="0" xfId="0" applyNumberFormat="1" applyFont="1"/>
    <xf numFmtId="179" fontId="0" fillId="0" borderId="1" xfId="0" applyNumberFormat="1" applyFont="1" applyFill="1" applyBorder="1"/>
    <xf numFmtId="0" fontId="0" fillId="0" borderId="0" xfId="0" applyAlignment="1">
      <alignment horizontal="center"/>
    </xf>
    <xf numFmtId="164" fontId="0" fillId="0" borderId="0" xfId="1" applyNumberFormat="1" applyFont="1"/>
    <xf numFmtId="180" fontId="0" fillId="0" borderId="0" xfId="0" applyNumberFormat="1"/>
    <xf numFmtId="180" fontId="2" fillId="0" borderId="0" xfId="0" applyNumberFormat="1" applyFont="1"/>
    <xf numFmtId="0" fontId="0" fillId="0" borderId="0" xfId="0" applyAlignment="1">
      <alignment horizontal="center"/>
    </xf>
    <xf numFmtId="181" fontId="0" fillId="0" borderId="0" xfId="0" applyNumberFormat="1" applyFont="1"/>
    <xf numFmtId="181" fontId="0" fillId="0" borderId="0" xfId="0" applyNumberFormat="1"/>
    <xf numFmtId="0" fontId="2" fillId="0" borderId="0" xfId="0" applyFont="1" applyAlignment="1">
      <alignment horizontal="center"/>
    </xf>
    <xf numFmtId="182" fontId="0" fillId="0" borderId="0" xfId="0" applyNumberFormat="1" applyFont="1"/>
    <xf numFmtId="164" fontId="7" fillId="0" borderId="10" xfId="0" applyNumberFormat="1" applyFont="1" applyFill="1" applyBorder="1"/>
    <xf numFmtId="164" fontId="7" fillId="0" borderId="11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9" fontId="7" fillId="0" borderId="10" xfId="0" applyNumberFormat="1" applyFont="1" applyFill="1" applyBorder="1"/>
    <xf numFmtId="9" fontId="7" fillId="0" borderId="0" xfId="0" applyNumberFormat="1" applyFont="1" applyFill="1" applyBorder="1"/>
    <xf numFmtId="9" fontId="7" fillId="0" borderId="11" xfId="0" applyNumberFormat="1" applyFont="1" applyFill="1" applyBorder="1"/>
    <xf numFmtId="183" fontId="0" fillId="0" borderId="0" xfId="0" applyNumberFormat="1" applyFont="1"/>
    <xf numFmtId="171" fontId="0" fillId="0" borderId="20" xfId="3" applyNumberFormat="1" applyFont="1" applyFill="1" applyBorder="1"/>
    <xf numFmtId="171" fontId="0" fillId="0" borderId="21" xfId="3" applyNumberFormat="1" applyFont="1" applyFill="1" applyBorder="1"/>
    <xf numFmtId="171" fontId="0" fillId="0" borderId="22" xfId="3" applyNumberFormat="1" applyFont="1" applyFill="1" applyBorder="1"/>
    <xf numFmtId="171" fontId="0" fillId="0" borderId="0" xfId="3" applyNumberFormat="1" applyFont="1" applyFill="1" applyBorder="1"/>
    <xf numFmtId="0" fontId="0" fillId="0" borderId="0" xfId="0" applyAlignment="1">
      <alignment horizontal="left" indent="2"/>
    </xf>
    <xf numFmtId="0" fontId="3" fillId="0" borderId="0" xfId="0" applyFont="1" applyFill="1"/>
    <xf numFmtId="43" fontId="0" fillId="0" borderId="0" xfId="3" applyFont="1" applyBorder="1"/>
    <xf numFmtId="164" fontId="0" fillId="10" borderId="23" xfId="0" applyNumberFormat="1" applyFont="1" applyFill="1" applyBorder="1"/>
    <xf numFmtId="0" fontId="0" fillId="0" borderId="3" xfId="0" applyFont="1" applyFill="1" applyBorder="1" applyAlignment="1">
      <alignment vertical="center"/>
    </xf>
    <xf numFmtId="0" fontId="7" fillId="3" borderId="3" xfId="0" applyFont="1" applyFill="1" applyBorder="1"/>
    <xf numFmtId="167" fontId="7" fillId="0" borderId="3" xfId="1" applyNumberFormat="1" applyFont="1" applyFill="1" applyBorder="1" applyAlignment="1">
      <alignment vertical="center"/>
    </xf>
    <xf numFmtId="10" fontId="7" fillId="0" borderId="3" xfId="1" applyNumberFormat="1" applyFont="1" applyFill="1" applyBorder="1" applyAlignment="1">
      <alignment vertical="center"/>
    </xf>
    <xf numFmtId="0" fontId="15" fillId="0" borderId="0" xfId="0" applyFont="1" applyFill="1"/>
    <xf numFmtId="175" fontId="0" fillId="0" borderId="1" xfId="0" applyNumberFormat="1" applyFont="1" applyFill="1" applyBorder="1"/>
    <xf numFmtId="0" fontId="0" fillId="0" borderId="0" xfId="0" applyAlignment="1">
      <alignment horizontal="right"/>
    </xf>
    <xf numFmtId="0" fontId="28" fillId="0" borderId="0" xfId="0" applyFont="1" applyFill="1"/>
    <xf numFmtId="0" fontId="0" fillId="0" borderId="1" xfId="0" applyFont="1" applyFill="1" applyBorder="1"/>
    <xf numFmtId="175" fontId="0" fillId="0" borderId="0" xfId="0" applyNumberFormat="1" applyAlignment="1"/>
    <xf numFmtId="0" fontId="0" fillId="0" borderId="4" xfId="0" applyFont="1" applyFill="1" applyBorder="1"/>
    <xf numFmtId="1" fontId="0" fillId="0" borderId="4" xfId="0" applyNumberFormat="1" applyFont="1" applyFill="1" applyBorder="1"/>
    <xf numFmtId="3" fontId="0" fillId="0" borderId="0" xfId="0" applyNumberFormat="1" applyFont="1" applyFill="1" applyBorder="1"/>
    <xf numFmtId="184" fontId="0" fillId="0" borderId="0" xfId="0" applyNumberFormat="1" applyFont="1"/>
    <xf numFmtId="167" fontId="7" fillId="3" borderId="0" xfId="1" applyNumberFormat="1" applyFont="1" applyFill="1"/>
    <xf numFmtId="0" fontId="32" fillId="0" borderId="0" xfId="0" applyFont="1" applyFill="1"/>
    <xf numFmtId="0" fontId="30" fillId="0" borderId="0" xfId="0" applyFont="1" applyFill="1" applyAlignment="1"/>
    <xf numFmtId="0" fontId="7" fillId="0" borderId="0" xfId="0" applyFont="1" applyFill="1" applyAlignment="1">
      <alignment horizontal="left" indent="1"/>
    </xf>
    <xf numFmtId="0" fontId="15" fillId="0" borderId="0" xfId="0" quotePrefix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1" fontId="0" fillId="0" borderId="1" xfId="3" applyNumberFormat="1" applyFont="1" applyFill="1" applyBorder="1"/>
    <xf numFmtId="0" fontId="7" fillId="0" borderId="0" xfId="0" applyFont="1" applyAlignment="1">
      <alignment wrapText="1"/>
    </xf>
    <xf numFmtId="164" fontId="2" fillId="0" borderId="19" xfId="0" applyNumberFormat="1" applyFont="1" applyFill="1" applyBorder="1"/>
    <xf numFmtId="164" fontId="2" fillId="0" borderId="30" xfId="0" applyNumberFormat="1" applyFont="1" applyFill="1" applyBorder="1"/>
    <xf numFmtId="180" fontId="0" fillId="4" borderId="0" xfId="0" applyNumberFormat="1" applyFill="1"/>
    <xf numFmtId="180" fontId="0" fillId="13" borderId="0" xfId="0" applyNumberFormat="1" applyFill="1"/>
    <xf numFmtId="164" fontId="7" fillId="0" borderId="0" xfId="0" applyNumberFormat="1" applyFont="1"/>
    <xf numFmtId="164" fontId="2" fillId="0" borderId="0" xfId="0" applyNumberFormat="1" applyFont="1" applyAlignment="1">
      <alignment horizontal="center"/>
    </xf>
    <xf numFmtId="171" fontId="0" fillId="0" borderId="10" xfId="3" applyNumberFormat="1" applyFont="1" applyFill="1" applyBorder="1"/>
    <xf numFmtId="164" fontId="7" fillId="0" borderId="10" xfId="0" applyNumberFormat="1" applyFont="1" applyBorder="1"/>
    <xf numFmtId="171" fontId="0" fillId="0" borderId="23" xfId="3" applyNumberFormat="1" applyFont="1" applyFill="1" applyBorder="1"/>
    <xf numFmtId="164" fontId="7" fillId="0" borderId="23" xfId="0" applyNumberFormat="1" applyFont="1" applyBorder="1"/>
    <xf numFmtId="164" fontId="0" fillId="15" borderId="0" xfId="0" applyNumberFormat="1" applyFont="1" applyFill="1"/>
    <xf numFmtId="164" fontId="0" fillId="15" borderId="17" xfId="0" applyNumberFormat="1" applyFont="1" applyFill="1" applyBorder="1"/>
    <xf numFmtId="164" fontId="0" fillId="15" borderId="0" xfId="0" applyNumberFormat="1" applyFont="1" applyFill="1" applyBorder="1"/>
    <xf numFmtId="164" fontId="0" fillId="15" borderId="28" xfId="0" applyNumberFormat="1" applyFont="1" applyFill="1" applyBorder="1"/>
    <xf numFmtId="0" fontId="0" fillId="12" borderId="9" xfId="0" applyFill="1" applyBorder="1" applyAlignment="1"/>
    <xf numFmtId="171" fontId="0" fillId="12" borderId="9" xfId="3" applyNumberFormat="1" applyFont="1" applyFill="1" applyBorder="1"/>
    <xf numFmtId="0" fontId="0" fillId="16" borderId="3" xfId="0" applyFill="1" applyBorder="1"/>
    <xf numFmtId="172" fontId="0" fillId="16" borderId="3" xfId="3" applyNumberFormat="1" applyFont="1" applyFill="1" applyBorder="1"/>
    <xf numFmtId="172" fontId="0" fillId="16" borderId="0" xfId="0" applyNumberFormat="1" applyFill="1"/>
    <xf numFmtId="10" fontId="0" fillId="16" borderId="3" xfId="0" applyNumberFormat="1" applyFill="1" applyBorder="1"/>
    <xf numFmtId="164" fontId="2" fillId="16" borderId="0" xfId="1" applyNumberFormat="1" applyFont="1" applyFill="1" applyBorder="1"/>
    <xf numFmtId="0" fontId="15" fillId="0" borderId="0" xfId="0" applyFont="1"/>
    <xf numFmtId="9" fontId="15" fillId="0" borderId="0" xfId="1" applyFont="1" applyBorder="1"/>
    <xf numFmtId="167" fontId="0" fillId="0" borderId="0" xfId="1" applyNumberFormat="1" applyFont="1" applyFill="1" applyBorder="1"/>
    <xf numFmtId="167" fontId="0" fillId="0" borderId="0" xfId="0" applyNumberFormat="1" applyFill="1" applyBorder="1"/>
    <xf numFmtId="171" fontId="7" fillId="0" borderId="10" xfId="3" applyNumberFormat="1" applyFont="1" applyFill="1" applyBorder="1"/>
    <xf numFmtId="171" fontId="0" fillId="0" borderId="4" xfId="0" applyNumberFormat="1" applyBorder="1"/>
    <xf numFmtId="0" fontId="33" fillId="3" borderId="0" xfId="0" applyFont="1" applyFill="1"/>
    <xf numFmtId="0" fontId="2" fillId="0" borderId="0" xfId="0" applyFont="1" applyAlignment="1">
      <alignment horizontal="center"/>
    </xf>
    <xf numFmtId="0" fontId="0" fillId="14" borderId="0" xfId="0" applyFont="1" applyFill="1"/>
    <xf numFmtId="43" fontId="0" fillId="0" borderId="0" xfId="3" applyNumberFormat="1" applyFont="1"/>
    <xf numFmtId="0" fontId="14" fillId="0" borderId="0" xfId="0" applyFont="1"/>
    <xf numFmtId="0" fontId="6" fillId="0" borderId="0" xfId="0" applyFont="1"/>
    <xf numFmtId="164" fontId="14" fillId="0" borderId="0" xfId="0" applyNumberFormat="1" applyFont="1" applyFill="1"/>
    <xf numFmtId="164" fontId="14" fillId="0" borderId="0" xfId="0" applyNumberFormat="1" applyFont="1"/>
    <xf numFmtId="164" fontId="14" fillId="0" borderId="1" xfId="0" applyNumberFormat="1" applyFont="1" applyFill="1" applyBorder="1"/>
    <xf numFmtId="164" fontId="14" fillId="0" borderId="2" xfId="0" applyNumberFormat="1" applyFont="1" applyBorder="1"/>
    <xf numFmtId="164" fontId="2" fillId="0" borderId="0" xfId="0" applyNumberFormat="1" applyFont="1" applyFill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14" fillId="0" borderId="10" xfId="0" applyNumberFormat="1" applyFont="1" applyBorder="1"/>
    <xf numFmtId="164" fontId="14" fillId="0" borderId="15" xfId="0" applyNumberFormat="1" applyFont="1" applyFill="1" applyBorder="1"/>
    <xf numFmtId="164" fontId="14" fillId="0" borderId="5" xfId="0" applyNumberFormat="1" applyFont="1" applyBorder="1"/>
    <xf numFmtId="164" fontId="2" fillId="0" borderId="23" xfId="0" applyNumberFormat="1" applyFont="1" applyFill="1" applyBorder="1" applyAlignment="1">
      <alignment horizontal="center"/>
    </xf>
    <xf numFmtId="164" fontId="14" fillId="0" borderId="23" xfId="0" applyNumberFormat="1" applyFont="1" applyBorder="1"/>
    <xf numFmtId="164" fontId="14" fillId="0" borderId="25" xfId="0" applyNumberFormat="1" applyFont="1" applyFill="1" applyBorder="1"/>
    <xf numFmtId="164" fontId="14" fillId="0" borderId="3" xfId="0" applyNumberFormat="1" applyFont="1" applyBorder="1"/>
    <xf numFmtId="0" fontId="2" fillId="0" borderId="0" xfId="3" applyNumberFormat="1" applyFont="1" applyFill="1" applyAlignment="1">
      <alignment horizontal="center"/>
    </xf>
    <xf numFmtId="171" fontId="2" fillId="0" borderId="23" xfId="3" applyNumberFormat="1" applyFont="1" applyFill="1" applyBorder="1" applyAlignment="1">
      <alignment horizontal="center"/>
    </xf>
    <xf numFmtId="0" fontId="14" fillId="3" borderId="0" xfId="0" applyFont="1" applyFill="1" applyAlignment="1"/>
    <xf numFmtId="3" fontId="0" fillId="17" borderId="0" xfId="0" applyNumberFormat="1" applyFont="1" applyFill="1"/>
    <xf numFmtId="164" fontId="0" fillId="17" borderId="0" xfId="0" applyNumberFormat="1" applyFont="1" applyFill="1"/>
    <xf numFmtId="164" fontId="0" fillId="17" borderId="10" xfId="0" applyNumberFormat="1" applyFont="1" applyFill="1" applyBorder="1"/>
    <xf numFmtId="164" fontId="0" fillId="17" borderId="0" xfId="0" applyNumberFormat="1" applyFont="1" applyFill="1" applyBorder="1"/>
    <xf numFmtId="164" fontId="0" fillId="17" borderId="23" xfId="0" applyNumberFormat="1" applyFont="1" applyFill="1" applyBorder="1"/>
    <xf numFmtId="164" fontId="0" fillId="17" borderId="2" xfId="0" applyNumberFormat="1" applyFont="1" applyFill="1" applyBorder="1"/>
    <xf numFmtId="164" fontId="0" fillId="17" borderId="5" xfId="0" applyNumberFormat="1" applyFont="1" applyFill="1" applyBorder="1"/>
    <xf numFmtId="164" fontId="0" fillId="17" borderId="3" xfId="0" applyNumberFormat="1" applyFont="1" applyFill="1" applyBorder="1"/>
    <xf numFmtId="170" fontId="0" fillId="17" borderId="0" xfId="3" applyNumberFormat="1" applyFont="1" applyFill="1"/>
    <xf numFmtId="170" fontId="0" fillId="17" borderId="0" xfId="3" applyNumberFormat="1" applyFont="1" applyFill="1" applyBorder="1"/>
    <xf numFmtId="171" fontId="0" fillId="17" borderId="0" xfId="3" applyNumberFormat="1" applyFont="1" applyFill="1" applyBorder="1"/>
    <xf numFmtId="0" fontId="0" fillId="17" borderId="0" xfId="0" applyFont="1" applyFill="1"/>
    <xf numFmtId="6" fontId="0" fillId="17" borderId="0" xfId="0" applyNumberFormat="1" applyFont="1" applyFill="1"/>
    <xf numFmtId="10" fontId="0" fillId="17" borderId="0" xfId="0" applyNumberFormat="1" applyFont="1" applyFill="1"/>
    <xf numFmtId="10" fontId="9" fillId="17" borderId="0" xfId="0" applyNumberFormat="1" applyFont="1" applyFill="1"/>
    <xf numFmtId="10" fontId="14" fillId="17" borderId="0" xfId="0" applyNumberFormat="1" applyFont="1" applyFill="1"/>
    <xf numFmtId="10" fontId="14" fillId="17" borderId="23" xfId="0" applyNumberFormat="1" applyFont="1" applyFill="1" applyBorder="1"/>
    <xf numFmtId="10" fontId="14" fillId="17" borderId="10" xfId="0" applyNumberFormat="1" applyFont="1" applyFill="1" applyBorder="1"/>
    <xf numFmtId="166" fontId="0" fillId="17" borderId="0" xfId="0" applyNumberFormat="1" applyFont="1" applyFill="1"/>
    <xf numFmtId="166" fontId="0" fillId="17" borderId="23" xfId="0" applyNumberFormat="1" applyFont="1" applyFill="1" applyBorder="1"/>
    <xf numFmtId="166" fontId="0" fillId="17" borderId="10" xfId="0" applyNumberFormat="1" applyFont="1" applyFill="1" applyBorder="1"/>
    <xf numFmtId="172" fontId="27" fillId="17" borderId="0" xfId="0" applyNumberFormat="1" applyFont="1" applyFill="1"/>
    <xf numFmtId="172" fontId="20" fillId="17" borderId="23" xfId="0" applyNumberFormat="1" applyFont="1" applyFill="1" applyBorder="1"/>
    <xf numFmtId="172" fontId="27" fillId="17" borderId="10" xfId="0" applyNumberFormat="1" applyFont="1" applyFill="1" applyBorder="1"/>
    <xf numFmtId="0" fontId="2" fillId="17" borderId="0" xfId="0" applyFont="1" applyFill="1"/>
    <xf numFmtId="164" fontId="2" fillId="17" borderId="0" xfId="0" applyNumberFormat="1" applyFont="1" applyFill="1"/>
    <xf numFmtId="164" fontId="2" fillId="17" borderId="23" xfId="0" applyNumberFormat="1" applyFont="1" applyFill="1" applyBorder="1"/>
    <xf numFmtId="164" fontId="2" fillId="17" borderId="10" xfId="0" applyNumberFormat="1" applyFont="1" applyFill="1" applyBorder="1"/>
    <xf numFmtId="3" fontId="0" fillId="17" borderId="1" xfId="0" applyNumberFormat="1" applyFont="1" applyFill="1" applyBorder="1"/>
    <xf numFmtId="165" fontId="7" fillId="17" borderId="0" xfId="0" applyNumberFormat="1" applyFont="1" applyFill="1"/>
    <xf numFmtId="165" fontId="12" fillId="17" borderId="0" xfId="0" applyNumberFormat="1" applyFont="1" applyFill="1"/>
    <xf numFmtId="165" fontId="0" fillId="17" borderId="0" xfId="0" applyNumberFormat="1" applyFont="1" applyFill="1" applyBorder="1"/>
    <xf numFmtId="165" fontId="0" fillId="17" borderId="0" xfId="0" applyNumberFormat="1" applyFont="1" applyFill="1"/>
    <xf numFmtId="165" fontId="0" fillId="17" borderId="33" xfId="0" applyNumberFormat="1" applyFont="1" applyFill="1" applyBorder="1"/>
    <xf numFmtId="165" fontId="0" fillId="17" borderId="34" xfId="0" applyNumberFormat="1" applyFont="1" applyFill="1" applyBorder="1"/>
    <xf numFmtId="164" fontId="0" fillId="17" borderId="20" xfId="0" applyNumberFormat="1" applyFont="1" applyFill="1" applyBorder="1"/>
    <xf numFmtId="164" fontId="0" fillId="17" borderId="21" xfId="0" applyNumberFormat="1" applyFont="1" applyFill="1" applyBorder="1"/>
    <xf numFmtId="164" fontId="0" fillId="17" borderId="22" xfId="0" applyNumberFormat="1" applyFont="1" applyFill="1" applyBorder="1"/>
    <xf numFmtId="165" fontId="4" fillId="17" borderId="0" xfId="0" applyNumberFormat="1" applyFont="1" applyFill="1"/>
    <xf numFmtId="10" fontId="0" fillId="17" borderId="0" xfId="1" applyNumberFormat="1" applyFont="1" applyFill="1"/>
    <xf numFmtId="164" fontId="4" fillId="17" borderId="0" xfId="0" applyNumberFormat="1" applyFont="1" applyFill="1"/>
    <xf numFmtId="171" fontId="0" fillId="17" borderId="0" xfId="0" applyNumberFormat="1" applyFill="1"/>
    <xf numFmtId="171" fontId="0" fillId="17" borderId="4" xfId="0" applyNumberFormat="1" applyFill="1" applyBorder="1"/>
    <xf numFmtId="171" fontId="0" fillId="17" borderId="0" xfId="3" applyNumberFormat="1" applyFont="1" applyFill="1"/>
    <xf numFmtId="164" fontId="0" fillId="18" borderId="0" xfId="0" applyNumberFormat="1" applyFont="1" applyFill="1"/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1" fillId="9" borderId="1" xfId="0" applyFont="1" applyFill="1" applyBorder="1" applyAlignment="1">
      <alignment horizontal="center"/>
    </xf>
    <xf numFmtId="0" fontId="0" fillId="0" borderId="24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1" fillId="1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2" fontId="12" fillId="0" borderId="5" xfId="0" applyNumberFormat="1" applyFont="1" applyFill="1" applyBorder="1" applyAlignment="1">
      <alignment horizontal="center"/>
    </xf>
    <xf numFmtId="172" fontId="12" fillId="0" borderId="2" xfId="0" applyNumberFormat="1" applyFont="1" applyFill="1" applyBorder="1" applyAlignment="1">
      <alignment horizontal="center"/>
    </xf>
    <xf numFmtId="172" fontId="1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externalLink" Target="externalLinks/externalLink25.xml"/><Relationship Id="rId63" Type="http://schemas.openxmlformats.org/officeDocument/2006/relationships/externalLink" Target="externalLinks/externalLink33.xml"/><Relationship Id="rId68" Type="http://schemas.openxmlformats.org/officeDocument/2006/relationships/externalLink" Target="externalLinks/externalLink38.xml"/><Relationship Id="rId76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externalLink" Target="externalLinks/externalLink23.xml"/><Relationship Id="rId58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36.xml"/><Relationship Id="rId7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57" Type="http://schemas.openxmlformats.org/officeDocument/2006/relationships/externalLink" Target="externalLinks/externalLink27.xml"/><Relationship Id="rId61" Type="http://schemas.openxmlformats.org/officeDocument/2006/relationships/externalLink" Target="externalLinks/externalLink3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22.xml"/><Relationship Id="rId60" Type="http://schemas.openxmlformats.org/officeDocument/2006/relationships/externalLink" Target="externalLinks/externalLink30.xml"/><Relationship Id="rId65" Type="http://schemas.openxmlformats.org/officeDocument/2006/relationships/externalLink" Target="externalLinks/externalLink3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26.xml"/><Relationship Id="rId64" Type="http://schemas.openxmlformats.org/officeDocument/2006/relationships/externalLink" Target="externalLinks/externalLink34.xml"/><Relationship Id="rId69" Type="http://schemas.openxmlformats.org/officeDocument/2006/relationships/externalLink" Target="externalLinks/externalLink3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59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1.xml"/><Relationship Id="rId54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32.xml"/><Relationship Id="rId70" Type="http://schemas.openxmlformats.org/officeDocument/2006/relationships/theme" Target="theme/theme1.xml"/><Relationship Id="rId7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</a:rPr>
              <a:t>SCS Connections Capex 2016 - 2026 ($m, $Jun-21)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SCS_Total!$B$24</c:f>
              <c:strCache>
                <c:ptCount val="1"/>
                <c:pt idx="0">
                  <c:v>2016-19 Actual Net Capex</c:v>
                </c:pt>
              </c:strCache>
            </c:strRef>
          </c:tx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SCS_Total!$C$24:$M$24</c:f>
              <c:numCache>
                <c:formatCode>_-"$"* #,##0.0_-;\-"$"* #,##0.0_-;_-"$"* "-"??_-;_-@_-</c:formatCode>
                <c:ptCount val="11"/>
                <c:pt idx="0">
                  <c:v>58.295390217501051</c:v>
                </c:pt>
                <c:pt idx="1">
                  <c:v>49.891372485113401</c:v>
                </c:pt>
                <c:pt idx="2">
                  <c:v>55.245557784596471</c:v>
                </c:pt>
                <c:pt idx="3">
                  <c:v>49.723628102142222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40D-8A84-F6AAD9A9012A}"/>
            </c:ext>
          </c:extLst>
        </c:ser>
        <c:ser>
          <c:idx val="2"/>
          <c:order val="1"/>
          <c:tx>
            <c:strRef>
              <c:f>SCS_Total!$B$25</c:f>
              <c:strCache>
                <c:ptCount val="1"/>
                <c:pt idx="0">
                  <c:v>2020-Jun-21 F'cst Net Capex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SCS_Total!$C$25:$M$25</c:f>
              <c:numCache>
                <c:formatCode>_-"$"* #,##0.0_-;\-"$"* #,##0.0_-;_-"$"* "-"??_-;_-@_-</c:formatCode>
                <c:ptCount val="11"/>
                <c:pt idx="4">
                  <c:v>41.51842648721324</c:v>
                </c:pt>
                <c:pt idx="5">
                  <c:v>21.740951785105583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C-440D-8A84-F6AAD9A9012A}"/>
            </c:ext>
          </c:extLst>
        </c:ser>
        <c:ser>
          <c:idx val="4"/>
          <c:order val="2"/>
          <c:tx>
            <c:strRef>
              <c:f>SCS_Total!$B$26</c:f>
              <c:strCache>
                <c:ptCount val="1"/>
                <c:pt idx="0">
                  <c:v>2022-26 F'cst Net Capex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SCS_Total!$C$26:$M$26</c:f>
              <c:numCache>
                <c:formatCode>_-"$"* #,##0.0_-;\-"$"* #,##0.0_-;_-"$"* "-"??_-;_-@_-</c:formatCode>
                <c:ptCount val="11"/>
                <c:pt idx="6">
                  <c:v>30.818526441714447</c:v>
                </c:pt>
                <c:pt idx="7">
                  <c:v>52.182289416721019</c:v>
                </c:pt>
                <c:pt idx="8">
                  <c:v>52.619529593949125</c:v>
                </c:pt>
                <c:pt idx="9">
                  <c:v>53.176753432543983</c:v>
                </c:pt>
                <c:pt idx="10">
                  <c:v>53.612618399820995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C-440D-8A84-F6AAD9A9012A}"/>
            </c:ext>
          </c:extLst>
        </c:ser>
        <c:ser>
          <c:idx val="5"/>
          <c:order val="3"/>
          <c:tx>
            <c:strRef>
              <c:f>SCS_Total!$B$27</c:f>
              <c:strCache>
                <c:ptCount val="1"/>
                <c:pt idx="0">
                  <c:v>2016-19 Actual Cust Contr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SCS_Total!$C$27:$M$27</c:f>
              <c:numCache>
                <c:formatCode>_-"$"* #,##0.0_-;\-"$"* #,##0.0_-;_-"$"* "-"??_-;_-@_-</c:formatCode>
                <c:ptCount val="11"/>
                <c:pt idx="0">
                  <c:v>15.301251843467874</c:v>
                </c:pt>
                <c:pt idx="1">
                  <c:v>27.738046552340499</c:v>
                </c:pt>
                <c:pt idx="2">
                  <c:v>51.374055672233609</c:v>
                </c:pt>
                <c:pt idx="3">
                  <c:v>70.628501901478387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C-440D-8A84-F6AAD9A9012A}"/>
            </c:ext>
          </c:extLst>
        </c:ser>
        <c:ser>
          <c:idx val="6"/>
          <c:order val="4"/>
          <c:tx>
            <c:strRef>
              <c:f>SCS_Total!$B$28</c:f>
              <c:strCache>
                <c:ptCount val="1"/>
                <c:pt idx="0">
                  <c:v>2020-Jun-21 F'cst Cust Contr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SCS_Total!$C$28:$M$28</c:f>
              <c:numCache>
                <c:formatCode>_-"$"* #,##0.0_-;\-"$"* #,##0.0_-;_-"$"* "-"??_-;_-@_-</c:formatCode>
                <c:ptCount val="11"/>
                <c:pt idx="4">
                  <c:v>67.837990298192807</c:v>
                </c:pt>
                <c:pt idx="5">
                  <c:v>34.021712761168764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C-440D-8A84-F6AAD9A9012A}"/>
            </c:ext>
          </c:extLst>
        </c:ser>
        <c:ser>
          <c:idx val="7"/>
          <c:order val="5"/>
          <c:tx>
            <c:strRef>
              <c:f>SCS_Total!$B$29</c:f>
              <c:strCache>
                <c:ptCount val="1"/>
                <c:pt idx="0">
                  <c:v>2022-26 F'cst Cust Contr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SCS_Total!$C$23:$M$23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SCS_Total!$C$29:$M$29</c:f>
              <c:numCache>
                <c:formatCode>_-"$"* #,##0.0_-;\-"$"* #,##0.0_-;_-"$"* "-"??_-;_-@_-</c:formatCode>
                <c:ptCount val="11"/>
                <c:pt idx="6">
                  <c:v>47.308648967655493</c:v>
                </c:pt>
                <c:pt idx="7">
                  <c:v>67.815664138763566</c:v>
                </c:pt>
                <c:pt idx="8">
                  <c:v>68.338519264326806</c:v>
                </c:pt>
                <c:pt idx="9">
                  <c:v>68.976827607250044</c:v>
                </c:pt>
                <c:pt idx="10">
                  <c:v>69.496898176717281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FC-440D-8A84-F6AAD9A90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059008"/>
        <c:axId val="486343424"/>
      </c:barChart>
      <c:catAx>
        <c:axId val="48605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343424"/>
        <c:crosses val="autoZero"/>
        <c:auto val="1"/>
        <c:lblAlgn val="ctr"/>
        <c:lblOffset val="100"/>
        <c:noMultiLvlLbl val="0"/>
      </c:catAx>
      <c:valAx>
        <c:axId val="486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_-;\-&quot;$&quot;* #,##0.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5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</a:rPr>
              <a:t>SCS Connections Capex 2016 - 2026 ($m, $Jun-21)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aseline="0">
                <a:solidFill>
                  <a:sysClr val="windowText" lastClr="000000"/>
                </a:solidFill>
              </a:rPr>
              <a:t>* Excluding gifted assets and large embedded generation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'SCS_excl Gifted+Co Gen'!$B$24</c:f>
              <c:strCache>
                <c:ptCount val="1"/>
                <c:pt idx="0">
                  <c:v>2016-19 Actual Net Capex</c:v>
                </c:pt>
              </c:strCache>
            </c:strRef>
          </c:tx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Gen'!$C$24:$M$24</c:f>
              <c:numCache>
                <c:formatCode>_-"$"* #,##0.0_-;\-"$"* #,##0.0_-;_-"$"* "-"??_-;_-@_-</c:formatCode>
                <c:ptCount val="11"/>
                <c:pt idx="0">
                  <c:v>58.009444590281213</c:v>
                </c:pt>
                <c:pt idx="1">
                  <c:v>50.106796854926479</c:v>
                </c:pt>
                <c:pt idx="2">
                  <c:v>55.35477153425704</c:v>
                </c:pt>
                <c:pt idx="3">
                  <c:v>44.746109607806865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9D-4511-8BFC-705764513374}"/>
            </c:ext>
          </c:extLst>
        </c:ser>
        <c:ser>
          <c:idx val="2"/>
          <c:order val="1"/>
          <c:tx>
            <c:strRef>
              <c:f>'SCS_excl Gifted+Co Gen'!$B$25</c:f>
              <c:strCache>
                <c:ptCount val="1"/>
                <c:pt idx="0">
                  <c:v>2020 F'cst Net Capex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Gen'!$C$25:$M$25</c:f>
              <c:numCache>
                <c:formatCode>_-"$"* #,##0.0_-;\-"$"* #,##0.0_-;_-"$"* "-"??_-;_-@_-</c:formatCode>
                <c:ptCount val="11"/>
                <c:pt idx="4">
                  <c:v>44.45763555513426</c:v>
                </c:pt>
                <c:pt idx="5">
                  <c:v>21.74095178510558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9D-4511-8BFC-705764513374}"/>
            </c:ext>
          </c:extLst>
        </c:ser>
        <c:ser>
          <c:idx val="4"/>
          <c:order val="2"/>
          <c:tx>
            <c:strRef>
              <c:f>'SCS_excl Gifted+Co Gen'!$B$26</c:f>
              <c:strCache>
                <c:ptCount val="1"/>
                <c:pt idx="0">
                  <c:v>2022-26 F'cst Net Capex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Gen'!$C$26:$M$26</c:f>
              <c:numCache>
                <c:formatCode>_-"$"* #,##0.0_-;\-"$"* #,##0.0_-;_-"$"* "-"??_-;_-@_-</c:formatCode>
                <c:ptCount val="11"/>
                <c:pt idx="6">
                  <c:v>30.818526441714461</c:v>
                </c:pt>
                <c:pt idx="7">
                  <c:v>52.182289416721005</c:v>
                </c:pt>
                <c:pt idx="8">
                  <c:v>52.619529593949132</c:v>
                </c:pt>
                <c:pt idx="9">
                  <c:v>53.176753432543961</c:v>
                </c:pt>
                <c:pt idx="10">
                  <c:v>53.612618399820988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9D-4511-8BFC-705764513374}"/>
            </c:ext>
          </c:extLst>
        </c:ser>
        <c:ser>
          <c:idx val="5"/>
          <c:order val="3"/>
          <c:tx>
            <c:strRef>
              <c:f>'SCS_excl Gifted+Co Gen'!$B$27</c:f>
              <c:strCache>
                <c:ptCount val="1"/>
                <c:pt idx="0">
                  <c:v>2016-19 Actual Cap Cons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Gen'!$C$27:$M$27</c:f>
              <c:numCache>
                <c:formatCode>_-"$"* #,##0.0_-;\-"$"* #,##0.0_-;_-"$"* "-"??_-;_-@_-</c:formatCode>
                <c:ptCount val="11"/>
                <c:pt idx="0">
                  <c:v>14.615131999555834</c:v>
                </c:pt>
                <c:pt idx="1">
                  <c:v>21.601196946147375</c:v>
                </c:pt>
                <c:pt idx="2">
                  <c:v>21.715908235882825</c:v>
                </c:pt>
                <c:pt idx="3">
                  <c:v>24.854684387766373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9D-4511-8BFC-705764513374}"/>
            </c:ext>
          </c:extLst>
        </c:ser>
        <c:ser>
          <c:idx val="6"/>
          <c:order val="4"/>
          <c:tx>
            <c:strRef>
              <c:f>'SCS_excl Gifted+Co Gen'!$B$28</c:f>
              <c:strCache>
                <c:ptCount val="1"/>
                <c:pt idx="0">
                  <c:v>2020 F'cst Cap Cons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Gen'!$C$28:$M$28</c:f>
              <c:numCache>
                <c:formatCode>_-"$"* #,##0.0_-;\-"$"* #,##0.0_-;_-"$"* "-"??_-;_-@_-</c:formatCode>
                <c:ptCount val="11"/>
                <c:pt idx="4">
                  <c:v>21.25759984062282</c:v>
                </c:pt>
                <c:pt idx="5">
                  <c:v>10.443098464995805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9D-4511-8BFC-705764513374}"/>
            </c:ext>
          </c:extLst>
        </c:ser>
        <c:ser>
          <c:idx val="7"/>
          <c:order val="5"/>
          <c:tx>
            <c:strRef>
              <c:f>'SCS_excl Gifted+Co Gen'!$B$29</c:f>
              <c:strCache>
                <c:ptCount val="1"/>
                <c:pt idx="0">
                  <c:v>2022-26 F'cst Cap Cons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'SCS_excl Gifted+Co Gen'!$C$23:$M$23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H121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'SCS_excl Gifted+Co Gen'!$C$29:$M$29</c:f>
              <c:numCache>
                <c:formatCode>_-"$"* #,##0.0_-;\-"$"* #,##0.0_-;_-"$"* "-"??_-;_-@_-</c:formatCode>
                <c:ptCount val="11"/>
                <c:pt idx="6">
                  <c:v>7.0186288667542724</c:v>
                </c:pt>
                <c:pt idx="7">
                  <c:v>12.089496150376759</c:v>
                </c:pt>
                <c:pt idx="8">
                  <c:v>12.180056878680043</c:v>
                </c:pt>
                <c:pt idx="9">
                  <c:v>12.265611045757632</c:v>
                </c:pt>
                <c:pt idx="10">
                  <c:v>12.390079799259507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9D-4511-8BFC-70576451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059008"/>
        <c:axId val="486343424"/>
      </c:barChart>
      <c:catAx>
        <c:axId val="48605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343424"/>
        <c:crosses val="autoZero"/>
        <c:auto val="1"/>
        <c:lblAlgn val="ctr"/>
        <c:lblOffset val="100"/>
        <c:noMultiLvlLbl val="0"/>
      </c:catAx>
      <c:valAx>
        <c:axId val="486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_-;\-&quot;$&quot;* #,##0.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5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77202086380424"/>
          <c:y val="0.86080700065330262"/>
          <c:w val="0.69190108392939442"/>
          <c:h val="0.1173589382113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>
                <a:solidFill>
                  <a:sysClr val="windowText" lastClr="000000"/>
                </a:solidFill>
              </a:rPr>
              <a:t>Gifted</a:t>
            </a:r>
            <a:r>
              <a:rPr lang="en-AU" sz="1200" baseline="0">
                <a:solidFill>
                  <a:sysClr val="windowText" lastClr="000000"/>
                </a:solidFill>
              </a:rPr>
              <a:t> Assets Capex - Business Supply Projects ($2021)</a:t>
            </a:r>
            <a:endParaRPr lang="en-AU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652715359566155"/>
          <c:y val="2.168920788280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'Gifted I&amp;C'!$B$7</c:f>
              <c:strCache>
                <c:ptCount val="1"/>
                <c:pt idx="0">
                  <c:v> Current period Act/Forecast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'Gifted I&amp;C'!$C$4:$M$4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Jan-Jun21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'Gifted I&amp;C'!$C$7:$M$7</c:f>
              <c:numCache>
                <c:formatCode>"$"#,##0.0_);[Red]\("$"#,##0.0\)</c:formatCode>
                <c:ptCount val="11"/>
                <c:pt idx="0">
                  <c:v>0.34183413313719324</c:v>
                </c:pt>
                <c:pt idx="1">
                  <c:v>4.0215810043475075</c:v>
                </c:pt>
                <c:pt idx="2">
                  <c:v>3.6596037758542934</c:v>
                </c:pt>
                <c:pt idx="3">
                  <c:v>8.5117638277137466</c:v>
                </c:pt>
                <c:pt idx="4">
                  <c:v>3.9193639959268034</c:v>
                </c:pt>
                <c:pt idx="5">
                  <c:v>1.9597560729830679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8-422D-85FC-BD63EB899968}"/>
            </c:ext>
          </c:extLst>
        </c:ser>
        <c:ser>
          <c:idx val="2"/>
          <c:order val="1"/>
          <c:tx>
            <c:strRef>
              <c:f>'Gifted I&amp;C'!$B$8</c:f>
              <c:strCache>
                <c:ptCount val="1"/>
                <c:pt idx="0">
                  <c:v> ASD Revised Proposal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'Gifted I&amp;C'!$C$4:$M$4</c:f>
              <c:strCach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Jan-Jun21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  <c:pt idx="10">
                  <c:v>2025-26</c:v>
                </c:pt>
              </c:strCache>
            </c:strRef>
          </c:cat>
          <c:val>
            <c:numRef>
              <c:f>'Gifted I&amp;C'!$C$8:$M$8</c:f>
              <c:numCache>
                <c:formatCode>General</c:formatCode>
                <c:ptCount val="11"/>
                <c:pt idx="6" formatCode="&quot;$&quot;#,##0.0_);[Red]\(&quot;$&quot;#,##0.0\)">
                  <c:v>2.2717347474058309</c:v>
                </c:pt>
                <c:pt idx="7" formatCode="&quot;$&quot;#,##0.0_);[Red]\(&quot;$&quot;#,##0.0\)">
                  <c:v>3.9220718155392311</c:v>
                </c:pt>
                <c:pt idx="8" formatCode="&quot;$&quot;#,##0.0_);[Red]\(&quot;$&quot;#,##0.0\)">
                  <c:v>3.9233947581752835</c:v>
                </c:pt>
                <c:pt idx="9" formatCode="&quot;$&quot;#,##0.0_);[Red]\(&quot;$&quot;#,##0.0\)">
                  <c:v>3.925425989835476</c:v>
                </c:pt>
                <c:pt idx="10" formatCode="&quot;$&quot;#,##0.0_);[Red]\(&quot;$&quot;#,##0.0\)">
                  <c:v>3.9281259437044431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8-422D-85FC-BD63EB899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85539168"/>
        <c:axId val="189080912"/>
      </c:barChart>
      <c:catAx>
        <c:axId val="1855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80912"/>
        <c:crosses val="autoZero"/>
        <c:auto val="1"/>
        <c:lblAlgn val="ctr"/>
        <c:lblOffset val="100"/>
        <c:noMultiLvlLbl val="0"/>
      </c:catAx>
      <c:valAx>
        <c:axId val="18908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900">
                    <a:solidFill>
                      <a:sysClr val="windowText" lastClr="000000"/>
                    </a:solidFill>
                  </a:rPr>
                  <a:t>millions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_);[Red]\(&quot;$&quot;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>
                <a:solidFill>
                  <a:sysClr val="windowText" lastClr="000000"/>
                </a:solidFill>
              </a:rPr>
              <a:t>Distribution</a:t>
            </a:r>
            <a:r>
              <a:rPr lang="en-AU" sz="1200" baseline="0">
                <a:solidFill>
                  <a:sysClr val="windowText" lastClr="000000"/>
                </a:solidFill>
              </a:rPr>
              <a:t> Large Embedded Generators Gross Capex ($2021)</a:t>
            </a:r>
            <a:endParaRPr lang="en-AU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652715359566155"/>
          <c:y val="2.168920788280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'Large Co Gen'!$B$10</c:f>
              <c:strCache>
                <c:ptCount val="1"/>
                <c:pt idx="0">
                  <c:v>Current period Act/Forecast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A3-4506-B70E-5A642C751FE8}"/>
              </c:ext>
            </c:extLst>
          </c:dPt>
          <c:cat>
            <c:strRef>
              <c:f>'Large Co Gen'!$C$6:$N$6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Jan-Jun21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  <c:pt idx="10">
                  <c:v>2024-25</c:v>
                </c:pt>
                <c:pt idx="11">
                  <c:v>2025-26</c:v>
                </c:pt>
              </c:strCache>
            </c:strRef>
          </c:cat>
          <c:val>
            <c:numRef>
              <c:f>'Large Co Gen'!$C$10:$N$10</c:f>
              <c:numCache>
                <c:formatCode>"$"#,##0.0</c:formatCode>
                <c:ptCount val="12"/>
                <c:pt idx="0">
                  <c:v>24.761327416308333</c:v>
                </c:pt>
                <c:pt idx="1">
                  <c:v>0.43215264212315113</c:v>
                </c:pt>
                <c:pt idx="2">
                  <c:v>0.14511239027945699</c:v>
                </c:pt>
                <c:pt idx="3">
                  <c:v>0.14165516631948716</c:v>
                </c:pt>
                <c:pt idx="4">
                  <c:v>5.0396414045396885</c:v>
                </c:pt>
                <c:pt idx="5">
                  <c:v>8.2202197084890791</c:v>
                </c:pt>
                <c:pt idx="6">
                  <c:v>5.2054137209650646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5-45AA-8E71-E510691DFBFB}"/>
            </c:ext>
          </c:extLst>
        </c:ser>
        <c:ser>
          <c:idx val="1"/>
          <c:order val="1"/>
          <c:tx>
            <c:strRef>
              <c:f>'Large Co Gen'!$B$11</c:f>
              <c:strCache>
                <c:ptCount val="1"/>
                <c:pt idx="0">
                  <c:v>ASD Initial Proposal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'Large Co Gen'!$C$11:$N$11</c:f>
              <c:numCache>
                <c:formatCode>"$"#,##0.0</c:formatCode>
                <c:ptCount val="12"/>
                <c:pt idx="7">
                  <c:v>16.992047722153249</c:v>
                </c:pt>
                <c:pt idx="8">
                  <c:v>14.635036310914836</c:v>
                </c:pt>
                <c:pt idx="9">
                  <c:v>12.292677993883901</c:v>
                </c:pt>
                <c:pt idx="10">
                  <c:v>12.376575890939163</c:v>
                </c:pt>
                <c:pt idx="11">
                  <c:v>12.441642159447508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3-4506-B70E-5A642C751FE8}"/>
            </c:ext>
          </c:extLst>
        </c:ser>
        <c:ser>
          <c:idx val="2"/>
          <c:order val="2"/>
          <c:tx>
            <c:strRef>
              <c:f>'Large Co Gen'!$B$12</c:f>
              <c:strCache>
                <c:ptCount val="1"/>
                <c:pt idx="0">
                  <c:v>ASD Revised Proposal</c:v>
                </c:pt>
              </c:strCache>
            </c:strRef>
          </c:tx>
          <c:spPr>
            <a:pattFill prst="pct5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'Large Co Gen'!$C$6:$N$6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Jan-Jun21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  <c:pt idx="10">
                  <c:v>2024-25</c:v>
                </c:pt>
                <c:pt idx="11">
                  <c:v>2025-26</c:v>
                </c:pt>
              </c:strCache>
            </c:strRef>
          </c:cat>
          <c:val>
            <c:numRef>
              <c:f>'Large Co Gen'!$C$12:$N$12</c:f>
              <c:numCache>
                <c:formatCode>"$"#,##0.0</c:formatCode>
                <c:ptCount val="12"/>
                <c:pt idx="7">
                  <c:v>2.0344982204090734</c:v>
                </c:pt>
                <c:pt idx="8">
                  <c:v>4.3618957451690843</c:v>
                </c:pt>
                <c:pt idx="9">
                  <c:v>6.9522512873758071</c:v>
                </c:pt>
                <c:pt idx="10">
                  <c:v>7.0352836252240696</c:v>
                </c:pt>
                <c:pt idx="11">
                  <c:v>7.0842912618174019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05-45AA-8E71-E510691D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85539168"/>
        <c:axId val="189080912"/>
      </c:barChart>
      <c:catAx>
        <c:axId val="1855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80912"/>
        <c:crosses val="autoZero"/>
        <c:auto val="1"/>
        <c:lblAlgn val="ctr"/>
        <c:lblOffset val="100"/>
        <c:noMultiLvlLbl val="0"/>
      </c:catAx>
      <c:valAx>
        <c:axId val="18908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900">
                    <a:solidFill>
                      <a:sysClr val="windowText" lastClr="000000"/>
                    </a:solidFill>
                  </a:rPr>
                  <a:t>millions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363192</xdr:colOff>
      <xdr:row>0</xdr:row>
      <xdr:rowOff>0</xdr:rowOff>
    </xdr:from>
    <xdr:to>
      <xdr:col>4</xdr:col>
      <xdr:colOff>107548</xdr:colOff>
      <xdr:row>4</xdr:row>
      <xdr:rowOff>1146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192" y="0"/>
          <a:ext cx="1235226" cy="8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89647</xdr:colOff>
      <xdr:row>0</xdr:row>
      <xdr:rowOff>179294</xdr:rowOff>
    </xdr:from>
    <xdr:to>
      <xdr:col>27</xdr:col>
      <xdr:colOff>475689</xdr:colOff>
      <xdr:row>41</xdr:row>
      <xdr:rowOff>183735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2023912" y="179294"/>
          <a:ext cx="7042336" cy="787097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Details on Forecasting approach for Customer Contributions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apply the national charging guideline (NER, CH.5A) for new customer connections from 2016 as outlined in our Connection Policy.</a:t>
          </a:r>
        </a:p>
        <a:p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this Revised Revenue Proposal, we have updated our forecast capital contributions for the 2022-26 control period for each connection type to reflect: </a:t>
          </a:r>
        </a:p>
        <a:p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latest rate of return, in line with the AER's Draft Decision, which is used to discount incremental revenue in the calculation of customer contributions towards residential and business connections;</a:t>
          </a: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Our updated unit rates for various types of connections including our 2019 actual unit rates;</a:t>
          </a: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 pipeline of large Co-generation connections; and</a:t>
          </a:r>
        </a:p>
        <a:p>
          <a:pPr marL="171450" indent="-171450"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 unit rates for the Marginal cost of reinforcement (MCR) as reflected in our updated Connection Policy (effective 1 July 2021).</a:t>
          </a:r>
        </a:p>
        <a:p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12</xdr:col>
      <xdr:colOff>502920</xdr:colOff>
      <xdr:row>21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333D1-E32A-4130-A0A7-D4DD51750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106680</xdr:colOff>
      <xdr:row>4</xdr:row>
      <xdr:rowOff>106680</xdr:rowOff>
    </xdr:from>
    <xdr:to>
      <xdr:col>8</xdr:col>
      <xdr:colOff>106680</xdr:colOff>
      <xdr:row>16</xdr:row>
      <xdr:rowOff>144780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D346BEF-23C7-4236-A968-066DBDCEFB70}"/>
            </a:ext>
          </a:extLst>
        </xdr:cNvPr>
        <xdr:cNvCxnSpPr/>
      </xdr:nvCxnSpPr>
      <xdr:spPr>
        <a:xfrm flipV="1">
          <a:off x="6103620" y="838200"/>
          <a:ext cx="0" cy="22326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12</xdr:col>
      <xdr:colOff>502920</xdr:colOff>
      <xdr:row>21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90602B-E720-4AC7-9F45-6DD667E9A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5</xdr:row>
      <xdr:rowOff>137160</xdr:rowOff>
    </xdr:from>
    <xdr:to>
      <xdr:col>8</xdr:col>
      <xdr:colOff>114300</xdr:colOff>
      <xdr:row>16</xdr:row>
      <xdr:rowOff>144780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4F4D5BF-B8B5-4B0E-9EE9-4692880D121D}"/>
            </a:ext>
          </a:extLst>
        </xdr:cNvPr>
        <xdr:cNvCxnSpPr/>
      </xdr:nvCxnSpPr>
      <xdr:spPr>
        <a:xfrm flipV="1">
          <a:off x="5501640" y="1051560"/>
          <a:ext cx="0" cy="2019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10</xdr:row>
      <xdr:rowOff>53340</xdr:rowOff>
    </xdr:from>
    <xdr:to>
      <xdr:col>13</xdr:col>
      <xdr:colOff>30929</xdr:colOff>
      <xdr:row>29</xdr:row>
      <xdr:rowOff>91888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09FF8-47BC-45D6-8054-13C64C18E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525908</xdr:colOff>
      <xdr:row>12</xdr:row>
      <xdr:rowOff>132229</xdr:rowOff>
    </xdr:from>
    <xdr:to>
      <xdr:col>8</xdr:col>
      <xdr:colOff>525908</xdr:colOff>
      <xdr:row>26</xdr:row>
      <xdr:rowOff>55132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C7C189-A05D-433E-80B7-F183271A9242}"/>
            </a:ext>
          </a:extLst>
        </xdr:cNvPr>
        <xdr:cNvCxnSpPr/>
      </xdr:nvCxnSpPr>
      <xdr:spPr>
        <a:xfrm>
          <a:off x="6654565" y="2352915"/>
          <a:ext cx="0" cy="251370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619461</xdr:colOff>
      <xdr:row>13</xdr:row>
      <xdr:rowOff>20170</xdr:rowOff>
    </xdr:from>
    <xdr:to>
      <xdr:col>12</xdr:col>
      <xdr:colOff>394446</xdr:colOff>
      <xdr:row>34</xdr:row>
      <xdr:rowOff>17929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BDED94-2228-4F49-AB35-8FA7C06A8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</xdr:colOff>
      <xdr:row>15</xdr:row>
      <xdr:rowOff>80681</xdr:rowOff>
    </xdr:from>
    <xdr:to>
      <xdr:col>9</xdr:col>
      <xdr:colOff>44823</xdr:colOff>
      <xdr:row>29</xdr:row>
      <xdr:rowOff>53787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2039EEE-456C-4803-ACF3-55713B694D30}"/>
            </a:ext>
          </a:extLst>
        </xdr:cNvPr>
        <xdr:cNvCxnSpPr/>
      </xdr:nvCxnSpPr>
      <xdr:spPr>
        <a:xfrm>
          <a:off x="6956611" y="2770093"/>
          <a:ext cx="0" cy="248322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484094</xdr:colOff>
      <xdr:row>15</xdr:row>
      <xdr:rowOff>80682</xdr:rowOff>
    </xdr:from>
    <xdr:to>
      <xdr:col>4</xdr:col>
      <xdr:colOff>484094</xdr:colOff>
      <xdr:row>29</xdr:row>
      <xdr:rowOff>53788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6630E3A-D166-4AD0-9B55-D11C0DBF07DC}"/>
            </a:ext>
          </a:extLst>
        </xdr:cNvPr>
        <xdr:cNvCxnSpPr/>
      </xdr:nvCxnSpPr>
      <xdr:spPr>
        <a:xfrm>
          <a:off x="4231341" y="2770094"/>
          <a:ext cx="0" cy="248322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DS\BusinessPerf\Reporting\ED%20Business%20Report\Aug%202002\Backup%20Data\Aug%20Analysis%2002%20WI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ar\Finance\Management%20Accounting\InfoData\Reports\September%2099\Executive\Executive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finance\R&amp;P\Financial%20Planning\Overheads\Dec%202013%20Review\OH_Review_Dec%2013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DPR%202016-20\AER%20Query\AST%20Connections%20Capex%20Forecast%20model%20-%20Revised%20Proposal%20(Confidential)_Update%2016.02.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ar\Finance\Management%20Accounting\InfoData\Reports\September%2099\Executive\Executiv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mpeter\LOCALS~1\Temp\~340082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CCC\Network%20Asset%20Replacement\Substations\6%20oct%2004%20Working%20Substations%20Budg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&amp;P\Financial%20Planning\Regulatory%20Analysis\2008%20Price%20Resets\22%20Dec%2006%20forecast%20data\O&amp;M%20Summary%20and%20Analysi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hire\cfo\FinControl\Trilogy\PL%20analysis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WINDOWS\TEMP\Year2000v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FinControl\GroupMgtAcc\busrepor\2002\12%20Dec02\dec02%20consolb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CORPOFFICE\Loan%20Covenants\Sept2000\Sept2000LoanCo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CORPOFFICE\Loan%20Covenants\Sept99\EE%20Group%20BS%20Work%20Pap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kyoung\tu(aust)\bus_report\1999\new%20report%2005-d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finance\R&amp;P\Financial%20Planning\Overheads\Dec%202011%20Review\OH_Review_Dec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cthompso\AppData\Local\Microsoft\Windows\Temporary%20Internet%20Files\Content.Outlook\KEIOZ07F\201403%20Monthly%20People%20Report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thomps\Documents\SAP\SAP%20GUI\ALTMP_AEP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gulatory\Reg%20Accts\2012%20E&amp;G%20Reg%20Accts\2012%20Wkpapers%20E&amp;G\2012%20Allocations%20P&amp;L\PARPT04%20dump%20-%20Apr07%20to%20Jun07,%20Entity%20203,%20ALL%20Transactions,%20Cap%20Flag%20Yes%20&amp;%20N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FinControl\FinancialAcc\2001%20Accounts\Dec%202001%20Accounts%20Docs\Draft%20General%20Purpose%20Accounts\2000%20P&amp;L%20Comparatives\Partner\P&amp;L%20Comparativ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usrept\Feb01\mgt_pl_txu_templ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ar\Finance\Management%20Accounting\InfoData\Reports\BalCash\BalSheet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DAT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CCC\TG%20Capital%20Works%20Budget\August%20Rev00%20Project%20List%20-%20incl%20PDR%20Dates%20rev05%20-%20High%20lev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CCC\Chris%20Discussion\FoRward%20CAPEX%20Rev%2003-p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mmercial-services\Financial%20Accounting\2007-08\Month%20End\12%20March%2008\Frango%20Packs\SP%20AusNet\Additional%20informat%20Mar%2008\Segment%20Note%20Mar08%20V2%2010%20Apr%20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CCC\Forward%20CAPEX\Pro%20Forma%20Rev%2004%20PT%206_10_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finance\R&amp;P\Financial%20Planning\Overheads\Mar%202013%20Review\OH_Review_Mar%201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8-09\Reg%20Accts%20Data\Oheads%20Capitalised%20for%20Reg%20Acc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P69258\Local%20Settings\Temporary%20Internet%20Files\OLK5D\Substations%20Budget%2017%20Au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ice%20Review\2021-25%20EDPR\10.0%202021%20EDPR%20-%20Proposal%20Preparation\Supporting%20Documents\Supp%20documents\9%20Capex\ASD%20-%20Connections%20Capex%20Forecast%20model%20-%202021-26%20-%20310120%20-%20CONFIDENTIAL%20(AMENDED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&amp;P\NSD%20Finance\Regulatory%20Accounting%20&amp;%20Analysis\AER%20Category%20Analysis%202009%20-%202013\PREPARATION_CT\DISTRIBUTION\2.12%20Input%20Tables\Cindy%20Input%20tables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Price%20Review\2021-25%20EDPR\19.0%202021%20EDPR%20-%20Revised%20proposal%20submission%203%20Dec'20\_Documents%20provided%20to%20AER%20post%20submission\Final\Docs%20sent%20141220\ASD%20-%20EDPR%202022-26%20Revised%20Proposal%20-%20Capex%20Model%20(2021-26)%20-%20031220%20-%20PUBLIC.xlsx?E75BCCC4" TargetMode="External"/><Relationship Id="rId1" Type="http://schemas.openxmlformats.org/officeDocument/2006/relationships/externalLinkPath" Target="file:///\\E75BCCC4\ASD%20-%20EDPR%202022-26%20Revised%20Proposal%20-%20Capex%20Model%20(2021-26)%20-%20031220%20-%20PUBL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finance\R&amp;P\Financial%20Planning\Overheads\Mar%202009%20Review\MAR09%20YTD%20DATA\OH_Review_MAR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SG%20Finance\Month%20End\2008-09\0808%20August\Program%20Delivery\D%20Accruals\Gas%20Accrual%20Request%20Aug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ice%20Review\2016-20%20EDPR\10.0%202016%20EDPR%20-%20Modelling\10.1%20Internal%20Modelling\Capex%20Forecast%20Model\Inputs%20and%20working%20files\Connections\Energy%20Forecast%20Model%2020141029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ston\LOCALS~1\Temp\c.lotus.notes.data\FinControl\GroupMgtAcc\busrepor\2001\Dec%2001\mgt_pl_txu_3112_0901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&amp;P\Regulatory\Reg%20Accts\Distn%20Elec\2007%20Elec%20Reg%20Accounts%20-%20Extra%20Folders\2007%20Wkpapers%20E&amp;G\E153%20Model%20support\E153%20Ledger%20download%20from%20Oracle%20ADI\E153%20Ledger%20download%20Oracle%20ADI%202007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UN"/>
      <sheetName val="ED Customer Services"/>
      <sheetName val="ED Services"/>
      <sheetName val="Information Systems"/>
      <sheetName val="DMS"/>
      <sheetName val="Other"/>
      <sheetName val="Detail"/>
      <sheetName val="Module1"/>
      <sheetName val="Module2"/>
      <sheetName val="Module3"/>
    </sheetNames>
    <sheetDataSet>
      <sheetData sheetId="0" refreshError="1"/>
      <sheetData sheetId="1" refreshError="1">
        <row r="96">
          <cell r="A96" t="str">
            <v>Trends</v>
          </cell>
        </row>
      </sheetData>
      <sheetData sheetId="2" refreshError="1">
        <row r="96">
          <cell r="A96" t="str">
            <v>Trends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Y2K_&lt;@Westar_Remediation@&gt;"/>
      <sheetName val="RevenueGraphData"/>
      <sheetName val="CAPEX"/>
      <sheetName val="Revenue"/>
      <sheetName val="P&amp;L"/>
      <sheetName val="P&amp;L TUA"/>
      <sheetName val="Cash"/>
      <sheetName val="APartners"/>
      <sheetName val="APKPI DataSheet"/>
      <sheetName val="APActuals"/>
      <sheetName val="Bal Sheet"/>
      <sheetName val="BSGraphData"/>
      <sheetName val="9798 Revenue Data"/>
      <sheetName val="Dec98 FinFCast Rev"/>
      <sheetName val="9899 Revenue Data"/>
      <sheetName val="Module1"/>
    </sheetNames>
    <sheetDataSet>
      <sheetData sheetId="0" refreshError="1"/>
      <sheetData sheetId="1" refreshError="1">
        <row r="3">
          <cell r="A3" t="str">
            <v>Tariff V Gjs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  <cell r="P3" t="str">
            <v>YTD</v>
          </cell>
        </row>
        <row r="4">
          <cell r="A4" t="str">
            <v>Actual</v>
          </cell>
          <cell r="B4" t="str">
            <v>TJs</v>
          </cell>
          <cell r="C4">
            <v>1259.395</v>
          </cell>
          <cell r="D4">
            <v>1125.59989</v>
          </cell>
          <cell r="E4">
            <v>1215.13787</v>
          </cell>
          <cell r="F4">
            <v>2105.4960000000001</v>
          </cell>
          <cell r="G4">
            <v>2869.4459500000003</v>
          </cell>
          <cell r="H4">
            <v>3495.2869999999998</v>
          </cell>
          <cell r="I4">
            <v>3793.2150000000001</v>
          </cell>
          <cell r="J4">
            <v>3330.3119999999999</v>
          </cell>
          <cell r="K4">
            <v>2385.1709999999998</v>
          </cell>
          <cell r="L4">
            <v>2237.2295494616847</v>
          </cell>
          <cell r="M4">
            <v>1510.0712072662843</v>
          </cell>
          <cell r="N4">
            <v>1231.8596912412163</v>
          </cell>
          <cell r="O4">
            <v>26558.220157969183</v>
          </cell>
          <cell r="P4">
            <v>21579.059709999998</v>
          </cell>
        </row>
        <row r="5">
          <cell r="A5" t="str">
            <v>Forecast</v>
          </cell>
          <cell r="B5" t="str">
            <v>TJs</v>
          </cell>
          <cell r="C5">
            <v>1238.3201000000001</v>
          </cell>
          <cell r="D5">
            <v>1132.9428</v>
          </cell>
          <cell r="E5">
            <v>1259.1432950200615</v>
          </cell>
          <cell r="F5">
            <v>1754.0924094295633</v>
          </cell>
          <cell r="G5">
            <v>2858.5299770214538</v>
          </cell>
          <cell r="H5">
            <v>3811.6550567635845</v>
          </cell>
          <cell r="I5">
            <v>4580.8674673131773</v>
          </cell>
          <cell r="J5">
            <v>4068.757974270985</v>
          </cell>
          <cell r="K5">
            <v>3251.7416635263367</v>
          </cell>
          <cell r="L5">
            <v>2237.2295494616847</v>
          </cell>
          <cell r="M5">
            <v>1510.0712072662843</v>
          </cell>
          <cell r="N5">
            <v>1231.8596912412163</v>
          </cell>
          <cell r="O5">
            <v>28935.211191314353</v>
          </cell>
          <cell r="P5">
            <v>23956.050743345164</v>
          </cell>
        </row>
        <row r="6">
          <cell r="A6" t="str">
            <v>Last Year</v>
          </cell>
          <cell r="B6" t="str">
            <v>GJs</v>
          </cell>
          <cell r="C6">
            <v>997.41700000000003</v>
          </cell>
          <cell r="D6">
            <v>953.96799999999996</v>
          </cell>
          <cell r="E6">
            <v>1303.848</v>
          </cell>
          <cell r="F6">
            <v>2221.9940000000001</v>
          </cell>
          <cell r="G6">
            <v>3205.1770000000001</v>
          </cell>
          <cell r="H6">
            <v>4146.7759999999998</v>
          </cell>
          <cell r="I6">
            <v>4480.3500000000004</v>
          </cell>
          <cell r="J6">
            <v>3692.0668300000002</v>
          </cell>
          <cell r="K6">
            <v>2132.7589600000001</v>
          </cell>
          <cell r="L6">
            <v>1924.3998899999999</v>
          </cell>
          <cell r="M6">
            <v>1644.88924</v>
          </cell>
          <cell r="N6">
            <v>1038.3194699999999</v>
          </cell>
          <cell r="O6">
            <v>27741.964389999997</v>
          </cell>
          <cell r="P6">
            <v>23134.355789999998</v>
          </cell>
        </row>
        <row r="8">
          <cell r="A8" t="str">
            <v>Tariff V $</v>
          </cell>
          <cell r="C8" t="str">
            <v>January</v>
          </cell>
          <cell r="D8" t="str">
            <v>February</v>
          </cell>
          <cell r="E8" t="str">
            <v>March</v>
          </cell>
          <cell r="F8" t="str">
            <v>April</v>
          </cell>
          <cell r="G8" t="str">
            <v>May</v>
          </cell>
          <cell r="H8" t="str">
            <v>June</v>
          </cell>
          <cell r="I8" t="str">
            <v>July</v>
          </cell>
          <cell r="J8" t="str">
            <v>August</v>
          </cell>
          <cell r="K8" t="str">
            <v>September</v>
          </cell>
          <cell r="L8" t="str">
            <v>October</v>
          </cell>
          <cell r="M8" t="str">
            <v>November</v>
          </cell>
          <cell r="N8" t="str">
            <v>December</v>
          </cell>
          <cell r="O8" t="str">
            <v>Total</v>
          </cell>
        </row>
        <row r="9">
          <cell r="A9" t="str">
            <v>Actual</v>
          </cell>
          <cell r="B9" t="str">
            <v>$</v>
          </cell>
          <cell r="C9">
            <v>4936.1664800000008</v>
          </cell>
          <cell r="D9">
            <v>4132.9212299999999</v>
          </cell>
          <cell r="E9">
            <v>4660.33169</v>
          </cell>
          <cell r="F9">
            <v>7061.0469399999993</v>
          </cell>
          <cell r="G9">
            <v>8658.6011499999986</v>
          </cell>
          <cell r="H9">
            <v>11064.330870000002</v>
          </cell>
          <cell r="I9">
            <v>12481.29607</v>
          </cell>
          <cell r="J9">
            <v>12342.15813</v>
          </cell>
          <cell r="K9">
            <v>9459.7250000000004</v>
          </cell>
          <cell r="L9">
            <v>7988.9393481801117</v>
          </cell>
          <cell r="M9">
            <v>5867.5447385318421</v>
          </cell>
          <cell r="N9">
            <v>4988.0739475825276</v>
          </cell>
          <cell r="O9">
            <v>93641.135594294479</v>
          </cell>
          <cell r="P9">
            <v>74796.577560000005</v>
          </cell>
        </row>
        <row r="10">
          <cell r="A10" t="str">
            <v>Forecast</v>
          </cell>
          <cell r="B10" t="str">
            <v>$</v>
          </cell>
          <cell r="C10">
            <v>5001.8360000000002</v>
          </cell>
          <cell r="D10">
            <v>4586.0469999999996</v>
          </cell>
          <cell r="E10">
            <v>5336.43</v>
          </cell>
          <cell r="F10">
            <v>6914.9650000000001</v>
          </cell>
          <cell r="G10">
            <v>9689.8940000000002</v>
          </cell>
          <cell r="H10">
            <v>13119.652</v>
          </cell>
          <cell r="I10">
            <v>15656.046477957045</v>
          </cell>
          <cell r="J10">
            <v>14162.91376581658</v>
          </cell>
          <cell r="K10">
            <v>11619.63017559189</v>
          </cell>
          <cell r="L10">
            <v>7988.9393481801117</v>
          </cell>
          <cell r="M10">
            <v>5867.5447385318421</v>
          </cell>
          <cell r="N10">
            <v>4988.0739475825276</v>
          </cell>
          <cell r="O10">
            <v>104931.97245366</v>
          </cell>
          <cell r="P10">
            <v>86087.414419365523</v>
          </cell>
        </row>
        <row r="11">
          <cell r="A11" t="str">
            <v>Last Year</v>
          </cell>
          <cell r="B11" t="str">
            <v>$</v>
          </cell>
          <cell r="C11">
            <v>4387.1729999999998</v>
          </cell>
          <cell r="D11">
            <v>4237.1610000000001</v>
          </cell>
          <cell r="E11">
            <v>4874.3649999999998</v>
          </cell>
          <cell r="F11">
            <v>8581.8109999999997</v>
          </cell>
          <cell r="G11">
            <v>11250.512000000001</v>
          </cell>
          <cell r="H11">
            <v>17862.649229999999</v>
          </cell>
          <cell r="I11">
            <v>17349.867999999999</v>
          </cell>
          <cell r="J11">
            <v>14114.599</v>
          </cell>
          <cell r="K11">
            <v>8423.9072100000012</v>
          </cell>
          <cell r="L11">
            <v>7815.2939999999999</v>
          </cell>
          <cell r="M11">
            <v>7630.491</v>
          </cell>
          <cell r="N11">
            <v>4102.1760000000004</v>
          </cell>
          <cell r="O11">
            <v>110630.00644</v>
          </cell>
          <cell r="P11">
            <v>91082.045440000002</v>
          </cell>
        </row>
        <row r="13">
          <cell r="A13" t="str">
            <v>Tariff V $ Per Gjs</v>
          </cell>
          <cell r="C13" t="str">
            <v>January</v>
          </cell>
          <cell r="D13" t="str">
            <v>February</v>
          </cell>
          <cell r="E13" t="str">
            <v>March</v>
          </cell>
          <cell r="F13" t="str">
            <v>April</v>
          </cell>
          <cell r="G13" t="str">
            <v>May</v>
          </cell>
          <cell r="H13" t="str">
            <v>June</v>
          </cell>
          <cell r="I13" t="str">
            <v>July</v>
          </cell>
          <cell r="J13" t="str">
            <v>August</v>
          </cell>
          <cell r="K13" t="str">
            <v>September</v>
          </cell>
          <cell r="L13" t="str">
            <v>October</v>
          </cell>
          <cell r="M13" t="str">
            <v>November</v>
          </cell>
          <cell r="N13" t="str">
            <v>December</v>
          </cell>
          <cell r="O13" t="str">
            <v>Total</v>
          </cell>
        </row>
        <row r="14">
          <cell r="A14" t="str">
            <v>Actual</v>
          </cell>
          <cell r="B14" t="str">
            <v>$</v>
          </cell>
          <cell r="C14">
            <v>3.9194744143021061</v>
          </cell>
          <cell r="D14">
            <v>3.6717498524275798</v>
          </cell>
          <cell r="E14">
            <v>3.8352287465125254</v>
          </cell>
          <cell r="F14">
            <v>3.353626385421772</v>
          </cell>
          <cell r="G14">
            <v>3.0175167265304292</v>
          </cell>
          <cell r="H14">
            <v>3.16549996323621</v>
          </cell>
          <cell r="I14">
            <v>3.2904267409044832</v>
          </cell>
          <cell r="J14">
            <v>3.7060065633490198</v>
          </cell>
          <cell r="K14">
            <v>3.9660573602479658</v>
          </cell>
          <cell r="L14">
            <v>3.5709073081492178</v>
          </cell>
          <cell r="M14">
            <v>3.8856079834499919</v>
          </cell>
          <cell r="N14">
            <v>4.0492224748068235</v>
          </cell>
          <cell r="O14">
            <v>3.5258814422545588</v>
          </cell>
          <cell r="P14">
            <v>31.925586752932091</v>
          </cell>
        </row>
        <row r="15">
          <cell r="A15" t="str">
            <v>Forecast</v>
          </cell>
          <cell r="B15" t="str">
            <v>$</v>
          </cell>
          <cell r="C15">
            <v>4.0392108631685781</v>
          </cell>
          <cell r="D15">
            <v>4.0479069199257012</v>
          </cell>
          <cell r="E15">
            <v>4.2381435227473272</v>
          </cell>
          <cell r="F15">
            <v>3.9421896832954029</v>
          </cell>
          <cell r="G15">
            <v>3.3898171710260416</v>
          </cell>
          <cell r="H15">
            <v>3.4419830243347591</v>
          </cell>
          <cell r="I15">
            <v>3.4177034349216413</v>
          </cell>
          <cell r="J15">
            <v>3.4808936425750918</v>
          </cell>
          <cell r="K15">
            <v>3.5733558744611447</v>
          </cell>
          <cell r="L15">
            <v>3.5709073081492178</v>
          </cell>
          <cell r="M15">
            <v>3.8856079834499919</v>
          </cell>
          <cell r="N15">
            <v>4.0492224748068235</v>
          </cell>
          <cell r="O15">
            <v>3.6264457086512651</v>
          </cell>
          <cell r="P15">
            <v>33.571204136455684</v>
          </cell>
        </row>
        <row r="16">
          <cell r="A16" t="str">
            <v>Last Year</v>
          </cell>
          <cell r="B16" t="str">
            <v>$</v>
          </cell>
          <cell r="C16">
            <v>4.3985344143923752</v>
          </cell>
          <cell r="D16">
            <v>4.4416175385337873</v>
          </cell>
          <cell r="E16">
            <v>3.7384457390738799</v>
          </cell>
          <cell r="F16">
            <v>3.8622115991312302</v>
          </cell>
          <cell r="G16">
            <v>3.5101063061415951</v>
          </cell>
          <cell r="H16">
            <v>4.3075992602445847</v>
          </cell>
          <cell r="I16">
            <v>3.8724358588056731</v>
          </cell>
          <cell r="J16">
            <v>3.822953280615454</v>
          </cell>
          <cell r="K16">
            <v>3.9497699308692629</v>
          </cell>
          <cell r="L16">
            <v>4.0611590348822979</v>
          </cell>
          <cell r="M16">
            <v>4.6389086963691248</v>
          </cell>
          <cell r="N16">
            <v>3.9507840491520407</v>
          </cell>
          <cell r="O16">
            <v>3.987821658363826</v>
          </cell>
          <cell r="P16">
            <v>35.903673927807844</v>
          </cell>
        </row>
        <row r="18">
          <cell r="A18" t="str">
            <v>Tariff D Gjs</v>
          </cell>
          <cell r="C18" t="str">
            <v>January</v>
          </cell>
          <cell r="D18" t="str">
            <v>February</v>
          </cell>
          <cell r="E18" t="str">
            <v>March</v>
          </cell>
          <cell r="F18" t="str">
            <v>April</v>
          </cell>
          <cell r="G18" t="str">
            <v>May</v>
          </cell>
          <cell r="H18" t="str">
            <v>June</v>
          </cell>
          <cell r="I18" t="str">
            <v>July</v>
          </cell>
          <cell r="J18" t="str">
            <v>August</v>
          </cell>
          <cell r="K18" t="str">
            <v>September</v>
          </cell>
          <cell r="L18" t="str">
            <v>October</v>
          </cell>
          <cell r="M18" t="str">
            <v>November</v>
          </cell>
          <cell r="N18" t="str">
            <v>December</v>
          </cell>
          <cell r="O18" t="str">
            <v>Total</v>
          </cell>
        </row>
        <row r="19">
          <cell r="A19" t="str">
            <v>Actual</v>
          </cell>
          <cell r="B19" t="str">
            <v>TJs</v>
          </cell>
          <cell r="C19">
            <v>2689.4380000000001</v>
          </cell>
          <cell r="D19">
            <v>3112.8568799999998</v>
          </cell>
          <cell r="E19">
            <v>3388.1983100000002</v>
          </cell>
          <cell r="F19">
            <v>3490.2370000000001</v>
          </cell>
          <cell r="G19">
            <v>3790.2469999999998</v>
          </cell>
          <cell r="H19">
            <v>3749.9070000000002</v>
          </cell>
          <cell r="I19">
            <v>3694.741</v>
          </cell>
          <cell r="J19">
            <v>3675.0549999999998</v>
          </cell>
          <cell r="K19">
            <v>3447.3780000000002</v>
          </cell>
          <cell r="L19">
            <v>3929.835972793544</v>
          </cell>
          <cell r="M19">
            <v>3992.5809806817888</v>
          </cell>
          <cell r="N19">
            <v>3303.8565434208322</v>
          </cell>
          <cell r="O19">
            <v>42264.331686896156</v>
          </cell>
          <cell r="P19">
            <v>31038.05819</v>
          </cell>
        </row>
        <row r="20">
          <cell r="A20" t="str">
            <v>Forecast</v>
          </cell>
          <cell r="B20" t="str">
            <v>TJs</v>
          </cell>
          <cell r="C20">
            <v>3040.5839999999998</v>
          </cell>
          <cell r="D20">
            <v>3338.65</v>
          </cell>
          <cell r="E20">
            <v>3888.7969894000007</v>
          </cell>
          <cell r="F20">
            <v>3540.711851999999</v>
          </cell>
          <cell r="G20">
            <v>4161.0189299000003</v>
          </cell>
          <cell r="H20">
            <v>4025.4385172000002</v>
          </cell>
          <cell r="I20">
            <v>3959.4576637381779</v>
          </cell>
          <cell r="J20">
            <v>4208.1917390243234</v>
          </cell>
          <cell r="K20">
            <v>3938.6627830838893</v>
          </cell>
          <cell r="L20">
            <v>3929.835972793544</v>
          </cell>
          <cell r="M20">
            <v>3992.5809806817888</v>
          </cell>
          <cell r="N20">
            <v>3303.8565434208322</v>
          </cell>
          <cell r="O20">
            <v>45327.785971242556</v>
          </cell>
          <cell r="P20">
            <v>34101.512474346397</v>
          </cell>
        </row>
        <row r="21">
          <cell r="A21" t="str">
            <v>Last Year</v>
          </cell>
          <cell r="B21" t="str">
            <v>GJs</v>
          </cell>
          <cell r="C21">
            <v>2760.877</v>
          </cell>
          <cell r="D21">
            <v>3096.1210000000001</v>
          </cell>
          <cell r="E21">
            <v>3143.183</v>
          </cell>
          <cell r="F21">
            <v>2989.797</v>
          </cell>
          <cell r="G21">
            <v>3482.0590000000002</v>
          </cell>
          <cell r="H21">
            <v>3286.201</v>
          </cell>
          <cell r="I21">
            <v>4180.1310000000003</v>
          </cell>
          <cell r="J21">
            <v>3770.7220000000002</v>
          </cell>
          <cell r="K21">
            <v>3396.7325799999999</v>
          </cell>
          <cell r="L21">
            <v>2971.1759400000001</v>
          </cell>
          <cell r="M21">
            <v>3765.6054900000004</v>
          </cell>
          <cell r="N21">
            <v>3533.8519999999999</v>
          </cell>
          <cell r="O21">
            <v>40376.457010000006</v>
          </cell>
          <cell r="P21">
            <v>30105.823580000004</v>
          </cell>
        </row>
        <row r="23">
          <cell r="A23" t="str">
            <v>Tariff D $</v>
          </cell>
          <cell r="C23" t="str">
            <v>January</v>
          </cell>
          <cell r="D23" t="str">
            <v>February</v>
          </cell>
          <cell r="E23" t="str">
            <v>March</v>
          </cell>
          <cell r="F23" t="str">
            <v>April</v>
          </cell>
          <cell r="G23" t="str">
            <v>May</v>
          </cell>
          <cell r="H23" t="str">
            <v>June</v>
          </cell>
          <cell r="I23" t="str">
            <v>July</v>
          </cell>
          <cell r="J23" t="str">
            <v>August</v>
          </cell>
          <cell r="K23" t="str">
            <v>September</v>
          </cell>
          <cell r="L23" t="str">
            <v>October</v>
          </cell>
          <cell r="M23" t="str">
            <v>November</v>
          </cell>
          <cell r="N23" t="str">
            <v>December</v>
          </cell>
          <cell r="O23" t="str">
            <v>Total</v>
          </cell>
        </row>
        <row r="24">
          <cell r="A24" t="str">
            <v>Actual</v>
          </cell>
          <cell r="B24" t="str">
            <v>$</v>
          </cell>
          <cell r="C24">
            <v>398.47550000000001</v>
          </cell>
          <cell r="D24">
            <v>328.73673000000002</v>
          </cell>
          <cell r="E24">
            <v>397.60876000000002</v>
          </cell>
          <cell r="F24">
            <v>422.06124</v>
          </cell>
          <cell r="G24">
            <v>399.04658999999998</v>
          </cell>
          <cell r="H24">
            <v>413.53636</v>
          </cell>
          <cell r="I24">
            <v>523.57783999999992</v>
          </cell>
          <cell r="J24">
            <v>427.71236000000005</v>
          </cell>
          <cell r="K24">
            <v>494.12200000000001</v>
          </cell>
          <cell r="L24">
            <v>417.82120499999996</v>
          </cell>
          <cell r="M24">
            <v>417.82120499999996</v>
          </cell>
          <cell r="N24">
            <v>417.82120499999996</v>
          </cell>
          <cell r="O24">
            <v>5058.3409950000005</v>
          </cell>
          <cell r="P24">
            <v>3804.8773799999999</v>
          </cell>
        </row>
        <row r="25">
          <cell r="A25" t="str">
            <v>Forecast</v>
          </cell>
          <cell r="B25" t="str">
            <v>$</v>
          </cell>
          <cell r="C25">
            <v>410.56299999999999</v>
          </cell>
          <cell r="D25">
            <v>410.56299999999999</v>
          </cell>
          <cell r="E25">
            <v>503.43400000000003</v>
          </cell>
          <cell r="F25">
            <v>503.43400000000003</v>
          </cell>
          <cell r="G25">
            <v>503.43400000000003</v>
          </cell>
          <cell r="H25">
            <v>503.43400000000003</v>
          </cell>
          <cell r="I25">
            <v>370.72794499999998</v>
          </cell>
          <cell r="J25">
            <v>370.72794499999998</v>
          </cell>
          <cell r="K25">
            <v>370.72794499999998</v>
          </cell>
          <cell r="L25">
            <v>417.82120499999996</v>
          </cell>
          <cell r="M25">
            <v>417.82120499999996</v>
          </cell>
          <cell r="N25">
            <v>417.82120499999996</v>
          </cell>
          <cell r="O25">
            <v>5200.5094500000005</v>
          </cell>
          <cell r="P25">
            <v>3947.0458350000004</v>
          </cell>
        </row>
        <row r="26">
          <cell r="A26" t="str">
            <v>Last Year</v>
          </cell>
          <cell r="B26" t="str">
            <v>$</v>
          </cell>
          <cell r="C26">
            <v>439.99715000000037</v>
          </cell>
          <cell r="D26">
            <v>458.46186000000034</v>
          </cell>
          <cell r="E26">
            <v>459.58604000000003</v>
          </cell>
          <cell r="F26">
            <v>464.06630000000075</v>
          </cell>
          <cell r="G26">
            <v>466.84546999999509</v>
          </cell>
          <cell r="H26">
            <v>449.75900000000001</v>
          </cell>
          <cell r="I26">
            <v>476.24678999999998</v>
          </cell>
          <cell r="J26">
            <v>503.31446</v>
          </cell>
          <cell r="K26">
            <v>502.80761999999999</v>
          </cell>
          <cell r="L26">
            <v>383.03778000000005</v>
          </cell>
          <cell r="M26">
            <v>402.29187000000002</v>
          </cell>
          <cell r="N26">
            <v>499.22199999999998</v>
          </cell>
          <cell r="O26">
            <v>5505.6363399999964</v>
          </cell>
          <cell r="P26">
            <v>4221.084689999997</v>
          </cell>
        </row>
        <row r="28">
          <cell r="A28" t="str">
            <v>Tariff D $ Per Gjs</v>
          </cell>
          <cell r="C28" t="str">
            <v>January</v>
          </cell>
          <cell r="D28" t="str">
            <v>February</v>
          </cell>
          <cell r="E28" t="str">
            <v>March</v>
          </cell>
          <cell r="F28" t="str">
            <v>April</v>
          </cell>
          <cell r="G28" t="str">
            <v>May</v>
          </cell>
          <cell r="H28" t="str">
            <v>June</v>
          </cell>
          <cell r="I28" t="str">
            <v>July</v>
          </cell>
          <cell r="J28" t="str">
            <v>August</v>
          </cell>
          <cell r="K28" t="str">
            <v>September</v>
          </cell>
          <cell r="L28" t="str">
            <v>October</v>
          </cell>
          <cell r="M28" t="str">
            <v>November</v>
          </cell>
          <cell r="N28" t="str">
            <v>December</v>
          </cell>
          <cell r="O28" t="str">
            <v>Total</v>
          </cell>
        </row>
        <row r="29">
          <cell r="A29" t="str">
            <v>Actual</v>
          </cell>
          <cell r="B29" t="str">
            <v>$</v>
          </cell>
          <cell r="C29">
            <v>0.14816311065731949</v>
          </cell>
          <cell r="D29">
            <v>0.10560611768312331</v>
          </cell>
          <cell r="E29">
            <v>0.11735108857899171</v>
          </cell>
          <cell r="F29">
            <v>0.12092624082547976</v>
          </cell>
          <cell r="G29">
            <v>0.10528247631354896</v>
          </cell>
          <cell r="H29">
            <v>0.11027909758828686</v>
          </cell>
          <cell r="I29">
            <v>0.1417089425212755</v>
          </cell>
          <cell r="J29">
            <v>0.11638257386624147</v>
          </cell>
          <cell r="K29">
            <v>0.14333270096867823</v>
          </cell>
          <cell r="L29">
            <v>0.10632026575475353</v>
          </cell>
          <cell r="M29">
            <v>0.10464940023048729</v>
          </cell>
          <cell r="N29">
            <v>0.12646469346014202</v>
          </cell>
          <cell r="O29">
            <v>0.1196834492137093</v>
          </cell>
          <cell r="P29">
            <v>1.1090323490029452</v>
          </cell>
        </row>
        <row r="30">
          <cell r="A30" t="str">
            <v>Forecast</v>
          </cell>
          <cell r="B30" t="str">
            <v>$</v>
          </cell>
          <cell r="C30">
            <v>0.13502767889326525</v>
          </cell>
          <cell r="D30">
            <v>0.12297275845027181</v>
          </cell>
          <cell r="E30">
            <v>0.12945751639189437</v>
          </cell>
          <cell r="F30">
            <v>0.14218440275382233</v>
          </cell>
          <cell r="G30">
            <v>0.12098815421925965</v>
          </cell>
          <cell r="H30">
            <v>0.12506314476023267</v>
          </cell>
          <cell r="I30">
            <v>9.3630991030723809E-2</v>
          </cell>
          <cell r="J30">
            <v>8.8096733226788265E-2</v>
          </cell>
          <cell r="K30">
            <v>9.4125332737860806E-2</v>
          </cell>
          <cell r="L30">
            <v>0.10632026575475353</v>
          </cell>
          <cell r="M30">
            <v>0.10464940023048729</v>
          </cell>
          <cell r="N30">
            <v>0.12646469346014202</v>
          </cell>
          <cell r="O30">
            <v>0.11473115967542238</v>
          </cell>
          <cell r="P30">
            <v>1.0515467124641189</v>
          </cell>
        </row>
        <row r="31">
          <cell r="A31" t="str">
            <v>Last Year</v>
          </cell>
          <cell r="B31" t="str">
            <v>$</v>
          </cell>
          <cell r="C31">
            <v>0.15936861729081025</v>
          </cell>
          <cell r="D31">
            <v>0.14807620890785611</v>
          </cell>
          <cell r="E31">
            <v>0.1462167617984699</v>
          </cell>
          <cell r="F31">
            <v>0.15521665852230127</v>
          </cell>
          <cell r="G31">
            <v>0.13407167138753107</v>
          </cell>
          <cell r="H31">
            <v>0.13686290035210871</v>
          </cell>
          <cell r="I31">
            <v>0.11393106818901129</v>
          </cell>
          <cell r="J31">
            <v>0.13347959886727262</v>
          </cell>
          <cell r="K31">
            <v>0.14802684879008049</v>
          </cell>
          <cell r="L31">
            <v>0.12891790581745222</v>
          </cell>
          <cell r="M31">
            <v>0.1068332492791219</v>
          </cell>
          <cell r="N31">
            <v>0.14126850813220249</v>
          </cell>
          <cell r="O31">
            <v>0.13635758924158253</v>
          </cell>
          <cell r="P31">
            <v>1.2752503341054418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C2">
            <v>35735</v>
          </cell>
          <cell r="D2">
            <v>35765</v>
          </cell>
          <cell r="E2">
            <v>35796</v>
          </cell>
          <cell r="F2">
            <v>35827</v>
          </cell>
          <cell r="G2">
            <v>35855</v>
          </cell>
          <cell r="H2">
            <v>35886</v>
          </cell>
          <cell r="I2">
            <v>35916</v>
          </cell>
          <cell r="J2">
            <v>35947</v>
          </cell>
        </row>
        <row r="4">
          <cell r="A4" t="str">
            <v>No. of customers surveyed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187</v>
          </cell>
          <cell r="H4">
            <v>0</v>
          </cell>
          <cell r="I4">
            <v>0</v>
          </cell>
          <cell r="J4">
            <v>213</v>
          </cell>
        </row>
        <row r="5">
          <cell r="A5" t="str">
            <v>No. of customers satisfied with the services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169</v>
          </cell>
          <cell r="H5">
            <v>0</v>
          </cell>
          <cell r="I5">
            <v>0</v>
          </cell>
          <cell r="J5">
            <v>187</v>
          </cell>
        </row>
        <row r="6">
          <cell r="A6" t="str">
            <v>Public or Customer satisfaction with the services</v>
          </cell>
          <cell r="B6" t="str">
            <v>month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0.90374331550802134</v>
          </cell>
          <cell r="H6">
            <v>0</v>
          </cell>
          <cell r="I6">
            <v>0</v>
          </cell>
          <cell r="J6">
            <v>0.8779342723004695</v>
          </cell>
        </row>
        <row r="7">
          <cell r="A7" t="str">
            <v>Public or Customer satisfaction with the services</v>
          </cell>
          <cell r="B7" t="str">
            <v>ytd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0.90374331550802134</v>
          </cell>
          <cell r="H7">
            <v>0.90374331550802134</v>
          </cell>
          <cell r="I7">
            <v>0.90374331550802134</v>
          </cell>
          <cell r="J7">
            <v>0.89</v>
          </cell>
        </row>
        <row r="8">
          <cell r="B8" t="str">
            <v>Qrtly % Actual</v>
          </cell>
        </row>
        <row r="9">
          <cell r="B9" t="str">
            <v>Qrtly % Forecast</v>
          </cell>
        </row>
        <row r="12">
          <cell r="B12" t="str">
            <v xml:space="preserve">Customer satisfaction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0.90374331550802134</v>
          </cell>
          <cell r="H12">
            <v>0.90374331550802134</v>
          </cell>
          <cell r="I12">
            <v>0.90374331550802134</v>
          </cell>
          <cell r="J12">
            <v>0.89</v>
          </cell>
        </row>
        <row r="13">
          <cell r="B13" t="str">
            <v>Default</v>
          </cell>
          <cell r="C13">
            <v>0.8</v>
          </cell>
          <cell r="D13">
            <v>0.8</v>
          </cell>
          <cell r="E13">
            <v>0.8</v>
          </cell>
          <cell r="F13">
            <v>0.8</v>
          </cell>
          <cell r="G13">
            <v>0.8</v>
          </cell>
          <cell r="H13">
            <v>0.8</v>
          </cell>
          <cell r="I13">
            <v>0.8</v>
          </cell>
          <cell r="J13">
            <v>0.8</v>
          </cell>
        </row>
        <row r="14">
          <cell r="C14">
            <v>35735</v>
          </cell>
          <cell r="D14">
            <v>35765</v>
          </cell>
          <cell r="E14">
            <v>35796</v>
          </cell>
          <cell r="F14">
            <v>35827</v>
          </cell>
          <cell r="G14">
            <v>35855</v>
          </cell>
          <cell r="H14">
            <v>35886</v>
          </cell>
          <cell r="I14">
            <v>35916</v>
          </cell>
          <cell r="J14">
            <v>35947</v>
          </cell>
        </row>
        <row r="16">
          <cell r="A16" t="str">
            <v>Job outside tolerance</v>
          </cell>
        </row>
        <row r="17">
          <cell r="A17" t="str">
            <v>Total no.of incidences</v>
          </cell>
          <cell r="C17">
            <v>0</v>
          </cell>
          <cell r="D17">
            <v>93</v>
          </cell>
          <cell r="E17">
            <v>61</v>
          </cell>
          <cell r="F17">
            <v>85</v>
          </cell>
          <cell r="G17">
            <v>133</v>
          </cell>
          <cell r="H17">
            <v>240</v>
          </cell>
          <cell r="I17">
            <v>222</v>
          </cell>
          <cell r="J17">
            <v>221</v>
          </cell>
        </row>
        <row r="18">
          <cell r="A18" t="str">
            <v>No. which fell within the target time</v>
          </cell>
          <cell r="C18">
            <v>0</v>
          </cell>
          <cell r="D18">
            <v>91</v>
          </cell>
          <cell r="E18">
            <v>60</v>
          </cell>
          <cell r="F18">
            <v>85</v>
          </cell>
          <cell r="G18">
            <v>131</v>
          </cell>
          <cell r="H18">
            <v>227</v>
          </cell>
          <cell r="I18">
            <v>219</v>
          </cell>
          <cell r="J18">
            <v>220</v>
          </cell>
        </row>
        <row r="19">
          <cell r="A19" t="str">
            <v>Compliance with target times for incident attendance</v>
          </cell>
          <cell r="B19" t="str">
            <v>month</v>
          </cell>
          <cell r="C19">
            <v>0</v>
          </cell>
          <cell r="D19">
            <v>0.978494623655914</v>
          </cell>
          <cell r="E19">
            <v>0.98360655737704916</v>
          </cell>
          <cell r="F19">
            <v>1</v>
          </cell>
          <cell r="G19">
            <v>0.98496240601503759</v>
          </cell>
          <cell r="H19">
            <v>0.9458333333333333</v>
          </cell>
          <cell r="I19">
            <v>0.98648648648648651</v>
          </cell>
          <cell r="J19">
            <v>0.99547511312217196</v>
          </cell>
        </row>
        <row r="20">
          <cell r="A20" t="str">
            <v>Compliance with target times for incident attendance</v>
          </cell>
          <cell r="B20" t="str">
            <v>ytd</v>
          </cell>
          <cell r="C20">
            <v>0</v>
          </cell>
          <cell r="D20">
            <v>0.978494623655914</v>
          </cell>
          <cell r="E20">
            <v>0.98051948051948057</v>
          </cell>
          <cell r="F20">
            <v>0.9874476987447699</v>
          </cell>
          <cell r="G20">
            <v>0.98655913978494625</v>
          </cell>
          <cell r="H20">
            <v>0.97058823529411764</v>
          </cell>
          <cell r="I20">
            <v>0.97482014388489213</v>
          </cell>
          <cell r="J20">
            <v>0.97914691943127963</v>
          </cell>
        </row>
        <row r="22">
          <cell r="B22" t="str">
            <v xml:space="preserve">Compliance with target times </v>
          </cell>
          <cell r="C22">
            <v>0</v>
          </cell>
          <cell r="D22">
            <v>0.978494623655914</v>
          </cell>
          <cell r="E22">
            <v>0.98051948051948057</v>
          </cell>
          <cell r="F22">
            <v>0.9874476987447699</v>
          </cell>
          <cell r="G22">
            <v>0.98655913978494625</v>
          </cell>
          <cell r="H22">
            <v>0.97058823529411764</v>
          </cell>
          <cell r="I22">
            <v>0.97482014388489213</v>
          </cell>
          <cell r="J22">
            <v>0.97914691943127963</v>
          </cell>
        </row>
        <row r="23">
          <cell r="B23" t="str">
            <v>Default</v>
          </cell>
          <cell r="C23">
            <v>0.9</v>
          </cell>
          <cell r="D23">
            <v>0.9</v>
          </cell>
          <cell r="E23">
            <v>0.9</v>
          </cell>
          <cell r="F23">
            <v>0.9</v>
          </cell>
          <cell r="G23">
            <v>0.9</v>
          </cell>
          <cell r="H23">
            <v>0.9</v>
          </cell>
          <cell r="I23">
            <v>0.9</v>
          </cell>
          <cell r="J23">
            <v>0.9</v>
          </cell>
        </row>
        <row r="27">
          <cell r="A27" t="str">
            <v>No. of labour hours entered into WMS</v>
          </cell>
          <cell r="C27">
            <v>3466</v>
          </cell>
          <cell r="D27">
            <v>14670</v>
          </cell>
          <cell r="E27">
            <v>11792</v>
          </cell>
          <cell r="F27">
            <v>11470</v>
          </cell>
          <cell r="G27">
            <v>13509</v>
          </cell>
          <cell r="H27">
            <v>12276</v>
          </cell>
          <cell r="I27">
            <v>11878</v>
          </cell>
          <cell r="J27">
            <v>12461</v>
          </cell>
        </row>
        <row r="28">
          <cell r="A28" t="str">
            <v>No. of payroll hours recorded</v>
          </cell>
          <cell r="C28">
            <v>3555</v>
          </cell>
          <cell r="D28">
            <v>12757.5</v>
          </cell>
          <cell r="E28">
            <v>12150</v>
          </cell>
          <cell r="F28">
            <v>12150</v>
          </cell>
          <cell r="G28">
            <v>12757.5</v>
          </cell>
          <cell r="H28">
            <v>12150</v>
          </cell>
          <cell r="I28">
            <v>12757.5</v>
          </cell>
          <cell r="J28">
            <v>12757.5</v>
          </cell>
        </row>
        <row r="29">
          <cell r="A29" t="str">
            <v>WMS/Payroll reconciliation</v>
          </cell>
          <cell r="B29" t="str">
            <v>month</v>
          </cell>
          <cell r="C29">
            <v>0.97496483825597746</v>
          </cell>
          <cell r="D29">
            <v>1.1499118165784832</v>
          </cell>
          <cell r="E29">
            <v>0.97053497942386835</v>
          </cell>
          <cell r="F29">
            <v>0.94403292181069964</v>
          </cell>
          <cell r="G29">
            <v>1.0589065255731922</v>
          </cell>
          <cell r="H29">
            <v>1.0103703703703704</v>
          </cell>
          <cell r="I29">
            <v>0.93106016068979036</v>
          </cell>
          <cell r="J29">
            <v>0.97675876935136197</v>
          </cell>
        </row>
        <row r="30">
          <cell r="A30" t="str">
            <v>WMS/Payroll reconciliation</v>
          </cell>
          <cell r="B30" t="str">
            <v>ytd</v>
          </cell>
          <cell r="C30">
            <v>0.97496483825597746</v>
          </cell>
          <cell r="D30">
            <v>1.1117854406130268</v>
          </cell>
          <cell r="E30">
            <v>1.0514888010540184</v>
          </cell>
          <cell r="F30">
            <v>1.0193413357956294</v>
          </cell>
          <cell r="G30">
            <v>1.0287989507213791</v>
          </cell>
          <cell r="H30">
            <v>1.0253815628815628</v>
          </cell>
          <cell r="I30">
            <v>1.0100092619207308</v>
          </cell>
          <cell r="J30">
            <v>1.0053495908167189</v>
          </cell>
        </row>
        <row r="33">
          <cell r="B33" t="str">
            <v>WMS/Payroll reconciliation</v>
          </cell>
          <cell r="C33">
            <v>0.97496483825597746</v>
          </cell>
          <cell r="D33">
            <v>1.1117854406130268</v>
          </cell>
          <cell r="E33">
            <v>1.0514888010540184</v>
          </cell>
          <cell r="F33">
            <v>1.0193413357956294</v>
          </cell>
          <cell r="G33">
            <v>1.0287989507213791</v>
          </cell>
          <cell r="H33">
            <v>1.0253815628815628</v>
          </cell>
          <cell r="I33">
            <v>1.0100092619207308</v>
          </cell>
          <cell r="J33">
            <v>1.0053495908167189</v>
          </cell>
        </row>
        <row r="34">
          <cell r="B34" t="str">
            <v>Default</v>
          </cell>
          <cell r="C34">
            <v>0.9</v>
          </cell>
          <cell r="D34">
            <v>0.9</v>
          </cell>
          <cell r="E34">
            <v>0.9</v>
          </cell>
          <cell r="F34">
            <v>0.9</v>
          </cell>
          <cell r="G34">
            <v>0.9</v>
          </cell>
          <cell r="H34">
            <v>0.9</v>
          </cell>
          <cell r="I34">
            <v>0.9</v>
          </cell>
          <cell r="J34">
            <v>0.9</v>
          </cell>
        </row>
        <row r="38">
          <cell r="A38" t="str">
            <v>No. major non-conformance/yr</v>
          </cell>
          <cell r="B38" t="str">
            <v>month</v>
          </cell>
          <cell r="C38">
            <v>0</v>
          </cell>
          <cell r="D38">
            <v>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No. major non-conformance/yr</v>
          </cell>
          <cell r="B39" t="str">
            <v>ytd</v>
          </cell>
          <cell r="C39">
            <v>0</v>
          </cell>
          <cell r="D39">
            <v>2</v>
          </cell>
          <cell r="E39">
            <v>2</v>
          </cell>
          <cell r="F39">
            <v>2</v>
          </cell>
          <cell r="G39">
            <v>2</v>
          </cell>
          <cell r="H39">
            <v>2</v>
          </cell>
          <cell r="I39">
            <v>2</v>
          </cell>
          <cell r="J39">
            <v>2</v>
          </cell>
        </row>
        <row r="41">
          <cell r="B41" t="str">
            <v>No. major non-conformance/yr</v>
          </cell>
          <cell r="C41">
            <v>0</v>
          </cell>
          <cell r="D41">
            <v>2</v>
          </cell>
          <cell r="E41">
            <v>2</v>
          </cell>
          <cell r="F41">
            <v>2</v>
          </cell>
          <cell r="G41">
            <v>2</v>
          </cell>
          <cell r="H41">
            <v>2</v>
          </cell>
          <cell r="I41">
            <v>2</v>
          </cell>
          <cell r="J41">
            <v>2</v>
          </cell>
        </row>
        <row r="42">
          <cell r="B42" t="str">
            <v>Default</v>
          </cell>
          <cell r="C42">
            <v>9</v>
          </cell>
          <cell r="D42">
            <v>9</v>
          </cell>
          <cell r="E42">
            <v>9</v>
          </cell>
          <cell r="F42">
            <v>9</v>
          </cell>
          <cell r="G42">
            <v>9</v>
          </cell>
          <cell r="H42">
            <v>9</v>
          </cell>
          <cell r="I42">
            <v>9</v>
          </cell>
          <cell r="J42">
            <v>9</v>
          </cell>
        </row>
        <row r="44">
          <cell r="A44" t="str">
            <v>No. minor non-conformances/yr</v>
          </cell>
          <cell r="B44" t="str">
            <v>month</v>
          </cell>
          <cell r="C44">
            <v>0</v>
          </cell>
          <cell r="D44">
            <v>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No. minor non-conformances/yr</v>
          </cell>
          <cell r="B45" t="str">
            <v>ytd</v>
          </cell>
          <cell r="C45">
            <v>0</v>
          </cell>
          <cell r="D45">
            <v>4</v>
          </cell>
          <cell r="E45">
            <v>4</v>
          </cell>
          <cell r="F45">
            <v>4</v>
          </cell>
          <cell r="G45">
            <v>4</v>
          </cell>
          <cell r="H45">
            <v>4</v>
          </cell>
          <cell r="I45">
            <v>4</v>
          </cell>
          <cell r="J45">
            <v>4</v>
          </cell>
        </row>
        <row r="47">
          <cell r="B47" t="str">
            <v>No. minor non-conformances/yr</v>
          </cell>
          <cell r="C47">
            <v>0</v>
          </cell>
          <cell r="D47">
            <v>4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4</v>
          </cell>
          <cell r="J47">
            <v>4</v>
          </cell>
        </row>
        <row r="48">
          <cell r="B48" t="str">
            <v>Default</v>
          </cell>
          <cell r="C48">
            <v>40</v>
          </cell>
          <cell r="D48">
            <v>40</v>
          </cell>
          <cell r="E48">
            <v>40</v>
          </cell>
          <cell r="F48">
            <v>40</v>
          </cell>
          <cell r="G48">
            <v>40</v>
          </cell>
          <cell r="H48">
            <v>40</v>
          </cell>
          <cell r="I48">
            <v>40</v>
          </cell>
          <cell r="J48">
            <v>40</v>
          </cell>
        </row>
        <row r="51">
          <cell r="A51" t="str">
            <v>Total no. of jobs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No. of recall jobs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Recall jobs</v>
          </cell>
          <cell r="B53" t="str">
            <v>month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Recall jobs</v>
          </cell>
          <cell r="B54" t="str">
            <v>ytd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7">
          <cell r="B57" t="str">
            <v>Recall jobs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Default</v>
          </cell>
          <cell r="C58">
            <v>0.08</v>
          </cell>
          <cell r="D58">
            <v>0.08</v>
          </cell>
          <cell r="E58">
            <v>0.08</v>
          </cell>
          <cell r="F58">
            <v>0.08</v>
          </cell>
          <cell r="G58">
            <v>0.08</v>
          </cell>
          <cell r="H58">
            <v>0.08</v>
          </cell>
          <cell r="I58">
            <v>0.08</v>
          </cell>
          <cell r="J58">
            <v>0.08</v>
          </cell>
        </row>
        <row r="60">
          <cell r="D60">
            <v>5.5710306406685237E-3</v>
          </cell>
        </row>
        <row r="62">
          <cell r="A62" t="str">
            <v xml:space="preserve">Total no. of orders placed </v>
          </cell>
          <cell r="C62">
            <v>0</v>
          </cell>
          <cell r="D62">
            <v>17232</v>
          </cell>
          <cell r="E62">
            <v>1873</v>
          </cell>
          <cell r="F62">
            <v>9161</v>
          </cell>
          <cell r="G62">
            <v>23491</v>
          </cell>
          <cell r="H62">
            <v>32258</v>
          </cell>
          <cell r="I62">
            <v>15854</v>
          </cell>
          <cell r="J62">
            <v>46397</v>
          </cell>
        </row>
        <row r="63">
          <cell r="A63" t="str">
            <v>Total no. of orders not met</v>
          </cell>
          <cell r="C63">
            <v>0</v>
          </cell>
          <cell r="D63">
            <v>96</v>
          </cell>
          <cell r="E63">
            <v>24</v>
          </cell>
          <cell r="F63">
            <v>51</v>
          </cell>
          <cell r="G63">
            <v>84</v>
          </cell>
          <cell r="H63">
            <v>99</v>
          </cell>
          <cell r="I63">
            <v>167</v>
          </cell>
          <cell r="J63">
            <v>127</v>
          </cell>
        </row>
        <row r="64">
          <cell r="A64" t="str">
            <v>Materials stockout</v>
          </cell>
          <cell r="B64" t="str">
            <v>month</v>
          </cell>
          <cell r="C64">
            <v>0</v>
          </cell>
          <cell r="D64">
            <v>5.5710306406685237E-3</v>
          </cell>
          <cell r="E64">
            <v>1.2813667912439935E-2</v>
          </cell>
          <cell r="F64">
            <v>5.5670778299312306E-3</v>
          </cell>
          <cell r="G64">
            <v>3.5758375548082242E-3</v>
          </cell>
          <cell r="H64">
            <v>3.0690061380122761E-3</v>
          </cell>
          <cell r="I64">
            <v>1.053361927589252E-2</v>
          </cell>
          <cell r="J64">
            <v>2.737245942625601E-3</v>
          </cell>
        </row>
        <row r="65">
          <cell r="A65" t="str">
            <v>Materials stockout</v>
          </cell>
          <cell r="B65" t="str">
            <v>ytd</v>
          </cell>
          <cell r="C65">
            <v>0</v>
          </cell>
          <cell r="D65">
            <v>5.5710306406685237E-3</v>
          </cell>
          <cell r="E65">
            <v>6.2810782517665536E-3</v>
          </cell>
          <cell r="F65">
            <v>6.0496709828061985E-3</v>
          </cell>
          <cell r="G65">
            <v>4.9268697953899956E-3</v>
          </cell>
          <cell r="H65">
            <v>4.2135332976254236E-3</v>
          </cell>
          <cell r="I65">
            <v>5.2168340526089173E-3</v>
          </cell>
          <cell r="J65">
            <v>4.4302845500663176E-3</v>
          </cell>
        </row>
        <row r="67">
          <cell r="B67" t="str">
            <v>Materials stockout</v>
          </cell>
          <cell r="C67">
            <v>0</v>
          </cell>
          <cell r="D67">
            <v>5.5710306406685237E-3</v>
          </cell>
          <cell r="E67">
            <v>6.2810782517665536E-3</v>
          </cell>
          <cell r="F67">
            <v>6.0496709828061985E-3</v>
          </cell>
          <cell r="G67">
            <v>4.9268697953899956E-3</v>
          </cell>
          <cell r="H67">
            <v>4.2135332976254236E-3</v>
          </cell>
          <cell r="I67">
            <v>5.2168340526089173E-3</v>
          </cell>
          <cell r="J67">
            <v>4.4302845500663176E-3</v>
          </cell>
        </row>
        <row r="68">
          <cell r="B68" t="str">
            <v>Default</v>
          </cell>
          <cell r="C68">
            <v>7.0000000000000007E-2</v>
          </cell>
          <cell r="D68">
            <v>7.0000000000000007E-2</v>
          </cell>
          <cell r="E68">
            <v>7.0000000000000007E-2</v>
          </cell>
          <cell r="F68">
            <v>7.0000000000000007E-2</v>
          </cell>
          <cell r="G68">
            <v>7.0000000000000007E-2</v>
          </cell>
          <cell r="H68">
            <v>7.0000000000000007E-2</v>
          </cell>
          <cell r="I68">
            <v>7.0000000000000007E-2</v>
          </cell>
          <cell r="J68">
            <v>7.0000000000000007E-2</v>
          </cell>
        </row>
        <row r="70">
          <cell r="A70" t="str">
            <v>No items not completed within target</v>
          </cell>
        </row>
        <row r="71">
          <cell r="A71" t="str">
            <v xml:space="preserve">Total no. of items completed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Total no. of items completed within target time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Compliance for work completion</v>
          </cell>
          <cell r="B73" t="str">
            <v>month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Compliance for work completion</v>
          </cell>
          <cell r="B74" t="str">
            <v>ytd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B77" t="str">
            <v>Compliance for work completion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Default</v>
          </cell>
          <cell r="C78">
            <v>0.9</v>
          </cell>
          <cell r="D78">
            <v>0.9</v>
          </cell>
          <cell r="E78">
            <v>0.9</v>
          </cell>
          <cell r="F78">
            <v>0.9</v>
          </cell>
          <cell r="G78">
            <v>0.9</v>
          </cell>
          <cell r="H78">
            <v>0.9</v>
          </cell>
          <cell r="I78">
            <v>0.9</v>
          </cell>
          <cell r="J78">
            <v>0.9</v>
          </cell>
        </row>
        <row r="81">
          <cell r="A81" t="str">
            <v>mATERIALS sTOCKOUT rATIO</v>
          </cell>
        </row>
        <row r="86">
          <cell r="A86" t="str">
            <v>Performance Payments</v>
          </cell>
          <cell r="E86">
            <v>57169.506280313391</v>
          </cell>
          <cell r="F86">
            <v>57169.506280313391</v>
          </cell>
          <cell r="G86">
            <v>57169.506280313391</v>
          </cell>
          <cell r="H86">
            <v>57169.506280313391</v>
          </cell>
          <cell r="I86">
            <v>57169.506280313391</v>
          </cell>
        </row>
        <row r="90">
          <cell r="F90" t="str">
            <v>Acceptable Level</v>
          </cell>
          <cell r="G90">
            <v>35735</v>
          </cell>
          <cell r="H90">
            <v>35765</v>
          </cell>
          <cell r="I90">
            <v>35796</v>
          </cell>
          <cell r="J90">
            <v>35827</v>
          </cell>
        </row>
        <row r="91">
          <cell r="A91" t="str">
            <v>Public or Customer satisfaction with the services</v>
          </cell>
          <cell r="F91">
            <v>0.9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Compliance with target times for incident attendance</v>
          </cell>
          <cell r="F92">
            <v>0.95</v>
          </cell>
          <cell r="G92">
            <v>0</v>
          </cell>
          <cell r="H92">
            <v>0.978494623655914</v>
          </cell>
          <cell r="I92">
            <v>0.98051948051948057</v>
          </cell>
          <cell r="J92">
            <v>0.9874476987447699</v>
          </cell>
        </row>
        <row r="93">
          <cell r="A93" t="str">
            <v>WMS/Payroll reconciliation</v>
          </cell>
          <cell r="F93">
            <v>0.95</v>
          </cell>
          <cell r="G93">
            <v>0.97496483825597746</v>
          </cell>
          <cell r="H93">
            <v>1.1117854406130268</v>
          </cell>
          <cell r="I93">
            <v>1.0514888010540184</v>
          </cell>
          <cell r="J93">
            <v>1.0193413357956294</v>
          </cell>
        </row>
        <row r="94">
          <cell r="A94" t="str">
            <v>No. major non-conformance/yr</v>
          </cell>
          <cell r="F94">
            <v>6</v>
          </cell>
          <cell r="G94">
            <v>0</v>
          </cell>
          <cell r="H94">
            <v>2</v>
          </cell>
          <cell r="I94">
            <v>2</v>
          </cell>
          <cell r="J94">
            <v>2</v>
          </cell>
        </row>
        <row r="95">
          <cell r="A95" t="str">
            <v>No. minor non-conformances/yr</v>
          </cell>
          <cell r="F95">
            <v>30</v>
          </cell>
          <cell r="G95">
            <v>0</v>
          </cell>
          <cell r="H95">
            <v>4</v>
          </cell>
          <cell r="I95">
            <v>4</v>
          </cell>
          <cell r="J95">
            <v>4</v>
          </cell>
        </row>
        <row r="96">
          <cell r="A96" t="str">
            <v>Recall jobs</v>
          </cell>
          <cell r="F96">
            <v>0.05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Materials stockout</v>
          </cell>
          <cell r="F97">
            <v>4.4999999999999998E-2</v>
          </cell>
          <cell r="G97">
            <v>0</v>
          </cell>
          <cell r="H97">
            <v>5.5710306406685237E-3</v>
          </cell>
          <cell r="I97">
            <v>6.2810782517665536E-3</v>
          </cell>
          <cell r="J97">
            <v>6.0496709828061985E-3</v>
          </cell>
        </row>
        <row r="98">
          <cell r="A98" t="str">
            <v>Compliance for work completion</v>
          </cell>
          <cell r="F98">
            <v>0.95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F99" t="str">
            <v>Total Estimated Performance Payment</v>
          </cell>
        </row>
      </sheetData>
      <sheetData sheetId="9" refreshError="1"/>
      <sheetData sheetId="10" refreshError="1"/>
      <sheetData sheetId="11" refreshError="1"/>
      <sheetData sheetId="12" refreshError="1">
        <row r="20">
          <cell r="C20" t="str">
            <v>GJs</v>
          </cell>
          <cell r="D20">
            <v>2231930</v>
          </cell>
          <cell r="E20">
            <v>1912864</v>
          </cell>
          <cell r="F20">
            <v>4144794</v>
          </cell>
          <cell r="H20">
            <v>2114047</v>
          </cell>
          <cell r="I20">
            <v>1801065</v>
          </cell>
          <cell r="J20">
            <v>3915112</v>
          </cell>
          <cell r="L20">
            <v>1466745</v>
          </cell>
          <cell r="M20">
            <v>1304391</v>
          </cell>
          <cell r="N20">
            <v>2771136</v>
          </cell>
          <cell r="P20">
            <v>1051726</v>
          </cell>
          <cell r="Q20">
            <v>1007811</v>
          </cell>
          <cell r="R20">
            <v>2059537</v>
          </cell>
          <cell r="T20">
            <v>810123</v>
          </cell>
          <cell r="U20">
            <v>750041</v>
          </cell>
          <cell r="V20">
            <v>1560164</v>
          </cell>
          <cell r="X20">
            <v>507243</v>
          </cell>
          <cell r="Y20">
            <v>409696</v>
          </cell>
          <cell r="Z20">
            <v>916939</v>
          </cell>
          <cell r="AB20">
            <v>573755</v>
          </cell>
          <cell r="AC20">
            <v>423662</v>
          </cell>
          <cell r="AD20">
            <v>997417</v>
          </cell>
          <cell r="AF20">
            <v>495528</v>
          </cell>
          <cell r="AG20">
            <v>458440</v>
          </cell>
          <cell r="AH20">
            <v>953968</v>
          </cell>
          <cell r="AJ20">
            <v>740914</v>
          </cell>
          <cell r="AK20">
            <v>562934</v>
          </cell>
          <cell r="AL20">
            <v>1303848</v>
          </cell>
          <cell r="AN20">
            <v>1175172</v>
          </cell>
          <cell r="AO20">
            <v>1046822</v>
          </cell>
          <cell r="AP20">
            <v>2221994</v>
          </cell>
          <cell r="AR20">
            <v>1744892</v>
          </cell>
          <cell r="AS20">
            <v>1460285</v>
          </cell>
          <cell r="AT20">
            <v>3205177</v>
          </cell>
          <cell r="AV20">
            <v>2244171</v>
          </cell>
          <cell r="AW20">
            <v>1902605</v>
          </cell>
          <cell r="AX20">
            <v>4146776</v>
          </cell>
          <cell r="AZ20">
            <v>15156246</v>
          </cell>
          <cell r="BA20">
            <v>13040616</v>
          </cell>
          <cell r="BB20">
            <v>28196862</v>
          </cell>
        </row>
        <row r="21">
          <cell r="C21" t="str">
            <v>$</v>
          </cell>
          <cell r="D21">
            <v>8602635</v>
          </cell>
          <cell r="E21">
            <v>7350354</v>
          </cell>
          <cell r="F21">
            <v>15952989</v>
          </cell>
          <cell r="H21">
            <v>8110310</v>
          </cell>
          <cell r="I21">
            <v>6884514</v>
          </cell>
          <cell r="J21">
            <v>14994824</v>
          </cell>
          <cell r="L21">
            <v>5842118</v>
          </cell>
          <cell r="M21">
            <v>5077448</v>
          </cell>
          <cell r="N21">
            <v>10919566</v>
          </cell>
          <cell r="P21">
            <v>3828920</v>
          </cell>
          <cell r="Q21">
            <v>3764896</v>
          </cell>
          <cell r="R21">
            <v>7593816</v>
          </cell>
          <cell r="T21">
            <v>3317140</v>
          </cell>
          <cell r="U21">
            <v>3093869.1</v>
          </cell>
          <cell r="V21">
            <v>6411009.0999999996</v>
          </cell>
          <cell r="X21">
            <v>1842559</v>
          </cell>
          <cell r="Y21">
            <v>1681479</v>
          </cell>
          <cell r="Z21">
            <v>3524038</v>
          </cell>
          <cell r="AB21">
            <v>2438697</v>
          </cell>
          <cell r="AC21">
            <v>1948476</v>
          </cell>
          <cell r="AD21">
            <v>4387173</v>
          </cell>
          <cell r="AF21">
            <v>2169708</v>
          </cell>
          <cell r="AG21">
            <v>2067453</v>
          </cell>
          <cell r="AH21">
            <v>4237161</v>
          </cell>
          <cell r="AJ21">
            <v>2558863</v>
          </cell>
          <cell r="AK21">
            <v>2315502</v>
          </cell>
          <cell r="AL21">
            <v>4874365</v>
          </cell>
          <cell r="AN21">
            <v>4486037</v>
          </cell>
          <cell r="AO21">
            <v>4095774</v>
          </cell>
          <cell r="AP21">
            <v>8581811</v>
          </cell>
          <cell r="AR21">
            <v>5932482</v>
          </cell>
          <cell r="AS21">
            <v>5318030</v>
          </cell>
          <cell r="AT21">
            <v>11250512</v>
          </cell>
          <cell r="AV21">
            <v>8598503</v>
          </cell>
          <cell r="AW21">
            <v>7167978</v>
          </cell>
          <cell r="AX21">
            <v>4102176</v>
          </cell>
          <cell r="AZ21">
            <v>57727972</v>
          </cell>
          <cell r="BA21">
            <v>50765773.100000001</v>
          </cell>
          <cell r="BB21">
            <v>108493745.09999999</v>
          </cell>
        </row>
        <row r="26">
          <cell r="C26" t="str">
            <v>GJs</v>
          </cell>
          <cell r="D26">
            <v>2410077</v>
          </cell>
          <cell r="E26">
            <v>2149378</v>
          </cell>
          <cell r="F26">
            <v>4559455</v>
          </cell>
          <cell r="H26">
            <v>2104559</v>
          </cell>
          <cell r="I26">
            <v>1583191</v>
          </cell>
          <cell r="J26">
            <v>3687750</v>
          </cell>
          <cell r="L26">
            <v>2049778</v>
          </cell>
          <cell r="M26">
            <v>1323441</v>
          </cell>
          <cell r="N26">
            <v>3373219</v>
          </cell>
          <cell r="P26">
            <v>1875267</v>
          </cell>
          <cell r="Q26">
            <v>1380816</v>
          </cell>
          <cell r="R26">
            <v>3256083</v>
          </cell>
          <cell r="T26">
            <v>1718438</v>
          </cell>
          <cell r="U26">
            <v>1144950</v>
          </cell>
          <cell r="V26">
            <v>2863388</v>
          </cell>
          <cell r="X26">
            <v>1872669</v>
          </cell>
          <cell r="Y26">
            <v>1330311</v>
          </cell>
          <cell r="Z26">
            <v>3202980</v>
          </cell>
          <cell r="AB26">
            <v>1329228</v>
          </cell>
          <cell r="AC26">
            <v>1431649</v>
          </cell>
          <cell r="AD26">
            <v>2760877</v>
          </cell>
          <cell r="AF26">
            <v>1614492</v>
          </cell>
          <cell r="AG26">
            <v>1481629</v>
          </cell>
          <cell r="AH26">
            <v>3096121</v>
          </cell>
          <cell r="AJ26">
            <v>1773946</v>
          </cell>
          <cell r="AK26">
            <v>1369237</v>
          </cell>
          <cell r="AL26">
            <v>3143183</v>
          </cell>
          <cell r="AN26">
            <v>1678920</v>
          </cell>
          <cell r="AO26">
            <v>1310877</v>
          </cell>
          <cell r="AP26">
            <v>2989797</v>
          </cell>
          <cell r="AR26">
            <v>1879109</v>
          </cell>
          <cell r="AS26">
            <v>1602950</v>
          </cell>
          <cell r="AT26">
            <v>3482059</v>
          </cell>
          <cell r="AV26">
            <v>1801873</v>
          </cell>
          <cell r="AW26">
            <v>1484328</v>
          </cell>
          <cell r="AX26">
            <v>3286201</v>
          </cell>
        </row>
        <row r="27">
          <cell r="C27" t="str">
            <v>$</v>
          </cell>
          <cell r="D27">
            <v>243858</v>
          </cell>
          <cell r="E27">
            <v>186157</v>
          </cell>
          <cell r="F27">
            <v>439997.15</v>
          </cell>
          <cell r="H27">
            <v>246817</v>
          </cell>
          <cell r="I27">
            <v>192618</v>
          </cell>
          <cell r="J27">
            <v>458461.86</v>
          </cell>
          <cell r="L27">
            <v>237229</v>
          </cell>
          <cell r="M27">
            <v>174724</v>
          </cell>
          <cell r="N27">
            <v>459586.04</v>
          </cell>
          <cell r="P27">
            <v>263474</v>
          </cell>
          <cell r="Q27">
            <v>190597</v>
          </cell>
          <cell r="R27">
            <v>464066.30000000075</v>
          </cell>
          <cell r="T27">
            <v>265355</v>
          </cell>
          <cell r="U27">
            <v>190916</v>
          </cell>
          <cell r="V27">
            <v>466845.46999999508</v>
          </cell>
          <cell r="X27">
            <v>267064</v>
          </cell>
          <cell r="Y27">
            <v>191956</v>
          </cell>
          <cell r="Z27">
            <v>449759</v>
          </cell>
          <cell r="AB27">
            <v>245966</v>
          </cell>
          <cell r="AC27">
            <v>168845</v>
          </cell>
          <cell r="AD27">
            <v>451061.79</v>
          </cell>
          <cell r="AF27">
            <v>246321</v>
          </cell>
          <cell r="AG27">
            <v>187204</v>
          </cell>
          <cell r="AH27">
            <v>478129.46</v>
          </cell>
          <cell r="AJ27">
            <v>246604.24</v>
          </cell>
          <cell r="AK27">
            <v>188047</v>
          </cell>
          <cell r="AL27">
            <v>468478.62</v>
          </cell>
          <cell r="AN27">
            <v>248899</v>
          </cell>
          <cell r="AO27">
            <v>188867</v>
          </cell>
          <cell r="AP27">
            <v>354369</v>
          </cell>
          <cell r="AR27">
            <v>249964</v>
          </cell>
          <cell r="AS27">
            <v>191945</v>
          </cell>
          <cell r="AT27">
            <v>373582.87</v>
          </cell>
          <cell r="AV27">
            <v>251288</v>
          </cell>
          <cell r="AW27">
            <v>198471</v>
          </cell>
          <cell r="AX27">
            <v>499222</v>
          </cell>
        </row>
      </sheetData>
      <sheetData sheetId="13" refreshError="1"/>
      <sheetData sheetId="14" refreshError="1">
        <row r="3">
          <cell r="C3" t="str">
            <v>GJ</v>
          </cell>
          <cell r="D3">
            <v>1238320.1000000001</v>
          </cell>
          <cell r="E3">
            <v>1132942.8</v>
          </cell>
          <cell r="F3">
            <v>1259143.2950200615</v>
          </cell>
          <cell r="G3">
            <v>1754092.4094295632</v>
          </cell>
          <cell r="H3">
            <v>2858529.9770214539</v>
          </cell>
          <cell r="I3">
            <v>3811655.0567635847</v>
          </cell>
          <cell r="J3">
            <v>4580867.467313177</v>
          </cell>
          <cell r="K3">
            <v>4068757.974270985</v>
          </cell>
          <cell r="L3">
            <v>3251741.6635263367</v>
          </cell>
          <cell r="M3">
            <v>2237229.5494616847</v>
          </cell>
          <cell r="N3">
            <v>1510071.2072662844</v>
          </cell>
          <cell r="O3">
            <v>1231859.6912412164</v>
          </cell>
          <cell r="P3">
            <v>28935211.191314351</v>
          </cell>
        </row>
        <row r="4">
          <cell r="C4" t="str">
            <v>$</v>
          </cell>
          <cell r="D4">
            <v>5001836</v>
          </cell>
          <cell r="E4">
            <v>4586047</v>
          </cell>
          <cell r="F4">
            <v>5336430</v>
          </cell>
          <cell r="G4">
            <v>6914965</v>
          </cell>
          <cell r="H4">
            <v>9689894</v>
          </cell>
          <cell r="I4">
            <v>13119652</v>
          </cell>
          <cell r="J4">
            <v>15656046.477957046</v>
          </cell>
          <cell r="K4">
            <v>14162913.765816581</v>
          </cell>
          <cell r="L4">
            <v>11619630.17559189</v>
          </cell>
          <cell r="M4">
            <v>7988939.3481801115</v>
          </cell>
          <cell r="N4">
            <v>5867544.7385318419</v>
          </cell>
          <cell r="O4">
            <v>4988073.947582528</v>
          </cell>
          <cell r="P4">
            <v>104931972.45366</v>
          </cell>
        </row>
      </sheetData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Assumptions_SC"/>
      <sheetName val="GA"/>
      <sheetName val="SPAND_SSC"/>
      <sheetName val="SPAND_GL_BA"/>
      <sheetName val="SPAND_PA_BA"/>
      <sheetName val="SPAND_Other_BA"/>
      <sheetName val="SPAND_Asset_BA"/>
      <sheetName val="SPANT_SSC"/>
      <sheetName val="SPANT_GL_BA"/>
      <sheetName val="SPANT_PA_BA"/>
      <sheetName val="SPANT_Other_BA"/>
      <sheetName val="SPANT_Asset_BA"/>
      <sheetName val="Output_SC"/>
      <sheetName val="SPAND_Output_SSC"/>
      <sheetName val="SPAND_Labour_BO"/>
      <sheetName val="SPAND_NonLabour_BO"/>
      <sheetName val="SPAND_Other_Co_BO"/>
      <sheetName val="SPANT_Output_SSC"/>
      <sheetName val="SPANT_Labour_BO"/>
      <sheetName val="SPANT_NonLabour_BO"/>
      <sheetName val="SPANT_Other_Co_BO"/>
      <sheetName val="Summary_SC"/>
      <sheetName val="SPAND_Summary_BO"/>
      <sheetName val="SPANT_Summary_BO"/>
      <sheetName val="Lookup_SC"/>
      <sheetName val="Lookup_BL"/>
      <sheetName val="SPAN_Result_BL"/>
      <sheetName val="SPAN_Result_BL ICT CC"/>
      <sheetName val="SPAND_LU_SSC"/>
      <sheetName val="SPAND_LU_BL"/>
      <sheetName val="SPAND_CostCentre_BL"/>
      <sheetName val="SPAND_CorpFunction_BL"/>
      <sheetName val="SPAND_WC_BL"/>
      <sheetName val="SPANT_LU_SSC"/>
      <sheetName val="SPANT_LU_BL"/>
      <sheetName val="SPANT_CostCentre_BL"/>
      <sheetName val="Division Summary"/>
      <sheetName val="SPANT_CorpFunction_BL"/>
      <sheetName val="SPANT_WC_BL"/>
      <sheetName val="Misc_SC"/>
      <sheetName val="Summary"/>
      <sheetName val="Manua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K24">
            <v>232398553.52000001</v>
          </cell>
          <cell r="M24">
            <v>44975233.169999957</v>
          </cell>
        </row>
      </sheetData>
      <sheetData sheetId="25">
        <row r="24">
          <cell r="K24">
            <v>154511732.86999997</v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1">
          <cell r="G1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">
          <cell r="B6">
            <v>9062</v>
          </cell>
          <cell r="C6">
            <v>525.13039999996545</v>
          </cell>
          <cell r="D6">
            <v>-525.13039999990724</v>
          </cell>
          <cell r="E6">
            <v>0</v>
          </cell>
          <cell r="F6">
            <v>0</v>
          </cell>
          <cell r="G6">
            <v>0</v>
          </cell>
        </row>
        <row r="7">
          <cell r="B7">
            <v>3510</v>
          </cell>
          <cell r="C7">
            <v>452716.40108975203</v>
          </cell>
          <cell r="D7">
            <v>-452725.81682633585</v>
          </cell>
          <cell r="E7">
            <v>8731.5557207589736</v>
          </cell>
          <cell r="F7">
            <v>-8741.0364376787329</v>
          </cell>
          <cell r="G7">
            <v>0</v>
          </cell>
        </row>
        <row r="8">
          <cell r="B8">
            <v>3516</v>
          </cell>
          <cell r="C8">
            <v>0</v>
          </cell>
          <cell r="D8">
            <v>0</v>
          </cell>
          <cell r="E8">
            <v>185274.42463269999</v>
          </cell>
          <cell r="F8">
            <v>-185288.37593475002</v>
          </cell>
          <cell r="G8">
            <v>0</v>
          </cell>
        </row>
        <row r="9">
          <cell r="B9">
            <v>3128</v>
          </cell>
          <cell r="C9">
            <v>0</v>
          </cell>
          <cell r="D9">
            <v>0</v>
          </cell>
          <cell r="E9">
            <v>-7576.4760000000006</v>
          </cell>
          <cell r="F9">
            <v>7576.4759999999987</v>
          </cell>
          <cell r="G9">
            <v>0</v>
          </cell>
        </row>
        <row r="10">
          <cell r="B10">
            <v>4343</v>
          </cell>
          <cell r="C10">
            <v>0</v>
          </cell>
          <cell r="D10">
            <v>0</v>
          </cell>
          <cell r="E10">
            <v>-10606.718000000001</v>
          </cell>
          <cell r="F10">
            <v>10606.718000000001</v>
          </cell>
          <cell r="G10">
            <v>0</v>
          </cell>
        </row>
        <row r="11">
          <cell r="B11">
            <v>5023</v>
          </cell>
          <cell r="C11">
            <v>0</v>
          </cell>
          <cell r="D11">
            <v>0</v>
          </cell>
          <cell r="E11">
            <v>-809072.30816362053</v>
          </cell>
          <cell r="F11">
            <v>809028.52130816074</v>
          </cell>
          <cell r="G11">
            <v>0</v>
          </cell>
        </row>
        <row r="12">
          <cell r="B12">
            <v>5086</v>
          </cell>
          <cell r="C12">
            <v>0</v>
          </cell>
          <cell r="D12">
            <v>0</v>
          </cell>
          <cell r="E12">
            <v>-98897.973733022111</v>
          </cell>
          <cell r="F12">
            <v>98879.301154029206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8">
          <cell r="B18">
            <v>6273</v>
          </cell>
          <cell r="C18">
            <v>0.45861617857621112</v>
          </cell>
          <cell r="D18">
            <v>0.4151983860121049</v>
          </cell>
          <cell r="E18">
            <v>0.39190193164933135</v>
          </cell>
        </row>
        <row r="19">
          <cell r="B19">
            <v>4109</v>
          </cell>
          <cell r="C19">
            <v>0.45861617857621112</v>
          </cell>
          <cell r="D19">
            <v>0.4151983860121049</v>
          </cell>
          <cell r="E19">
            <v>0.39190193164933135</v>
          </cell>
        </row>
        <row r="20">
          <cell r="B20">
            <v>9473</v>
          </cell>
          <cell r="C20">
            <v>0.45861617857621112</v>
          </cell>
          <cell r="D20">
            <v>0.4151983860121049</v>
          </cell>
          <cell r="E20">
            <v>0.39190193164933135</v>
          </cell>
        </row>
        <row r="21">
          <cell r="B21">
            <v>4305</v>
          </cell>
          <cell r="C21">
            <v>0.45861617857621112</v>
          </cell>
          <cell r="D21">
            <v>0.4151983860121049</v>
          </cell>
          <cell r="E21">
            <v>0.39190193164933135</v>
          </cell>
        </row>
        <row r="22">
          <cell r="B22">
            <v>8506</v>
          </cell>
          <cell r="C22">
            <v>0.45861617857621112</v>
          </cell>
          <cell r="D22">
            <v>0.4151983860121049</v>
          </cell>
          <cell r="E22">
            <v>0.39190193164933135</v>
          </cell>
        </row>
        <row r="23">
          <cell r="B23">
            <v>5086</v>
          </cell>
          <cell r="C23">
            <v>0.45861617857621112</v>
          </cell>
          <cell r="D23">
            <v>0.4151983860121049</v>
          </cell>
          <cell r="E23">
            <v>0.39190193164933135</v>
          </cell>
        </row>
        <row r="24">
          <cell r="B24">
            <v>4343</v>
          </cell>
          <cell r="C24">
            <v>0.45861617857621112</v>
          </cell>
          <cell r="D24">
            <v>0.4151983860121049</v>
          </cell>
          <cell r="E24">
            <v>0.39190193164933135</v>
          </cell>
        </row>
        <row r="25">
          <cell r="B25">
            <v>5023</v>
          </cell>
          <cell r="C25">
            <v>0.45861617857621112</v>
          </cell>
          <cell r="D25">
            <v>0.4151983860121049</v>
          </cell>
          <cell r="E25">
            <v>0.39190193164933135</v>
          </cell>
        </row>
        <row r="26">
          <cell r="B26">
            <v>3506</v>
          </cell>
          <cell r="C26">
            <v>0.45861617857621112</v>
          </cell>
          <cell r="D26">
            <v>0.4151983860121049</v>
          </cell>
          <cell r="E26">
            <v>0.39190193164933135</v>
          </cell>
        </row>
        <row r="30">
          <cell r="B30">
            <v>1307</v>
          </cell>
          <cell r="C30">
            <v>1</v>
          </cell>
          <cell r="D30">
            <v>1</v>
          </cell>
          <cell r="E30">
            <v>0</v>
          </cell>
        </row>
        <row r="31">
          <cell r="B31">
            <v>1325</v>
          </cell>
          <cell r="C31">
            <v>1</v>
          </cell>
          <cell r="D31">
            <v>1</v>
          </cell>
          <cell r="E31">
            <v>0</v>
          </cell>
        </row>
        <row r="32">
          <cell r="B32">
            <v>1724</v>
          </cell>
          <cell r="C32">
            <v>1</v>
          </cell>
          <cell r="D32">
            <v>1</v>
          </cell>
          <cell r="E32">
            <v>0</v>
          </cell>
        </row>
        <row r="33">
          <cell r="B33">
            <v>2488</v>
          </cell>
          <cell r="C33">
            <v>1</v>
          </cell>
          <cell r="D33">
            <v>1</v>
          </cell>
          <cell r="E33">
            <v>0</v>
          </cell>
        </row>
        <row r="34">
          <cell r="B34">
            <v>2605</v>
          </cell>
          <cell r="C34">
            <v>1</v>
          </cell>
          <cell r="D34">
            <v>1</v>
          </cell>
          <cell r="E34">
            <v>0</v>
          </cell>
        </row>
        <row r="35">
          <cell r="B35">
            <v>3244</v>
          </cell>
          <cell r="C35">
            <v>1</v>
          </cell>
          <cell r="D35">
            <v>1</v>
          </cell>
          <cell r="E35">
            <v>0</v>
          </cell>
        </row>
        <row r="36">
          <cell r="B36">
            <v>3640</v>
          </cell>
          <cell r="C36">
            <v>1</v>
          </cell>
          <cell r="D36">
            <v>1</v>
          </cell>
          <cell r="E36">
            <v>0</v>
          </cell>
        </row>
        <row r="37">
          <cell r="B37">
            <v>5068</v>
          </cell>
          <cell r="C37">
            <v>1</v>
          </cell>
          <cell r="D37">
            <v>1</v>
          </cell>
          <cell r="E37">
            <v>0</v>
          </cell>
        </row>
        <row r="38">
          <cell r="B38">
            <v>7482</v>
          </cell>
          <cell r="C38">
            <v>1</v>
          </cell>
          <cell r="D38">
            <v>1</v>
          </cell>
          <cell r="E38">
            <v>0</v>
          </cell>
        </row>
        <row r="39">
          <cell r="B39">
            <v>9953</v>
          </cell>
          <cell r="C39">
            <v>1</v>
          </cell>
          <cell r="D39">
            <v>1</v>
          </cell>
          <cell r="E39">
            <v>0</v>
          </cell>
        </row>
        <row r="40">
          <cell r="B40">
            <v>9954</v>
          </cell>
          <cell r="C40">
            <v>1</v>
          </cell>
          <cell r="D40">
            <v>1</v>
          </cell>
          <cell r="E40">
            <v>0</v>
          </cell>
        </row>
        <row r="44">
          <cell r="B44">
            <v>3516</v>
          </cell>
          <cell r="C44">
            <v>615174</v>
          </cell>
          <cell r="D44" t="str">
            <v>3516615174</v>
          </cell>
          <cell r="E44" t="str">
            <v>Defined Benefit re-alloc</v>
          </cell>
        </row>
        <row r="45">
          <cell r="B45">
            <v>7967</v>
          </cell>
          <cell r="C45">
            <v>640000</v>
          </cell>
          <cell r="D45" t="str">
            <v>7967640000</v>
          </cell>
          <cell r="E45" t="str">
            <v>Gasnet Exclusion</v>
          </cell>
        </row>
        <row r="46">
          <cell r="B46">
            <v>2081</v>
          </cell>
          <cell r="C46" t="str">
            <v>Non Labour Only</v>
          </cell>
          <cell r="D46" t="str">
            <v>2081Non Labour Only</v>
          </cell>
          <cell r="E46" t="str">
            <v>Property services - Non labour Only</v>
          </cell>
        </row>
        <row r="47">
          <cell r="B47">
            <v>5903</v>
          </cell>
          <cell r="C47">
            <v>642040</v>
          </cell>
          <cell r="D47" t="str">
            <v>5903642040</v>
          </cell>
          <cell r="E47" t="str">
            <v>Insurance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 t="str">
            <v/>
          </cell>
        </row>
        <row r="51">
          <cell r="B51">
            <v>0</v>
          </cell>
          <cell r="C51">
            <v>0</v>
          </cell>
          <cell r="D51">
            <v>0</v>
          </cell>
          <cell r="E51" t="str">
            <v/>
          </cell>
        </row>
        <row r="52">
          <cell r="B52">
            <v>0</v>
          </cell>
          <cell r="C52">
            <v>0</v>
          </cell>
          <cell r="D52">
            <v>0</v>
          </cell>
          <cell r="E52" t="str">
            <v/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Allocations"/>
      <sheetName val="Connections"/>
      <sheetName val="Capex_Fcast_Direct"/>
      <sheetName val="Other_codes"/>
      <sheetName val="Tenix OH"/>
      <sheetName val="Capex_Fcast_Total"/>
      <sheetName val="Cost_Recovery"/>
      <sheetName val="Contr_Fcast"/>
      <sheetName val="Summary_Ouput"/>
      <sheetName val="RIN_Outputs"/>
      <sheetName val="2.5 Connections"/>
      <sheetName val="2.12 Inputs"/>
    </sheetNames>
    <sheetDataSet>
      <sheetData sheetId="0" refreshError="1"/>
      <sheetData sheetId="1">
        <row r="18">
          <cell r="B18">
            <v>1.0216110019646365</v>
          </cell>
        </row>
        <row r="19">
          <cell r="B19">
            <v>1.0307405277289521</v>
          </cell>
        </row>
      </sheetData>
      <sheetData sheetId="2" refreshError="1"/>
      <sheetData sheetId="3" refreshError="1"/>
      <sheetData sheetId="4">
        <row r="7">
          <cell r="F7">
            <v>15004.625540275048</v>
          </cell>
        </row>
      </sheetData>
      <sheetData sheetId="5">
        <row r="12">
          <cell r="F12">
            <v>89.678480000000022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Y2K_&lt;@Westar_Remediation@&gt;"/>
      <sheetName val="Switchboard"/>
      <sheetName val="Updates"/>
      <sheetName val="Drivers"/>
      <sheetName val="Overview data"/>
      <sheetName val="Overview data 9798"/>
      <sheetName val="ProfitBud"/>
      <sheetName val="ProfitAct"/>
      <sheetName val="CapexAct"/>
      <sheetName val="CapexBud"/>
      <sheetName val="ActUnits"/>
      <sheetName val="BudUnits"/>
      <sheetName val="Headcount"/>
      <sheetName val="H_C Graphs"/>
      <sheetName val="H_C Graphs 9798"/>
      <sheetName val="Profit and Loss"/>
      <sheetName val="Balance Sheet Calcs"/>
      <sheetName val="UpdateAll"/>
      <sheetName val="Module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Executive"/>
      <sheetName val="Executive.xls"/>
    </sheetNames>
    <definedNames>
      <definedName name="EPDResult"/>
      <definedName name="gotoswitchboard"/>
      <definedName name="hideCAPEXrows"/>
      <definedName name="unhideCAPEXrows"/>
    </definedNames>
    <sheetDataSet>
      <sheetData sheetId="0" refreshError="1"/>
      <sheetData sheetId="1" refreshError="1"/>
      <sheetData sheetId="2" refreshError="1"/>
      <sheetData sheetId="3" refreshError="1">
        <row r="1">
          <cell r="B1">
            <v>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5">
          <cell r="A25" t="str">
            <v>Sum of Employees On YTD</v>
          </cell>
          <cell r="B25" t="str">
            <v>Period</v>
          </cell>
          <cell r="N25" t="str">
            <v>CurrentMonthYTD</v>
          </cell>
          <cell r="R25" t="str">
            <v>PrevMonthYTD</v>
          </cell>
          <cell r="S25" t="str">
            <v>CurrentMonthOns</v>
          </cell>
        </row>
        <row r="26">
          <cell r="A26" t="str">
            <v>Group2</v>
          </cell>
          <cell r="B26">
            <v>1</v>
          </cell>
          <cell r="C26">
            <v>2</v>
          </cell>
          <cell r="D26">
            <v>3</v>
          </cell>
          <cell r="E26">
            <v>4</v>
          </cell>
          <cell r="F26">
            <v>5</v>
          </cell>
          <cell r="G26">
            <v>6</v>
          </cell>
          <cell r="H26">
            <v>7</v>
          </cell>
          <cell r="I26">
            <v>8</v>
          </cell>
        </row>
        <row r="27">
          <cell r="A27" t="str">
            <v>Business Development &amp; Marketing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N27">
            <v>0</v>
          </cell>
          <cell r="O27" t="str">
            <v>Business Development &amp; Marketing</v>
          </cell>
          <cell r="R27">
            <v>0</v>
          </cell>
          <cell r="S27">
            <v>0</v>
          </cell>
        </row>
        <row r="28">
          <cell r="A28" t="str">
            <v>Finance &amp; Support Services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N28">
            <v>0</v>
          </cell>
          <cell r="O28" t="str">
            <v>Finance &amp; Support Services</v>
          </cell>
          <cell r="R28">
            <v>0</v>
          </cell>
          <cell r="S28">
            <v>0</v>
          </cell>
        </row>
        <row r="29">
          <cell r="A29" t="str">
            <v>Human Resources</v>
          </cell>
          <cell r="B29">
            <v>0</v>
          </cell>
          <cell r="C29">
            <v>0</v>
          </cell>
          <cell r="D29">
            <v>0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N29">
            <v>0</v>
          </cell>
          <cell r="O29" t="str">
            <v>Human Resources</v>
          </cell>
          <cell r="R29">
            <v>1</v>
          </cell>
          <cell r="S29">
            <v>-1</v>
          </cell>
        </row>
        <row r="30">
          <cell r="A30" t="str">
            <v>Management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N30">
            <v>0</v>
          </cell>
          <cell r="O30" t="str">
            <v>Management</v>
          </cell>
          <cell r="R30">
            <v>0</v>
          </cell>
          <cell r="S30">
            <v>0</v>
          </cell>
        </row>
        <row r="31">
          <cell r="A31" t="str">
            <v>Network Operations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N31">
            <v>0</v>
          </cell>
          <cell r="O31" t="str">
            <v>Network Operations</v>
          </cell>
          <cell r="R31">
            <v>0</v>
          </cell>
          <cell r="S31">
            <v>0</v>
          </cell>
        </row>
        <row r="32">
          <cell r="A32" t="str">
            <v>Technical Services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N32">
            <v>0</v>
          </cell>
          <cell r="O32" t="str">
            <v>Technical Services</v>
          </cell>
          <cell r="R32">
            <v>0</v>
          </cell>
          <cell r="S32">
            <v>0</v>
          </cell>
        </row>
        <row r="33">
          <cell r="A33" t="str">
            <v>Information Services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N33">
            <v>0</v>
          </cell>
          <cell r="O33" t="str">
            <v>Information Services</v>
          </cell>
          <cell r="R33">
            <v>0</v>
          </cell>
          <cell r="S33">
            <v>0</v>
          </cell>
        </row>
        <row r="34">
          <cell r="A34" t="str">
            <v>Grand Total</v>
          </cell>
          <cell r="B34">
            <v>0</v>
          </cell>
          <cell r="C34">
            <v>0</v>
          </cell>
          <cell r="D34">
            <v>0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N34">
            <v>0</v>
          </cell>
          <cell r="O34" t="str">
            <v>Grand Total</v>
          </cell>
          <cell r="R34">
            <v>1</v>
          </cell>
          <cell r="S34">
            <v>-1</v>
          </cell>
        </row>
        <row r="49">
          <cell r="A49" t="str">
            <v>Sum of EmpOffMth</v>
          </cell>
          <cell r="B49" t="str">
            <v>Period</v>
          </cell>
        </row>
        <row r="50">
          <cell r="A50" t="str">
            <v>Group2</v>
          </cell>
          <cell r="B50">
            <v>1</v>
          </cell>
          <cell r="C50">
            <v>2</v>
          </cell>
          <cell r="D50">
            <v>3</v>
          </cell>
          <cell r="E50">
            <v>4</v>
          </cell>
          <cell r="F50">
            <v>5</v>
          </cell>
          <cell r="G50">
            <v>6</v>
          </cell>
          <cell r="H50">
            <v>7</v>
          </cell>
          <cell r="I50">
            <v>8</v>
          </cell>
          <cell r="J50" t="str">
            <v>Grand Total</v>
          </cell>
        </row>
        <row r="51">
          <cell r="A51" t="str">
            <v>Business Development &amp; Marketing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 t="str">
            <v>Finance &amp; Support Services</v>
          </cell>
          <cell r="B52">
            <v>1</v>
          </cell>
          <cell r="C52">
            <v>3</v>
          </cell>
          <cell r="D52">
            <v>1</v>
          </cell>
          <cell r="E52">
            <v>2</v>
          </cell>
          <cell r="F52">
            <v>0</v>
          </cell>
          <cell r="G52">
            <v>1</v>
          </cell>
          <cell r="H52">
            <v>0</v>
          </cell>
          <cell r="I52">
            <v>1</v>
          </cell>
          <cell r="J52">
            <v>9</v>
          </cell>
        </row>
        <row r="53">
          <cell r="A53" t="str">
            <v>Human Resources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Management</v>
          </cell>
          <cell r="B54">
            <v>0</v>
          </cell>
          <cell r="C54">
            <v>2</v>
          </cell>
          <cell r="D54">
            <v>1</v>
          </cell>
          <cell r="E54">
            <v>0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  <cell r="J54">
            <v>4</v>
          </cell>
        </row>
        <row r="55">
          <cell r="A55" t="str">
            <v>Network Operations</v>
          </cell>
          <cell r="B55">
            <v>0</v>
          </cell>
          <cell r="C55">
            <v>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  <cell r="I55">
            <v>1</v>
          </cell>
          <cell r="J55">
            <v>3</v>
          </cell>
        </row>
        <row r="56">
          <cell r="A56" t="str">
            <v>Technical Services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1</v>
          </cell>
        </row>
        <row r="57">
          <cell r="A57" t="str">
            <v>Information Services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 t="str">
            <v>Grand Total</v>
          </cell>
          <cell r="B58">
            <v>1</v>
          </cell>
          <cell r="C58">
            <v>6</v>
          </cell>
          <cell r="D58">
            <v>2</v>
          </cell>
          <cell r="E58">
            <v>2</v>
          </cell>
          <cell r="F58">
            <v>1</v>
          </cell>
          <cell r="G58">
            <v>1</v>
          </cell>
          <cell r="H58">
            <v>1</v>
          </cell>
          <cell r="I58">
            <v>3</v>
          </cell>
          <cell r="J58">
            <v>17</v>
          </cell>
        </row>
      </sheetData>
      <sheetData sheetId="13" refreshError="1">
        <row r="290">
          <cell r="A290" t="str">
            <v>HEADCOUNT SUMMARY</v>
          </cell>
        </row>
        <row r="292">
          <cell r="A292" t="str">
            <v>Business Development &amp; Marketing</v>
          </cell>
          <cell r="B292">
            <v>10</v>
          </cell>
          <cell r="C292">
            <v>10</v>
          </cell>
          <cell r="D292">
            <v>10</v>
          </cell>
          <cell r="E292">
            <v>10</v>
          </cell>
          <cell r="F292">
            <v>10</v>
          </cell>
          <cell r="G292">
            <v>10</v>
          </cell>
          <cell r="H292">
            <v>9</v>
          </cell>
          <cell r="I292">
            <v>9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 t="str">
            <v>Finance &amp; Support Services</v>
          </cell>
          <cell r="B293">
            <v>23</v>
          </cell>
          <cell r="C293">
            <v>17</v>
          </cell>
          <cell r="D293">
            <v>16</v>
          </cell>
          <cell r="E293">
            <v>17</v>
          </cell>
          <cell r="F293">
            <v>16</v>
          </cell>
          <cell r="G293">
            <v>15</v>
          </cell>
          <cell r="H293">
            <v>15</v>
          </cell>
          <cell r="I293">
            <v>13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Human Resources</v>
          </cell>
          <cell r="B294">
            <v>2</v>
          </cell>
          <cell r="C294">
            <v>2</v>
          </cell>
          <cell r="D294">
            <v>2</v>
          </cell>
          <cell r="E294">
            <v>3</v>
          </cell>
          <cell r="F294">
            <v>3</v>
          </cell>
          <cell r="G294">
            <v>3</v>
          </cell>
          <cell r="H294">
            <v>3</v>
          </cell>
          <cell r="I294">
            <v>2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Management</v>
          </cell>
          <cell r="B295">
            <v>7</v>
          </cell>
          <cell r="C295">
            <v>5</v>
          </cell>
          <cell r="D295">
            <v>5</v>
          </cell>
          <cell r="E295">
            <v>5</v>
          </cell>
          <cell r="F295">
            <v>4</v>
          </cell>
          <cell r="G295">
            <v>4</v>
          </cell>
          <cell r="H295">
            <v>4</v>
          </cell>
          <cell r="I295">
            <v>4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Network Operations</v>
          </cell>
          <cell r="B296">
            <v>78</v>
          </cell>
          <cell r="C296">
            <v>76</v>
          </cell>
          <cell r="D296">
            <v>78</v>
          </cell>
          <cell r="E296">
            <v>78</v>
          </cell>
          <cell r="F296">
            <v>78</v>
          </cell>
          <cell r="G296">
            <v>78</v>
          </cell>
          <cell r="H296">
            <v>76</v>
          </cell>
          <cell r="I296">
            <v>73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Technical Services</v>
          </cell>
          <cell r="B297">
            <v>22</v>
          </cell>
          <cell r="C297">
            <v>21</v>
          </cell>
          <cell r="D297">
            <v>21</v>
          </cell>
          <cell r="E297">
            <v>21</v>
          </cell>
          <cell r="F297">
            <v>21</v>
          </cell>
          <cell r="G297">
            <v>21</v>
          </cell>
          <cell r="H297">
            <v>20</v>
          </cell>
          <cell r="I297">
            <v>18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Information Services</v>
          </cell>
          <cell r="B298">
            <v>5</v>
          </cell>
          <cell r="C298">
            <v>5</v>
          </cell>
          <cell r="D298">
            <v>5</v>
          </cell>
          <cell r="E298">
            <v>5</v>
          </cell>
          <cell r="F298">
            <v>5</v>
          </cell>
          <cell r="G298">
            <v>5</v>
          </cell>
          <cell r="H298">
            <v>5</v>
          </cell>
          <cell r="I298">
            <v>4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Y2K_&lt;@Westar_Remediation@&gt;"/>
      <sheetName val="2000 Growth KPIs"/>
      <sheetName val="2001 Growth Data KPIs"/>
      <sheetName val="2002 Growth Data KPIs"/>
      <sheetName val="data - EFM"/>
      <sheetName val="Annual Leave"/>
      <sheetName val="FTE"/>
      <sheetName val="KPI Data"/>
      <sheetName val="KPIs"/>
      <sheetName val="Module3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8">
          <cell r="A58" t="str">
            <v>FTEs</v>
          </cell>
        </row>
        <row r="59">
          <cell r="A59" t="str">
            <v>Asset Management</v>
          </cell>
          <cell r="B59">
            <v>60.2</v>
          </cell>
          <cell r="C59">
            <v>58.6</v>
          </cell>
          <cell r="D59">
            <v>59.4</v>
          </cell>
          <cell r="O59">
            <v>66</v>
          </cell>
        </row>
        <row r="60">
          <cell r="A60" t="str">
            <v>Business Development</v>
          </cell>
          <cell r="B60">
            <v>21</v>
          </cell>
          <cell r="C60">
            <v>20</v>
          </cell>
          <cell r="D60">
            <v>19</v>
          </cell>
          <cell r="O60">
            <v>21</v>
          </cell>
        </row>
        <row r="61">
          <cell r="A61" t="str">
            <v>Commercial Services</v>
          </cell>
          <cell r="B61">
            <v>35.799999999999997</v>
          </cell>
          <cell r="C61">
            <v>33.799999999999997</v>
          </cell>
          <cell r="D61">
            <v>31.8</v>
          </cell>
          <cell r="O61">
            <v>35</v>
          </cell>
        </row>
        <row r="62">
          <cell r="A62" t="str">
            <v>Network Regulation</v>
          </cell>
          <cell r="B62">
            <v>10</v>
          </cell>
          <cell r="C62">
            <v>10</v>
          </cell>
          <cell r="D62">
            <v>9.4</v>
          </cell>
          <cell r="O62">
            <v>13</v>
          </cell>
        </row>
        <row r="63">
          <cell r="A63" t="str">
            <v>Network Operations</v>
          </cell>
          <cell r="B63">
            <v>120.8</v>
          </cell>
          <cell r="C63">
            <v>108.4</v>
          </cell>
          <cell r="D63">
            <v>105.4</v>
          </cell>
          <cell r="O63">
            <v>119</v>
          </cell>
        </row>
        <row r="64">
          <cell r="A64" t="str">
            <v>Production Planning</v>
          </cell>
          <cell r="B64">
            <v>14</v>
          </cell>
          <cell r="C64">
            <v>14</v>
          </cell>
          <cell r="D64">
            <v>14</v>
          </cell>
          <cell r="O64">
            <v>13</v>
          </cell>
        </row>
        <row r="65">
          <cell r="A65" t="str">
            <v>Westar/ABI</v>
          </cell>
          <cell r="B65">
            <v>1</v>
          </cell>
          <cell r="C65">
            <v>1</v>
          </cell>
          <cell r="D65">
            <v>1</v>
          </cell>
        </row>
        <row r="66">
          <cell r="A66" t="str">
            <v>Health &amp; Safety</v>
          </cell>
          <cell r="B66">
            <v>1</v>
          </cell>
          <cell r="C66">
            <v>1</v>
          </cell>
          <cell r="D66">
            <v>1</v>
          </cell>
          <cell r="O66">
            <v>2</v>
          </cell>
        </row>
        <row r="67">
          <cell r="A67" t="str">
            <v>WUGS</v>
          </cell>
          <cell r="B67">
            <v>1</v>
          </cell>
          <cell r="C67">
            <v>1</v>
          </cell>
          <cell r="D67">
            <v>1</v>
          </cell>
        </row>
        <row r="68">
          <cell r="A68" t="str">
            <v>DMS</v>
          </cell>
          <cell r="B68">
            <v>24.8</v>
          </cell>
          <cell r="C68">
            <v>23.8</v>
          </cell>
          <cell r="D68">
            <v>23.8</v>
          </cell>
          <cell r="O68">
            <v>24</v>
          </cell>
        </row>
        <row r="69">
          <cell r="A69" t="str">
            <v>Comm &amp; PR</v>
          </cell>
          <cell r="B69">
            <v>2</v>
          </cell>
          <cell r="C69">
            <v>2</v>
          </cell>
          <cell r="D69">
            <v>2</v>
          </cell>
          <cell r="O69">
            <v>0</v>
          </cell>
        </row>
        <row r="70">
          <cell r="A70" t="str">
            <v>Management</v>
          </cell>
          <cell r="B70">
            <v>2</v>
          </cell>
          <cell r="C70">
            <v>2</v>
          </cell>
          <cell r="D70">
            <v>2</v>
          </cell>
          <cell r="O70">
            <v>2</v>
          </cell>
        </row>
        <row r="72">
          <cell r="A72" t="str">
            <v>Total</v>
          </cell>
          <cell r="B72">
            <v>293.60000000000002</v>
          </cell>
          <cell r="C72">
            <v>275.60000000000002</v>
          </cell>
          <cell r="D72">
            <v>269.8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Work Force Avaliability</v>
          </cell>
        </row>
        <row r="75">
          <cell r="A75" t="str">
            <v>Asset Management</v>
          </cell>
          <cell r="B75">
            <v>0.98470000000000002</v>
          </cell>
          <cell r="C75">
            <v>0.99960000000000004</v>
          </cell>
          <cell r="D75">
            <v>0.99880000000000002</v>
          </cell>
          <cell r="N75">
            <v>0.98839999999999995</v>
          </cell>
        </row>
        <row r="76">
          <cell r="A76" t="str">
            <v>Business Development</v>
          </cell>
          <cell r="B76">
            <v>1</v>
          </cell>
          <cell r="C76">
            <v>1</v>
          </cell>
          <cell r="D76">
            <v>1</v>
          </cell>
          <cell r="N76">
            <v>1</v>
          </cell>
        </row>
        <row r="77">
          <cell r="A77" t="str">
            <v>Commercial Services</v>
          </cell>
          <cell r="B77">
            <v>0.97529999999999994</v>
          </cell>
          <cell r="C77">
            <v>1</v>
          </cell>
          <cell r="D77">
            <v>0.99690000000000001</v>
          </cell>
          <cell r="N77">
            <v>0.99239999999999995</v>
          </cell>
        </row>
        <row r="78">
          <cell r="A78" t="str">
            <v>Network Regulation</v>
          </cell>
          <cell r="B78">
            <v>1</v>
          </cell>
          <cell r="C78">
            <v>1</v>
          </cell>
          <cell r="D78">
            <v>1</v>
          </cell>
          <cell r="N78">
            <v>1</v>
          </cell>
        </row>
        <row r="79">
          <cell r="A79" t="str">
            <v>Network Operations</v>
          </cell>
          <cell r="B79">
            <v>0.99629999999999996</v>
          </cell>
          <cell r="C79">
            <v>0.98670000000000002</v>
          </cell>
          <cell r="D79">
            <v>0.9859</v>
          </cell>
          <cell r="N79">
            <v>0.98829999999999996</v>
          </cell>
        </row>
        <row r="80">
          <cell r="A80" t="str">
            <v>Production Planning</v>
          </cell>
          <cell r="B80">
            <v>1</v>
          </cell>
          <cell r="C80">
            <v>1</v>
          </cell>
          <cell r="D80">
            <v>0.99270000000000003</v>
          </cell>
          <cell r="N80">
            <v>0.99760000000000004</v>
          </cell>
        </row>
        <row r="81">
          <cell r="A81" t="str">
            <v>Westar/ABI</v>
          </cell>
          <cell r="B81">
            <v>1</v>
          </cell>
          <cell r="C81">
            <v>1</v>
          </cell>
          <cell r="D81">
            <v>1</v>
          </cell>
          <cell r="N81">
            <v>1</v>
          </cell>
        </row>
        <row r="82">
          <cell r="A82" t="str">
            <v>Health &amp; Safety</v>
          </cell>
          <cell r="B82">
            <v>1</v>
          </cell>
          <cell r="C82">
            <v>1</v>
          </cell>
          <cell r="D82">
            <v>1</v>
          </cell>
          <cell r="N82">
            <v>1</v>
          </cell>
        </row>
        <row r="83">
          <cell r="A83" t="str">
            <v>WUGS</v>
          </cell>
          <cell r="B83">
            <v>1</v>
          </cell>
          <cell r="C83">
            <v>1</v>
          </cell>
          <cell r="D83">
            <v>1</v>
          </cell>
          <cell r="N83">
            <v>1</v>
          </cell>
        </row>
        <row r="84">
          <cell r="A84" t="str">
            <v>DMS</v>
          </cell>
          <cell r="B84">
            <v>0.92379999999999995</v>
          </cell>
          <cell r="C84">
            <v>0.99250000000000005</v>
          </cell>
          <cell r="D84">
            <v>0.94869999999999999</v>
          </cell>
          <cell r="N84">
            <v>0.97560000000000002</v>
          </cell>
        </row>
        <row r="85">
          <cell r="A85" t="str">
            <v>Comm &amp; PR</v>
          </cell>
          <cell r="B85">
            <v>1</v>
          </cell>
          <cell r="C85">
            <v>1</v>
          </cell>
          <cell r="D85">
            <v>1</v>
          </cell>
          <cell r="N85">
            <v>1</v>
          </cell>
        </row>
        <row r="86">
          <cell r="A86" t="str">
            <v>Management</v>
          </cell>
          <cell r="B86">
            <v>1</v>
          </cell>
          <cell r="C86">
            <v>1</v>
          </cell>
          <cell r="D86">
            <v>1</v>
          </cell>
          <cell r="N86">
            <v>1</v>
          </cell>
        </row>
        <row r="88">
          <cell r="A88" t="str">
            <v>Total</v>
          </cell>
          <cell r="B88">
            <v>0.98680000000000001</v>
          </cell>
          <cell r="C88">
            <v>0.98280000000000001</v>
          </cell>
          <cell r="D88">
            <v>0.98450000000000004</v>
          </cell>
          <cell r="E88">
            <v>0.9869</v>
          </cell>
          <cell r="F88">
            <v>0.98839999999999995</v>
          </cell>
          <cell r="G88">
            <v>0.99439999999999995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0.98729999999999996</v>
          </cell>
        </row>
        <row r="91">
          <cell r="A91" t="str">
            <v>Sick Leave</v>
          </cell>
        </row>
        <row r="92">
          <cell r="A92" t="str">
            <v>Asset Management</v>
          </cell>
          <cell r="B92">
            <v>1.529999999999998E-2</v>
          </cell>
          <cell r="C92">
            <v>3.9999999999995595E-4</v>
          </cell>
          <cell r="D92">
            <v>1.1999999999999789E-3</v>
          </cell>
          <cell r="N92">
            <v>1.1600000000000055E-2</v>
          </cell>
        </row>
        <row r="93">
          <cell r="A93" t="str">
            <v>Business Development</v>
          </cell>
          <cell r="B93">
            <v>0</v>
          </cell>
          <cell r="C93">
            <v>0</v>
          </cell>
          <cell r="D93">
            <v>0</v>
          </cell>
          <cell r="N93">
            <v>0</v>
          </cell>
        </row>
        <row r="94">
          <cell r="A94" t="str">
            <v>Commercial Services</v>
          </cell>
          <cell r="B94">
            <v>2.4700000000000055E-2</v>
          </cell>
          <cell r="C94">
            <v>0</v>
          </cell>
          <cell r="D94">
            <v>3.0999999999999917E-3</v>
          </cell>
          <cell r="N94">
            <v>7.6000000000000512E-3</v>
          </cell>
        </row>
        <row r="95">
          <cell r="A95" t="str">
            <v>Network Regulation</v>
          </cell>
          <cell r="B95">
            <v>0</v>
          </cell>
          <cell r="C95">
            <v>0</v>
          </cell>
          <cell r="D95">
            <v>0</v>
          </cell>
          <cell r="N95">
            <v>0</v>
          </cell>
        </row>
        <row r="96">
          <cell r="A96" t="str">
            <v>Network Operations</v>
          </cell>
          <cell r="B96">
            <v>3.7000000000000366E-3</v>
          </cell>
          <cell r="C96">
            <v>1.3299999999999979E-2</v>
          </cell>
          <cell r="D96">
            <v>1.4100000000000001E-2</v>
          </cell>
          <cell r="N96">
            <v>1.1700000000000044E-2</v>
          </cell>
        </row>
        <row r="97">
          <cell r="A97" t="str">
            <v>Production Planning</v>
          </cell>
          <cell r="B97">
            <v>0</v>
          </cell>
          <cell r="C97">
            <v>0</v>
          </cell>
          <cell r="D97">
            <v>7.2999999999999732E-3</v>
          </cell>
          <cell r="N97">
            <v>2.3999999999999577E-3</v>
          </cell>
        </row>
        <row r="98">
          <cell r="A98" t="str">
            <v>Westar/ABI</v>
          </cell>
          <cell r="B98">
            <v>0</v>
          </cell>
          <cell r="C98">
            <v>0</v>
          </cell>
          <cell r="D98">
            <v>0</v>
          </cell>
          <cell r="N98">
            <v>0</v>
          </cell>
        </row>
        <row r="99">
          <cell r="A99" t="str">
            <v>Health &amp; Safety</v>
          </cell>
          <cell r="B99">
            <v>0</v>
          </cell>
          <cell r="C99">
            <v>0</v>
          </cell>
          <cell r="D99">
            <v>0</v>
          </cell>
          <cell r="N99">
            <v>0</v>
          </cell>
        </row>
        <row r="100">
          <cell r="A100" t="str">
            <v>WUGS</v>
          </cell>
          <cell r="B100">
            <v>0</v>
          </cell>
          <cell r="C100">
            <v>0</v>
          </cell>
          <cell r="D100">
            <v>0</v>
          </cell>
          <cell r="N100">
            <v>0</v>
          </cell>
        </row>
        <row r="101">
          <cell r="A101" t="str">
            <v>DMS</v>
          </cell>
          <cell r="B101">
            <v>7.6200000000000045E-2</v>
          </cell>
          <cell r="C101">
            <v>7.4999999999999512E-3</v>
          </cell>
          <cell r="D101">
            <v>5.1300000000000012E-2</v>
          </cell>
          <cell r="N101">
            <v>2.4399999999999977E-2</v>
          </cell>
        </row>
        <row r="102">
          <cell r="A102" t="str">
            <v>Comm &amp; PR</v>
          </cell>
          <cell r="B102">
            <v>0</v>
          </cell>
          <cell r="C102">
            <v>0</v>
          </cell>
          <cell r="D102">
            <v>0</v>
          </cell>
          <cell r="N102">
            <v>0</v>
          </cell>
        </row>
        <row r="103">
          <cell r="A103" t="str">
            <v>Management</v>
          </cell>
          <cell r="B103">
            <v>0</v>
          </cell>
          <cell r="C103">
            <v>0</v>
          </cell>
          <cell r="D103">
            <v>0</v>
          </cell>
          <cell r="N103">
            <v>0</v>
          </cell>
        </row>
        <row r="105">
          <cell r="A105" t="str">
            <v>Total</v>
          </cell>
          <cell r="B105">
            <v>9.4000000000000004E-3</v>
          </cell>
          <cell r="C105">
            <v>6.6E-3</v>
          </cell>
          <cell r="D105">
            <v>1.2699999999999999E-2</v>
          </cell>
          <cell r="E105">
            <v>1.1599999999999999E-2</v>
          </cell>
          <cell r="F105">
            <v>1.1599999999999999E-2</v>
          </cell>
          <cell r="G105">
            <v>5.5999999999999999E-3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9.7000000000000003E-3</v>
          </cell>
        </row>
        <row r="107">
          <cell r="A107" t="str">
            <v>LTIs</v>
          </cell>
        </row>
        <row r="108">
          <cell r="A108" t="str">
            <v>Asset Management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N108">
            <v>0</v>
          </cell>
        </row>
        <row r="109">
          <cell r="A109" t="str">
            <v>Business Development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N109">
            <v>0</v>
          </cell>
        </row>
        <row r="110">
          <cell r="A110" t="str">
            <v>Commercial Services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N110">
            <v>0</v>
          </cell>
        </row>
        <row r="111">
          <cell r="A111" t="str">
            <v>Network Regulation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N111">
            <v>0</v>
          </cell>
        </row>
        <row r="112">
          <cell r="A112" t="str">
            <v>Network Operations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N112">
            <v>0</v>
          </cell>
        </row>
        <row r="113">
          <cell r="A113" t="str">
            <v>Production Planning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N113">
            <v>0</v>
          </cell>
        </row>
        <row r="114">
          <cell r="A114" t="str">
            <v>Westar/ABI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N114">
            <v>0</v>
          </cell>
        </row>
        <row r="115">
          <cell r="A115" t="str">
            <v>Health &amp; Safety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N115">
            <v>0</v>
          </cell>
        </row>
        <row r="116">
          <cell r="A116" t="str">
            <v>Management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N116">
            <v>0</v>
          </cell>
        </row>
        <row r="117">
          <cell r="N117">
            <v>0</v>
          </cell>
        </row>
        <row r="118">
          <cell r="A118" t="str">
            <v>Total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</sheetData>
      <sheetData sheetId="7" refreshError="1">
        <row r="1">
          <cell r="C1">
            <v>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/>
      <sheetData sheetId="1">
        <row r="2">
          <cell r="B2" t="str">
            <v>ActewAGL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Location"/>
      <sheetName val="Summary by Strategy"/>
      <sheetName val="Strategies"/>
      <sheetName val="Comments"/>
      <sheetName val="Deleted"/>
      <sheetName val="Sheet1"/>
      <sheetName val="Sheet2"/>
      <sheetName val="Sheet3"/>
      <sheetName val="Summary "/>
      <sheetName val="Projects"/>
    </sheetNames>
    <sheetDataSet>
      <sheetData sheetId="0"/>
      <sheetData sheetId="1"/>
      <sheetData sheetId="2" refreshError="1">
        <row r="6">
          <cell r="B6">
            <v>0</v>
          </cell>
          <cell r="C6" t="str">
            <v>Transformers</v>
          </cell>
          <cell r="D6" t="str">
            <v>Condition Assessment</v>
          </cell>
          <cell r="E6" t="str">
            <v>Other</v>
          </cell>
          <cell r="F6" t="str">
            <v>Life Assessment</v>
          </cell>
          <cell r="G6" t="str">
            <v>O</v>
          </cell>
          <cell r="H6" t="str">
            <v>I</v>
          </cell>
          <cell r="I6">
            <v>1994</v>
          </cell>
          <cell r="J6" t="str">
            <v>Asset Managers</v>
          </cell>
          <cell r="K6" t="str">
            <v>Recurrent</v>
          </cell>
          <cell r="M6" t="str">
            <v>RM</v>
          </cell>
          <cell r="Q6">
            <v>3</v>
          </cell>
        </row>
        <row r="7">
          <cell r="B7">
            <v>0.1</v>
          </cell>
          <cell r="C7" t="str">
            <v>Transformers</v>
          </cell>
          <cell r="D7" t="str">
            <v>Transformer/Reactor Refurbishment</v>
          </cell>
          <cell r="E7" t="str">
            <v>Life Extension</v>
          </cell>
          <cell r="F7" t="str">
            <v>Refurbish Transformers</v>
          </cell>
          <cell r="G7" t="str">
            <v>M</v>
          </cell>
          <cell r="H7" t="str">
            <v>C</v>
          </cell>
          <cell r="I7">
            <v>1994</v>
          </cell>
          <cell r="J7" t="str">
            <v>Asset Managers</v>
          </cell>
          <cell r="K7" t="str">
            <v>Recurrent</v>
          </cell>
          <cell r="L7" t="str">
            <v>Need to separate oil leaks and oil treatment and also to include all txs in Attach A</v>
          </cell>
          <cell r="M7" t="str">
            <v>Assess indivually</v>
          </cell>
          <cell r="Q7" t="str">
            <v>3i</v>
          </cell>
        </row>
        <row r="8">
          <cell r="B8">
            <v>1</v>
          </cell>
          <cell r="C8" t="str">
            <v>Transformers</v>
          </cell>
          <cell r="D8" t="str">
            <v>Transformer/Reactor Life Extension</v>
          </cell>
          <cell r="E8" t="str">
            <v>Life Extension</v>
          </cell>
          <cell r="F8" t="str">
            <v>Life Extension Works</v>
          </cell>
          <cell r="G8" t="str">
            <v>C</v>
          </cell>
        </row>
        <row r="9">
          <cell r="B9">
            <v>1.1000000000000001</v>
          </cell>
          <cell r="C9" t="str">
            <v>Transformers</v>
          </cell>
          <cell r="D9" t="str">
            <v>Transformer/Reactor Replacement</v>
          </cell>
          <cell r="E9" t="str">
            <v>Replacement</v>
          </cell>
          <cell r="F9" t="str">
            <v>Replace Transformers (planned)</v>
          </cell>
          <cell r="G9" t="str">
            <v>C</v>
          </cell>
          <cell r="H9" t="str">
            <v>C</v>
          </cell>
          <cell r="I9">
            <v>2002</v>
          </cell>
          <cell r="J9" t="str">
            <v>Asset Managers</v>
          </cell>
          <cell r="K9" t="str">
            <v>Recurrent</v>
          </cell>
          <cell r="M9" t="str">
            <v>Assess indivually</v>
          </cell>
          <cell r="Q9" t="str">
            <v>2i</v>
          </cell>
        </row>
        <row r="10">
          <cell r="B10">
            <v>2</v>
          </cell>
          <cell r="C10" t="str">
            <v>Transformers</v>
          </cell>
          <cell r="D10" t="str">
            <v>Transformer/Reactor Failure</v>
          </cell>
          <cell r="E10" t="str">
            <v>Replacement</v>
          </cell>
          <cell r="F10" t="str">
            <v>Replace Transformers (unplanned)</v>
          </cell>
          <cell r="G10" t="str">
            <v>C</v>
          </cell>
          <cell r="H10" t="str">
            <v>C</v>
          </cell>
          <cell r="I10">
            <v>2002</v>
          </cell>
          <cell r="J10" t="str">
            <v>SSE</v>
          </cell>
          <cell r="K10" t="str">
            <v>Recurrent</v>
          </cell>
          <cell r="M10">
            <v>0</v>
          </cell>
          <cell r="N10">
            <v>0</v>
          </cell>
          <cell r="O10">
            <v>10</v>
          </cell>
          <cell r="P10">
            <v>0</v>
          </cell>
          <cell r="Q10">
            <v>1</v>
          </cell>
        </row>
        <row r="11">
          <cell r="B11">
            <v>3.1</v>
          </cell>
          <cell r="C11" t="str">
            <v>Transformers</v>
          </cell>
          <cell r="D11" t="str">
            <v>Conservator Bags</v>
          </cell>
          <cell r="E11" t="str">
            <v>Conservator Bags</v>
          </cell>
          <cell r="F11" t="str">
            <v>Install bags on Txs manufactured &gt;1975</v>
          </cell>
          <cell r="G11" t="str">
            <v>C</v>
          </cell>
          <cell r="H11" t="str">
            <v>R</v>
          </cell>
          <cell r="I11">
            <v>1994</v>
          </cell>
          <cell r="J11" t="str">
            <v>Asset Managers</v>
          </cell>
          <cell r="K11" t="str">
            <v>Deferred (no date)</v>
          </cell>
          <cell r="L11" t="str">
            <v>Need to split Strategy a1 into pre 1975 and post1975</v>
          </cell>
          <cell r="M11">
            <v>0</v>
          </cell>
          <cell r="N11">
            <v>0</v>
          </cell>
          <cell r="O11">
            <v>0</v>
          </cell>
          <cell r="P11">
            <v>10</v>
          </cell>
          <cell r="Q11">
            <v>3</v>
          </cell>
        </row>
        <row r="12">
          <cell r="B12">
            <v>3.2</v>
          </cell>
          <cell r="C12" t="str">
            <v>Transformers</v>
          </cell>
          <cell r="D12" t="str">
            <v>Conservator Bags</v>
          </cell>
          <cell r="E12" t="str">
            <v>Conservator Bags</v>
          </cell>
          <cell r="F12" t="str">
            <v>Install bags on Txs manufactured &lt;1975</v>
          </cell>
          <cell r="G12" t="str">
            <v>C</v>
          </cell>
          <cell r="H12" t="str">
            <v>R</v>
          </cell>
          <cell r="I12">
            <v>1994</v>
          </cell>
          <cell r="J12" t="str">
            <v>Asset Managers</v>
          </cell>
          <cell r="K12" t="str">
            <v>Deferred (2003)</v>
          </cell>
          <cell r="L12" t="str">
            <v>Reason for difference between pre 1975 and post 1975 not clear</v>
          </cell>
          <cell r="M12">
            <v>0</v>
          </cell>
          <cell r="N12">
            <v>0</v>
          </cell>
          <cell r="O12">
            <v>0</v>
          </cell>
          <cell r="P12">
            <v>8</v>
          </cell>
          <cell r="Q12">
            <v>3</v>
          </cell>
        </row>
        <row r="13">
          <cell r="B13">
            <v>3.3</v>
          </cell>
          <cell r="C13" t="str">
            <v>Transformers</v>
          </cell>
          <cell r="D13" t="str">
            <v>Conservator Bags</v>
          </cell>
          <cell r="E13" t="str">
            <v>Conservator Bags</v>
          </cell>
          <cell r="F13" t="str">
            <v>Review effectiveness of air/oil separation systems and investigate alternative methods</v>
          </cell>
          <cell r="G13" t="str">
            <v>O</v>
          </cell>
          <cell r="H13" t="str">
            <v>I</v>
          </cell>
          <cell r="I13">
            <v>2002</v>
          </cell>
          <cell r="J13" t="str">
            <v>AM/Central</v>
          </cell>
          <cell r="K13">
            <v>38352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>
            <v>3</v>
          </cell>
        </row>
        <row r="14">
          <cell r="B14">
            <v>4</v>
          </cell>
          <cell r="C14" t="str">
            <v>Transformers</v>
          </cell>
          <cell r="D14" t="str">
            <v>Sealing of On Load Tapchanger Diverter Compartments</v>
          </cell>
          <cell r="E14" t="str">
            <v>Other</v>
          </cell>
          <cell r="F14" t="str">
            <v>Review effectiveness of existing condition monitoring where oil leaks from diverter into the main tank and examine alternative techniques</v>
          </cell>
          <cell r="G14" t="str">
            <v>O</v>
          </cell>
          <cell r="H14" t="str">
            <v>I</v>
          </cell>
          <cell r="I14">
            <v>2002</v>
          </cell>
          <cell r="J14" t="str">
            <v>SSE</v>
          </cell>
          <cell r="K14">
            <v>38504</v>
          </cell>
          <cell r="L14" t="str">
            <v>Target dates required</v>
          </cell>
          <cell r="M14">
            <v>0</v>
          </cell>
          <cell r="N14">
            <v>0</v>
          </cell>
          <cell r="O14">
            <v>0</v>
          </cell>
          <cell r="P14">
            <v>8</v>
          </cell>
          <cell r="Q14">
            <v>3</v>
          </cell>
        </row>
        <row r="15">
          <cell r="B15">
            <v>5.0999999999999996</v>
          </cell>
          <cell r="C15" t="str">
            <v>Transformers</v>
          </cell>
          <cell r="D15" t="str">
            <v>Ageing of On Load Tapchangers</v>
          </cell>
          <cell r="E15" t="str">
            <v>Other</v>
          </cell>
          <cell r="F15" t="str">
            <v>Review all tapchangers that operate more than 15,000 times per year and assess suitability for an on-line filter unit to be installed, or other methods of controlling diverter switch wear</v>
          </cell>
          <cell r="G15" t="str">
            <v>O</v>
          </cell>
          <cell r="H15" t="str">
            <v>I</v>
          </cell>
          <cell r="I15">
            <v>1998</v>
          </cell>
          <cell r="J15" t="str">
            <v>Asset Managers</v>
          </cell>
          <cell r="K15">
            <v>38504</v>
          </cell>
          <cell r="L15" t="str">
            <v>Target dates required</v>
          </cell>
          <cell r="M15">
            <v>2</v>
          </cell>
          <cell r="N15">
            <v>2</v>
          </cell>
          <cell r="O15">
            <v>10</v>
          </cell>
          <cell r="P15">
            <v>8</v>
          </cell>
          <cell r="Q15">
            <v>3</v>
          </cell>
        </row>
        <row r="16">
          <cell r="B16">
            <v>5.2</v>
          </cell>
          <cell r="C16" t="str">
            <v>Transformers</v>
          </cell>
          <cell r="D16" t="str">
            <v>Ageing of On Load Tapchangers</v>
          </cell>
          <cell r="E16" t="str">
            <v>Other</v>
          </cell>
          <cell r="F16" t="str">
            <v>Install on-line oil filter units as determined by the investigation</v>
          </cell>
          <cell r="G16" t="str">
            <v>C</v>
          </cell>
          <cell r="H16" t="str">
            <v>C</v>
          </cell>
          <cell r="I16">
            <v>1998</v>
          </cell>
          <cell r="J16" t="str">
            <v>Asset Managers</v>
          </cell>
          <cell r="K16" t="str">
            <v>To be determined by investigation</v>
          </cell>
          <cell r="M16">
            <v>2</v>
          </cell>
          <cell r="N16">
            <v>2</v>
          </cell>
          <cell r="O16">
            <v>10</v>
          </cell>
          <cell r="P16">
            <v>8</v>
          </cell>
          <cell r="Q16">
            <v>3</v>
          </cell>
        </row>
        <row r="17">
          <cell r="B17">
            <v>6.1</v>
          </cell>
          <cell r="C17" t="str">
            <v>Transformers</v>
          </cell>
          <cell r="D17" t="str">
            <v>Ageing of On Load Tapchangers</v>
          </cell>
          <cell r="E17" t="str">
            <v>Other</v>
          </cell>
          <cell r="F17" t="str">
            <v>Develop a schedule for the inspection of all Reinhausen tapchangers with greater than 300,000 operations (500,000 operations for transformers loaded between 30%  and 50% of rating)</v>
          </cell>
          <cell r="G17" t="str">
            <v>O</v>
          </cell>
          <cell r="H17" t="str">
            <v>I</v>
          </cell>
          <cell r="I17">
            <v>2002</v>
          </cell>
          <cell r="J17" t="str">
            <v>SSE</v>
          </cell>
          <cell r="K17">
            <v>38322</v>
          </cell>
          <cell r="L17" t="str">
            <v>If it hasn't been done need to renew target date.  Also need to split strategy it List and Maintenance Actions</v>
          </cell>
          <cell r="M17">
            <v>2</v>
          </cell>
          <cell r="N17">
            <v>2</v>
          </cell>
          <cell r="O17">
            <v>10</v>
          </cell>
          <cell r="P17">
            <v>10</v>
          </cell>
          <cell r="Q17">
            <v>3</v>
          </cell>
        </row>
        <row r="18">
          <cell r="B18">
            <v>6.2</v>
          </cell>
          <cell r="C18" t="str">
            <v>Transformers</v>
          </cell>
          <cell r="D18" t="str">
            <v>Ageing of On Load Tapchangers</v>
          </cell>
          <cell r="E18" t="str">
            <v>Other</v>
          </cell>
          <cell r="F18" t="str">
            <v>Inspect Reinhausen type diverters in conjunction with suitably trained persons as per operational schedule</v>
          </cell>
          <cell r="G18" t="str">
            <v>O</v>
          </cell>
          <cell r="H18" t="str">
            <v>I</v>
          </cell>
          <cell r="I18">
            <v>2002</v>
          </cell>
          <cell r="J18" t="str">
            <v>Asset Managers</v>
          </cell>
          <cell r="K18">
            <v>38533</v>
          </cell>
          <cell r="M18">
            <v>2</v>
          </cell>
          <cell r="N18">
            <v>2</v>
          </cell>
          <cell r="O18">
            <v>10</v>
          </cell>
          <cell r="P18">
            <v>10</v>
          </cell>
          <cell r="Q18">
            <v>3</v>
          </cell>
        </row>
        <row r="19">
          <cell r="B19">
            <v>6.3</v>
          </cell>
          <cell r="C19" t="str">
            <v>Transformers</v>
          </cell>
          <cell r="D19" t="str">
            <v>Ageing of On Load Tapchangers</v>
          </cell>
          <cell r="E19" t="str">
            <v>Replacement</v>
          </cell>
          <cell r="F19" t="str">
            <v>Replace Reinhausen diverter switches dependent on assessment</v>
          </cell>
          <cell r="G19" t="str">
            <v>C</v>
          </cell>
          <cell r="H19" t="str">
            <v>C</v>
          </cell>
          <cell r="I19">
            <v>1998</v>
          </cell>
          <cell r="J19" t="str">
            <v>Asset Managers</v>
          </cell>
          <cell r="K19" t="str">
            <v>To be determined by investigation</v>
          </cell>
          <cell r="L19" t="str">
            <v>This strategy will need to be defined better so it can be costed.</v>
          </cell>
          <cell r="M19">
            <v>2</v>
          </cell>
          <cell r="N19">
            <v>2</v>
          </cell>
          <cell r="O19">
            <v>10</v>
          </cell>
          <cell r="P19">
            <v>10</v>
          </cell>
          <cell r="Q19">
            <v>3</v>
          </cell>
        </row>
        <row r="20">
          <cell r="B20">
            <v>7</v>
          </cell>
          <cell r="C20" t="str">
            <v>Transformers</v>
          </cell>
          <cell r="D20" t="str">
            <v>Ageing of On Load Tapchangers</v>
          </cell>
          <cell r="E20" t="str">
            <v>Other</v>
          </cell>
          <cell r="F20" t="str">
            <v>Identify F&amp;D Type diverters where there is no mechanical stop</v>
          </cell>
          <cell r="G20" t="str">
            <v>O</v>
          </cell>
          <cell r="H20" t="str">
            <v>I</v>
          </cell>
          <cell r="I20">
            <v>2003</v>
          </cell>
          <cell r="J20" t="str">
            <v>Asset Managers</v>
          </cell>
          <cell r="L20" t="str">
            <v xml:space="preserve">This strategy needs to be split into I &amp; M and target date added to I </v>
          </cell>
          <cell r="M20">
            <v>2</v>
          </cell>
          <cell r="N20">
            <v>2</v>
          </cell>
          <cell r="O20">
            <v>10</v>
          </cell>
          <cell r="P20">
            <v>10</v>
          </cell>
          <cell r="Q20">
            <v>3</v>
          </cell>
        </row>
        <row r="21">
          <cell r="B21">
            <v>7.1</v>
          </cell>
          <cell r="C21" t="str">
            <v>Transformers</v>
          </cell>
          <cell r="D21" t="str">
            <v>Ageing of On Load Tapchangers</v>
          </cell>
          <cell r="E21" t="str">
            <v>Other</v>
          </cell>
          <cell r="F21" t="str">
            <v>Fit new end stops to F &amp; D types</v>
          </cell>
          <cell r="G21" t="str">
            <v>O</v>
          </cell>
          <cell r="H21" t="str">
            <v>M</v>
          </cell>
          <cell r="I21">
            <v>2003</v>
          </cell>
          <cell r="J21" t="str">
            <v>Asset Managers</v>
          </cell>
          <cell r="K21">
            <v>38168</v>
          </cell>
          <cell r="L21" t="str">
            <v>If not done renew target dates.</v>
          </cell>
          <cell r="M21">
            <v>2</v>
          </cell>
          <cell r="N21">
            <v>2</v>
          </cell>
          <cell r="O21">
            <v>10</v>
          </cell>
          <cell r="P21">
            <v>10</v>
          </cell>
          <cell r="Q21">
            <v>3</v>
          </cell>
        </row>
        <row r="22">
          <cell r="B22">
            <v>8</v>
          </cell>
          <cell r="C22" t="str">
            <v>Transformers</v>
          </cell>
          <cell r="D22" t="str">
            <v>Ageing of On Load Tapchangers</v>
          </cell>
          <cell r="E22" t="str">
            <v>Other</v>
          </cell>
          <cell r="F22" t="str">
            <v>Investigate comparison methods to verify alignment in tapchangers</v>
          </cell>
          <cell r="G22" t="str">
            <v>O</v>
          </cell>
          <cell r="H22" t="str">
            <v>I</v>
          </cell>
          <cell r="I22">
            <v>2003</v>
          </cell>
          <cell r="J22" t="str">
            <v>SSE</v>
          </cell>
          <cell r="K22">
            <v>38533</v>
          </cell>
          <cell r="M22">
            <v>2</v>
          </cell>
          <cell r="N22">
            <v>2</v>
          </cell>
          <cell r="O22">
            <v>10</v>
          </cell>
          <cell r="P22">
            <v>10</v>
          </cell>
          <cell r="Q22">
            <v>3</v>
          </cell>
        </row>
        <row r="23">
          <cell r="B23">
            <v>9.1</v>
          </cell>
          <cell r="C23" t="str">
            <v>Transformers</v>
          </cell>
          <cell r="D23" t="str">
            <v>Ageing of On Load Tapchangers</v>
          </cell>
          <cell r="E23" t="str">
            <v>Other</v>
          </cell>
          <cell r="F23" t="str">
            <v>Set up program of inspection and life assessment of at risk and aged tapchangers</v>
          </cell>
          <cell r="G23" t="str">
            <v>O</v>
          </cell>
          <cell r="H23" t="str">
            <v>I</v>
          </cell>
          <cell r="I23">
            <v>2003</v>
          </cell>
          <cell r="J23" t="str">
            <v>SSE</v>
          </cell>
          <cell r="K23">
            <v>37741</v>
          </cell>
          <cell r="L23" t="str">
            <v>Needs to be split into I &amp; M strategies and really needs more specific targets clarifying types of tapchangers referred to</v>
          </cell>
          <cell r="M23">
            <v>2</v>
          </cell>
          <cell r="N23">
            <v>2</v>
          </cell>
          <cell r="O23">
            <v>10</v>
          </cell>
          <cell r="P23">
            <v>10</v>
          </cell>
          <cell r="Q23">
            <v>3</v>
          </cell>
        </row>
        <row r="24">
          <cell r="B24">
            <v>9.1999999999999993</v>
          </cell>
          <cell r="C24" t="str">
            <v>Transformers</v>
          </cell>
          <cell r="D24" t="str">
            <v>Ageing of On Load Tapchangers</v>
          </cell>
          <cell r="E24" t="str">
            <v>Other</v>
          </cell>
          <cell r="F24" t="str">
            <v>Suitably trained staff to Inspect tapchangers determine life assessment</v>
          </cell>
          <cell r="G24" t="str">
            <v>O</v>
          </cell>
          <cell r="H24" t="str">
            <v>I</v>
          </cell>
          <cell r="I24">
            <v>2003</v>
          </cell>
          <cell r="J24" t="str">
            <v>Asset Managers</v>
          </cell>
          <cell r="K24">
            <v>39263</v>
          </cell>
          <cell r="M24">
            <v>2</v>
          </cell>
          <cell r="N24">
            <v>2</v>
          </cell>
          <cell r="O24">
            <v>10</v>
          </cell>
          <cell r="P24">
            <v>10</v>
          </cell>
          <cell r="Q24">
            <v>3</v>
          </cell>
        </row>
        <row r="25">
          <cell r="B25">
            <v>10</v>
          </cell>
          <cell r="C25" t="str">
            <v>Transformers</v>
          </cell>
          <cell r="D25" t="str">
            <v>Ageing of On Load Tapchangers</v>
          </cell>
          <cell r="E25" t="str">
            <v>Other</v>
          </cell>
          <cell r="F25" t="str">
            <v>Report and investigate AVR to reduce no. taps/day</v>
          </cell>
          <cell r="G25" t="str">
            <v>O</v>
          </cell>
          <cell r="H25" t="str">
            <v>I</v>
          </cell>
          <cell r="I25">
            <v>2003</v>
          </cell>
          <cell r="J25" t="str">
            <v>Asset Managers</v>
          </cell>
          <cell r="K25">
            <v>38168</v>
          </cell>
          <cell r="M25">
            <v>2</v>
          </cell>
          <cell r="N25">
            <v>2</v>
          </cell>
          <cell r="O25">
            <v>10</v>
          </cell>
          <cell r="P25">
            <v>8</v>
          </cell>
          <cell r="Q25">
            <v>3</v>
          </cell>
        </row>
        <row r="26">
          <cell r="B26">
            <v>11</v>
          </cell>
          <cell r="C26" t="str">
            <v>Transformers</v>
          </cell>
          <cell r="D26" t="str">
            <v>Bushings</v>
          </cell>
          <cell r="E26" t="str">
            <v>Replacement</v>
          </cell>
          <cell r="F26" t="str">
            <v>Replace all condenser bushings with no DDF point</v>
          </cell>
          <cell r="G26" t="str">
            <v>M</v>
          </cell>
          <cell r="H26" t="str">
            <v>R</v>
          </cell>
          <cell r="I26">
            <v>2000</v>
          </cell>
          <cell r="J26" t="str">
            <v>Asset Managers</v>
          </cell>
          <cell r="K26" t="str">
            <v xml:space="preserve"> Dec 2004</v>
          </cell>
          <cell r="L26" t="str">
            <v>Need to identify which transformers have condenser bushings with no DDF point</v>
          </cell>
          <cell r="M26">
            <v>10</v>
          </cell>
          <cell r="N26">
            <v>5</v>
          </cell>
          <cell r="O26">
            <v>10</v>
          </cell>
          <cell r="P26">
            <v>10</v>
          </cell>
          <cell r="Q26">
            <v>3</v>
          </cell>
        </row>
        <row r="27">
          <cell r="B27">
            <v>12</v>
          </cell>
          <cell r="C27" t="str">
            <v>Transformers</v>
          </cell>
          <cell r="D27" t="str">
            <v>Bushings</v>
          </cell>
          <cell r="E27" t="str">
            <v>Replacement</v>
          </cell>
          <cell r="F27" t="str">
            <v>Replace all condenser type SRBP bushings</v>
          </cell>
          <cell r="G27" t="str">
            <v>M</v>
          </cell>
          <cell r="H27" t="str">
            <v>R</v>
          </cell>
          <cell r="I27">
            <v>2003</v>
          </cell>
          <cell r="J27" t="str">
            <v>Asset Managers</v>
          </cell>
          <cell r="K27">
            <v>39629</v>
          </cell>
          <cell r="L27" t="str">
            <v>Identify bushings</v>
          </cell>
          <cell r="M27">
            <v>10</v>
          </cell>
          <cell r="N27">
            <v>5</v>
          </cell>
          <cell r="O27">
            <v>10</v>
          </cell>
          <cell r="P27">
            <v>10</v>
          </cell>
          <cell r="Q27">
            <v>3</v>
          </cell>
        </row>
        <row r="28">
          <cell r="B28">
            <v>13</v>
          </cell>
          <cell r="C28" t="str">
            <v>Transformers</v>
          </cell>
          <cell r="D28" t="str">
            <v>DGA Techniques</v>
          </cell>
          <cell r="E28" t="str">
            <v>Other</v>
          </cell>
          <cell r="F28" t="str">
            <v>Provide Specialist Training in DGA assessment techniques for selected staff</v>
          </cell>
          <cell r="G28" t="str">
            <v>O</v>
          </cell>
          <cell r="H28" t="str">
            <v>I</v>
          </cell>
          <cell r="I28">
            <v>2003</v>
          </cell>
          <cell r="J28" t="str">
            <v>SSE</v>
          </cell>
          <cell r="K28">
            <v>38322</v>
          </cell>
          <cell r="M28">
            <v>0</v>
          </cell>
          <cell r="N28">
            <v>0</v>
          </cell>
          <cell r="O28">
            <v>0</v>
          </cell>
          <cell r="P28">
            <v>8</v>
          </cell>
          <cell r="Q28">
            <v>3</v>
          </cell>
        </row>
        <row r="29">
          <cell r="B29">
            <v>13.1</v>
          </cell>
          <cell r="C29" t="str">
            <v>Transformers</v>
          </cell>
          <cell r="D29" t="str">
            <v>DGA Techniques</v>
          </cell>
          <cell r="E29" t="str">
            <v>Other</v>
          </cell>
          <cell r="F29" t="str">
            <v>Acquire DGA Assessment tools and implement supporting processes</v>
          </cell>
          <cell r="G29" t="str">
            <v>O</v>
          </cell>
          <cell r="H29" t="str">
            <v>I</v>
          </cell>
          <cell r="I29">
            <v>2003</v>
          </cell>
          <cell r="J29" t="str">
            <v>SSE</v>
          </cell>
          <cell r="K29">
            <v>38504</v>
          </cell>
          <cell r="M29">
            <v>0</v>
          </cell>
          <cell r="N29">
            <v>0</v>
          </cell>
          <cell r="O29">
            <v>0</v>
          </cell>
          <cell r="P29">
            <v>8</v>
          </cell>
          <cell r="Q29">
            <v>3</v>
          </cell>
        </row>
        <row r="30">
          <cell r="B30">
            <v>14.1</v>
          </cell>
          <cell r="C30" t="str">
            <v>Transformers</v>
          </cell>
          <cell r="D30" t="str">
            <v>Aged Transformers</v>
          </cell>
          <cell r="E30" t="str">
            <v>Other</v>
          </cell>
          <cell r="F30" t="str">
            <v>Review available DGA Data to identify transformers of concern</v>
          </cell>
          <cell r="G30" t="str">
            <v>O</v>
          </cell>
          <cell r="H30" t="str">
            <v>I</v>
          </cell>
          <cell r="I30">
            <v>2003</v>
          </cell>
          <cell r="J30" t="str">
            <v>Asset Managers</v>
          </cell>
          <cell r="K30">
            <v>38322</v>
          </cell>
          <cell r="M30">
            <v>0</v>
          </cell>
          <cell r="N30">
            <v>0</v>
          </cell>
          <cell r="O30">
            <v>0</v>
          </cell>
          <cell r="P30">
            <v>8</v>
          </cell>
          <cell r="Q30">
            <v>3</v>
          </cell>
        </row>
        <row r="31">
          <cell r="B31">
            <v>14.2</v>
          </cell>
          <cell r="C31" t="str">
            <v>Transformers</v>
          </cell>
          <cell r="D31" t="str">
            <v>Aged Transformers</v>
          </cell>
          <cell r="E31" t="str">
            <v>Other</v>
          </cell>
          <cell r="F31" t="str">
            <v>Develop an Aged transformer management policy supported by a decision making model</v>
          </cell>
          <cell r="G31" t="str">
            <v>O</v>
          </cell>
          <cell r="H31" t="str">
            <v>I</v>
          </cell>
          <cell r="I31">
            <v>2003</v>
          </cell>
          <cell r="J31" t="str">
            <v>SSE</v>
          </cell>
          <cell r="K31">
            <v>38322</v>
          </cell>
          <cell r="M31">
            <v>0</v>
          </cell>
          <cell r="N31">
            <v>0</v>
          </cell>
          <cell r="O31">
            <v>0</v>
          </cell>
          <cell r="P31">
            <v>8</v>
          </cell>
          <cell r="Q31">
            <v>3</v>
          </cell>
        </row>
        <row r="32">
          <cell r="B32">
            <v>14.3</v>
          </cell>
          <cell r="C32" t="str">
            <v>Transformers</v>
          </cell>
          <cell r="D32" t="str">
            <v>Aged Transformers</v>
          </cell>
          <cell r="E32" t="str">
            <v>Other</v>
          </cell>
          <cell r="F32" t="str">
            <v>Apply the Aged Transformer model to all transformers to prioritise at risk transformers for replacement or refurbishment</v>
          </cell>
          <cell r="G32" t="str">
            <v>O</v>
          </cell>
          <cell r="H32" t="str">
            <v>I</v>
          </cell>
          <cell r="I32">
            <v>2003</v>
          </cell>
          <cell r="J32" t="str">
            <v>Asset Managers</v>
          </cell>
          <cell r="K32">
            <v>38504</v>
          </cell>
          <cell r="M32">
            <v>0</v>
          </cell>
          <cell r="N32">
            <v>0</v>
          </cell>
          <cell r="O32">
            <v>0</v>
          </cell>
          <cell r="P32">
            <v>8</v>
          </cell>
          <cell r="Q32">
            <v>3</v>
          </cell>
        </row>
        <row r="33">
          <cell r="B33">
            <v>15</v>
          </cell>
          <cell r="C33" t="str">
            <v>Transformers</v>
          </cell>
          <cell r="D33" t="str">
            <v>Operational Recommendations</v>
          </cell>
          <cell r="E33" t="str">
            <v>Other</v>
          </cell>
          <cell r="F33" t="str">
            <v>Implement operating procedures to minimise risk of loss of supply when taking tapchangers out of service by taking transformers to new tap before switching</v>
          </cell>
          <cell r="G33" t="str">
            <v>O</v>
          </cell>
          <cell r="H33" t="str">
            <v>I</v>
          </cell>
          <cell r="I33">
            <v>2003</v>
          </cell>
          <cell r="J33" t="str">
            <v>SSE</v>
          </cell>
          <cell r="K33">
            <v>38322</v>
          </cell>
          <cell r="M33">
            <v>2</v>
          </cell>
          <cell r="N33">
            <v>2</v>
          </cell>
          <cell r="O33">
            <v>10</v>
          </cell>
          <cell r="P33">
            <v>8</v>
          </cell>
          <cell r="Q33">
            <v>3</v>
          </cell>
        </row>
        <row r="34">
          <cell r="B34">
            <v>16</v>
          </cell>
          <cell r="C34" t="str">
            <v>Circuit Breakers</v>
          </cell>
          <cell r="D34" t="str">
            <v>AEI GA 11 W8 CBs</v>
          </cell>
          <cell r="E34" t="str">
            <v>Replacement</v>
          </cell>
          <cell r="F34" t="str">
            <v>Replace all of this type</v>
          </cell>
          <cell r="G34" t="str">
            <v>C</v>
          </cell>
          <cell r="H34" t="str">
            <v>R</v>
          </cell>
          <cell r="I34">
            <v>1995</v>
          </cell>
          <cell r="J34" t="str">
            <v>Asset Managers</v>
          </cell>
          <cell r="K34" t="str">
            <v>June, 2008</v>
          </cell>
          <cell r="L34" t="str">
            <v>Strategy shouldn't identify rate of change</v>
          </cell>
          <cell r="M34">
            <v>8</v>
          </cell>
          <cell r="N34">
            <v>0</v>
          </cell>
          <cell r="O34">
            <v>10</v>
          </cell>
          <cell r="P34">
            <v>10</v>
          </cell>
        </row>
        <row r="35">
          <cell r="B35">
            <v>17</v>
          </cell>
          <cell r="C35" t="str">
            <v>Circuit Breakers</v>
          </cell>
          <cell r="D35" t="str">
            <v>132 kV (OBR30) Reyrolle CBs</v>
          </cell>
          <cell r="E35" t="str">
            <v>Replacement</v>
          </cell>
          <cell r="F35" t="str">
            <v>Replace all of this type</v>
          </cell>
          <cell r="G35" t="str">
            <v>C</v>
          </cell>
          <cell r="H35" t="str">
            <v>R</v>
          </cell>
          <cell r="I35">
            <v>1995</v>
          </cell>
          <cell r="J35" t="str">
            <v>Asset Managers</v>
          </cell>
          <cell r="K35" t="str">
            <v>June, 2004</v>
          </cell>
          <cell r="M35">
            <v>5</v>
          </cell>
          <cell r="N35">
            <v>0</v>
          </cell>
          <cell r="O35">
            <v>10</v>
          </cell>
          <cell r="P35">
            <v>10</v>
          </cell>
        </row>
        <row r="36">
          <cell r="B36">
            <v>18</v>
          </cell>
          <cell r="C36" t="str">
            <v>Circuit Breakers</v>
          </cell>
          <cell r="D36" t="str">
            <v>132 kV AEG WM5077</v>
          </cell>
          <cell r="E36" t="str">
            <v>Replacement</v>
          </cell>
          <cell r="F36" t="str">
            <v>Replace all of this type</v>
          </cell>
          <cell r="G36" t="str">
            <v>C</v>
          </cell>
          <cell r="H36" t="str">
            <v>R</v>
          </cell>
          <cell r="I36">
            <v>1995</v>
          </cell>
          <cell r="J36" t="str">
            <v>Asset Managers</v>
          </cell>
          <cell r="K36" t="str">
            <v>June, 2005</v>
          </cell>
          <cell r="M36">
            <v>0</v>
          </cell>
          <cell r="N36">
            <v>0</v>
          </cell>
          <cell r="O36">
            <v>8</v>
          </cell>
          <cell r="P36">
            <v>8</v>
          </cell>
        </row>
        <row r="37">
          <cell r="B37">
            <v>19</v>
          </cell>
          <cell r="C37" t="str">
            <v>Circuit Breakers</v>
          </cell>
          <cell r="D37" t="str">
            <v>66kV Oerlikon TOF60.6</v>
          </cell>
          <cell r="E37" t="str">
            <v>Replacement</v>
          </cell>
          <cell r="F37" t="str">
            <v>Replace all of this type</v>
          </cell>
          <cell r="G37" t="str">
            <v>C</v>
          </cell>
          <cell r="H37" t="str">
            <v>R</v>
          </cell>
          <cell r="I37">
            <v>1995</v>
          </cell>
          <cell r="J37" t="str">
            <v>Asset Managers</v>
          </cell>
          <cell r="K37">
            <v>38139</v>
          </cell>
          <cell r="M37">
            <v>0</v>
          </cell>
          <cell r="N37">
            <v>0</v>
          </cell>
          <cell r="O37">
            <v>8</v>
          </cell>
          <cell r="P37">
            <v>8</v>
          </cell>
        </row>
        <row r="38">
          <cell r="B38">
            <v>20</v>
          </cell>
          <cell r="C38" t="str">
            <v>Circuit Breakers</v>
          </cell>
          <cell r="D38" t="str">
            <v xml:space="preserve">33kV Westinghouse GC </v>
          </cell>
          <cell r="E38" t="str">
            <v>Replacement</v>
          </cell>
          <cell r="F38" t="str">
            <v>Replace if no DDF Point</v>
          </cell>
          <cell r="G38" t="str">
            <v>C</v>
          </cell>
          <cell r="H38" t="str">
            <v>R</v>
          </cell>
          <cell r="I38">
            <v>2001</v>
          </cell>
          <cell r="J38" t="str">
            <v>Asset Managers</v>
          </cell>
          <cell r="K38">
            <v>38504</v>
          </cell>
          <cell r="L38" t="str">
            <v>No completion date</v>
          </cell>
          <cell r="M38">
            <v>8</v>
          </cell>
          <cell r="N38">
            <v>2</v>
          </cell>
          <cell r="O38">
            <v>8</v>
          </cell>
          <cell r="P38">
            <v>5</v>
          </cell>
        </row>
        <row r="39">
          <cell r="B39">
            <v>20.100000000000001</v>
          </cell>
          <cell r="C39" t="str">
            <v>Circuit Breakers</v>
          </cell>
          <cell r="D39" t="str">
            <v xml:space="preserve">33kV Westinghouse GC </v>
          </cell>
          <cell r="E39" t="str">
            <v>Replacement</v>
          </cell>
          <cell r="F39" t="str">
            <v>Replace all of this type</v>
          </cell>
          <cell r="G39" t="str">
            <v>C</v>
          </cell>
          <cell r="H39" t="str">
            <v>R</v>
          </cell>
          <cell r="I39">
            <v>2004</v>
          </cell>
          <cell r="J39" t="str">
            <v>Asset Managers</v>
          </cell>
          <cell r="K39" t="str">
            <v>June, 2007</v>
          </cell>
          <cell r="M39">
            <v>5</v>
          </cell>
          <cell r="N39">
            <v>2</v>
          </cell>
          <cell r="O39">
            <v>8</v>
          </cell>
          <cell r="P39">
            <v>5</v>
          </cell>
        </row>
        <row r="40">
          <cell r="B40">
            <v>21</v>
          </cell>
          <cell r="C40" t="str">
            <v>Circuit Breakers</v>
          </cell>
          <cell r="D40" t="str">
            <v>22kv Sace</v>
          </cell>
          <cell r="E40" t="str">
            <v>Replacement</v>
          </cell>
          <cell r="F40" t="str">
            <v>Replace all of this type</v>
          </cell>
          <cell r="G40" t="str">
            <v>C</v>
          </cell>
          <cell r="H40" t="str">
            <v>R</v>
          </cell>
          <cell r="I40">
            <v>1998</v>
          </cell>
          <cell r="J40" t="str">
            <v>Asset Managers</v>
          </cell>
          <cell r="K40" t="str">
            <v>June, 2005</v>
          </cell>
          <cell r="M40">
            <v>0</v>
          </cell>
          <cell r="N40">
            <v>0</v>
          </cell>
          <cell r="O40">
            <v>8</v>
          </cell>
          <cell r="P40">
            <v>8</v>
          </cell>
        </row>
        <row r="41">
          <cell r="B41">
            <v>22</v>
          </cell>
          <cell r="C41" t="str">
            <v>Circuit Breakers</v>
          </cell>
          <cell r="D41" t="str">
            <v>132kV Galileo OCERD 150</v>
          </cell>
          <cell r="E41" t="str">
            <v>Replacement</v>
          </cell>
          <cell r="F41" t="str">
            <v>Replace all of this type</v>
          </cell>
          <cell r="G41" t="str">
            <v>C</v>
          </cell>
          <cell r="H41" t="str">
            <v>R</v>
          </cell>
          <cell r="I41">
            <v>1998</v>
          </cell>
          <cell r="J41" t="str">
            <v>Asset Managers</v>
          </cell>
          <cell r="K41" t="str">
            <v>June, 2005</v>
          </cell>
          <cell r="M41">
            <v>0</v>
          </cell>
          <cell r="N41">
            <v>10</v>
          </cell>
          <cell r="O41">
            <v>5</v>
          </cell>
          <cell r="P41">
            <v>5</v>
          </cell>
        </row>
        <row r="42">
          <cell r="B42">
            <v>23</v>
          </cell>
          <cell r="C42" t="str">
            <v>Circuit Breakers</v>
          </cell>
          <cell r="D42" t="str">
            <v>Oerlikon FS13C3.1 &amp; FR</v>
          </cell>
          <cell r="E42" t="str">
            <v>Replacement</v>
          </cell>
          <cell r="F42" t="str">
            <v>Replace all of this type</v>
          </cell>
          <cell r="G42" t="str">
            <v>C</v>
          </cell>
          <cell r="H42" t="str">
            <v>R</v>
          </cell>
          <cell r="I42">
            <v>1995</v>
          </cell>
          <cell r="J42" t="str">
            <v>Asset Managers</v>
          </cell>
          <cell r="K42" t="str">
            <v>June, 2005</v>
          </cell>
          <cell r="M42">
            <v>0</v>
          </cell>
          <cell r="N42">
            <v>0</v>
          </cell>
          <cell r="O42">
            <v>8</v>
          </cell>
          <cell r="P42">
            <v>8</v>
          </cell>
        </row>
        <row r="43">
          <cell r="B43">
            <v>24</v>
          </cell>
          <cell r="C43" t="str">
            <v>Circuit Breakers</v>
          </cell>
          <cell r="D43" t="str">
            <v xml:space="preserve">BTH 66kV </v>
          </cell>
          <cell r="E43" t="str">
            <v>Replacement</v>
          </cell>
          <cell r="F43" t="str">
            <v>Replace all of this type</v>
          </cell>
          <cell r="G43" t="str">
            <v>C</v>
          </cell>
          <cell r="H43" t="str">
            <v>R</v>
          </cell>
          <cell r="I43">
            <v>2000</v>
          </cell>
          <cell r="J43" t="str">
            <v>Asset Managers</v>
          </cell>
          <cell r="K43" t="str">
            <v>June, 2005</v>
          </cell>
          <cell r="M43">
            <v>5</v>
          </cell>
          <cell r="N43">
            <v>2</v>
          </cell>
          <cell r="O43">
            <v>8</v>
          </cell>
          <cell r="P43">
            <v>5</v>
          </cell>
        </row>
        <row r="44">
          <cell r="B44">
            <v>25</v>
          </cell>
          <cell r="C44" t="str">
            <v>Circuit Breakers</v>
          </cell>
          <cell r="D44" t="str">
            <v>Reyrolle 132kV OS</v>
          </cell>
          <cell r="E44" t="str">
            <v>Replacement</v>
          </cell>
          <cell r="F44" t="str">
            <v>Replace all of this type</v>
          </cell>
          <cell r="G44" t="str">
            <v>C</v>
          </cell>
          <cell r="H44" t="str">
            <v>R</v>
          </cell>
          <cell r="I44">
            <v>2000</v>
          </cell>
          <cell r="J44" t="str">
            <v>Asset Managers</v>
          </cell>
          <cell r="K44" t="str">
            <v>June,2005</v>
          </cell>
          <cell r="M44">
            <v>0</v>
          </cell>
          <cell r="N44">
            <v>0</v>
          </cell>
          <cell r="O44">
            <v>8</v>
          </cell>
          <cell r="P44">
            <v>8</v>
          </cell>
        </row>
        <row r="45">
          <cell r="B45">
            <v>26</v>
          </cell>
          <cell r="C45" t="str">
            <v>Circuit Breakers</v>
          </cell>
          <cell r="D45" t="str">
            <v>ASEA 132kV HKEY</v>
          </cell>
          <cell r="E45" t="str">
            <v>Replacement</v>
          </cell>
          <cell r="F45" t="str">
            <v>Replace all of this type</v>
          </cell>
          <cell r="G45" t="str">
            <v>C</v>
          </cell>
          <cell r="H45" t="str">
            <v>R</v>
          </cell>
          <cell r="I45">
            <v>2000</v>
          </cell>
          <cell r="J45" t="str">
            <v>Asset Managers</v>
          </cell>
          <cell r="K45" t="str">
            <v>June, 2011</v>
          </cell>
          <cell r="M45">
            <v>0</v>
          </cell>
          <cell r="N45">
            <v>0</v>
          </cell>
          <cell r="O45">
            <v>8</v>
          </cell>
          <cell r="P45">
            <v>8</v>
          </cell>
        </row>
        <row r="46">
          <cell r="B46">
            <v>27</v>
          </cell>
          <cell r="C46" t="str">
            <v>Circuit Breakers</v>
          </cell>
          <cell r="D46" t="str">
            <v>ASEA 66kV HKEY</v>
          </cell>
          <cell r="E46" t="str">
            <v>Replacement</v>
          </cell>
          <cell r="F46" t="str">
            <v>Replace all of this type</v>
          </cell>
          <cell r="G46" t="str">
            <v>C</v>
          </cell>
          <cell r="H46" t="str">
            <v>R</v>
          </cell>
          <cell r="I46">
            <v>2000</v>
          </cell>
          <cell r="J46" t="str">
            <v>Asset Managers</v>
          </cell>
          <cell r="K46" t="str">
            <v>June, 2007</v>
          </cell>
          <cell r="M46">
            <v>0</v>
          </cell>
          <cell r="N46">
            <v>0</v>
          </cell>
          <cell r="O46">
            <v>8</v>
          </cell>
          <cell r="P46">
            <v>8</v>
          </cell>
        </row>
        <row r="47">
          <cell r="B47">
            <v>28</v>
          </cell>
          <cell r="C47" t="str">
            <v>Circuit Breakers</v>
          </cell>
          <cell r="D47" t="str">
            <v>Brown Boveri 66kV ELF</v>
          </cell>
          <cell r="E47" t="str">
            <v>Replacement</v>
          </cell>
          <cell r="F47" t="str">
            <v>Replace all of this type</v>
          </cell>
          <cell r="G47" t="str">
            <v>C</v>
          </cell>
          <cell r="H47" t="str">
            <v>R</v>
          </cell>
          <cell r="I47">
            <v>2000</v>
          </cell>
          <cell r="J47" t="str">
            <v>Asset Managers</v>
          </cell>
          <cell r="K47" t="str">
            <v>June, 2013</v>
          </cell>
          <cell r="M47">
            <v>0</v>
          </cell>
          <cell r="N47">
            <v>0</v>
          </cell>
          <cell r="O47">
            <v>8</v>
          </cell>
          <cell r="P47">
            <v>8</v>
          </cell>
        </row>
        <row r="48">
          <cell r="B48">
            <v>29</v>
          </cell>
          <cell r="C48" t="str">
            <v>Circuit Breakers</v>
          </cell>
          <cell r="D48" t="str">
            <v>SF6 CBs</v>
          </cell>
          <cell r="E48" t="str">
            <v>Other</v>
          </cell>
          <cell r="F48" t="str">
            <v>Inspection of Nominated CBs</v>
          </cell>
          <cell r="G48" t="str">
            <v>O</v>
          </cell>
          <cell r="H48" t="str">
            <v>I</v>
          </cell>
          <cell r="I48">
            <v>2000</v>
          </cell>
          <cell r="J48" t="str">
            <v>SSE</v>
          </cell>
          <cell r="K48" t="str">
            <v>Recurrent Each April</v>
          </cell>
          <cell r="M48">
            <v>0</v>
          </cell>
          <cell r="N48">
            <v>0</v>
          </cell>
          <cell r="O48">
            <v>8</v>
          </cell>
          <cell r="P48">
            <v>0</v>
          </cell>
        </row>
        <row r="49">
          <cell r="B49">
            <v>30</v>
          </cell>
          <cell r="C49" t="str">
            <v>Circuit Breakers</v>
          </cell>
          <cell r="D49" t="str">
            <v>AEI 33kV Bulk Oil</v>
          </cell>
          <cell r="E49" t="str">
            <v>Replacement</v>
          </cell>
          <cell r="F49" t="str">
            <v>Replace all of this type</v>
          </cell>
          <cell r="G49" t="str">
            <v>C</v>
          </cell>
          <cell r="H49" t="str">
            <v>R</v>
          </cell>
          <cell r="I49">
            <v>2001</v>
          </cell>
          <cell r="J49" t="str">
            <v>Asset Managers</v>
          </cell>
          <cell r="K49">
            <v>39417</v>
          </cell>
          <cell r="M49">
            <v>5</v>
          </cell>
          <cell r="N49">
            <v>2</v>
          </cell>
          <cell r="O49">
            <v>8</v>
          </cell>
          <cell r="P49">
            <v>5</v>
          </cell>
        </row>
        <row r="50">
          <cell r="B50">
            <v>31</v>
          </cell>
          <cell r="C50" t="str">
            <v>Circuit Breakers</v>
          </cell>
          <cell r="D50" t="str">
            <v>ABB 132kV HLD</v>
          </cell>
          <cell r="E50" t="str">
            <v>Replacement</v>
          </cell>
          <cell r="F50" t="str">
            <v>Replace all of this type</v>
          </cell>
          <cell r="G50" t="str">
            <v>C</v>
          </cell>
          <cell r="H50" t="str">
            <v>R</v>
          </cell>
          <cell r="I50">
            <v>2004</v>
          </cell>
          <cell r="J50" t="str">
            <v>Asset Managers</v>
          </cell>
          <cell r="K50">
            <v>42887</v>
          </cell>
          <cell r="M50">
            <v>0</v>
          </cell>
          <cell r="N50">
            <v>0</v>
          </cell>
          <cell r="O50">
            <v>8</v>
          </cell>
          <cell r="P50">
            <v>8</v>
          </cell>
        </row>
        <row r="51">
          <cell r="B51">
            <v>32</v>
          </cell>
          <cell r="C51" t="str">
            <v>Circuit Breakers</v>
          </cell>
          <cell r="D51" t="str">
            <v>DELLE 66kV HPGE</v>
          </cell>
          <cell r="E51" t="str">
            <v>Replacement</v>
          </cell>
          <cell r="F51" t="str">
            <v>Replace all of this type</v>
          </cell>
          <cell r="G51" t="str">
            <v>C</v>
          </cell>
          <cell r="H51" t="str">
            <v>R</v>
          </cell>
          <cell r="I51">
            <v>2004</v>
          </cell>
          <cell r="J51" t="str">
            <v>Asset Managers</v>
          </cell>
          <cell r="K51">
            <v>42887</v>
          </cell>
          <cell r="M51">
            <v>0</v>
          </cell>
          <cell r="N51">
            <v>0</v>
          </cell>
          <cell r="O51">
            <v>8</v>
          </cell>
          <cell r="P51">
            <v>8</v>
          </cell>
        </row>
        <row r="52">
          <cell r="B52">
            <v>33</v>
          </cell>
          <cell r="C52" t="str">
            <v>Circuit Breakers</v>
          </cell>
          <cell r="D52" t="str">
            <v>Merlin Gerin FA1</v>
          </cell>
          <cell r="E52" t="str">
            <v>Replacement</v>
          </cell>
          <cell r="F52" t="str">
            <v>Assess for Replacement Strategy</v>
          </cell>
          <cell r="G52" t="str">
            <v>O</v>
          </cell>
          <cell r="H52" t="str">
            <v>I</v>
          </cell>
          <cell r="I52">
            <v>2002</v>
          </cell>
          <cell r="J52" t="str">
            <v>SSE</v>
          </cell>
          <cell r="K52">
            <v>39052</v>
          </cell>
          <cell r="M52">
            <v>0</v>
          </cell>
          <cell r="N52">
            <v>0</v>
          </cell>
          <cell r="O52">
            <v>8</v>
          </cell>
          <cell r="P52">
            <v>8</v>
          </cell>
        </row>
        <row r="53">
          <cell r="B53">
            <v>34</v>
          </cell>
          <cell r="C53" t="str">
            <v>Circuit Breakers</v>
          </cell>
          <cell r="D53" t="str">
            <v>Merlin Gerin FA2</v>
          </cell>
          <cell r="E53" t="str">
            <v>Replacement</v>
          </cell>
          <cell r="F53" t="str">
            <v>Assess for Replacement Strategy</v>
          </cell>
          <cell r="G53" t="str">
            <v>O</v>
          </cell>
          <cell r="H53" t="str">
            <v>I</v>
          </cell>
          <cell r="I53">
            <v>2002</v>
          </cell>
          <cell r="J53" t="str">
            <v>SSE</v>
          </cell>
          <cell r="K53">
            <v>38687</v>
          </cell>
          <cell r="M53">
            <v>0</v>
          </cell>
          <cell r="N53">
            <v>0</v>
          </cell>
          <cell r="O53">
            <v>8</v>
          </cell>
          <cell r="P53">
            <v>8</v>
          </cell>
        </row>
        <row r="54">
          <cell r="B54">
            <v>35</v>
          </cell>
          <cell r="C54" t="str">
            <v>Circuit Breakers</v>
          </cell>
          <cell r="D54" t="str">
            <v>Merlin Gerin FA4</v>
          </cell>
          <cell r="E54" t="str">
            <v>Replacement</v>
          </cell>
          <cell r="F54" t="str">
            <v>Assess for Replacement Strategy</v>
          </cell>
          <cell r="G54" t="str">
            <v>O</v>
          </cell>
          <cell r="H54" t="str">
            <v>I</v>
          </cell>
          <cell r="I54">
            <v>2002</v>
          </cell>
          <cell r="J54" t="str">
            <v>SSE</v>
          </cell>
          <cell r="K54">
            <v>38687</v>
          </cell>
          <cell r="M54">
            <v>0</v>
          </cell>
          <cell r="N54">
            <v>0</v>
          </cell>
          <cell r="O54">
            <v>8</v>
          </cell>
          <cell r="P54">
            <v>8</v>
          </cell>
        </row>
        <row r="55">
          <cell r="B55">
            <v>36</v>
          </cell>
          <cell r="C55" t="str">
            <v>Circuit Breakers</v>
          </cell>
          <cell r="D55" t="str">
            <v>Merlin Gerin PFA</v>
          </cell>
          <cell r="E55" t="str">
            <v>Replacement</v>
          </cell>
          <cell r="F55" t="str">
            <v>Assess for Replacement Strategy</v>
          </cell>
          <cell r="G55" t="str">
            <v>O</v>
          </cell>
          <cell r="H55" t="str">
            <v>I</v>
          </cell>
          <cell r="I55">
            <v>2002</v>
          </cell>
          <cell r="J55" t="str">
            <v>SSE</v>
          </cell>
          <cell r="K55">
            <v>39052</v>
          </cell>
          <cell r="M55">
            <v>0</v>
          </cell>
          <cell r="N55">
            <v>0</v>
          </cell>
          <cell r="O55">
            <v>8</v>
          </cell>
          <cell r="P55">
            <v>8</v>
          </cell>
        </row>
        <row r="56">
          <cell r="B56">
            <v>37</v>
          </cell>
          <cell r="C56" t="str">
            <v>Circuit Breakers</v>
          </cell>
          <cell r="D56" t="str">
            <v>330kv Sprecher HPF515Q6</v>
          </cell>
          <cell r="E56" t="str">
            <v>Replacement</v>
          </cell>
          <cell r="F56" t="str">
            <v>Assess for Replacement Strategy</v>
          </cell>
          <cell r="G56" t="str">
            <v>O</v>
          </cell>
          <cell r="H56" t="str">
            <v>I</v>
          </cell>
          <cell r="I56">
            <v>2002</v>
          </cell>
          <cell r="J56" t="str">
            <v>SSE</v>
          </cell>
          <cell r="K56">
            <v>38687</v>
          </cell>
          <cell r="M56">
            <v>0</v>
          </cell>
          <cell r="N56">
            <v>0</v>
          </cell>
          <cell r="O56">
            <v>8</v>
          </cell>
          <cell r="P56">
            <v>8</v>
          </cell>
        </row>
        <row r="57">
          <cell r="B57">
            <v>37.1</v>
          </cell>
          <cell r="C57" t="str">
            <v>Circuit Breakers</v>
          </cell>
          <cell r="D57" t="str">
            <v>BTH OW407</v>
          </cell>
          <cell r="E57" t="str">
            <v>Replacement</v>
          </cell>
          <cell r="F57" t="str">
            <v>Assess for Replacement Strategy</v>
          </cell>
          <cell r="G57" t="str">
            <v>O</v>
          </cell>
          <cell r="H57" t="str">
            <v>I</v>
          </cell>
          <cell r="I57">
            <v>2004</v>
          </cell>
          <cell r="J57" t="str">
            <v>SSE</v>
          </cell>
          <cell r="M57">
            <v>0</v>
          </cell>
          <cell r="N57">
            <v>0</v>
          </cell>
          <cell r="O57">
            <v>8</v>
          </cell>
          <cell r="P57">
            <v>8</v>
          </cell>
        </row>
        <row r="58">
          <cell r="B58">
            <v>37.200000000000003</v>
          </cell>
          <cell r="C58" t="str">
            <v>Circuit Breakers</v>
          </cell>
          <cell r="D58" t="str">
            <v>REYROLLE 132OS10</v>
          </cell>
          <cell r="E58" t="str">
            <v>Replacement</v>
          </cell>
          <cell r="F58" t="str">
            <v>Assess for Replacement Strategy</v>
          </cell>
          <cell r="G58" t="str">
            <v>O</v>
          </cell>
          <cell r="H58" t="str">
            <v>I</v>
          </cell>
          <cell r="I58">
            <v>2004</v>
          </cell>
          <cell r="J58" t="str">
            <v>SSE</v>
          </cell>
          <cell r="M58">
            <v>0</v>
          </cell>
          <cell r="N58">
            <v>0</v>
          </cell>
          <cell r="O58">
            <v>8</v>
          </cell>
          <cell r="P58">
            <v>8</v>
          </cell>
        </row>
        <row r="59">
          <cell r="B59">
            <v>37.299999999999997</v>
          </cell>
          <cell r="C59" t="str">
            <v>Circuit Breakers</v>
          </cell>
          <cell r="D59" t="str">
            <v>OERLIKON TOF60.6</v>
          </cell>
          <cell r="E59" t="str">
            <v>Replacement</v>
          </cell>
          <cell r="F59" t="str">
            <v>Assess for Replacement Strategy</v>
          </cell>
          <cell r="G59" t="str">
            <v>O</v>
          </cell>
          <cell r="H59" t="str">
            <v>I</v>
          </cell>
          <cell r="I59">
            <v>2004</v>
          </cell>
          <cell r="J59" t="str">
            <v>SSE</v>
          </cell>
          <cell r="M59">
            <v>0</v>
          </cell>
          <cell r="N59">
            <v>0</v>
          </cell>
          <cell r="O59">
            <v>8</v>
          </cell>
          <cell r="P59">
            <v>8</v>
          </cell>
        </row>
        <row r="60">
          <cell r="B60">
            <v>37.4</v>
          </cell>
          <cell r="C60" t="str">
            <v>Circuit Breakers</v>
          </cell>
          <cell r="D60" t="str">
            <v>WESTINGHOUSE 345GC</v>
          </cell>
          <cell r="E60" t="str">
            <v>Replacement</v>
          </cell>
          <cell r="F60" t="str">
            <v>Assess for Replacement Strategy</v>
          </cell>
          <cell r="G60" t="str">
            <v>O</v>
          </cell>
          <cell r="H60" t="str">
            <v>I</v>
          </cell>
          <cell r="I60">
            <v>2004</v>
          </cell>
          <cell r="J60" t="str">
            <v>SSE</v>
          </cell>
          <cell r="M60">
            <v>0</v>
          </cell>
          <cell r="N60">
            <v>0</v>
          </cell>
          <cell r="O60">
            <v>8</v>
          </cell>
          <cell r="P60">
            <v>8</v>
          </cell>
        </row>
        <row r="61">
          <cell r="B61">
            <v>37.5</v>
          </cell>
          <cell r="C61" t="str">
            <v>Circuit Breakers</v>
          </cell>
          <cell r="D61" t="str">
            <v>REYROLLE 132OS15</v>
          </cell>
          <cell r="E61" t="str">
            <v>Replacement</v>
          </cell>
          <cell r="F61" t="str">
            <v>Assess for Replacement Strategy</v>
          </cell>
          <cell r="G61" t="str">
            <v>O</v>
          </cell>
          <cell r="H61" t="str">
            <v>I</v>
          </cell>
          <cell r="I61">
            <v>2004</v>
          </cell>
          <cell r="J61" t="str">
            <v>SSE</v>
          </cell>
          <cell r="M61">
            <v>0</v>
          </cell>
          <cell r="N61">
            <v>0</v>
          </cell>
          <cell r="O61">
            <v>8</v>
          </cell>
          <cell r="P61">
            <v>8</v>
          </cell>
        </row>
        <row r="62">
          <cell r="B62">
            <v>37.6</v>
          </cell>
          <cell r="C62" t="str">
            <v>Circuit Breakers</v>
          </cell>
          <cell r="D62" t="str">
            <v>AEI GA11W8</v>
          </cell>
          <cell r="E62" t="str">
            <v>Replacement</v>
          </cell>
          <cell r="F62" t="str">
            <v>Assess for Replacement Strategy</v>
          </cell>
          <cell r="G62" t="str">
            <v>O</v>
          </cell>
          <cell r="H62" t="str">
            <v>I</v>
          </cell>
          <cell r="I62">
            <v>2004</v>
          </cell>
          <cell r="J62" t="str">
            <v>SSE</v>
          </cell>
          <cell r="M62">
            <v>0</v>
          </cell>
          <cell r="N62">
            <v>0</v>
          </cell>
          <cell r="O62">
            <v>8</v>
          </cell>
          <cell r="P62">
            <v>8</v>
          </cell>
        </row>
        <row r="63">
          <cell r="B63">
            <v>37.700000000000003</v>
          </cell>
          <cell r="C63" t="str">
            <v>Circuit Breakers</v>
          </cell>
          <cell r="D63" t="str">
            <v>REYROLLE 14SPH</v>
          </cell>
          <cell r="E63" t="str">
            <v>Replacement</v>
          </cell>
          <cell r="F63" t="str">
            <v>Assess for Replacement Strategy</v>
          </cell>
          <cell r="G63" t="str">
            <v>O</v>
          </cell>
          <cell r="H63" t="str">
            <v>I</v>
          </cell>
          <cell r="I63">
            <v>2004</v>
          </cell>
          <cell r="J63" t="str">
            <v>SSE</v>
          </cell>
          <cell r="M63">
            <v>0</v>
          </cell>
          <cell r="N63">
            <v>0</v>
          </cell>
          <cell r="O63">
            <v>8</v>
          </cell>
          <cell r="P63">
            <v>8</v>
          </cell>
        </row>
        <row r="64">
          <cell r="B64">
            <v>37.799999999999997</v>
          </cell>
          <cell r="C64" t="str">
            <v>Circuit Breakers</v>
          </cell>
          <cell r="D64" t="str">
            <v>REYROLLE 132OS14</v>
          </cell>
          <cell r="E64" t="str">
            <v>Replacement</v>
          </cell>
          <cell r="F64" t="str">
            <v>Assess for Replacement Strategy</v>
          </cell>
          <cell r="G64" t="str">
            <v>O</v>
          </cell>
          <cell r="H64" t="str">
            <v>I</v>
          </cell>
          <cell r="I64">
            <v>2004</v>
          </cell>
          <cell r="J64" t="str">
            <v>SSE</v>
          </cell>
          <cell r="M64">
            <v>0</v>
          </cell>
          <cell r="N64">
            <v>0</v>
          </cell>
          <cell r="O64">
            <v>8</v>
          </cell>
          <cell r="P64">
            <v>8</v>
          </cell>
        </row>
        <row r="65">
          <cell r="B65">
            <v>37.9</v>
          </cell>
          <cell r="C65" t="str">
            <v>Circuit Breakers</v>
          </cell>
          <cell r="D65" t="str">
            <v>ASEA HKEYC120/600</v>
          </cell>
          <cell r="E65" t="str">
            <v>Replacement</v>
          </cell>
          <cell r="F65" t="str">
            <v>Assess for Replacement Strategy</v>
          </cell>
          <cell r="G65" t="str">
            <v>O</v>
          </cell>
          <cell r="H65" t="str">
            <v>I</v>
          </cell>
          <cell r="I65">
            <v>2004</v>
          </cell>
          <cell r="J65" t="str">
            <v>SSE</v>
          </cell>
          <cell r="M65">
            <v>0</v>
          </cell>
          <cell r="N65">
            <v>0</v>
          </cell>
          <cell r="O65">
            <v>8</v>
          </cell>
          <cell r="P65">
            <v>8</v>
          </cell>
        </row>
        <row r="66">
          <cell r="B66">
            <v>37.909999999999997</v>
          </cell>
          <cell r="C66" t="str">
            <v>Circuit Breakers</v>
          </cell>
          <cell r="D66" t="str">
            <v>BROWN BOV. ECKS132</v>
          </cell>
          <cell r="E66" t="str">
            <v>Replacement</v>
          </cell>
          <cell r="F66" t="str">
            <v>Assess for Replacement Strategy</v>
          </cell>
          <cell r="G66" t="str">
            <v>O</v>
          </cell>
          <cell r="H66" t="str">
            <v>I</v>
          </cell>
          <cell r="I66">
            <v>2004</v>
          </cell>
          <cell r="J66" t="str">
            <v>SSE</v>
          </cell>
          <cell r="M66">
            <v>0</v>
          </cell>
          <cell r="N66">
            <v>0</v>
          </cell>
          <cell r="O66">
            <v>8</v>
          </cell>
          <cell r="P66">
            <v>8</v>
          </cell>
        </row>
        <row r="67">
          <cell r="B67">
            <v>37.92</v>
          </cell>
          <cell r="C67" t="str">
            <v>Circuit Breakers</v>
          </cell>
          <cell r="D67" t="str">
            <v>OERLIKON FR</v>
          </cell>
          <cell r="E67" t="str">
            <v>Replacement</v>
          </cell>
          <cell r="F67" t="str">
            <v>Assess for Replacement Strategy</v>
          </cell>
          <cell r="G67" t="str">
            <v>O</v>
          </cell>
          <cell r="H67" t="str">
            <v>I</v>
          </cell>
          <cell r="I67">
            <v>2004</v>
          </cell>
          <cell r="J67" t="str">
            <v>SSE</v>
          </cell>
          <cell r="M67">
            <v>0</v>
          </cell>
          <cell r="N67">
            <v>0</v>
          </cell>
          <cell r="O67">
            <v>8</v>
          </cell>
          <cell r="P67">
            <v>8</v>
          </cell>
        </row>
        <row r="68">
          <cell r="B68">
            <v>37.93</v>
          </cell>
          <cell r="C68" t="str">
            <v>Circuit Breakers</v>
          </cell>
          <cell r="D68" t="str">
            <v>SPRECHER HPF515C6FS</v>
          </cell>
          <cell r="E68" t="str">
            <v>Replacement</v>
          </cell>
          <cell r="F68" t="str">
            <v>Assess for Replacement Strategy</v>
          </cell>
          <cell r="G68" t="str">
            <v>O</v>
          </cell>
          <cell r="H68" t="str">
            <v>I</v>
          </cell>
          <cell r="I68">
            <v>2004</v>
          </cell>
          <cell r="J68" t="str">
            <v>SSE</v>
          </cell>
          <cell r="M68">
            <v>0</v>
          </cell>
          <cell r="N68">
            <v>0</v>
          </cell>
          <cell r="O68">
            <v>8</v>
          </cell>
          <cell r="P68">
            <v>8</v>
          </cell>
        </row>
        <row r="69">
          <cell r="B69">
            <v>37.94</v>
          </cell>
          <cell r="C69" t="str">
            <v>Circuit Breakers</v>
          </cell>
          <cell r="D69" t="str">
            <v>ASEA HLC72.5 1600</v>
          </cell>
          <cell r="E69" t="str">
            <v>Replacement</v>
          </cell>
          <cell r="F69" t="str">
            <v>Assess for Replacement Strategy</v>
          </cell>
          <cell r="G69" t="str">
            <v>O</v>
          </cell>
          <cell r="H69" t="str">
            <v>I</v>
          </cell>
          <cell r="I69">
            <v>2004</v>
          </cell>
          <cell r="J69" t="str">
            <v>SSE</v>
          </cell>
          <cell r="M69">
            <v>0</v>
          </cell>
          <cell r="N69">
            <v>0</v>
          </cell>
          <cell r="O69">
            <v>8</v>
          </cell>
          <cell r="P69">
            <v>8</v>
          </cell>
        </row>
        <row r="70">
          <cell r="B70">
            <v>37.950000000000003</v>
          </cell>
          <cell r="C70" t="str">
            <v>Circuit Breakers</v>
          </cell>
          <cell r="D70" t="str">
            <v>MAGRINI 38MGE1500</v>
          </cell>
          <cell r="E70" t="str">
            <v>Replacement</v>
          </cell>
          <cell r="F70" t="str">
            <v>Assess for Replacement Strategy</v>
          </cell>
          <cell r="G70" t="str">
            <v>O</v>
          </cell>
          <cell r="H70" t="str">
            <v>I</v>
          </cell>
          <cell r="I70">
            <v>2004</v>
          </cell>
          <cell r="J70" t="str">
            <v>SSE</v>
          </cell>
          <cell r="M70">
            <v>0</v>
          </cell>
          <cell r="N70">
            <v>0</v>
          </cell>
          <cell r="O70">
            <v>8</v>
          </cell>
          <cell r="P70">
            <v>8</v>
          </cell>
        </row>
        <row r="71">
          <cell r="B71">
            <v>37.96</v>
          </cell>
          <cell r="C71" t="str">
            <v>Circuit Breakers</v>
          </cell>
          <cell r="D71" t="str">
            <v>SPRECHER HPF509K</v>
          </cell>
          <cell r="E71" t="str">
            <v>Replacement</v>
          </cell>
          <cell r="F71" t="str">
            <v>Assess for Replacement Strategy</v>
          </cell>
          <cell r="G71" t="str">
            <v>O</v>
          </cell>
          <cell r="H71" t="str">
            <v>I</v>
          </cell>
          <cell r="I71">
            <v>2004</v>
          </cell>
          <cell r="J71" t="str">
            <v>SSE</v>
          </cell>
          <cell r="M71">
            <v>0</v>
          </cell>
          <cell r="N71">
            <v>0</v>
          </cell>
          <cell r="O71">
            <v>8</v>
          </cell>
          <cell r="P71">
            <v>8</v>
          </cell>
        </row>
        <row r="72">
          <cell r="B72">
            <v>37.97</v>
          </cell>
          <cell r="C72" t="str">
            <v>Circuit Breakers</v>
          </cell>
          <cell r="D72" t="str">
            <v>JOSLYN VBU-4</v>
          </cell>
          <cell r="E72" t="str">
            <v>Replacement</v>
          </cell>
          <cell r="F72" t="str">
            <v>Assess for Replacement Strategy</v>
          </cell>
          <cell r="G72" t="str">
            <v>O</v>
          </cell>
          <cell r="H72" t="str">
            <v>I</v>
          </cell>
          <cell r="I72">
            <v>2004</v>
          </cell>
          <cell r="J72" t="str">
            <v>SSE</v>
          </cell>
          <cell r="M72">
            <v>0</v>
          </cell>
          <cell r="N72">
            <v>0</v>
          </cell>
          <cell r="O72">
            <v>8</v>
          </cell>
          <cell r="P72">
            <v>8</v>
          </cell>
        </row>
        <row r="73">
          <cell r="B73">
            <v>38</v>
          </cell>
          <cell r="C73" t="str">
            <v>Instrument Transformers</v>
          </cell>
          <cell r="D73" t="str">
            <v>Its that cannot be sampled</v>
          </cell>
          <cell r="E73" t="str">
            <v>Replacement</v>
          </cell>
          <cell r="F73" t="str">
            <v>Replace all instrument transformers that cannot be sampled to meet the requirements of the maintenance policy</v>
          </cell>
          <cell r="G73" t="str">
            <v>CAP</v>
          </cell>
          <cell r="H73" t="str">
            <v>R</v>
          </cell>
          <cell r="I73">
            <v>1994</v>
          </cell>
          <cell r="J73" t="str">
            <v>Asset Managers</v>
          </cell>
          <cell r="K73" t="str">
            <v xml:space="preserve"> dec2008</v>
          </cell>
          <cell r="M73">
            <v>8</v>
          </cell>
          <cell r="N73">
            <v>5</v>
          </cell>
          <cell r="O73">
            <v>8</v>
          </cell>
          <cell r="P73">
            <v>5</v>
          </cell>
        </row>
        <row r="74">
          <cell r="B74">
            <v>39.1</v>
          </cell>
          <cell r="C74" t="str">
            <v>Instrument Transformers</v>
          </cell>
          <cell r="D74" t="str">
            <v>High DGA ITs - 220kV and above</v>
          </cell>
          <cell r="E74" t="str">
            <v>Replacement</v>
          </cell>
          <cell r="F74" t="str">
            <v>Assess and Replace as required</v>
          </cell>
          <cell r="G74" t="str">
            <v>CAP</v>
          </cell>
          <cell r="H74" t="str">
            <v>C</v>
          </cell>
          <cell r="I74">
            <v>1994</v>
          </cell>
          <cell r="J74" t="str">
            <v>Asset Managers</v>
          </cell>
          <cell r="K74" t="str">
            <v>Recurrent</v>
          </cell>
          <cell r="M74">
            <v>10</v>
          </cell>
          <cell r="N74">
            <v>5</v>
          </cell>
          <cell r="O74">
            <v>8</v>
          </cell>
          <cell r="P74">
            <v>5</v>
          </cell>
        </row>
        <row r="75">
          <cell r="B75">
            <v>39.200000000000003</v>
          </cell>
          <cell r="C75" t="str">
            <v>Instrument Transformers</v>
          </cell>
          <cell r="D75" t="str">
            <v>High DGA ITs - 220kV and above</v>
          </cell>
          <cell r="E75" t="str">
            <v>Replacement</v>
          </cell>
          <cell r="F75" t="str">
            <v>Make budget provision for unidentified replacements based on historical replacement rates</v>
          </cell>
          <cell r="G75" t="str">
            <v>CAP</v>
          </cell>
          <cell r="H75" t="str">
            <v>C</v>
          </cell>
          <cell r="J75" t="str">
            <v>SSE</v>
          </cell>
          <cell r="K75" t="str">
            <v>Recurrent</v>
          </cell>
          <cell r="M75">
            <v>10</v>
          </cell>
          <cell r="N75">
            <v>5</v>
          </cell>
          <cell r="O75">
            <v>8</v>
          </cell>
          <cell r="P75">
            <v>5</v>
          </cell>
        </row>
        <row r="76">
          <cell r="B76">
            <v>40.1</v>
          </cell>
          <cell r="C76" t="str">
            <v>Instrument Transformers</v>
          </cell>
          <cell r="D76" t="str">
            <v xml:space="preserve">High DGA ITs - 132kV </v>
          </cell>
          <cell r="E76" t="str">
            <v>Replacement</v>
          </cell>
          <cell r="F76" t="str">
            <v>Assess and Replace as required</v>
          </cell>
          <cell r="G76" t="str">
            <v>CAP</v>
          </cell>
          <cell r="H76" t="str">
            <v>C</v>
          </cell>
          <cell r="I76">
            <v>1994</v>
          </cell>
          <cell r="J76" t="str">
            <v>Asset Managers</v>
          </cell>
          <cell r="K76" t="str">
            <v>Recurrent</v>
          </cell>
          <cell r="M76">
            <v>10</v>
          </cell>
          <cell r="N76">
            <v>5</v>
          </cell>
          <cell r="O76">
            <v>8</v>
          </cell>
          <cell r="P76">
            <v>5</v>
          </cell>
        </row>
        <row r="77">
          <cell r="B77">
            <v>40.200000000000003</v>
          </cell>
          <cell r="C77" t="str">
            <v>Instrument Transformers</v>
          </cell>
          <cell r="D77" t="str">
            <v xml:space="preserve">High DGA ITs - 132kV </v>
          </cell>
          <cell r="E77" t="str">
            <v>Replacement</v>
          </cell>
          <cell r="F77" t="str">
            <v>Make budget provision for unidentified replacements based on historical replacement rates</v>
          </cell>
          <cell r="G77" t="str">
            <v>CAP</v>
          </cell>
          <cell r="H77" t="str">
            <v>C</v>
          </cell>
          <cell r="J77" t="str">
            <v>SSE</v>
          </cell>
          <cell r="K77" t="str">
            <v>Recurrent</v>
          </cell>
          <cell r="M77">
            <v>10</v>
          </cell>
          <cell r="N77">
            <v>5</v>
          </cell>
          <cell r="O77">
            <v>8</v>
          </cell>
          <cell r="P77">
            <v>5</v>
          </cell>
        </row>
        <row r="78">
          <cell r="B78">
            <v>41.1</v>
          </cell>
          <cell r="C78" t="str">
            <v>Instrument Transformers</v>
          </cell>
          <cell r="D78" t="str">
            <v>High DGA ITs - 66kV and below</v>
          </cell>
          <cell r="E78" t="str">
            <v>Replacement</v>
          </cell>
          <cell r="F78" t="str">
            <v>Assess and Replace as required</v>
          </cell>
          <cell r="G78" t="str">
            <v>CAP</v>
          </cell>
          <cell r="H78" t="str">
            <v>C</v>
          </cell>
          <cell r="I78">
            <v>1994</v>
          </cell>
          <cell r="J78" t="str">
            <v>Asset Managers</v>
          </cell>
          <cell r="K78" t="str">
            <v>Recurrent</v>
          </cell>
          <cell r="M78">
            <v>10</v>
          </cell>
          <cell r="N78">
            <v>5</v>
          </cell>
          <cell r="O78">
            <v>8</v>
          </cell>
          <cell r="P78">
            <v>5</v>
          </cell>
        </row>
        <row r="79">
          <cell r="B79">
            <v>41.2</v>
          </cell>
          <cell r="C79" t="str">
            <v>Instrument Transformers</v>
          </cell>
          <cell r="D79" t="str">
            <v>High DGA ITs - 66kV and below</v>
          </cell>
          <cell r="E79" t="str">
            <v>Replacement</v>
          </cell>
          <cell r="F79" t="str">
            <v>Make budget provision for unidentified replacements based on historical replacement rates</v>
          </cell>
          <cell r="G79" t="str">
            <v>CAP</v>
          </cell>
          <cell r="H79" t="str">
            <v>C</v>
          </cell>
          <cell r="J79" t="str">
            <v>SSE</v>
          </cell>
          <cell r="K79" t="str">
            <v>Recurrent</v>
          </cell>
          <cell r="M79">
            <v>10</v>
          </cell>
          <cell r="N79">
            <v>5</v>
          </cell>
          <cell r="O79">
            <v>8</v>
          </cell>
          <cell r="P79">
            <v>5</v>
          </cell>
        </row>
        <row r="80">
          <cell r="B80">
            <v>42.1</v>
          </cell>
          <cell r="C80" t="str">
            <v>Instrument Transformers</v>
          </cell>
          <cell r="D80" t="str">
            <v>Tyree Contract 2794 (with on-line monitoring)</v>
          </cell>
          <cell r="E80" t="str">
            <v>Other</v>
          </cell>
          <cell r="F80" t="str">
            <v>Assess effectiveness and reliability of OLM</v>
          </cell>
          <cell r="G80" t="str">
            <v>CAP</v>
          </cell>
          <cell r="H80" t="str">
            <v>I</v>
          </cell>
          <cell r="I80">
            <v>2000</v>
          </cell>
          <cell r="J80" t="str">
            <v>AM/Central, AM/Northern</v>
          </cell>
          <cell r="K80" t="str">
            <v>Recurrent</v>
          </cell>
          <cell r="M80">
            <v>8</v>
          </cell>
          <cell r="N80">
            <v>5</v>
          </cell>
          <cell r="O80">
            <v>8</v>
          </cell>
          <cell r="P80">
            <v>5</v>
          </cell>
        </row>
        <row r="81">
          <cell r="B81">
            <v>42.2</v>
          </cell>
          <cell r="C81" t="str">
            <v>Instrument Transformers</v>
          </cell>
          <cell r="D81" t="str">
            <v>Tyree Contract 2794 (without on-line monitoring)</v>
          </cell>
          <cell r="E81" t="str">
            <v>Replacement</v>
          </cell>
          <cell r="F81" t="str">
            <v>Replace all of this type without on-line monitoring</v>
          </cell>
          <cell r="G81" t="str">
            <v>CAP</v>
          </cell>
          <cell r="H81" t="str">
            <v>R</v>
          </cell>
          <cell r="I81">
            <v>2000</v>
          </cell>
          <cell r="J81" t="str">
            <v>Asset Managers</v>
          </cell>
          <cell r="M81">
            <v>8</v>
          </cell>
          <cell r="N81">
            <v>5</v>
          </cell>
          <cell r="O81">
            <v>8</v>
          </cell>
          <cell r="P81">
            <v>5</v>
          </cell>
        </row>
        <row r="82">
          <cell r="B82">
            <v>42.3</v>
          </cell>
          <cell r="C82" t="str">
            <v>Instrument Transformers</v>
          </cell>
          <cell r="D82" t="str">
            <v>Tyree Contract 2794</v>
          </cell>
          <cell r="E82" t="str">
            <v>Replacement</v>
          </cell>
          <cell r="F82" t="str">
            <v>Replace all of this type</v>
          </cell>
          <cell r="G82" t="str">
            <v>CAP</v>
          </cell>
          <cell r="H82" t="str">
            <v>R</v>
          </cell>
          <cell r="I82">
            <v>2005</v>
          </cell>
          <cell r="J82" t="str">
            <v>Asset Managers</v>
          </cell>
          <cell r="K82">
            <v>2010</v>
          </cell>
          <cell r="L82" t="str">
            <v>80% certain</v>
          </cell>
          <cell r="M82">
            <v>8</v>
          </cell>
          <cell r="N82">
            <v>5</v>
          </cell>
          <cell r="O82">
            <v>8</v>
          </cell>
          <cell r="P82">
            <v>5</v>
          </cell>
        </row>
        <row r="83">
          <cell r="B83">
            <v>43.1</v>
          </cell>
          <cell r="C83" t="str">
            <v>Instrument Transformers</v>
          </cell>
          <cell r="D83" t="str">
            <v>Tyree Contract 3113 (without OLM)</v>
          </cell>
          <cell r="E83" t="str">
            <v>Other</v>
          </cell>
          <cell r="F83" t="str">
            <v>Carry out 6-monthly oil sampling</v>
          </cell>
          <cell r="G83" t="str">
            <v>CAP</v>
          </cell>
          <cell r="H83" t="str">
            <v>M</v>
          </cell>
          <cell r="I83">
            <v>2000</v>
          </cell>
          <cell r="J83" t="str">
            <v>Asset Managers</v>
          </cell>
          <cell r="K83" t="str">
            <v>Ongoing</v>
          </cell>
          <cell r="M83">
            <v>8</v>
          </cell>
          <cell r="N83">
            <v>5</v>
          </cell>
          <cell r="O83">
            <v>8</v>
          </cell>
          <cell r="P83">
            <v>5</v>
          </cell>
        </row>
        <row r="84">
          <cell r="B84">
            <v>43.2</v>
          </cell>
          <cell r="C84" t="str">
            <v>Instrument Transformers</v>
          </cell>
          <cell r="D84" t="str">
            <v>Tyree Contract 3113 (without OLM)</v>
          </cell>
          <cell r="E84" t="str">
            <v>Replacement</v>
          </cell>
          <cell r="F84" t="str">
            <v>Replace</v>
          </cell>
          <cell r="G84" t="str">
            <v>CAP</v>
          </cell>
          <cell r="H84" t="str">
            <v>R</v>
          </cell>
          <cell r="I84">
            <v>2000</v>
          </cell>
          <cell r="J84" t="str">
            <v>Asset Managers</v>
          </cell>
          <cell r="K84">
            <v>38139</v>
          </cell>
          <cell r="M84">
            <v>8</v>
          </cell>
          <cell r="N84">
            <v>5</v>
          </cell>
          <cell r="O84">
            <v>8</v>
          </cell>
          <cell r="P84">
            <v>5</v>
          </cell>
        </row>
        <row r="85">
          <cell r="B85">
            <v>43.3</v>
          </cell>
          <cell r="C85" t="str">
            <v>Instrument Transformers</v>
          </cell>
          <cell r="D85" t="str">
            <v>Tyree Contract 3113 (with OLM)</v>
          </cell>
          <cell r="E85" t="str">
            <v>Other</v>
          </cell>
          <cell r="F85" t="str">
            <v>Assess effectiveness and reliability of OLM</v>
          </cell>
          <cell r="G85" t="str">
            <v>CAP</v>
          </cell>
          <cell r="H85" t="str">
            <v>I</v>
          </cell>
          <cell r="I85">
            <v>2000</v>
          </cell>
          <cell r="J85" t="str">
            <v>AM/Central</v>
          </cell>
          <cell r="M85">
            <v>8</v>
          </cell>
          <cell r="N85">
            <v>5</v>
          </cell>
          <cell r="O85">
            <v>8</v>
          </cell>
          <cell r="P85">
            <v>5</v>
          </cell>
        </row>
        <row r="86">
          <cell r="B86">
            <v>43.4</v>
          </cell>
          <cell r="C86" t="str">
            <v>Instrument Transformers</v>
          </cell>
          <cell r="D86" t="str">
            <v>Tyree Contract 3113 (with OLM)</v>
          </cell>
          <cell r="E86" t="str">
            <v>Other</v>
          </cell>
          <cell r="F86" t="str">
            <v>Annual DGA testing?</v>
          </cell>
          <cell r="G86" t="str">
            <v>CAP</v>
          </cell>
          <cell r="H86" t="str">
            <v>I</v>
          </cell>
          <cell r="I86">
            <v>2000</v>
          </cell>
          <cell r="J86" t="str">
            <v>AM/Central</v>
          </cell>
          <cell r="M86">
            <v>8</v>
          </cell>
          <cell r="N86">
            <v>5</v>
          </cell>
          <cell r="O86">
            <v>8</v>
          </cell>
          <cell r="P86">
            <v>5</v>
          </cell>
        </row>
        <row r="87">
          <cell r="B87">
            <v>44.1</v>
          </cell>
          <cell r="C87" t="str">
            <v>Instrument Transformers</v>
          </cell>
          <cell r="D87" t="str">
            <v>Tyree Contract 2909 (without OLM)</v>
          </cell>
          <cell r="E87" t="str">
            <v>Other</v>
          </cell>
          <cell r="F87" t="str">
            <v>Assess effectiveness and reliability of OLM</v>
          </cell>
          <cell r="G87" t="str">
            <v>CAP</v>
          </cell>
          <cell r="M87">
            <v>8</v>
          </cell>
          <cell r="N87">
            <v>5</v>
          </cell>
          <cell r="O87">
            <v>8</v>
          </cell>
          <cell r="P87">
            <v>5</v>
          </cell>
        </row>
        <row r="88">
          <cell r="B88">
            <v>44.2</v>
          </cell>
          <cell r="C88" t="str">
            <v>Instrument Transformers</v>
          </cell>
          <cell r="D88" t="str">
            <v>Tyree Contract 2909 (without OLM)</v>
          </cell>
          <cell r="E88" t="str">
            <v>Replacement</v>
          </cell>
          <cell r="F88" t="str">
            <v>Replace all of this type without on-line monitoring</v>
          </cell>
          <cell r="G88" t="str">
            <v>CAP</v>
          </cell>
          <cell r="H88" t="str">
            <v>R</v>
          </cell>
          <cell r="I88">
            <v>2001</v>
          </cell>
          <cell r="J88" t="str">
            <v>Asset Managers</v>
          </cell>
          <cell r="K88" t="str">
            <v>June, 2006</v>
          </cell>
          <cell r="M88">
            <v>8</v>
          </cell>
          <cell r="N88">
            <v>5</v>
          </cell>
          <cell r="O88">
            <v>8</v>
          </cell>
          <cell r="P88">
            <v>5</v>
          </cell>
        </row>
        <row r="89">
          <cell r="B89">
            <v>45.1</v>
          </cell>
          <cell r="C89" t="str">
            <v>Instrument Transformers</v>
          </cell>
          <cell r="D89" t="str">
            <v>ASEA CUEA (X-mas Tree) CVT</v>
          </cell>
          <cell r="E89" t="str">
            <v>Replacement</v>
          </cell>
          <cell r="F89" t="str">
            <v>Replace all of this type</v>
          </cell>
          <cell r="G89" t="str">
            <v>CAP</v>
          </cell>
          <cell r="H89" t="str">
            <v>R</v>
          </cell>
          <cell r="I89">
            <v>1995</v>
          </cell>
          <cell r="J89" t="str">
            <v>Asset Managers</v>
          </cell>
          <cell r="K89">
            <v>38504</v>
          </cell>
          <cell r="M89">
            <v>8</v>
          </cell>
          <cell r="N89">
            <v>5</v>
          </cell>
          <cell r="O89">
            <v>8</v>
          </cell>
          <cell r="P89">
            <v>8</v>
          </cell>
        </row>
        <row r="90">
          <cell r="B90">
            <v>45.2</v>
          </cell>
          <cell r="C90" t="str">
            <v>Instrument Transformers</v>
          </cell>
          <cell r="D90" t="str">
            <v>Coupling Capacitors for X-mas Tress CVTs</v>
          </cell>
          <cell r="E90" t="str">
            <v>Replacement</v>
          </cell>
          <cell r="F90" t="str">
            <v>Replace all of this type</v>
          </cell>
          <cell r="G90" t="str">
            <v>CAP</v>
          </cell>
          <cell r="H90" t="str">
            <v>R</v>
          </cell>
          <cell r="I90">
            <v>1998</v>
          </cell>
          <cell r="J90" t="str">
            <v>Asset Managers</v>
          </cell>
          <cell r="K90" t="str">
            <v>June, 2005</v>
          </cell>
          <cell r="M90">
            <v>8</v>
          </cell>
          <cell r="N90">
            <v>5</v>
          </cell>
          <cell r="O90">
            <v>8</v>
          </cell>
          <cell r="P90">
            <v>8</v>
          </cell>
        </row>
        <row r="91">
          <cell r="B91">
            <v>46</v>
          </cell>
          <cell r="C91" t="str">
            <v>Instrument Transformers</v>
          </cell>
          <cell r="D91" t="str">
            <v>Under rated NUB CTs for in capacitor banks</v>
          </cell>
          <cell r="E91" t="str">
            <v>Replacement</v>
          </cell>
          <cell r="F91" t="str">
            <v>Replace with fully rated CT</v>
          </cell>
          <cell r="G91" t="str">
            <v>CAP</v>
          </cell>
          <cell r="H91" t="str">
            <v>R</v>
          </cell>
          <cell r="I91">
            <v>1995</v>
          </cell>
          <cell r="J91" t="str">
            <v>Asset Managers</v>
          </cell>
          <cell r="K91">
            <v>38504</v>
          </cell>
          <cell r="L91" t="str">
            <v>Not defined</v>
          </cell>
          <cell r="M91">
            <v>8</v>
          </cell>
          <cell r="N91">
            <v>2</v>
          </cell>
          <cell r="O91">
            <v>8</v>
          </cell>
          <cell r="P91">
            <v>0</v>
          </cell>
        </row>
        <row r="92">
          <cell r="B92">
            <v>47</v>
          </cell>
          <cell r="C92" t="str">
            <v>Other Equipment</v>
          </cell>
          <cell r="D92" t="str">
            <v>Provide alternate auxiliary supply to Avon SS</v>
          </cell>
          <cell r="E92" t="str">
            <v>Replacement</v>
          </cell>
          <cell r="F92" t="str">
            <v>Install power rated MVTs at Avon to Provide auxiliary supply</v>
          </cell>
          <cell r="G92" t="str">
            <v>CAP</v>
          </cell>
          <cell r="H92" t="str">
            <v>R</v>
          </cell>
          <cell r="I92">
            <v>2003</v>
          </cell>
          <cell r="J92" t="str">
            <v>AM/Central</v>
          </cell>
          <cell r="K92">
            <v>38504</v>
          </cell>
          <cell r="M92">
            <v>0</v>
          </cell>
          <cell r="N92">
            <v>0</v>
          </cell>
          <cell r="O92">
            <v>10</v>
          </cell>
          <cell r="P92">
            <v>8</v>
          </cell>
        </row>
        <row r="93">
          <cell r="B93">
            <v>48</v>
          </cell>
          <cell r="C93" t="str">
            <v>Ancillary Systems</v>
          </cell>
          <cell r="D93" t="str">
            <v xml:space="preserve">VT Secondary Boxes </v>
          </cell>
          <cell r="E93" t="str">
            <v>Replacement</v>
          </cell>
          <cell r="F93" t="str">
            <v>Replace De-ion CBs</v>
          </cell>
          <cell r="G93" t="str">
            <v>MOPS</v>
          </cell>
          <cell r="H93" t="str">
            <v>R</v>
          </cell>
          <cell r="I93">
            <v>2004</v>
          </cell>
          <cell r="J93" t="str">
            <v>Asset Managers</v>
          </cell>
          <cell r="K93">
            <v>38504</v>
          </cell>
          <cell r="M93">
            <v>0</v>
          </cell>
          <cell r="N93">
            <v>0</v>
          </cell>
          <cell r="O93">
            <v>5</v>
          </cell>
          <cell r="P93">
            <v>8</v>
          </cell>
        </row>
        <row r="94">
          <cell r="B94">
            <v>49</v>
          </cell>
          <cell r="C94" t="str">
            <v>Instrument Transformers</v>
          </cell>
          <cell r="D94" t="str">
            <v>Non-Standard CTs</v>
          </cell>
          <cell r="E94" t="str">
            <v>Replacement</v>
          </cell>
          <cell r="F94" t="str">
            <v>Where non-standard CTs are in service, replace if there is no reasonable contingency available</v>
          </cell>
          <cell r="G94" t="str">
            <v>CAP</v>
          </cell>
          <cell r="H94" t="str">
            <v>R</v>
          </cell>
          <cell r="I94">
            <v>1994</v>
          </cell>
          <cell r="J94" t="str">
            <v>Asset Managers</v>
          </cell>
          <cell r="K94">
            <v>38869</v>
          </cell>
          <cell r="L94" t="str">
            <v>Not defined, split</v>
          </cell>
          <cell r="M94">
            <v>0</v>
          </cell>
          <cell r="N94">
            <v>0</v>
          </cell>
          <cell r="O94">
            <v>8</v>
          </cell>
          <cell r="P94">
            <v>5</v>
          </cell>
        </row>
        <row r="95">
          <cell r="B95">
            <v>50</v>
          </cell>
          <cell r="C95" t="str">
            <v>DC Systems</v>
          </cell>
          <cell r="D95" t="str">
            <v>Substation Batteries - 50V</v>
          </cell>
          <cell r="E95" t="str">
            <v>Replacement</v>
          </cell>
          <cell r="F95" t="str">
            <v>Monitor and replace as required</v>
          </cell>
          <cell r="G95" t="str">
            <v>CAP</v>
          </cell>
          <cell r="H95" t="str">
            <v>C</v>
          </cell>
          <cell r="I95">
            <v>1994</v>
          </cell>
          <cell r="J95" t="str">
            <v>Asset Managers</v>
          </cell>
          <cell r="K95" t="str">
            <v>Recurrent</v>
          </cell>
          <cell r="M95">
            <v>0</v>
          </cell>
          <cell r="N95">
            <v>0</v>
          </cell>
          <cell r="O95">
            <v>10</v>
          </cell>
          <cell r="P95">
            <v>2</v>
          </cell>
        </row>
        <row r="96">
          <cell r="B96">
            <v>51</v>
          </cell>
          <cell r="C96" t="str">
            <v>DC Systems</v>
          </cell>
          <cell r="D96" t="str">
            <v>Substation Batteries - 110V</v>
          </cell>
          <cell r="E96" t="str">
            <v>Replacement</v>
          </cell>
          <cell r="F96" t="str">
            <v>Monitor and replace as required</v>
          </cell>
          <cell r="G96" t="str">
            <v>CAP</v>
          </cell>
          <cell r="H96" t="str">
            <v>C</v>
          </cell>
          <cell r="I96">
            <v>1994</v>
          </cell>
          <cell r="J96" t="str">
            <v>Asset Managers</v>
          </cell>
          <cell r="K96" t="str">
            <v>Recurrent</v>
          </cell>
          <cell r="M96">
            <v>0</v>
          </cell>
          <cell r="N96">
            <v>0</v>
          </cell>
          <cell r="O96">
            <v>8</v>
          </cell>
          <cell r="P96">
            <v>2</v>
          </cell>
        </row>
        <row r="97">
          <cell r="B97">
            <v>52</v>
          </cell>
          <cell r="C97" t="str">
            <v>DC Systems</v>
          </cell>
          <cell r="D97" t="str">
            <v>Substation Batteries - 240V</v>
          </cell>
          <cell r="E97" t="str">
            <v>Replacement</v>
          </cell>
          <cell r="F97" t="str">
            <v>Monitor and replace as required</v>
          </cell>
          <cell r="G97" t="str">
            <v>CAP</v>
          </cell>
          <cell r="H97" t="str">
            <v>C</v>
          </cell>
          <cell r="J97" t="str">
            <v>Asset Managers</v>
          </cell>
          <cell r="K97" t="str">
            <v>Recurrent</v>
          </cell>
          <cell r="M97">
            <v>0</v>
          </cell>
          <cell r="N97">
            <v>0</v>
          </cell>
          <cell r="O97">
            <v>8</v>
          </cell>
          <cell r="P97">
            <v>2</v>
          </cell>
        </row>
        <row r="98">
          <cell r="B98">
            <v>53</v>
          </cell>
          <cell r="C98" t="str">
            <v>DC Systems</v>
          </cell>
          <cell r="D98" t="str">
            <v>Substation Battery chargers - 50V</v>
          </cell>
          <cell r="E98" t="str">
            <v>Replacement</v>
          </cell>
          <cell r="F98" t="str">
            <v>Monitor and replace as required</v>
          </cell>
          <cell r="G98" t="str">
            <v>CAP</v>
          </cell>
          <cell r="H98" t="str">
            <v>C</v>
          </cell>
          <cell r="I98">
            <v>1998</v>
          </cell>
          <cell r="J98" t="str">
            <v>Asset Managers</v>
          </cell>
          <cell r="K98" t="str">
            <v>Recurrent</v>
          </cell>
          <cell r="M98">
            <v>0</v>
          </cell>
          <cell r="N98">
            <v>0</v>
          </cell>
          <cell r="O98">
            <v>8</v>
          </cell>
          <cell r="P98">
            <v>2</v>
          </cell>
        </row>
        <row r="99">
          <cell r="B99">
            <v>54</v>
          </cell>
          <cell r="C99" t="str">
            <v>DC Systems</v>
          </cell>
          <cell r="D99" t="str">
            <v>Substation Battery chargers - 110V</v>
          </cell>
          <cell r="E99" t="str">
            <v>Replacement</v>
          </cell>
          <cell r="F99" t="str">
            <v>Monitor and replace as required</v>
          </cell>
          <cell r="G99" t="str">
            <v>CAP</v>
          </cell>
          <cell r="H99" t="str">
            <v>C</v>
          </cell>
          <cell r="I99">
            <v>1998</v>
          </cell>
          <cell r="J99" t="str">
            <v>Asset Managers</v>
          </cell>
          <cell r="K99" t="str">
            <v>Recurrent</v>
          </cell>
          <cell r="M99">
            <v>0</v>
          </cell>
          <cell r="N99">
            <v>0</v>
          </cell>
          <cell r="O99">
            <v>8</v>
          </cell>
          <cell r="P99">
            <v>2</v>
          </cell>
        </row>
        <row r="100">
          <cell r="B100">
            <v>55</v>
          </cell>
          <cell r="C100" t="str">
            <v>DC Systems</v>
          </cell>
          <cell r="D100" t="str">
            <v>Substation Battery chargers - 240V</v>
          </cell>
          <cell r="E100" t="str">
            <v>Replacement</v>
          </cell>
          <cell r="F100" t="str">
            <v>Monitor and replace as required</v>
          </cell>
          <cell r="G100" t="str">
            <v>CAP</v>
          </cell>
          <cell r="H100" t="str">
            <v>C</v>
          </cell>
          <cell r="J100" t="str">
            <v>Asset Managers</v>
          </cell>
          <cell r="K100" t="str">
            <v>Recurrent</v>
          </cell>
          <cell r="M100">
            <v>0</v>
          </cell>
          <cell r="N100">
            <v>0</v>
          </cell>
          <cell r="O100">
            <v>8</v>
          </cell>
          <cell r="P100">
            <v>2</v>
          </cell>
        </row>
        <row r="101">
          <cell r="B101">
            <v>56</v>
          </cell>
          <cell r="C101" t="str">
            <v>Disconnectors and Earth Switches</v>
          </cell>
          <cell r="D101" t="str">
            <v>220kV and above</v>
          </cell>
          <cell r="E101" t="str">
            <v>Replacement</v>
          </cell>
          <cell r="F101" t="str">
            <v>Monitor and replace as required</v>
          </cell>
          <cell r="G101" t="str">
            <v>CAP</v>
          </cell>
          <cell r="H101" t="str">
            <v>C</v>
          </cell>
          <cell r="I101">
            <v>1997</v>
          </cell>
          <cell r="J101" t="str">
            <v>Asset Managers</v>
          </cell>
          <cell r="K101" t="str">
            <v>Recurrent</v>
          </cell>
          <cell r="M101">
            <v>5</v>
          </cell>
          <cell r="N101">
            <v>0</v>
          </cell>
          <cell r="O101">
            <v>10</v>
          </cell>
          <cell r="P101">
            <v>5</v>
          </cell>
        </row>
        <row r="102">
          <cell r="B102">
            <v>57</v>
          </cell>
          <cell r="C102" t="str">
            <v>Disconnectors and Earth Switches</v>
          </cell>
          <cell r="D102" t="str">
            <v>132kV</v>
          </cell>
          <cell r="E102" t="str">
            <v>Replacement</v>
          </cell>
          <cell r="F102" t="str">
            <v>Monitor and replace as required</v>
          </cell>
          <cell r="G102" t="str">
            <v>CAP</v>
          </cell>
          <cell r="H102" t="str">
            <v>C</v>
          </cell>
          <cell r="I102">
            <v>1997</v>
          </cell>
          <cell r="J102" t="str">
            <v>Asset Managers</v>
          </cell>
          <cell r="K102" t="str">
            <v>Recurrent</v>
          </cell>
          <cell r="M102">
            <v>5</v>
          </cell>
          <cell r="N102">
            <v>0</v>
          </cell>
          <cell r="O102">
            <v>10</v>
          </cell>
          <cell r="P102">
            <v>5</v>
          </cell>
        </row>
        <row r="103">
          <cell r="B103">
            <v>58</v>
          </cell>
          <cell r="C103" t="str">
            <v>Disconnectors and Earth Switches</v>
          </cell>
          <cell r="D103" t="str">
            <v>66kV and below</v>
          </cell>
          <cell r="E103" t="str">
            <v>Replacement</v>
          </cell>
          <cell r="F103" t="str">
            <v>Monitor and replace as required</v>
          </cell>
          <cell r="G103" t="str">
            <v>CAP</v>
          </cell>
          <cell r="H103" t="str">
            <v>C</v>
          </cell>
          <cell r="I103">
            <v>1997</v>
          </cell>
          <cell r="J103" t="str">
            <v>Asset Managers</v>
          </cell>
          <cell r="K103" t="str">
            <v>Recurrent</v>
          </cell>
          <cell r="M103">
            <v>5</v>
          </cell>
          <cell r="N103">
            <v>0</v>
          </cell>
          <cell r="O103">
            <v>10</v>
          </cell>
          <cell r="P103">
            <v>5</v>
          </cell>
        </row>
        <row r="104">
          <cell r="B104">
            <v>59</v>
          </cell>
          <cell r="C104" t="str">
            <v>GIS</v>
          </cell>
          <cell r="D104" t="str">
            <v>Beaconsfield</v>
          </cell>
          <cell r="E104" t="str">
            <v>Other</v>
          </cell>
          <cell r="F104" t="str">
            <v>Review options beyond 2006</v>
          </cell>
          <cell r="G104" t="str">
            <v>Ops</v>
          </cell>
          <cell r="H104" t="str">
            <v>I</v>
          </cell>
          <cell r="I104">
            <v>2003</v>
          </cell>
          <cell r="J104" t="str">
            <v>M/AP</v>
          </cell>
          <cell r="K104">
            <v>38687</v>
          </cell>
          <cell r="M104">
            <v>0</v>
          </cell>
          <cell r="N104">
            <v>0</v>
          </cell>
          <cell r="O104">
            <v>8</v>
          </cell>
          <cell r="P104">
            <v>10</v>
          </cell>
        </row>
        <row r="105">
          <cell r="B105">
            <v>60</v>
          </cell>
          <cell r="C105" t="str">
            <v>GIS</v>
          </cell>
          <cell r="D105" t="str">
            <v>Beaconsfield</v>
          </cell>
          <cell r="E105" t="str">
            <v>Replacement</v>
          </cell>
          <cell r="F105" t="str">
            <v>Install conventional CB on No.1 Reactor</v>
          </cell>
          <cell r="G105" t="str">
            <v>CAP</v>
          </cell>
          <cell r="H105" t="str">
            <v>R</v>
          </cell>
          <cell r="I105">
            <v>2004</v>
          </cell>
          <cell r="J105" t="str">
            <v>AM/Central</v>
          </cell>
          <cell r="K105">
            <v>38504</v>
          </cell>
          <cell r="M105">
            <v>0</v>
          </cell>
          <cell r="N105">
            <v>2</v>
          </cell>
          <cell r="O105">
            <v>10</v>
          </cell>
          <cell r="P105">
            <v>10</v>
          </cell>
        </row>
        <row r="106">
          <cell r="B106">
            <v>61</v>
          </cell>
          <cell r="C106" t="str">
            <v>Environment</v>
          </cell>
          <cell r="D106" t="str">
            <v>PCB Disposal</v>
          </cell>
          <cell r="E106" t="str">
            <v>Replacement</v>
          </cell>
          <cell r="F106" t="str">
            <v>Remove all scheduled PCB contaminated from in-service equipment</v>
          </cell>
          <cell r="G106" t="str">
            <v>CAP</v>
          </cell>
          <cell r="H106" t="str">
            <v>R</v>
          </cell>
          <cell r="I106">
            <v>2003</v>
          </cell>
          <cell r="J106" t="str">
            <v>Asset Managers</v>
          </cell>
          <cell r="K106">
            <v>40179</v>
          </cell>
          <cell r="M106">
            <v>2</v>
          </cell>
          <cell r="N106">
            <v>10</v>
          </cell>
          <cell r="O106">
            <v>0</v>
          </cell>
          <cell r="P106">
            <v>8</v>
          </cell>
        </row>
        <row r="107">
          <cell r="B107">
            <v>62</v>
          </cell>
          <cell r="C107" t="str">
            <v>Surge Diverters</v>
          </cell>
          <cell r="D107" t="str">
            <v>Gapped Type (pre 1965) - 220kV and above</v>
          </cell>
          <cell r="E107" t="str">
            <v>Replacement</v>
          </cell>
          <cell r="F107" t="str">
            <v>Replace</v>
          </cell>
          <cell r="G107" t="str">
            <v>MOPS</v>
          </cell>
          <cell r="H107" t="str">
            <v>R</v>
          </cell>
          <cell r="I107">
            <v>2000</v>
          </cell>
          <cell r="J107" t="str">
            <v>Asset Managers</v>
          </cell>
          <cell r="K107" t="str">
            <v>June, 2005</v>
          </cell>
          <cell r="M107">
            <v>8</v>
          </cell>
          <cell r="N107">
            <v>0</v>
          </cell>
          <cell r="O107">
            <v>8</v>
          </cell>
          <cell r="P107">
            <v>0</v>
          </cell>
        </row>
        <row r="108">
          <cell r="B108">
            <v>63</v>
          </cell>
          <cell r="C108" t="str">
            <v>Surge Diverters</v>
          </cell>
          <cell r="D108" t="str">
            <v>Gapped Type (pre 1965) - 132kV</v>
          </cell>
          <cell r="E108" t="str">
            <v>Replacement</v>
          </cell>
          <cell r="F108" t="str">
            <v>Replace</v>
          </cell>
          <cell r="G108" t="str">
            <v>MOPS</v>
          </cell>
          <cell r="H108" t="str">
            <v>R</v>
          </cell>
          <cell r="I108">
            <v>2000</v>
          </cell>
          <cell r="J108" t="str">
            <v>Asset Managers</v>
          </cell>
          <cell r="K108" t="str">
            <v>June, 2005</v>
          </cell>
          <cell r="M108">
            <v>8</v>
          </cell>
          <cell r="N108">
            <v>0</v>
          </cell>
          <cell r="O108">
            <v>8</v>
          </cell>
          <cell r="P108">
            <v>0</v>
          </cell>
        </row>
        <row r="109">
          <cell r="B109">
            <v>64</v>
          </cell>
          <cell r="C109" t="str">
            <v>Surge Diverters</v>
          </cell>
          <cell r="D109" t="str">
            <v>Gapped Type (pre 1965) - 66kV</v>
          </cell>
          <cell r="E109" t="str">
            <v>Replacement</v>
          </cell>
          <cell r="F109" t="str">
            <v>Replace</v>
          </cell>
          <cell r="G109" t="str">
            <v>MOPS</v>
          </cell>
          <cell r="H109" t="str">
            <v>R</v>
          </cell>
          <cell r="I109">
            <v>2000</v>
          </cell>
          <cell r="J109" t="str">
            <v>Asset Managers</v>
          </cell>
          <cell r="K109" t="str">
            <v>June, 2005</v>
          </cell>
          <cell r="M109">
            <v>8</v>
          </cell>
          <cell r="N109">
            <v>0</v>
          </cell>
          <cell r="O109">
            <v>8</v>
          </cell>
          <cell r="P109">
            <v>0</v>
          </cell>
        </row>
        <row r="110">
          <cell r="B110">
            <v>65</v>
          </cell>
          <cell r="C110" t="str">
            <v>Surge Diverters</v>
          </cell>
          <cell r="D110" t="str">
            <v>Gapped Type (post 1965) - 220kV and above</v>
          </cell>
          <cell r="E110" t="str">
            <v>Replacement</v>
          </cell>
          <cell r="F110" t="str">
            <v>Replace</v>
          </cell>
          <cell r="G110" t="str">
            <v>MOPS</v>
          </cell>
          <cell r="H110" t="str">
            <v>R</v>
          </cell>
          <cell r="I110">
            <v>2002</v>
          </cell>
          <cell r="J110" t="str">
            <v>Asset Managers</v>
          </cell>
          <cell r="K110">
            <v>40330</v>
          </cell>
          <cell r="M110">
            <v>8</v>
          </cell>
          <cell r="N110">
            <v>0</v>
          </cell>
          <cell r="O110">
            <v>8</v>
          </cell>
          <cell r="P110">
            <v>0</v>
          </cell>
        </row>
        <row r="111">
          <cell r="B111">
            <v>66</v>
          </cell>
          <cell r="C111" t="str">
            <v>Surge Diverters</v>
          </cell>
          <cell r="D111" t="str">
            <v>Gapped Type (post 1965) - 132kV</v>
          </cell>
          <cell r="E111" t="str">
            <v>Replacement</v>
          </cell>
          <cell r="F111" t="str">
            <v>Replace</v>
          </cell>
          <cell r="G111" t="str">
            <v>MOPS</v>
          </cell>
          <cell r="H111" t="str">
            <v>R</v>
          </cell>
          <cell r="I111">
            <v>2002</v>
          </cell>
          <cell r="J111" t="str">
            <v>Asset Managers</v>
          </cell>
          <cell r="K111">
            <v>40330</v>
          </cell>
          <cell r="M111">
            <v>8</v>
          </cell>
          <cell r="N111">
            <v>0</v>
          </cell>
          <cell r="O111">
            <v>8</v>
          </cell>
          <cell r="P111">
            <v>0</v>
          </cell>
        </row>
        <row r="112">
          <cell r="B112">
            <v>67</v>
          </cell>
          <cell r="C112" t="str">
            <v>Surge Diverters</v>
          </cell>
          <cell r="D112" t="str">
            <v>Gapped Type (post 1965) - 66kV and below</v>
          </cell>
          <cell r="E112" t="str">
            <v>Replacement</v>
          </cell>
          <cell r="F112" t="str">
            <v>Replace</v>
          </cell>
          <cell r="G112" t="str">
            <v>MOPS</v>
          </cell>
          <cell r="H112" t="str">
            <v>R</v>
          </cell>
          <cell r="I112">
            <v>2002</v>
          </cell>
          <cell r="J112" t="str">
            <v>Asset Managers</v>
          </cell>
          <cell r="K112">
            <v>40330</v>
          </cell>
          <cell r="M112">
            <v>8</v>
          </cell>
          <cell r="N112">
            <v>0</v>
          </cell>
          <cell r="O112">
            <v>8</v>
          </cell>
          <cell r="P112">
            <v>0</v>
          </cell>
        </row>
        <row r="113">
          <cell r="B113">
            <v>68</v>
          </cell>
          <cell r="C113" t="str">
            <v>Reactive Plant</v>
          </cell>
          <cell r="D113" t="str">
            <v>Capacitor</v>
          </cell>
          <cell r="E113" t="str">
            <v>Replacement</v>
          </cell>
          <cell r="F113" t="str">
            <v>Monitor and replace as required</v>
          </cell>
          <cell r="G113" t="str">
            <v>CAP</v>
          </cell>
          <cell r="H113" t="str">
            <v>C</v>
          </cell>
          <cell r="I113">
            <v>2000</v>
          </cell>
          <cell r="J113" t="str">
            <v>Asset Managers</v>
          </cell>
          <cell r="K113" t="str">
            <v>Recurrent</v>
          </cell>
          <cell r="M113">
            <v>2</v>
          </cell>
          <cell r="N113">
            <v>2</v>
          </cell>
          <cell r="O113">
            <v>8</v>
          </cell>
          <cell r="P113">
            <v>10</v>
          </cell>
        </row>
        <row r="114">
          <cell r="B114">
            <v>69.099999999999994</v>
          </cell>
          <cell r="C114" t="str">
            <v>Buildings</v>
          </cell>
          <cell r="D114" t="str">
            <v>Pre- 1975 Buildings</v>
          </cell>
          <cell r="E114" t="str">
            <v>Other</v>
          </cell>
          <cell r="F114" t="str">
            <v>Formal building inspection to be carried out since 1990</v>
          </cell>
          <cell r="G114" t="str">
            <v>Ops</v>
          </cell>
          <cell r="H114" t="str">
            <v>I</v>
          </cell>
          <cell r="I114">
            <v>1998</v>
          </cell>
          <cell r="J114" t="str">
            <v>Asset Managers</v>
          </cell>
          <cell r="K114">
            <v>38322</v>
          </cell>
        </row>
        <row r="115">
          <cell r="B115">
            <v>69.2</v>
          </cell>
          <cell r="C115" t="str">
            <v>Buildings</v>
          </cell>
          <cell r="D115" t="str">
            <v>Building Defects</v>
          </cell>
          <cell r="E115" t="str">
            <v>Other</v>
          </cell>
          <cell r="F115" t="str">
            <v>Regional Business plans to make provision for maintenance</v>
          </cell>
          <cell r="G115" t="str">
            <v>MOPS</v>
          </cell>
          <cell r="H115" t="str">
            <v>c</v>
          </cell>
          <cell r="I115">
            <v>1998</v>
          </cell>
          <cell r="J115" t="str">
            <v>Asset Managers</v>
          </cell>
          <cell r="K115" t="str">
            <v>Recurrent</v>
          </cell>
          <cell r="M115">
            <v>5</v>
          </cell>
          <cell r="N115">
            <v>2</v>
          </cell>
          <cell r="O115">
            <v>0</v>
          </cell>
          <cell r="P115">
            <v>2</v>
          </cell>
        </row>
        <row r="116">
          <cell r="B116">
            <v>69.3</v>
          </cell>
          <cell r="C116" t="str">
            <v>Buildings</v>
          </cell>
          <cell r="D116" t="str">
            <v>Building Improvements</v>
          </cell>
          <cell r="E116" t="str">
            <v>Other</v>
          </cell>
          <cell r="F116" t="str">
            <v>Regional Buisness plans to make provision for building improvements</v>
          </cell>
          <cell r="G116" t="str">
            <v>CAP</v>
          </cell>
          <cell r="H116" t="str">
            <v>c</v>
          </cell>
          <cell r="I116">
            <v>2004</v>
          </cell>
          <cell r="J116" t="str">
            <v>Asset Managers</v>
          </cell>
          <cell r="K116" t="str">
            <v>recurrent</v>
          </cell>
        </row>
        <row r="117">
          <cell r="B117">
            <v>70.099999999999994</v>
          </cell>
          <cell r="C117" t="str">
            <v>Buildings</v>
          </cell>
          <cell r="D117" t="str">
            <v>Energy Efficiency (220kV sites and above)</v>
          </cell>
          <cell r="E117" t="str">
            <v>Other</v>
          </cell>
          <cell r="F117" t="str">
            <v>Carry out energy audit and implement approved recommendations</v>
          </cell>
          <cell r="G117" t="str">
            <v>Ops</v>
          </cell>
          <cell r="H117" t="str">
            <v>I,A</v>
          </cell>
          <cell r="I117">
            <v>2003</v>
          </cell>
          <cell r="J117" t="str">
            <v>Asset Managers</v>
          </cell>
          <cell r="K117" t="str">
            <v>December, 2003, June 2004</v>
          </cell>
          <cell r="L117" t="str">
            <v>Split</v>
          </cell>
        </row>
        <row r="118">
          <cell r="B118">
            <v>70.2</v>
          </cell>
          <cell r="C118" t="str">
            <v>Buildings</v>
          </cell>
          <cell r="D118" t="str">
            <v>Energy Efficiency (sites 132kV and below)</v>
          </cell>
          <cell r="E118" t="str">
            <v>Other</v>
          </cell>
          <cell r="F118" t="str">
            <v>Carry out energy audit and implement approved recommendations</v>
          </cell>
          <cell r="G118" t="str">
            <v>Ops</v>
          </cell>
          <cell r="H118" t="str">
            <v>I,A</v>
          </cell>
          <cell r="I118">
            <v>2003</v>
          </cell>
          <cell r="J118" t="str">
            <v>Asset Managers</v>
          </cell>
          <cell r="K118" t="str">
            <v>June, 2004, December 2004</v>
          </cell>
          <cell r="L118" t="str">
            <v>Split</v>
          </cell>
          <cell r="M118" t="str">
            <v>Assess indivually</v>
          </cell>
        </row>
        <row r="119">
          <cell r="B119">
            <v>71.099999999999994</v>
          </cell>
          <cell r="C119" t="str">
            <v>Fire</v>
          </cell>
          <cell r="D119" t="str">
            <v>Fire Detection and Protection Systems</v>
          </cell>
          <cell r="E119" t="str">
            <v>Other</v>
          </cell>
          <cell r="F119" t="str">
            <v>Regional Business plans to make provision for any installation or replacement to fire detection and protection systems in accordance with the Fire Protection Policies and procedures manual</v>
          </cell>
          <cell r="G119" t="str">
            <v>MOPS</v>
          </cell>
          <cell r="H119" t="str">
            <v>C</v>
          </cell>
          <cell r="I119">
            <v>1998</v>
          </cell>
          <cell r="J119" t="str">
            <v>Asset Managers</v>
          </cell>
          <cell r="K119" t="str">
            <v>Recurrent</v>
          </cell>
          <cell r="M119" t="str">
            <v>Assess indivually</v>
          </cell>
        </row>
        <row r="120">
          <cell r="B120">
            <v>71.2</v>
          </cell>
          <cell r="C120" t="str">
            <v>Fire</v>
          </cell>
          <cell r="D120" t="str">
            <v>Fire Detection and Protection Systems</v>
          </cell>
          <cell r="E120" t="str">
            <v>Upgrade</v>
          </cell>
          <cell r="F120" t="str">
            <v>Install VESDA Systems</v>
          </cell>
          <cell r="G120" t="str">
            <v>CAP</v>
          </cell>
          <cell r="H120" t="str">
            <v>R</v>
          </cell>
        </row>
        <row r="121">
          <cell r="B121">
            <v>72.099999999999994</v>
          </cell>
          <cell r="C121" t="str">
            <v>Fire</v>
          </cell>
          <cell r="D121" t="str">
            <v>Automatic Fire Protection Schemes for Power transformers</v>
          </cell>
          <cell r="E121" t="str">
            <v>Other</v>
          </cell>
          <cell r="F121" t="str">
            <v>Regional Business plans to make provision for any installation or replacement to fire detection and protection systems in accordance with the Fire Protection Policies and procedures manual</v>
          </cell>
          <cell r="G121" t="str">
            <v>MOPS</v>
          </cell>
          <cell r="H121" t="str">
            <v>C</v>
          </cell>
          <cell r="I121">
            <v>1998</v>
          </cell>
          <cell r="J121" t="str">
            <v>Asset Managers</v>
          </cell>
          <cell r="K121">
            <v>38504</v>
          </cell>
          <cell r="M121" t="str">
            <v>Assess indivually</v>
          </cell>
        </row>
        <row r="122">
          <cell r="B122">
            <v>72.2</v>
          </cell>
          <cell r="C122" t="str">
            <v>Fire</v>
          </cell>
          <cell r="D122" t="str">
            <v>Automatic Fire Protection Schemes for Power transformers</v>
          </cell>
          <cell r="E122" t="str">
            <v>Other</v>
          </cell>
          <cell r="F122" t="str">
            <v>Decommission deluge systems not required as and when maintenance costs become significant.</v>
          </cell>
          <cell r="G122" t="str">
            <v>Ops</v>
          </cell>
          <cell r="H122" t="str">
            <v>C</v>
          </cell>
          <cell r="I122">
            <v>1998</v>
          </cell>
          <cell r="J122" t="str">
            <v>Asset Managers</v>
          </cell>
          <cell r="K122">
            <v>38504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73</v>
          </cell>
          <cell r="C123" t="str">
            <v>Other Equipment</v>
          </cell>
          <cell r="D123" t="str">
            <v>General</v>
          </cell>
          <cell r="E123" t="str">
            <v>Other</v>
          </cell>
          <cell r="F123" t="str">
            <v>Monitor and replace as required</v>
          </cell>
          <cell r="G123" t="str">
            <v>MOPS</v>
          </cell>
          <cell r="H123" t="str">
            <v>C</v>
          </cell>
          <cell r="I123">
            <v>1998</v>
          </cell>
          <cell r="J123" t="str">
            <v>Asset Managers</v>
          </cell>
          <cell r="K123" t="str">
            <v>recurrent</v>
          </cell>
          <cell r="M123" t="str">
            <v>Assess indivually</v>
          </cell>
        </row>
        <row r="124">
          <cell r="B124">
            <v>74</v>
          </cell>
          <cell r="C124" t="str">
            <v>Environment</v>
          </cell>
          <cell r="D124" t="str">
            <v>Transformer Bunds</v>
          </cell>
          <cell r="E124" t="str">
            <v>Other</v>
          </cell>
          <cell r="F124" t="str">
            <v>Inspect and reseal all bunds where sealing is not satisfactory</v>
          </cell>
          <cell r="G124" t="str">
            <v>MOPS</v>
          </cell>
          <cell r="H124" t="str">
            <v>C</v>
          </cell>
          <cell r="I124">
            <v>2004</v>
          </cell>
          <cell r="J124" t="str">
            <v>Asset Managers</v>
          </cell>
          <cell r="K124">
            <v>38869</v>
          </cell>
          <cell r="M124">
            <v>0</v>
          </cell>
          <cell r="N124">
            <v>10</v>
          </cell>
          <cell r="O124">
            <v>0</v>
          </cell>
          <cell r="P124">
            <v>10</v>
          </cell>
        </row>
        <row r="125">
          <cell r="B125">
            <v>75</v>
          </cell>
          <cell r="C125" t="str">
            <v>Circuit Breakers</v>
          </cell>
          <cell r="D125" t="str">
            <v>POW Circuit Breakers</v>
          </cell>
          <cell r="E125" t="str">
            <v>Replacement</v>
          </cell>
          <cell r="F125" t="str">
            <v>Install Point on Wave CBs</v>
          </cell>
          <cell r="G125" t="str">
            <v>CAP</v>
          </cell>
          <cell r="H125" t="str">
            <v>A</v>
          </cell>
          <cell r="I125">
            <v>1998</v>
          </cell>
          <cell r="J125" t="str">
            <v>Asset Managers</v>
          </cell>
          <cell r="K125" t="str">
            <v>June , 2005</v>
          </cell>
          <cell r="M125">
            <v>0</v>
          </cell>
          <cell r="N125">
            <v>0</v>
          </cell>
          <cell r="O125">
            <v>8</v>
          </cell>
          <cell r="P125">
            <v>10</v>
          </cell>
        </row>
        <row r="126">
          <cell r="B126">
            <v>76</v>
          </cell>
          <cell r="C126" t="str">
            <v>Reactive Plant</v>
          </cell>
          <cell r="D126" t="str">
            <v>Sydney South Syn Cons</v>
          </cell>
          <cell r="E126" t="str">
            <v>Other</v>
          </cell>
          <cell r="F126" t="str">
            <v>Retire on commissioning of Sydney South SVC</v>
          </cell>
          <cell r="G126" t="str">
            <v>Ops</v>
          </cell>
          <cell r="H126" t="str">
            <v>C</v>
          </cell>
          <cell r="I126">
            <v>1998</v>
          </cell>
          <cell r="J126" t="str">
            <v>Asset Managers</v>
          </cell>
          <cell r="K126" t="str">
            <v>within 12 months of SYW SVC</v>
          </cell>
          <cell r="M126">
            <v>5</v>
          </cell>
          <cell r="N126">
            <v>2</v>
          </cell>
          <cell r="O126">
            <v>10</v>
          </cell>
          <cell r="P126">
            <v>10</v>
          </cell>
        </row>
        <row r="127">
          <cell r="B127">
            <v>77</v>
          </cell>
          <cell r="C127" t="str">
            <v>Shunt Capacitor Banks</v>
          </cell>
          <cell r="D127" t="str">
            <v>Concrete Pads</v>
          </cell>
          <cell r="E127" t="str">
            <v>Other</v>
          </cell>
          <cell r="F127" t="str">
            <v xml:space="preserve">Identify Capacitor banks with excessive weed growth </v>
          </cell>
          <cell r="G127" t="str">
            <v>Ops</v>
          </cell>
          <cell r="H127" t="str">
            <v>I</v>
          </cell>
          <cell r="I127">
            <v>2001</v>
          </cell>
          <cell r="J127" t="str">
            <v>Asset Managers</v>
          </cell>
          <cell r="K127">
            <v>38504</v>
          </cell>
          <cell r="M127">
            <v>2</v>
          </cell>
          <cell r="N127">
            <v>2</v>
          </cell>
          <cell r="O127">
            <v>8</v>
          </cell>
          <cell r="P127">
            <v>5</v>
          </cell>
        </row>
        <row r="128">
          <cell r="B128">
            <v>77.099999999999994</v>
          </cell>
          <cell r="C128" t="str">
            <v>Shunt Capacitor Banks</v>
          </cell>
          <cell r="D128" t="str">
            <v>Concrete Pads</v>
          </cell>
          <cell r="E128" t="str">
            <v>Replacement</v>
          </cell>
          <cell r="F128" t="str">
            <v>Re-surface capacitor banks as required</v>
          </cell>
          <cell r="G128" t="str">
            <v>MOPS</v>
          </cell>
          <cell r="H128" t="str">
            <v>C</v>
          </cell>
          <cell r="I128">
            <v>2001</v>
          </cell>
          <cell r="J128" t="str">
            <v>Asset Managers</v>
          </cell>
          <cell r="K128">
            <v>39965</v>
          </cell>
          <cell r="M128">
            <v>2</v>
          </cell>
          <cell r="N128">
            <v>2</v>
          </cell>
          <cell r="O128">
            <v>8</v>
          </cell>
          <cell r="P128">
            <v>8</v>
          </cell>
        </row>
        <row r="129">
          <cell r="B129">
            <v>78</v>
          </cell>
          <cell r="C129" t="str">
            <v>Condition Monitoring</v>
          </cell>
          <cell r="D129" t="str">
            <v>Dissolved Gas in Oil</v>
          </cell>
          <cell r="E129" t="str">
            <v>Other</v>
          </cell>
          <cell r="F129" t="str">
            <v>Install DGA monitors on transformers nominated in the Condition Monitoring Working Group Report (Recommendation 5.)</v>
          </cell>
          <cell r="G129" t="str">
            <v>CAP</v>
          </cell>
          <cell r="H129" t="str">
            <v>A</v>
          </cell>
          <cell r="I129">
            <v>2003</v>
          </cell>
          <cell r="J129" t="str">
            <v>Asset Managers</v>
          </cell>
          <cell r="K129">
            <v>38504</v>
          </cell>
          <cell r="L129" t="str">
            <v>List in Doc, - 3 categories</v>
          </cell>
          <cell r="M129">
            <v>0</v>
          </cell>
          <cell r="N129">
            <v>0</v>
          </cell>
          <cell r="O129">
            <v>10</v>
          </cell>
          <cell r="P129">
            <v>10</v>
          </cell>
        </row>
        <row r="130">
          <cell r="B130">
            <v>79</v>
          </cell>
          <cell r="C130" t="str">
            <v>Condition Monitoring</v>
          </cell>
          <cell r="D130" t="str">
            <v>Dissolved Gas in Oil</v>
          </cell>
          <cell r="E130" t="str">
            <v>Other</v>
          </cell>
          <cell r="F130" t="str">
            <v>Upgrade  to Calisto type</v>
          </cell>
          <cell r="G130" t="str">
            <v>CAP</v>
          </cell>
          <cell r="I130">
            <v>2003</v>
          </cell>
          <cell r="J130" t="str">
            <v>Asset Managers</v>
          </cell>
          <cell r="K130">
            <v>38504</v>
          </cell>
          <cell r="M130">
            <v>0</v>
          </cell>
          <cell r="N130">
            <v>0</v>
          </cell>
          <cell r="O130">
            <v>10</v>
          </cell>
          <cell r="P130">
            <v>10</v>
          </cell>
        </row>
        <row r="131">
          <cell r="B131">
            <v>80</v>
          </cell>
          <cell r="C131" t="str">
            <v>Condition Monitoring</v>
          </cell>
          <cell r="D131" t="str">
            <v>Dissolved Gas in Oil</v>
          </cell>
          <cell r="E131" t="str">
            <v>Other</v>
          </cell>
          <cell r="F131" t="str">
            <v>Move to Oil circulation path</v>
          </cell>
          <cell r="G131" t="str">
            <v>MOPS</v>
          </cell>
          <cell r="I131">
            <v>2003</v>
          </cell>
          <cell r="J131" t="str">
            <v>Asset Managers</v>
          </cell>
          <cell r="K131">
            <v>38869</v>
          </cell>
          <cell r="M131">
            <v>0</v>
          </cell>
          <cell r="N131">
            <v>0</v>
          </cell>
          <cell r="O131">
            <v>10</v>
          </cell>
          <cell r="P131">
            <v>10</v>
          </cell>
        </row>
        <row r="132">
          <cell r="B132">
            <v>81</v>
          </cell>
          <cell r="C132" t="str">
            <v>Condition Monitoring</v>
          </cell>
          <cell r="D132" t="str">
            <v>Moisture in Oil</v>
          </cell>
          <cell r="E132" t="str">
            <v>Other</v>
          </cell>
          <cell r="F132" t="str">
            <v>Install online moisture monitors to  transformers nominated in the Condition Monitoring working group Report (Recommendation 10)</v>
          </cell>
          <cell r="G132" t="str">
            <v>CAP</v>
          </cell>
          <cell r="H132" t="str">
            <v>R</v>
          </cell>
          <cell r="I132">
            <v>2003</v>
          </cell>
          <cell r="J132" t="str">
            <v>Asset Managers</v>
          </cell>
          <cell r="K132">
            <v>38504</v>
          </cell>
          <cell r="M132">
            <v>0</v>
          </cell>
          <cell r="N132">
            <v>0</v>
          </cell>
          <cell r="O132">
            <v>10</v>
          </cell>
          <cell r="P132">
            <v>10</v>
          </cell>
        </row>
        <row r="133">
          <cell r="B133">
            <v>82.1</v>
          </cell>
          <cell r="C133" t="str">
            <v>Condition Monitoring</v>
          </cell>
          <cell r="D133" t="str">
            <v>Tapchanger Monitors</v>
          </cell>
          <cell r="E133" t="str">
            <v>Other</v>
          </cell>
          <cell r="F133" t="str">
            <v>Install tapchanger monitors to specific Reinhausen Tapchangers nominated in the Condition Monitoring Working Group Report (Recommendation 13)</v>
          </cell>
          <cell r="G133" t="str">
            <v>CAP</v>
          </cell>
          <cell r="H133" t="str">
            <v>R</v>
          </cell>
          <cell r="I133">
            <v>2003</v>
          </cell>
          <cell r="J133" t="str">
            <v>Asset Managers</v>
          </cell>
          <cell r="K133">
            <v>39234</v>
          </cell>
          <cell r="M133">
            <v>2</v>
          </cell>
          <cell r="N133">
            <v>2</v>
          </cell>
          <cell r="O133">
            <v>10</v>
          </cell>
          <cell r="P133">
            <v>8</v>
          </cell>
        </row>
        <row r="134">
          <cell r="B134">
            <v>82.2</v>
          </cell>
          <cell r="C134" t="str">
            <v>Condition Monitoring</v>
          </cell>
          <cell r="D134" t="str">
            <v>Tapchanger Monitors</v>
          </cell>
          <cell r="E134" t="str">
            <v>Other</v>
          </cell>
          <cell r="F134" t="str">
            <v>Review effectiveness of existing tapchanger monitors and consider further installation of tapchanger monitors on transformers identified in the Condition Working Group Report (Recommendation 13)</v>
          </cell>
          <cell r="G134" t="str">
            <v>Ops</v>
          </cell>
          <cell r="H134" t="str">
            <v>I</v>
          </cell>
          <cell r="I134">
            <v>2003</v>
          </cell>
          <cell r="J134" t="str">
            <v>SSE</v>
          </cell>
          <cell r="K134">
            <v>38322</v>
          </cell>
          <cell r="M134">
            <v>2</v>
          </cell>
          <cell r="N134">
            <v>2</v>
          </cell>
          <cell r="O134">
            <v>10</v>
          </cell>
          <cell r="P134">
            <v>8</v>
          </cell>
        </row>
        <row r="135">
          <cell r="B135">
            <v>82.3</v>
          </cell>
          <cell r="C135" t="str">
            <v>Condition Monitoring</v>
          </cell>
          <cell r="D135" t="str">
            <v>Tapchanger Monitors</v>
          </cell>
          <cell r="E135" t="str">
            <v>Other</v>
          </cell>
          <cell r="F135" t="str">
            <v>Install Reinhausen Tapchanger Monitors to transformers identified above</v>
          </cell>
          <cell r="G135" t="str">
            <v>CAP</v>
          </cell>
          <cell r="H135" t="str">
            <v>C</v>
          </cell>
          <cell r="I135">
            <v>2003</v>
          </cell>
          <cell r="J135" t="str">
            <v>Asset Managers</v>
          </cell>
          <cell r="K135">
            <v>39965</v>
          </cell>
          <cell r="M135">
            <v>2</v>
          </cell>
          <cell r="N135">
            <v>2</v>
          </cell>
          <cell r="O135">
            <v>10</v>
          </cell>
          <cell r="P135">
            <v>8</v>
          </cell>
        </row>
        <row r="136">
          <cell r="B136">
            <v>83</v>
          </cell>
          <cell r="C136" t="str">
            <v>Condition Monitoring</v>
          </cell>
          <cell r="D136" t="str">
            <v>CT  DDF Monitors</v>
          </cell>
          <cell r="E136" t="str">
            <v>Other</v>
          </cell>
          <cell r="F136" t="str">
            <v>Resolve Reliability Concerns for Powerlink DDF monitoring system</v>
          </cell>
          <cell r="G136" t="str">
            <v>Ops</v>
          </cell>
          <cell r="H136" t="str">
            <v>I</v>
          </cell>
          <cell r="I136">
            <v>2003</v>
          </cell>
          <cell r="J136" t="str">
            <v>AM/Northern</v>
          </cell>
          <cell r="K136">
            <v>38504</v>
          </cell>
          <cell r="L136" t="str">
            <v>No date</v>
          </cell>
          <cell r="M136">
            <v>0</v>
          </cell>
          <cell r="N136">
            <v>0</v>
          </cell>
          <cell r="O136">
            <v>10</v>
          </cell>
          <cell r="P136">
            <v>10</v>
          </cell>
        </row>
        <row r="137">
          <cell r="B137">
            <v>84.1</v>
          </cell>
          <cell r="C137" t="str">
            <v>Condition Monitoring</v>
          </cell>
          <cell r="D137" t="str">
            <v>CT  DDF Monitors</v>
          </cell>
          <cell r="E137" t="str">
            <v>Other</v>
          </cell>
          <cell r="F137" t="str">
            <v>Purchase, install AVO SOS system</v>
          </cell>
          <cell r="G137" t="str">
            <v>CAP</v>
          </cell>
          <cell r="H137" t="str">
            <v>I</v>
          </cell>
          <cell r="I137">
            <v>2003</v>
          </cell>
          <cell r="J137" t="str">
            <v>AM/Central</v>
          </cell>
          <cell r="K137">
            <v>38139</v>
          </cell>
          <cell r="M137">
            <v>0</v>
          </cell>
          <cell r="N137">
            <v>0</v>
          </cell>
          <cell r="O137">
            <v>10</v>
          </cell>
          <cell r="P137">
            <v>10</v>
          </cell>
        </row>
        <row r="138">
          <cell r="B138">
            <v>84.2</v>
          </cell>
          <cell r="C138" t="str">
            <v>Condition Monitoring</v>
          </cell>
          <cell r="D138" t="str">
            <v>CT  DDF Monitors</v>
          </cell>
          <cell r="E138" t="str">
            <v>Other</v>
          </cell>
          <cell r="F138" t="str">
            <v>Evaluate performance of AVO SOS system</v>
          </cell>
          <cell r="G138" t="str">
            <v>Ops</v>
          </cell>
          <cell r="H138" t="str">
            <v>I</v>
          </cell>
          <cell r="I138">
            <v>2003</v>
          </cell>
          <cell r="J138" t="str">
            <v>AM/Central</v>
          </cell>
          <cell r="K138">
            <v>38687</v>
          </cell>
          <cell r="M138">
            <v>0</v>
          </cell>
          <cell r="N138">
            <v>0</v>
          </cell>
          <cell r="O138">
            <v>10</v>
          </cell>
          <cell r="P138">
            <v>10</v>
          </cell>
        </row>
        <row r="139">
          <cell r="B139">
            <v>85.1</v>
          </cell>
          <cell r="C139" t="str">
            <v>Condition Monitoring</v>
          </cell>
          <cell r="D139" t="str">
            <v>CT  DDF Monitors</v>
          </cell>
          <cell r="E139" t="str">
            <v>Other</v>
          </cell>
          <cell r="F139" t="str">
            <v>Purchase and install Connel Wagner Intellinode system</v>
          </cell>
          <cell r="G139" t="str">
            <v>CAP</v>
          </cell>
          <cell r="H139" t="str">
            <v>I</v>
          </cell>
          <cell r="I139">
            <v>2003</v>
          </cell>
          <cell r="J139" t="str">
            <v>AM/Northern</v>
          </cell>
          <cell r="K139" t="str">
            <v>When System is in production</v>
          </cell>
          <cell r="L139" t="str">
            <v>No Date</v>
          </cell>
          <cell r="M139">
            <v>0</v>
          </cell>
          <cell r="N139">
            <v>0</v>
          </cell>
          <cell r="O139">
            <v>10</v>
          </cell>
          <cell r="P139">
            <v>10</v>
          </cell>
        </row>
        <row r="140">
          <cell r="B140">
            <v>85.2</v>
          </cell>
          <cell r="C140" t="str">
            <v>Condition Monitoring</v>
          </cell>
          <cell r="D140" t="str">
            <v>CT  DDF Monitors</v>
          </cell>
          <cell r="E140" t="str">
            <v>Other</v>
          </cell>
          <cell r="F140" t="str">
            <v>Evaluate performance of Connel Wagner Intellinode system</v>
          </cell>
          <cell r="G140" t="str">
            <v>Ops</v>
          </cell>
          <cell r="H140" t="str">
            <v>I</v>
          </cell>
          <cell r="I140">
            <v>2003</v>
          </cell>
          <cell r="J140" t="str">
            <v>AM/Northern</v>
          </cell>
          <cell r="K140" t="str">
            <v>TBA</v>
          </cell>
          <cell r="L140" t="str">
            <v>No Date</v>
          </cell>
          <cell r="M140">
            <v>0</v>
          </cell>
          <cell r="N140">
            <v>0</v>
          </cell>
          <cell r="O140">
            <v>10</v>
          </cell>
          <cell r="P140">
            <v>10</v>
          </cell>
        </row>
        <row r="141">
          <cell r="B141">
            <v>86.1</v>
          </cell>
          <cell r="C141" t="str">
            <v>Condition Monitoring</v>
          </cell>
          <cell r="D141" t="str">
            <v>Bushing DDF Monitors</v>
          </cell>
          <cell r="E141" t="str">
            <v>Other</v>
          </cell>
          <cell r="F141" t="str">
            <v>Install bushing monitor on system critical transformers with no system spares - Lismore</v>
          </cell>
          <cell r="G141" t="str">
            <v>CAP</v>
          </cell>
          <cell r="H141" t="str">
            <v>A</v>
          </cell>
          <cell r="I141">
            <v>2003</v>
          </cell>
          <cell r="J141" t="str">
            <v>AM/Northern</v>
          </cell>
          <cell r="K141">
            <v>38869</v>
          </cell>
          <cell r="L141" t="str">
            <v>No Date</v>
          </cell>
          <cell r="M141">
            <v>0</v>
          </cell>
          <cell r="N141">
            <v>0</v>
          </cell>
          <cell r="O141">
            <v>10</v>
          </cell>
          <cell r="P141">
            <v>10</v>
          </cell>
        </row>
        <row r="142">
          <cell r="B142">
            <v>86.2</v>
          </cell>
          <cell r="C142" t="str">
            <v>Condition Monitoring</v>
          </cell>
          <cell r="D142" t="str">
            <v>Portable Tx On line Monitor</v>
          </cell>
          <cell r="E142" t="str">
            <v>Other</v>
          </cell>
          <cell r="F142" t="str">
            <v>Establish portable on-line monitoring unit for short-term monitoring or nursing of transformers</v>
          </cell>
          <cell r="G142" t="str">
            <v>CAP</v>
          </cell>
          <cell r="H142" t="str">
            <v>A</v>
          </cell>
          <cell r="I142">
            <v>2003</v>
          </cell>
          <cell r="J142" t="str">
            <v>SSE</v>
          </cell>
          <cell r="K142">
            <v>38322</v>
          </cell>
          <cell r="M142">
            <v>0</v>
          </cell>
          <cell r="N142">
            <v>0</v>
          </cell>
          <cell r="O142">
            <v>10</v>
          </cell>
          <cell r="P142">
            <v>10</v>
          </cell>
        </row>
        <row r="143">
          <cell r="B143">
            <v>88</v>
          </cell>
          <cell r="C143" t="str">
            <v>Circuit Breakers</v>
          </cell>
          <cell r="D143" t="str">
            <v>Circuit Breakers Testing</v>
          </cell>
          <cell r="E143" t="str">
            <v>Other</v>
          </cell>
          <cell r="F143" t="str">
            <v>Investigate and Report on circuit breaker test procedures and methods by December 2004</v>
          </cell>
          <cell r="G143" t="str">
            <v>Ops</v>
          </cell>
          <cell r="H143" t="str">
            <v>I</v>
          </cell>
          <cell r="I143">
            <v>2003</v>
          </cell>
          <cell r="J143" t="str">
            <v>SSE</v>
          </cell>
          <cell r="K143">
            <v>38322</v>
          </cell>
          <cell r="M143">
            <v>0</v>
          </cell>
          <cell r="N143">
            <v>0</v>
          </cell>
          <cell r="O143">
            <v>10</v>
          </cell>
          <cell r="P143">
            <v>10</v>
          </cell>
        </row>
        <row r="144">
          <cell r="B144">
            <v>89</v>
          </cell>
          <cell r="C144" t="str">
            <v>Spare Equipment</v>
          </cell>
          <cell r="D144" t="str">
            <v>Spare Equipment</v>
          </cell>
          <cell r="E144" t="str">
            <v>Other</v>
          </cell>
          <cell r="F144" t="str">
            <v>Develop and issue general policy for the management of spare plant and parts to be held for substations</v>
          </cell>
          <cell r="G144" t="str">
            <v>Ops</v>
          </cell>
          <cell r="H144" t="str">
            <v>I</v>
          </cell>
          <cell r="I144">
            <v>2004</v>
          </cell>
          <cell r="J144" t="str">
            <v>SSE</v>
          </cell>
          <cell r="K144">
            <v>38504</v>
          </cell>
          <cell r="M144">
            <v>0</v>
          </cell>
          <cell r="N144">
            <v>0</v>
          </cell>
          <cell r="O144">
            <v>8</v>
          </cell>
          <cell r="P144">
            <v>0</v>
          </cell>
        </row>
        <row r="145">
          <cell r="B145">
            <v>90</v>
          </cell>
          <cell r="C145" t="str">
            <v>Instrument Transformers</v>
          </cell>
          <cell r="D145" t="str">
            <v xml:space="preserve">Other Condition </v>
          </cell>
          <cell r="E145" t="str">
            <v>Other</v>
          </cell>
          <cell r="F145" t="str">
            <v>Replace</v>
          </cell>
          <cell r="G145" t="str">
            <v>CAP</v>
          </cell>
          <cell r="H145" t="str">
            <v>C</v>
          </cell>
          <cell r="J145" t="str">
            <v>Asset Managers</v>
          </cell>
          <cell r="K145" t="str">
            <v>Recurrent</v>
          </cell>
          <cell r="M145" t="str">
            <v>Assess</v>
          </cell>
        </row>
        <row r="146">
          <cell r="B146">
            <v>91</v>
          </cell>
          <cell r="C146" t="str">
            <v>Instrument Transformers</v>
          </cell>
          <cell r="D146" t="str">
            <v>Ducon CTs and CVTs</v>
          </cell>
          <cell r="E146" t="str">
            <v>Other</v>
          </cell>
          <cell r="F146" t="str">
            <v>Replace</v>
          </cell>
          <cell r="G146" t="str">
            <v>CAP</v>
          </cell>
          <cell r="H146" t="str">
            <v>C</v>
          </cell>
          <cell r="J146" t="str">
            <v>Asset Managers</v>
          </cell>
          <cell r="K146" t="str">
            <v>Recurrent</v>
          </cell>
        </row>
        <row r="147">
          <cell r="B147">
            <v>92</v>
          </cell>
          <cell r="C147" t="str">
            <v>Reactive Plant</v>
          </cell>
          <cell r="D147" t="str">
            <v>SVC</v>
          </cell>
          <cell r="E147" t="str">
            <v>Other</v>
          </cell>
          <cell r="F147" t="str">
            <v>Site Specific</v>
          </cell>
          <cell r="G147" t="str">
            <v>CAP</v>
          </cell>
          <cell r="H147" t="str">
            <v>c</v>
          </cell>
          <cell r="J147" t="str">
            <v>Asset Managers</v>
          </cell>
          <cell r="M147" t="str">
            <v>Assess</v>
          </cell>
        </row>
        <row r="148">
          <cell r="B148">
            <v>200</v>
          </cell>
          <cell r="C148" t="str">
            <v>Security</v>
          </cell>
          <cell r="D148" t="str">
            <v>Network Security Plan 2004 - 2009</v>
          </cell>
          <cell r="E148" t="str">
            <v>Replacement</v>
          </cell>
          <cell r="F148" t="str">
            <v>T1 - Security Perimeter Delineation Fence</v>
          </cell>
          <cell r="G148" t="str">
            <v>CAP</v>
          </cell>
          <cell r="H148" t="str">
            <v>R</v>
          </cell>
          <cell r="I148">
            <v>2004</v>
          </cell>
          <cell r="J148" t="str">
            <v>Asset Managers</v>
          </cell>
          <cell r="K148">
            <v>39965</v>
          </cell>
          <cell r="M148">
            <v>8</v>
          </cell>
          <cell r="N148">
            <v>0</v>
          </cell>
          <cell r="O148">
            <v>5</v>
          </cell>
          <cell r="P148">
            <v>2</v>
          </cell>
        </row>
        <row r="149">
          <cell r="B149">
            <v>201</v>
          </cell>
          <cell r="C149" t="str">
            <v>Security</v>
          </cell>
          <cell r="D149" t="str">
            <v>Network Security Plan 2004 - 2009</v>
          </cell>
          <cell r="E149" t="str">
            <v>Replacement</v>
          </cell>
          <cell r="F149" t="str">
            <v>T2 - Security Perimeter Fence</v>
          </cell>
          <cell r="G149" t="str">
            <v>CAP</v>
          </cell>
          <cell r="H149" t="str">
            <v>R</v>
          </cell>
          <cell r="I149">
            <v>2004</v>
          </cell>
          <cell r="J149" t="str">
            <v>Asset Managers</v>
          </cell>
          <cell r="K149">
            <v>39965</v>
          </cell>
          <cell r="M149">
            <v>8</v>
          </cell>
          <cell r="N149">
            <v>0</v>
          </cell>
          <cell r="O149">
            <v>5</v>
          </cell>
          <cell r="P149">
            <v>2</v>
          </cell>
        </row>
        <row r="150">
          <cell r="B150">
            <v>202</v>
          </cell>
          <cell r="C150" t="str">
            <v>Security</v>
          </cell>
          <cell r="D150" t="str">
            <v>Network Security Plan 2004 - 2009</v>
          </cell>
          <cell r="E150" t="str">
            <v>Other</v>
          </cell>
          <cell r="F150" t="str">
            <v>T3 - CCTV/PA</v>
          </cell>
          <cell r="G150" t="str">
            <v>CAP</v>
          </cell>
          <cell r="H150" t="str">
            <v>R</v>
          </cell>
          <cell r="I150">
            <v>2004</v>
          </cell>
          <cell r="J150" t="str">
            <v>Asset Managers</v>
          </cell>
          <cell r="K150">
            <v>39965</v>
          </cell>
          <cell r="M150">
            <v>8</v>
          </cell>
          <cell r="N150">
            <v>0</v>
          </cell>
          <cell r="O150">
            <v>5</v>
          </cell>
          <cell r="P150">
            <v>2</v>
          </cell>
        </row>
        <row r="151">
          <cell r="B151">
            <v>203</v>
          </cell>
          <cell r="C151" t="str">
            <v>Security</v>
          </cell>
          <cell r="D151" t="str">
            <v>Network Security Plan 2004 - 2009</v>
          </cell>
          <cell r="E151" t="str">
            <v>Other</v>
          </cell>
          <cell r="F151" t="str">
            <v>T4 - Monitored intrusion detection</v>
          </cell>
          <cell r="G151" t="str">
            <v>CAP</v>
          </cell>
          <cell r="H151" t="str">
            <v>R</v>
          </cell>
          <cell r="I151">
            <v>2004</v>
          </cell>
          <cell r="J151" t="str">
            <v>Asset Managers</v>
          </cell>
          <cell r="K151">
            <v>39965</v>
          </cell>
          <cell r="M151">
            <v>8</v>
          </cell>
          <cell r="N151">
            <v>0</v>
          </cell>
          <cell r="O151">
            <v>5</v>
          </cell>
          <cell r="P151">
            <v>2</v>
          </cell>
        </row>
        <row r="152">
          <cell r="B152">
            <v>204</v>
          </cell>
          <cell r="C152" t="str">
            <v>Security</v>
          </cell>
          <cell r="D152" t="str">
            <v>Network Security Plan 2004 - 2009</v>
          </cell>
          <cell r="E152" t="str">
            <v>Other</v>
          </cell>
          <cell r="F152" t="str">
            <v>T5 - Access Control</v>
          </cell>
          <cell r="G152" t="str">
            <v>CAP</v>
          </cell>
          <cell r="H152" t="str">
            <v>R</v>
          </cell>
          <cell r="I152">
            <v>2004</v>
          </cell>
          <cell r="J152" t="str">
            <v>Asset Managers</v>
          </cell>
          <cell r="K152">
            <v>39965</v>
          </cell>
          <cell r="M152">
            <v>8</v>
          </cell>
          <cell r="N152">
            <v>0</v>
          </cell>
          <cell r="O152">
            <v>5</v>
          </cell>
          <cell r="P152">
            <v>2</v>
          </cell>
        </row>
        <row r="153">
          <cell r="B153">
            <v>205</v>
          </cell>
          <cell r="C153" t="str">
            <v>Security</v>
          </cell>
          <cell r="D153" t="str">
            <v>Network Security Plan 2004 - 2009</v>
          </cell>
          <cell r="E153" t="str">
            <v>Other</v>
          </cell>
          <cell r="F153" t="str">
            <v>T6 - Movement activated lighting</v>
          </cell>
          <cell r="G153" t="str">
            <v>CAP</v>
          </cell>
          <cell r="H153" t="str">
            <v>R</v>
          </cell>
          <cell r="I153">
            <v>2004</v>
          </cell>
          <cell r="J153" t="str">
            <v>Asset Managers</v>
          </cell>
          <cell r="K153">
            <v>39965</v>
          </cell>
          <cell r="M153">
            <v>8</v>
          </cell>
          <cell r="N153">
            <v>0</v>
          </cell>
          <cell r="O153">
            <v>5</v>
          </cell>
          <cell r="P153">
            <v>2</v>
          </cell>
        </row>
        <row r="154">
          <cell r="B154">
            <v>206</v>
          </cell>
          <cell r="C154" t="str">
            <v>Security</v>
          </cell>
          <cell r="D154" t="str">
            <v>Network Security Plan 2004 - 2009</v>
          </cell>
          <cell r="E154" t="str">
            <v>Other</v>
          </cell>
          <cell r="F154" t="str">
            <v>T7 - Restricted locking and keying</v>
          </cell>
          <cell r="G154" t="str">
            <v>CAP</v>
          </cell>
          <cell r="H154" t="str">
            <v>R</v>
          </cell>
          <cell r="I154">
            <v>2004</v>
          </cell>
          <cell r="J154" t="str">
            <v>Asset Managers</v>
          </cell>
          <cell r="K154">
            <v>39965</v>
          </cell>
          <cell r="M154">
            <v>8</v>
          </cell>
          <cell r="N154">
            <v>0</v>
          </cell>
          <cell r="O154">
            <v>5</v>
          </cell>
          <cell r="P154">
            <v>2</v>
          </cell>
        </row>
        <row r="155">
          <cell r="B155">
            <v>207</v>
          </cell>
          <cell r="C155" t="str">
            <v>Security</v>
          </cell>
          <cell r="D155" t="str">
            <v>Network Security Plan 2004 - 2009</v>
          </cell>
          <cell r="E155" t="str">
            <v>Other</v>
          </cell>
          <cell r="F155" t="str">
            <v>T8 - Sinage</v>
          </cell>
          <cell r="G155" t="str">
            <v>CAP</v>
          </cell>
          <cell r="H155" t="str">
            <v>R</v>
          </cell>
          <cell r="I155">
            <v>2004</v>
          </cell>
          <cell r="J155" t="str">
            <v>Asset Managers</v>
          </cell>
          <cell r="K155">
            <v>39965</v>
          </cell>
          <cell r="M155">
            <v>8</v>
          </cell>
          <cell r="N155">
            <v>0</v>
          </cell>
          <cell r="O155">
            <v>5</v>
          </cell>
          <cell r="P155">
            <v>2</v>
          </cell>
        </row>
        <row r="156">
          <cell r="B156">
            <v>208</v>
          </cell>
          <cell r="C156" t="str">
            <v>Security</v>
          </cell>
          <cell r="D156" t="str">
            <v>Network Security Plan 2004 - 2009</v>
          </cell>
          <cell r="E156" t="str">
            <v>Other</v>
          </cell>
          <cell r="F156" t="str">
            <v>T9 - Community awareness</v>
          </cell>
          <cell r="G156" t="str">
            <v>CAP</v>
          </cell>
          <cell r="H156" t="str">
            <v>R</v>
          </cell>
          <cell r="I156">
            <v>2004</v>
          </cell>
          <cell r="J156" t="str">
            <v>Asset Managers</v>
          </cell>
          <cell r="K156">
            <v>39965</v>
          </cell>
          <cell r="M156">
            <v>8</v>
          </cell>
          <cell r="N156">
            <v>0</v>
          </cell>
          <cell r="O156">
            <v>5</v>
          </cell>
          <cell r="P156">
            <v>2</v>
          </cell>
        </row>
        <row r="157">
          <cell r="B157">
            <v>209</v>
          </cell>
          <cell r="C157" t="str">
            <v>Security</v>
          </cell>
          <cell r="D157" t="str">
            <v>Network Security Plan 2004 - 2009</v>
          </cell>
          <cell r="E157" t="str">
            <v>Other</v>
          </cell>
          <cell r="F157" t="str">
            <v>T10 - Staff awareness</v>
          </cell>
          <cell r="G157" t="str">
            <v>CAP</v>
          </cell>
          <cell r="H157" t="str">
            <v>R</v>
          </cell>
          <cell r="I157">
            <v>2004</v>
          </cell>
          <cell r="J157" t="str">
            <v>Asset Managers</v>
          </cell>
          <cell r="K157">
            <v>39965</v>
          </cell>
          <cell r="M157">
            <v>8</v>
          </cell>
          <cell r="N157">
            <v>0</v>
          </cell>
          <cell r="O157">
            <v>5</v>
          </cell>
          <cell r="P157">
            <v>2</v>
          </cell>
        </row>
        <row r="158">
          <cell r="B158">
            <v>300</v>
          </cell>
          <cell r="C158" t="str">
            <v>To Be confirmed</v>
          </cell>
          <cell r="D158" t="str">
            <v>To Be confirmed</v>
          </cell>
          <cell r="E158" t="str">
            <v>Other</v>
          </cell>
          <cell r="F158" t="str">
            <v>To Be confirmed</v>
          </cell>
        </row>
        <row r="159">
          <cell r="B159">
            <v>301</v>
          </cell>
          <cell r="C159" t="str">
            <v>Condition Monitoring</v>
          </cell>
          <cell r="D159" t="str">
            <v>Site Infrastructure</v>
          </cell>
          <cell r="E159" t="str">
            <v>Other</v>
          </cell>
          <cell r="F159" t="str">
            <v xml:space="preserve">Installation of infrastructure to support CM equipment </v>
          </cell>
          <cell r="G159" t="str">
            <v>CAP</v>
          </cell>
          <cell r="H159" t="str">
            <v>R</v>
          </cell>
          <cell r="I159">
            <v>3004</v>
          </cell>
          <cell r="J159" t="str">
            <v>Asset Managers</v>
          </cell>
          <cell r="K159">
            <v>39965</v>
          </cell>
          <cell r="M159">
            <v>0</v>
          </cell>
          <cell r="N159">
            <v>0</v>
          </cell>
          <cell r="O159">
            <v>0</v>
          </cell>
          <cell r="P159">
            <v>8</v>
          </cell>
        </row>
        <row r="160">
          <cell r="B160">
            <v>302</v>
          </cell>
          <cell r="C160" t="str">
            <v>Condition Monitonring</v>
          </cell>
          <cell r="D160" t="str">
            <v>Evaluation of New Equipment</v>
          </cell>
          <cell r="E160" t="str">
            <v>Other</v>
          </cell>
          <cell r="F160" t="str">
            <v>Evaluate New Condition Monitoring Equipment</v>
          </cell>
          <cell r="G160" t="str">
            <v>CAP</v>
          </cell>
          <cell r="H160" t="str">
            <v>I</v>
          </cell>
          <cell r="I160">
            <v>2004</v>
          </cell>
          <cell r="J160" t="str">
            <v>SSE</v>
          </cell>
          <cell r="K160" t="str">
            <v>Recurrent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Summary Jan - Dec 06"/>
      <sheetName val="Elec Maint"/>
      <sheetName val="Gas Maint"/>
      <sheetName val="Gas Maintenance"/>
      <sheetName val="Proj Sum pivot"/>
      <sheetName val="Combined Proj Sum"/>
      <sheetName val="exp sum pivot"/>
      <sheetName val="Combined Exp Sum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Fixed or Variable</v>
          </cell>
        </row>
        <row r="4">
          <cell r="P4" t="str">
            <v>Fixed</v>
          </cell>
        </row>
        <row r="5">
          <cell r="P5" t="str">
            <v>Variable</v>
          </cell>
        </row>
        <row r="6">
          <cell r="P6" t="str">
            <v>Variable</v>
          </cell>
        </row>
        <row r="7">
          <cell r="P7" t="str">
            <v>Variable</v>
          </cell>
        </row>
        <row r="8">
          <cell r="P8" t="str">
            <v>Variable</v>
          </cell>
        </row>
        <row r="9">
          <cell r="P9" t="str">
            <v>Variable</v>
          </cell>
        </row>
        <row r="10">
          <cell r="P10" t="str">
            <v>Variable</v>
          </cell>
        </row>
        <row r="11">
          <cell r="P11" t="str">
            <v>Variable</v>
          </cell>
        </row>
        <row r="12">
          <cell r="P12" t="str">
            <v>Variable</v>
          </cell>
        </row>
        <row r="13">
          <cell r="P13" t="str">
            <v>Variable</v>
          </cell>
        </row>
        <row r="14">
          <cell r="P14" t="str">
            <v>Variable</v>
          </cell>
        </row>
        <row r="15">
          <cell r="P15" t="str">
            <v>Variable</v>
          </cell>
        </row>
        <row r="16">
          <cell r="P16" t="str">
            <v>Variable</v>
          </cell>
        </row>
        <row r="17">
          <cell r="P17" t="str">
            <v>Variable</v>
          </cell>
        </row>
        <row r="18">
          <cell r="P18" t="str">
            <v>Variable</v>
          </cell>
        </row>
        <row r="19">
          <cell r="P19" t="str">
            <v>Variable</v>
          </cell>
        </row>
        <row r="20">
          <cell r="P20" t="str">
            <v>Variable</v>
          </cell>
        </row>
        <row r="21">
          <cell r="P21" t="str">
            <v>Variable</v>
          </cell>
        </row>
        <row r="22">
          <cell r="P22" t="str">
            <v>Variable</v>
          </cell>
        </row>
        <row r="23">
          <cell r="P23" t="str">
            <v>Variable</v>
          </cell>
        </row>
        <row r="24">
          <cell r="P24" t="str">
            <v>Variable</v>
          </cell>
        </row>
        <row r="25">
          <cell r="P25" t="str">
            <v>Variable</v>
          </cell>
        </row>
        <row r="26">
          <cell r="P26" t="str">
            <v>Variable</v>
          </cell>
        </row>
        <row r="27">
          <cell r="P27" t="str">
            <v>Variable</v>
          </cell>
        </row>
        <row r="28">
          <cell r="P28" t="str">
            <v>Variable</v>
          </cell>
        </row>
        <row r="29">
          <cell r="P29" t="str">
            <v>Variable</v>
          </cell>
        </row>
        <row r="30">
          <cell r="P30" t="str">
            <v>Fixed</v>
          </cell>
        </row>
        <row r="31">
          <cell r="P31" t="str">
            <v>Fixed</v>
          </cell>
        </row>
        <row r="32">
          <cell r="P32" t="str">
            <v>Fixed</v>
          </cell>
        </row>
        <row r="33">
          <cell r="P33" t="str">
            <v>Fixed</v>
          </cell>
        </row>
        <row r="34">
          <cell r="P34" t="str">
            <v>Fixed</v>
          </cell>
        </row>
        <row r="35">
          <cell r="P35" t="str">
            <v>Fixed</v>
          </cell>
        </row>
        <row r="36">
          <cell r="P36" t="str">
            <v>Fixed</v>
          </cell>
        </row>
        <row r="37">
          <cell r="P37" t="str">
            <v>Variable</v>
          </cell>
        </row>
        <row r="38">
          <cell r="P38" t="str">
            <v>Fixed</v>
          </cell>
        </row>
        <row r="39">
          <cell r="P39" t="str">
            <v>Fixed</v>
          </cell>
        </row>
        <row r="40">
          <cell r="P40" t="str">
            <v>Variable</v>
          </cell>
        </row>
        <row r="41">
          <cell r="P41" t="str">
            <v>Variable</v>
          </cell>
        </row>
        <row r="42">
          <cell r="P42" t="str">
            <v>Variable</v>
          </cell>
        </row>
        <row r="43">
          <cell r="P43" t="str">
            <v>Variable</v>
          </cell>
        </row>
        <row r="44">
          <cell r="P44" t="str">
            <v>Variable</v>
          </cell>
        </row>
        <row r="45">
          <cell r="P45" t="str">
            <v>Other</v>
          </cell>
        </row>
        <row r="46">
          <cell r="P46" t="str">
            <v>Other</v>
          </cell>
        </row>
        <row r="47">
          <cell r="P47" t="str">
            <v>Other</v>
          </cell>
        </row>
        <row r="48">
          <cell r="P48" t="str">
            <v>Other</v>
          </cell>
        </row>
        <row r="49">
          <cell r="P49" t="str">
            <v>Other</v>
          </cell>
        </row>
        <row r="50">
          <cell r="P50" t="str">
            <v>Other</v>
          </cell>
        </row>
        <row r="51">
          <cell r="P51" t="str">
            <v>Fixed</v>
          </cell>
        </row>
        <row r="52">
          <cell r="P52" t="str">
            <v>Variable</v>
          </cell>
        </row>
        <row r="53">
          <cell r="P53" t="str">
            <v>Other</v>
          </cell>
        </row>
        <row r="54">
          <cell r="P54" t="str">
            <v>Other</v>
          </cell>
        </row>
        <row r="55">
          <cell r="P55" t="str">
            <v>Other</v>
          </cell>
        </row>
        <row r="56">
          <cell r="P56" t="str">
            <v>Other</v>
          </cell>
        </row>
        <row r="57">
          <cell r="P57" t="str">
            <v>Fixed</v>
          </cell>
        </row>
        <row r="58">
          <cell r="P58" t="str">
            <v>Fixed</v>
          </cell>
        </row>
        <row r="59">
          <cell r="P59" t="str">
            <v>Fixed</v>
          </cell>
        </row>
        <row r="60">
          <cell r="P60" t="str">
            <v>Fixed</v>
          </cell>
        </row>
        <row r="61">
          <cell r="P61" t="str">
            <v>Fixed</v>
          </cell>
        </row>
        <row r="62">
          <cell r="P62" t="str">
            <v>Fixed</v>
          </cell>
        </row>
        <row r="63">
          <cell r="P63" t="str">
            <v>Fixed</v>
          </cell>
        </row>
        <row r="64">
          <cell r="P64" t="str">
            <v>Fixed</v>
          </cell>
        </row>
        <row r="65">
          <cell r="P65" t="str">
            <v>Fixed</v>
          </cell>
        </row>
        <row r="66">
          <cell r="P66" t="str">
            <v>Fixed</v>
          </cell>
        </row>
        <row r="67">
          <cell r="P67" t="str">
            <v>Fixed</v>
          </cell>
        </row>
        <row r="68">
          <cell r="P68" t="str">
            <v>Fixed</v>
          </cell>
        </row>
        <row r="69">
          <cell r="P69" t="str">
            <v>Fixed</v>
          </cell>
        </row>
        <row r="70">
          <cell r="P70" t="str">
            <v>Fixed</v>
          </cell>
        </row>
        <row r="71">
          <cell r="P71" t="str">
            <v>Other</v>
          </cell>
        </row>
        <row r="72">
          <cell r="P72" t="str">
            <v>Other</v>
          </cell>
        </row>
        <row r="73">
          <cell r="P73" t="str">
            <v>Fixed</v>
          </cell>
        </row>
        <row r="74">
          <cell r="P74" t="str">
            <v>Fixed</v>
          </cell>
        </row>
        <row r="75">
          <cell r="P75" t="str">
            <v>Other</v>
          </cell>
        </row>
        <row r="76">
          <cell r="P76" t="str">
            <v>Other</v>
          </cell>
        </row>
        <row r="77">
          <cell r="P77" t="str">
            <v>Other</v>
          </cell>
        </row>
        <row r="78">
          <cell r="P78" t="str">
            <v>Fixed</v>
          </cell>
        </row>
        <row r="79">
          <cell r="P79" t="str">
            <v>Fixed</v>
          </cell>
        </row>
        <row r="80">
          <cell r="P80" t="str">
            <v>Fixed</v>
          </cell>
        </row>
        <row r="81">
          <cell r="P81" t="str">
            <v>Fixed</v>
          </cell>
        </row>
        <row r="82">
          <cell r="P82" t="str">
            <v>Fixed</v>
          </cell>
        </row>
        <row r="83">
          <cell r="P83" t="str">
            <v>Fixed</v>
          </cell>
        </row>
        <row r="84">
          <cell r="P84" t="str">
            <v>Fixed</v>
          </cell>
        </row>
        <row r="85">
          <cell r="P85" t="str">
            <v>Fixed</v>
          </cell>
        </row>
        <row r="86">
          <cell r="P86" t="str">
            <v>Fixed</v>
          </cell>
        </row>
        <row r="87">
          <cell r="P87" t="str">
            <v>Other</v>
          </cell>
        </row>
        <row r="88">
          <cell r="P88" t="str">
            <v>Fixed</v>
          </cell>
        </row>
        <row r="89">
          <cell r="P89" t="str">
            <v>Fixed</v>
          </cell>
        </row>
        <row r="90">
          <cell r="P90" t="str">
            <v>Fixed</v>
          </cell>
        </row>
        <row r="91">
          <cell r="P91" t="str">
            <v>Fixed</v>
          </cell>
        </row>
        <row r="92">
          <cell r="P92" t="str">
            <v>Fixed</v>
          </cell>
        </row>
        <row r="93">
          <cell r="P93" t="str">
            <v>Other</v>
          </cell>
        </row>
        <row r="94">
          <cell r="P94" t="str">
            <v>Other</v>
          </cell>
        </row>
        <row r="95">
          <cell r="P95" t="str">
            <v>Fixed</v>
          </cell>
        </row>
        <row r="96">
          <cell r="P96" t="str">
            <v>Fixed</v>
          </cell>
        </row>
        <row r="97">
          <cell r="P97" t="str">
            <v>Fixed</v>
          </cell>
        </row>
        <row r="98">
          <cell r="P98" t="str">
            <v>Unallocated</v>
          </cell>
        </row>
        <row r="99">
          <cell r="P99" t="str">
            <v>Support</v>
          </cell>
        </row>
        <row r="100">
          <cell r="P100" t="str">
            <v>Unallocated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Draft 1"/>
      <sheetName val="Revenue"/>
      <sheetName val="Revenu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P&amp;L"/>
      <sheetName val="BalSht"/>
      <sheetName val="TotalMgmtReport-P&amp;L"/>
      <sheetName val="TotalMgmtReport-BS"/>
      <sheetName val="Journals"/>
      <sheetName val="Sheet3"/>
      <sheetName val="Sheet2"/>
      <sheetName val="Other-Rev"/>
      <sheetName val="P&amp;LSch"/>
      <sheetName val="BalShtSch"/>
      <sheetName val="P&amp;L(E01)"/>
      <sheetName val="P&amp;L(E02)"/>
      <sheetName val="P&amp;L (E14)"/>
      <sheetName val="BS(E02)"/>
      <sheetName val="BS(E01)"/>
      <sheetName val="BS(E14)"/>
      <sheetName val="DMS-BalSht"/>
      <sheetName val="Explain"/>
      <sheetName val="Query"/>
      <sheetName val="Sheet1"/>
      <sheetName val="OtherNonLab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BALSHT"/>
      <sheetName val="ELIMINATIONS"/>
      <sheetName val="EQUITY ITEMS"/>
      <sheetName val="RATE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e"/>
      <sheetName val="Sumry"/>
      <sheetName val="P&amp;L"/>
      <sheetName val="P&amp;Lwkngs-9mths"/>
      <sheetName val="P&amp;Lwkngs-12mths"/>
      <sheetName val="BS"/>
      <sheetName val="BSwkngs"/>
      <sheetName val="Adjust"/>
      <sheetName val="PsoftP&amp;L"/>
      <sheetName val="ProceedsPPE"/>
      <sheetName val="Abnormals"/>
      <sheetName val="KH-Abnormals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 Group Consol"/>
      <sheetName val="EE Group Total"/>
      <sheetName val="EE Group (2)"/>
      <sheetName val="EE Group (1)"/>
      <sheetName val="E01 EE"/>
      <sheetName val="E02 EFM"/>
      <sheetName val="E04 ATM"/>
      <sheetName val="E13 TXU Trading"/>
      <sheetName val="EASTERN PL ADJ&amp; CUST CONT"/>
      <sheetName val="reclassification"/>
      <sheetName val="elimination"/>
      <sheetName val="Enetech 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Entity"/>
      <sheetName val="TUA Group"/>
      <sheetName val="Worksheet-Provisions-step1"/>
      <sheetName val="ee tax note-linked"/>
      <sheetName val="atm tax note"/>
      <sheetName val="txu pty tax note"/>
      <sheetName val="kinetik tax note"/>
      <sheetName val="gcs tax note"/>
      <sheetName val="group - step2 "/>
      <sheetName val="westar tax note"/>
      <sheetName val="ent tax note"/>
      <sheetName val="efm tax note"/>
      <sheetName val="txu other tax note"/>
      <sheetName val="w&amp;k consolidated tax note"/>
      <sheetName val="tax note"/>
      <sheetName val="fitb&amp;pditstep4"/>
      <sheetName val="FITB and P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Assumptions_SC"/>
      <sheetName val="GA"/>
      <sheetName val="SPAND_SSC"/>
      <sheetName val="SPAND_GL_BA"/>
      <sheetName val="SPAND_PA_BA"/>
      <sheetName val="SPAND_Other_BA"/>
      <sheetName val="SPAND_Asset_BA"/>
      <sheetName val="SPANT_SSC"/>
      <sheetName val="SPANT_GL_BA"/>
      <sheetName val="SPANT_PA_BA"/>
      <sheetName val="SPANT_Other_BA"/>
      <sheetName val="SPANT_Asset_BA"/>
      <sheetName val="Output_SC"/>
      <sheetName val="SPAND_Output_SSC"/>
      <sheetName val="SPAND_Labour_BO"/>
      <sheetName val="SPAND_NonLabour_BO"/>
      <sheetName val="SPAND_Other_Co_BO"/>
      <sheetName val="SPANT_Output_SSC"/>
      <sheetName val="SPANT_Labour_BO"/>
      <sheetName val="SPANT_NonLabour_BO"/>
      <sheetName val="SPANT_Other_Co_BO"/>
      <sheetName val="Summary_SC"/>
      <sheetName val="SPAND_Summary_BO"/>
      <sheetName val="SPANT_Summary_BO"/>
      <sheetName val="Lookup_SC"/>
      <sheetName val="Lookup_BL"/>
      <sheetName val="SPAN_Result_BL"/>
      <sheetName val="SPAND_LU_SSC"/>
      <sheetName val="SPAND_LU_BL"/>
      <sheetName val="SPAND_CostCentre_BL"/>
      <sheetName val="SPAND_CorpFunction_BL"/>
      <sheetName val="SPAND_WC_BL"/>
      <sheetName val="SPANT_LU_SSC"/>
      <sheetName val="SPANT_LU_BL"/>
      <sheetName val="SPANT_CostCentre_BL"/>
      <sheetName val="SPANT_CorpFunction_BL"/>
      <sheetName val="SPANT_WC_BL"/>
      <sheetName val="Misc_SC"/>
      <sheetName val="Summary"/>
    </sheetNames>
    <sheetDataSet>
      <sheetData sheetId="0"/>
      <sheetData sheetId="1"/>
      <sheetData sheetId="2"/>
      <sheetData sheetId="3">
        <row r="6">
          <cell r="G6">
            <v>3</v>
          </cell>
        </row>
        <row r="15">
          <cell r="M15">
            <v>1237</v>
          </cell>
          <cell r="N15">
            <v>401</v>
          </cell>
        </row>
        <row r="16">
          <cell r="M16">
            <v>0</v>
          </cell>
          <cell r="N16">
            <v>0</v>
          </cell>
        </row>
        <row r="25">
          <cell r="M25">
            <v>0</v>
          </cell>
          <cell r="N25">
            <v>2066000</v>
          </cell>
          <cell r="O25">
            <v>0</v>
          </cell>
          <cell r="P25">
            <v>712666.64</v>
          </cell>
        </row>
        <row r="30">
          <cell r="M30">
            <v>0</v>
          </cell>
          <cell r="N30">
            <v>2649865.0100000002</v>
          </cell>
        </row>
        <row r="31">
          <cell r="M31">
            <v>0</v>
          </cell>
          <cell r="N31">
            <v>12153895.760000022</v>
          </cell>
        </row>
        <row r="32">
          <cell r="M32">
            <v>0</v>
          </cell>
          <cell r="N32">
            <v>14803760.770000022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H6" t="str">
            <v>Total Other Companies</v>
          </cell>
        </row>
        <row r="8">
          <cell r="H8" t="str">
            <v>Cost Centre Name</v>
          </cell>
          <cell r="R8" t="str">
            <v>ADJ OH Pool 2</v>
          </cell>
          <cell r="Z8" t="str">
            <v>Elec OH Alloc</v>
          </cell>
          <cell r="AA8" t="str">
            <v>Gas OH Alloc</v>
          </cell>
          <cell r="AJ8" t="str">
            <v>Elec TOTAL</v>
          </cell>
          <cell r="AK8" t="str">
            <v>Gas TOTAL</v>
          </cell>
        </row>
      </sheetData>
      <sheetData sheetId="19"/>
      <sheetData sheetId="20">
        <row r="6">
          <cell r="H6" t="str">
            <v>Total Labour</v>
          </cell>
        </row>
        <row r="8">
          <cell r="AF8" t="str">
            <v>TOTAL</v>
          </cell>
        </row>
      </sheetData>
      <sheetData sheetId="21">
        <row r="6">
          <cell r="H6" t="str">
            <v>Total Non Labour</v>
          </cell>
        </row>
        <row r="8">
          <cell r="AF8" t="str">
            <v>TOTAL</v>
          </cell>
        </row>
      </sheetData>
      <sheetData sheetId="22">
        <row r="6">
          <cell r="H6" t="str">
            <v>Total Other Companies</v>
          </cell>
        </row>
        <row r="8">
          <cell r="H8" t="str">
            <v>Cost Centre Name</v>
          </cell>
          <cell r="R8" t="str">
            <v>ADJ OH Pool 2</v>
          </cell>
          <cell r="X8" t="str">
            <v>Total Alloc</v>
          </cell>
          <cell r="AF8" t="str">
            <v>TOTAL</v>
          </cell>
        </row>
      </sheetData>
      <sheetData sheetId="23"/>
      <sheetData sheetId="24"/>
      <sheetData sheetId="25"/>
      <sheetData sheetId="26"/>
      <sheetData sheetId="27">
        <row r="10">
          <cell r="C10" t="str">
            <v>Jun</v>
          </cell>
        </row>
        <row r="16">
          <cell r="D16">
            <v>1</v>
          </cell>
        </row>
        <row r="17">
          <cell r="D17">
            <v>2</v>
          </cell>
        </row>
      </sheetData>
      <sheetData sheetId="28"/>
      <sheetData sheetId="29"/>
      <sheetData sheetId="30"/>
      <sheetData sheetId="31">
        <row r="8">
          <cell r="G8" t="str">
            <v>Cost Centre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lended_Voluntary_Turnover_BO"/>
      <sheetName val="Outputs_SC"/>
      <sheetName val="Group_Tables_BO"/>
      <sheetName val="Headcount_BO"/>
      <sheetName val="Turnover_BO"/>
      <sheetName val="Annual_Leave_BO"/>
      <sheetName val="Tenure_&amp;_Age_BO"/>
      <sheetName val="Gender_BO"/>
      <sheetName val="New_Employees_BO"/>
      <sheetName val="Terminated_Employees_BO"/>
      <sheetName val="Contractors_BO"/>
      <sheetName val="Data_SC"/>
      <sheetName val="People_Numbers_BA"/>
      <sheetName val="Employees_BA"/>
      <sheetName val="Headcount_BA"/>
      <sheetName val="Terminations_BA"/>
      <sheetName val="Last_Employees_BA"/>
      <sheetName val="Last_Terminations_BA"/>
      <sheetName val="Leave_Balance_BA"/>
      <sheetName val="Vacancies_BA"/>
      <sheetName val="Appointments_Pending_BA"/>
      <sheetName val="Overtime_Hours_Claimed_BA"/>
      <sheetName val="All_Emp_BA"/>
      <sheetName val="Analysis_SC"/>
      <sheetName val="Overtime_Hours_BA"/>
      <sheetName val="Assumptions_SC"/>
      <sheetName val="Group_Tables_BA"/>
      <sheetName val="Chart_Data_BA"/>
      <sheetName val="Appendices_SC"/>
      <sheetName val="Lookup_Tables_SSC"/>
      <sheetName val="Reference_LU"/>
      <sheetName val="Numbers_LU"/>
      <sheetName val="Talent_LU"/>
      <sheetName val="Budget_LU"/>
      <sheetName val="Singapore_Headcount_BO"/>
      <sheetName val="Singapore_Reconciliation_BO"/>
      <sheetName val="Singapore_Headcount_BA"/>
      <sheetName val="Reconciliation_BA"/>
      <sheetName val="Overtime_Hours_Claimed_B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5">
          <cell r="I15">
            <v>41699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structions_SC"/>
      <sheetName val="Instructions_BO"/>
      <sheetName val="Inputs_SC"/>
      <sheetName val="Gen_Inputs_SSC"/>
      <sheetName val="GA_BA"/>
      <sheetName val="Eco_Eval_SSC"/>
      <sheetName val="Eco_Eval_GA_BA"/>
      <sheetName val="Eco_Eval_Inputs_BA"/>
      <sheetName val="Eco_Eval_Calcs_BO"/>
      <sheetName val="Eco_Eval_Financial_BO"/>
      <sheetName val="Eco_Eval_Summary_BO"/>
      <sheetName val="Project_Inputs_SSC"/>
      <sheetName val="LOB_BA"/>
      <sheetName val="Option_Ass_BA"/>
      <sheetName val="Reliability_Ass_BA"/>
      <sheetName val="Inputs_Option1_BA"/>
      <sheetName val="Inputs_Option2_BA"/>
      <sheetName val="Inputs_Option3_BA"/>
      <sheetName val="Inputs_Option4_BA"/>
      <sheetName val="Inputs_Option5_BA"/>
      <sheetName val="Inputs_Option6_BA"/>
      <sheetName val="Calcs_SC"/>
      <sheetName val="Calcs_Option1_BO"/>
      <sheetName val="Calcs_Option2_BO"/>
      <sheetName val="Calcs_Option3_BO"/>
      <sheetName val="Calcs_Option4_BO"/>
      <sheetName val="Calcs_Option5_BO"/>
      <sheetName val="Calcs_Option6_BO"/>
      <sheetName val="Reg_Opex_SSC"/>
      <sheetName val="Trans_Reg_Opex_BO"/>
      <sheetName val="Elec_Reg_Opex_BO"/>
      <sheetName val="Gas_Reg_Opex_BO"/>
      <sheetName val="Outputs_SC"/>
      <sheetName val="Fin_Stmts_SSC"/>
      <sheetName val="FS_BO"/>
      <sheetName val="Sum_BO"/>
      <sheetName val="Bus_Case_SSC"/>
      <sheetName val="Bus_Case_BO"/>
      <sheetName val="PET_BO"/>
      <sheetName val="Revised_BO"/>
      <sheetName val="IDC_BO"/>
      <sheetName val="Apendix_SC"/>
      <sheetName val="Corp_SSC"/>
      <sheetName val="CorpWACC_BA"/>
      <sheetName val="RegWACC_BA"/>
      <sheetName val="Overheads_BA"/>
      <sheetName val="Checks_SSC"/>
      <sheetName val="Reliability_BA"/>
      <sheetName val="Err_Chks_BO"/>
      <sheetName val="Lookups_SSC"/>
      <sheetName val="GL"/>
      <sheetName val="Lookup_Tables_BL"/>
      <sheetName val="Date_B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26">
          <cell r="D26" t="str">
            <v>Do Nothing</v>
          </cell>
        </row>
        <row r="27">
          <cell r="D27" t="str">
            <v xml:space="preserve"> Installing arc flash relays at MPS, MWN &amp; YN</v>
          </cell>
        </row>
        <row r="28">
          <cell r="D28" t="str">
            <v>Option 3</v>
          </cell>
        </row>
        <row r="29">
          <cell r="D29" t="str">
            <v>Option 4</v>
          </cell>
        </row>
        <row r="30">
          <cell r="D30" t="str">
            <v>Option 5</v>
          </cell>
        </row>
      </sheetData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Detail Apr07-Jun07"/>
      <sheetName val="Detail Apr07-Jun07"/>
      <sheetName val="Macro1"/>
    </sheetNames>
    <sheetDataSet>
      <sheetData sheetId="0" refreshError="1"/>
      <sheetData sheetId="1" refreshError="1"/>
      <sheetData sheetId="2" refreshError="1">
        <row r="1">
          <cell r="A1" t="str">
            <v>Macro1</v>
          </cell>
        </row>
        <row r="38">
          <cell r="A38" t="str">
            <v>Macro2</v>
          </cell>
        </row>
        <row r="45">
          <cell r="A45" t="str">
            <v>Macro3</v>
          </cell>
        </row>
        <row r="52">
          <cell r="A52" t="str">
            <v>Macro4</v>
          </cell>
        </row>
        <row r="59">
          <cell r="A59" t="str">
            <v>Macro5</v>
          </cell>
        </row>
        <row r="94">
          <cell r="A94" t="str">
            <v>Recover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Adj Schedule"/>
      <sheetName val="REV-EXP"/>
      <sheetName val="PL rec"/>
      <sheetName val="DTT Changes"/>
      <sheetName val="Adjust Jnls"/>
      <sheetName val="RE Rec Jnl"/>
      <sheetName val="2000 Exp Class Discl Rec"/>
      <sheetName val="2000 Acts Adjust"/>
      <sheetName val="RE Rec"/>
      <sheetName val="PS Report"/>
      <sheetName val="Revenue"/>
      <sheetName val="Revenue (2)"/>
      <sheetName val="Dec00 BS"/>
      <sheetName val="QUERY"/>
      <sheetName val="QUERY (2)"/>
      <sheetName val="CUST CONT UIG Jnl 2000"/>
      <sheetName val="5601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port"/>
      <sheetName val="E23"/>
    </sheetNames>
    <sheetDataSet>
      <sheetData sheetId="0" refreshError="1"/>
      <sheetData sheetId="1" refreshError="1">
        <row r="1">
          <cell r="A1" t="str">
            <v>As of Date:31/03/2001</v>
          </cell>
          <cell r="E1" t="str">
            <v>Consolidated Profit and Loss</v>
          </cell>
          <cell r="I1" t="str">
            <v>Run Date/Time:26-MAR-2001_10:55:56_AM</v>
          </cell>
        </row>
        <row r="2">
          <cell r="A2" t="str">
            <v>Report Structure:MGT_STRUCTURE</v>
          </cell>
          <cell r="E2" t="str">
            <v>Node Reported:TXU   TXU MANAGEMENT</v>
          </cell>
        </row>
        <row r="3">
          <cell r="A3" t="str">
            <v>Budget Scenario:FINAL</v>
          </cell>
        </row>
        <row r="5">
          <cell r="C5" t="str">
            <v xml:space="preserve"> CORPORATE SERVICES MGT CONSOLN</v>
          </cell>
          <cell r="E5" t="str">
            <v xml:space="preserve"> E01</v>
          </cell>
          <cell r="G5" t="str">
            <v xml:space="preserve"> TXU (NO 13) PTY LTD (ENETECH)</v>
          </cell>
          <cell r="I5" t="str">
            <v xml:space="preserve"> TXU (NO 14) PTY LTD (ATM)</v>
          </cell>
          <cell r="K5" t="str">
            <v xml:space="preserve"> GLOBAL CUSTOMER SOLUTIONS P/L</v>
          </cell>
          <cell r="M5" t="str">
            <v xml:space="preserve"> TXU AUSTRALIA SERVICES PTY LTD</v>
          </cell>
          <cell r="O5" t="str">
            <v xml:space="preserve"> TXU (NO 6) PTY LTD</v>
          </cell>
          <cell r="Q5" t="str">
            <v xml:space="preserve"> TXU AUSTRALIA (QLD) PTY LTD</v>
          </cell>
          <cell r="S5" t="str">
            <v xml:space="preserve"> TXU (NO 9) PTY LTD</v>
          </cell>
          <cell r="U5" t="str">
            <v xml:space="preserve"> TXU (NO 8) PTY LTD</v>
          </cell>
          <cell r="W5" t="str">
            <v xml:space="preserve"> TXU AUSTRALIA PTY LTD</v>
          </cell>
          <cell r="Y5" t="str">
            <v xml:space="preserve"> [E20]</v>
          </cell>
          <cell r="AA5" t="str">
            <v xml:space="preserve"> TXU AUSTRALIA HOLDINGS PTY LTD</v>
          </cell>
          <cell r="AC5" t="str">
            <v xml:space="preserve"> E22</v>
          </cell>
          <cell r="AE5" t="str">
            <v xml:space="preserve"> TXU MANAGEMENT STRUCTURE ELIM</v>
          </cell>
          <cell r="AG5" t="str">
            <v xml:space="preserve"> NETWORK MGT CONSOLIDATION</v>
          </cell>
          <cell r="AI5" t="str">
            <v xml:space="preserve"> RETAIL MGT CONSOLIDATION</v>
          </cell>
          <cell r="AK5" t="str">
            <v xml:space="preserve"> TRADING MGT CONSOLIDATION</v>
          </cell>
          <cell r="AM5" t="str">
            <v>CONSOLIDATION</v>
          </cell>
        </row>
        <row r="7">
          <cell r="C7" t="str">
            <v xml:space="preserve">Actual (YTD) </v>
          </cell>
          <cell r="D7" t="str">
            <v xml:space="preserve">Budget (YTD) </v>
          </cell>
          <cell r="E7" t="str">
            <v xml:space="preserve">Actual (YTD) </v>
          </cell>
          <cell r="F7" t="str">
            <v xml:space="preserve">Budget (YTD) </v>
          </cell>
          <cell r="G7" t="str">
            <v xml:space="preserve">Actual (YTD) </v>
          </cell>
          <cell r="H7" t="str">
            <v xml:space="preserve">Budget (YTD) </v>
          </cell>
          <cell r="I7" t="str">
            <v xml:space="preserve">Actual (YTD) </v>
          </cell>
          <cell r="J7" t="str">
            <v xml:space="preserve">Budget (YTD) </v>
          </cell>
          <cell r="K7" t="str">
            <v xml:space="preserve">Actual (YTD) </v>
          </cell>
          <cell r="L7" t="str">
            <v xml:space="preserve">Budget (YTD) </v>
          </cell>
          <cell r="M7" t="str">
            <v xml:space="preserve">Actual (YTD) </v>
          </cell>
          <cell r="N7" t="str">
            <v xml:space="preserve">Budget (YTD) </v>
          </cell>
          <cell r="O7" t="str">
            <v xml:space="preserve">Actual (YTD) </v>
          </cell>
          <cell r="P7" t="str">
            <v xml:space="preserve">Budget (YTD) </v>
          </cell>
          <cell r="Q7" t="str">
            <v xml:space="preserve">Actual (YTD) </v>
          </cell>
          <cell r="R7" t="str">
            <v xml:space="preserve">Budget (YTD) </v>
          </cell>
          <cell r="S7" t="str">
            <v xml:space="preserve">Actual (YTD) </v>
          </cell>
          <cell r="T7" t="str">
            <v xml:space="preserve">Budget (YTD) </v>
          </cell>
          <cell r="U7" t="str">
            <v xml:space="preserve">Actual (YTD) </v>
          </cell>
          <cell r="V7" t="str">
            <v xml:space="preserve">Budget (YTD) </v>
          </cell>
          <cell r="W7" t="str">
            <v xml:space="preserve">Actual (YTD) </v>
          </cell>
          <cell r="X7" t="str">
            <v xml:space="preserve">Budget (YTD) </v>
          </cell>
          <cell r="Y7" t="str">
            <v xml:space="preserve">Actual (YTD) </v>
          </cell>
          <cell r="Z7" t="str">
            <v xml:space="preserve">Budget (YTD) </v>
          </cell>
          <cell r="AA7" t="str">
            <v xml:space="preserve">Actual (YTD) </v>
          </cell>
          <cell r="AB7" t="str">
            <v xml:space="preserve">Budget (YTD) </v>
          </cell>
          <cell r="AC7" t="str">
            <v xml:space="preserve">Actual (YTD) </v>
          </cell>
          <cell r="AD7" t="str">
            <v xml:space="preserve">Budget (YTD) </v>
          </cell>
          <cell r="AE7" t="str">
            <v xml:space="preserve">Actual (YTD) </v>
          </cell>
          <cell r="AF7" t="str">
            <v xml:space="preserve">Budget (YTD) </v>
          </cell>
          <cell r="AG7" t="str">
            <v xml:space="preserve">Actual (YTD) </v>
          </cell>
          <cell r="AH7" t="str">
            <v xml:space="preserve">Budget (YTD) </v>
          </cell>
          <cell r="AI7" t="str">
            <v xml:space="preserve">Actual (YTD) </v>
          </cell>
          <cell r="AJ7" t="str">
            <v xml:space="preserve">Budget (YTD) </v>
          </cell>
          <cell r="AK7" t="str">
            <v xml:space="preserve">Actual (YTD) </v>
          </cell>
          <cell r="AL7" t="str">
            <v xml:space="preserve">Budget (YTD) </v>
          </cell>
          <cell r="AM7" t="str">
            <v xml:space="preserve">Actual (YTD) </v>
          </cell>
          <cell r="AN7" t="str">
            <v xml:space="preserve">Budget (YTD) </v>
          </cell>
        </row>
        <row r="8">
          <cell r="C8" t="str">
            <v xml:space="preserve">  $   </v>
          </cell>
          <cell r="D8" t="str">
            <v xml:space="preserve">  $   </v>
          </cell>
          <cell r="E8" t="str">
            <v xml:space="preserve">  $   </v>
          </cell>
          <cell r="F8" t="str">
            <v xml:space="preserve">  $   </v>
          </cell>
          <cell r="G8" t="str">
            <v xml:space="preserve">  $   </v>
          </cell>
          <cell r="H8" t="str">
            <v xml:space="preserve">  $   </v>
          </cell>
          <cell r="I8" t="str">
            <v xml:space="preserve">  $   </v>
          </cell>
          <cell r="J8" t="str">
            <v xml:space="preserve">  $   </v>
          </cell>
          <cell r="K8" t="str">
            <v xml:space="preserve">  $   </v>
          </cell>
          <cell r="L8" t="str">
            <v xml:space="preserve">  $   </v>
          </cell>
          <cell r="M8" t="str">
            <v xml:space="preserve">  $   </v>
          </cell>
          <cell r="N8" t="str">
            <v xml:space="preserve">  $   </v>
          </cell>
          <cell r="O8" t="str">
            <v xml:space="preserve">  $   </v>
          </cell>
          <cell r="P8" t="str">
            <v xml:space="preserve">  $   </v>
          </cell>
          <cell r="Q8" t="str">
            <v xml:space="preserve">  $   </v>
          </cell>
          <cell r="R8" t="str">
            <v xml:space="preserve">  $   </v>
          </cell>
          <cell r="S8" t="str">
            <v xml:space="preserve">  $   </v>
          </cell>
          <cell r="T8" t="str">
            <v xml:space="preserve">  $   </v>
          </cell>
          <cell r="U8" t="str">
            <v xml:space="preserve">  $   </v>
          </cell>
          <cell r="V8" t="str">
            <v xml:space="preserve">  $   </v>
          </cell>
          <cell r="W8" t="str">
            <v xml:space="preserve">  $   </v>
          </cell>
          <cell r="X8" t="str">
            <v xml:space="preserve">  $   </v>
          </cell>
          <cell r="Y8" t="str">
            <v xml:space="preserve">  $   </v>
          </cell>
          <cell r="Z8" t="str">
            <v xml:space="preserve">  $   </v>
          </cell>
          <cell r="AA8" t="str">
            <v xml:space="preserve">  $   </v>
          </cell>
          <cell r="AB8" t="str">
            <v xml:space="preserve">  $   </v>
          </cell>
          <cell r="AC8" t="str">
            <v xml:space="preserve">  $   </v>
          </cell>
          <cell r="AD8" t="str">
            <v xml:space="preserve">  $   </v>
          </cell>
          <cell r="AE8" t="str">
            <v xml:space="preserve">  $   </v>
          </cell>
          <cell r="AF8" t="str">
            <v xml:space="preserve">  $   </v>
          </cell>
          <cell r="AG8" t="str">
            <v xml:space="preserve">  $   </v>
          </cell>
          <cell r="AH8" t="str">
            <v xml:space="preserve">  $   </v>
          </cell>
          <cell r="AI8" t="str">
            <v xml:space="preserve">  $   </v>
          </cell>
          <cell r="AJ8" t="str">
            <v xml:space="preserve">  $   </v>
          </cell>
          <cell r="AK8" t="str">
            <v xml:space="preserve">  $   </v>
          </cell>
          <cell r="AL8" t="str">
            <v xml:space="preserve">  $   </v>
          </cell>
          <cell r="AM8" t="str">
            <v xml:space="preserve">  $   </v>
          </cell>
          <cell r="AN8" t="str">
            <v xml:space="preserve">  $   </v>
          </cell>
        </row>
        <row r="10">
          <cell r="A10" t="str">
            <v>ELECTRICITY REVENUE</v>
          </cell>
        </row>
        <row r="12">
          <cell r="A12">
            <v>511010</v>
          </cell>
          <cell r="B12" t="str">
            <v>Elec Rev Domes Peak</v>
          </cell>
          <cell r="C12">
            <v>0</v>
          </cell>
          <cell r="D12">
            <v>0</v>
          </cell>
          <cell r="E12">
            <v>7554.1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-58984138.060000002</v>
          </cell>
          <cell r="AJ12">
            <v>-68997903</v>
          </cell>
          <cell r="AK12">
            <v>0</v>
          </cell>
          <cell r="AL12">
            <v>0</v>
          </cell>
          <cell r="AM12">
            <v>-58976583.960000001</v>
          </cell>
          <cell r="AN12">
            <v>-68997903</v>
          </cell>
        </row>
        <row r="13">
          <cell r="A13">
            <v>511012</v>
          </cell>
          <cell r="B13" t="str">
            <v>Elec Rev Domes Peak UB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>
            <v>511014</v>
          </cell>
          <cell r="B14" t="str">
            <v>Elec Rev Domes Peak UR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</row>
        <row r="15">
          <cell r="A15">
            <v>511020</v>
          </cell>
          <cell r="B15" t="str">
            <v>Elec Rev Domes OP</v>
          </cell>
          <cell r="C15">
            <v>0</v>
          </cell>
          <cell r="D15">
            <v>0</v>
          </cell>
          <cell r="E15">
            <v>899.67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-4929937.38</v>
          </cell>
          <cell r="AJ15">
            <v>0</v>
          </cell>
          <cell r="AK15">
            <v>0</v>
          </cell>
          <cell r="AL15">
            <v>0</v>
          </cell>
          <cell r="AM15">
            <v>-4929037.71</v>
          </cell>
          <cell r="AN15">
            <v>0</v>
          </cell>
        </row>
        <row r="16">
          <cell r="A16">
            <v>511022</v>
          </cell>
          <cell r="B16" t="str">
            <v>Elec Rev Domes OP UB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A17">
            <v>511024</v>
          </cell>
          <cell r="B17" t="str">
            <v>Elec Rev Domes OP UR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</row>
        <row r="18">
          <cell r="A18">
            <v>511030</v>
          </cell>
          <cell r="B18" t="str">
            <v>Elec Rev Domes Farm Peak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A19">
            <v>511032</v>
          </cell>
          <cell r="B19" t="str">
            <v>Elec Rev Domes Farm Peak UB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>
            <v>511034</v>
          </cell>
          <cell r="B20" t="str">
            <v>Elec Rev Domes Farm Peak UR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</row>
        <row r="21">
          <cell r="A21">
            <v>511040</v>
          </cell>
          <cell r="B21" t="str">
            <v>Elec Rev Domes Farm OP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A22">
            <v>511042</v>
          </cell>
          <cell r="B22" t="str">
            <v>Elec Rev Domes Farm OP UB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</row>
        <row r="23">
          <cell r="A23">
            <v>511044</v>
          </cell>
          <cell r="B23" t="str">
            <v>Elec Rev Domes Farm OP UR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>
            <v>512010</v>
          </cell>
          <cell r="B24" t="str">
            <v>Elec Rev Comml Peak</v>
          </cell>
          <cell r="C24">
            <v>0</v>
          </cell>
          <cell r="D24">
            <v>0</v>
          </cell>
          <cell r="E24">
            <v>14578.51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-16422159.75</v>
          </cell>
          <cell r="AJ24">
            <v>-32434569</v>
          </cell>
          <cell r="AK24">
            <v>0</v>
          </cell>
          <cell r="AL24">
            <v>0</v>
          </cell>
          <cell r="AM24">
            <v>-16407581.24</v>
          </cell>
          <cell r="AN24">
            <v>-32434569</v>
          </cell>
        </row>
        <row r="25">
          <cell r="A25">
            <v>512012</v>
          </cell>
          <cell r="B25" t="str">
            <v>Elec Rev Comml Peak UB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  <row r="26">
          <cell r="A26">
            <v>512014</v>
          </cell>
          <cell r="B26" t="str">
            <v>Elec Rev Comml Peak UR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A27">
            <v>512020</v>
          </cell>
          <cell r="B27" t="str">
            <v>Elec Rev Comml OP</v>
          </cell>
          <cell r="C27">
            <v>0</v>
          </cell>
          <cell r="D27">
            <v>0</v>
          </cell>
          <cell r="E27">
            <v>231.53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-1474430.81</v>
          </cell>
          <cell r="AJ27">
            <v>0</v>
          </cell>
          <cell r="AK27">
            <v>0</v>
          </cell>
          <cell r="AL27">
            <v>0</v>
          </cell>
          <cell r="AM27">
            <v>-1474199.28</v>
          </cell>
          <cell r="AN27">
            <v>0</v>
          </cell>
        </row>
        <row r="28">
          <cell r="A28">
            <v>512022</v>
          </cell>
          <cell r="B28" t="str">
            <v>Elec Rev Comml OP UB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A29">
            <v>512024</v>
          </cell>
          <cell r="B29" t="str">
            <v>Elec Rev Comml OP UR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</row>
        <row r="30">
          <cell r="A30">
            <v>512060</v>
          </cell>
          <cell r="B30" t="str">
            <v>Elec Rev Comml Contest LV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-21602335.760000002</v>
          </cell>
          <cell r="AJ30">
            <v>-12706870</v>
          </cell>
          <cell r="AK30">
            <v>0</v>
          </cell>
          <cell r="AL30">
            <v>0</v>
          </cell>
          <cell r="AM30">
            <v>-21602335.760000002</v>
          </cell>
          <cell r="AN30">
            <v>-12706870</v>
          </cell>
        </row>
        <row r="31">
          <cell r="A31">
            <v>512062</v>
          </cell>
          <cell r="B31" t="str">
            <v>Elec Rev Comm Hv&lt;66Kv Peak UB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</row>
        <row r="32">
          <cell r="A32">
            <v>512064</v>
          </cell>
          <cell r="B32" t="str">
            <v>Elec Rev Comm Hv&lt;66Kv Peak 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</row>
        <row r="33">
          <cell r="A33">
            <v>512070</v>
          </cell>
          <cell r="B33" t="str">
            <v>Elec Rev Comm Hv&lt;66Kv OP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A34">
            <v>512072</v>
          </cell>
          <cell r="B34" t="str">
            <v>Elec Rev Comm Hv&lt;66Kv OP UB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A35">
            <v>512074</v>
          </cell>
          <cell r="B35" t="str">
            <v>Elec Rev Comm Hv&lt;66Kv OP UR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</row>
        <row r="36">
          <cell r="A36">
            <v>513110</v>
          </cell>
          <cell r="B36" t="str">
            <v>Elec Rev Indrl Peak</v>
          </cell>
          <cell r="C36">
            <v>0</v>
          </cell>
          <cell r="D36">
            <v>0</v>
          </cell>
          <cell r="E36">
            <v>1734.87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-2692233.04</v>
          </cell>
          <cell r="AJ36">
            <v>-20251745</v>
          </cell>
          <cell r="AK36">
            <v>0</v>
          </cell>
          <cell r="AL36">
            <v>0</v>
          </cell>
          <cell r="AM36">
            <v>-2690498.17</v>
          </cell>
          <cell r="AN36">
            <v>-20251745</v>
          </cell>
        </row>
        <row r="37">
          <cell r="A37">
            <v>513112</v>
          </cell>
          <cell r="B37" t="str">
            <v>Elec Rev Indrl Peak UB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A38">
            <v>513114</v>
          </cell>
          <cell r="B38" t="str">
            <v>Elec Rev Indrl Peak UR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A39">
            <v>513120</v>
          </cell>
          <cell r="B39" t="str">
            <v>Elec Rev Indrl OP</v>
          </cell>
          <cell r="C39">
            <v>0</v>
          </cell>
          <cell r="D39">
            <v>0</v>
          </cell>
          <cell r="E39">
            <v>39.97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-160790.89000000001</v>
          </cell>
          <cell r="AJ39">
            <v>0</v>
          </cell>
          <cell r="AK39">
            <v>0</v>
          </cell>
          <cell r="AL39">
            <v>0</v>
          </cell>
          <cell r="AM39">
            <v>-160750.92000000001</v>
          </cell>
          <cell r="AN39">
            <v>0</v>
          </cell>
        </row>
        <row r="40">
          <cell r="A40">
            <v>513122</v>
          </cell>
          <cell r="B40" t="str">
            <v>Elec Rev Indrl OP UB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</row>
        <row r="41">
          <cell r="A41">
            <v>513124</v>
          </cell>
          <cell r="B41" t="str">
            <v>Elec Rev Indrl OP UR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</row>
        <row r="42">
          <cell r="A42">
            <v>513130</v>
          </cell>
          <cell r="B42" t="str">
            <v>Elec Rev &gt;66Kv Peak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</row>
        <row r="43">
          <cell r="A43">
            <v>513132</v>
          </cell>
          <cell r="B43" t="str">
            <v>Elec Rev &gt;66Kv Peak UB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</row>
        <row r="44">
          <cell r="A44">
            <v>513134</v>
          </cell>
          <cell r="B44" t="str">
            <v>Elec Rev &gt;66Kv Peak UR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  <row r="45">
          <cell r="A45">
            <v>513135</v>
          </cell>
          <cell r="B45" t="str">
            <v>Elec Rev &gt;66Kv OP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A46">
            <v>513137</v>
          </cell>
          <cell r="B46" t="str">
            <v>Elec Rev &gt;66Kv OP UB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</row>
        <row r="47">
          <cell r="A47">
            <v>513139</v>
          </cell>
          <cell r="B47" t="str">
            <v>Elec Rev &gt;66Kv OP UR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  <row r="48">
          <cell r="A48">
            <v>513140</v>
          </cell>
          <cell r="B48" t="str">
            <v>Elec Rev Indrl Farm Peak</v>
          </cell>
          <cell r="C48">
            <v>0</v>
          </cell>
          <cell r="D48">
            <v>0</v>
          </cell>
          <cell r="E48">
            <v>1063.07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-3291635.27</v>
          </cell>
          <cell r="AJ48">
            <v>-95676</v>
          </cell>
          <cell r="AK48">
            <v>0</v>
          </cell>
          <cell r="AL48">
            <v>0</v>
          </cell>
          <cell r="AM48">
            <v>-3290572.2</v>
          </cell>
          <cell r="AN48">
            <v>-95676</v>
          </cell>
        </row>
        <row r="49">
          <cell r="A49">
            <v>513142</v>
          </cell>
          <cell r="B49" t="str">
            <v>Elec Rev Indrl Farm Peak UB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</row>
        <row r="50">
          <cell r="A50">
            <v>513144</v>
          </cell>
          <cell r="B50" t="str">
            <v>Elec Rev Indrl Farm Peak 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</row>
        <row r="51">
          <cell r="A51">
            <v>513150</v>
          </cell>
          <cell r="B51" t="str">
            <v>Elec Rev Indrl Farm OP</v>
          </cell>
          <cell r="C51">
            <v>0</v>
          </cell>
          <cell r="D51">
            <v>0</v>
          </cell>
          <cell r="E51">
            <v>44.59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-805703.86</v>
          </cell>
          <cell r="AJ51">
            <v>0</v>
          </cell>
          <cell r="AK51">
            <v>0</v>
          </cell>
          <cell r="AL51">
            <v>0</v>
          </cell>
          <cell r="AM51">
            <v>-805659.27</v>
          </cell>
          <cell r="AN51">
            <v>0</v>
          </cell>
        </row>
        <row r="52">
          <cell r="A52">
            <v>513152</v>
          </cell>
          <cell r="B52" t="str">
            <v>Elec Rev Indrl Farm OP UB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</row>
        <row r="53">
          <cell r="A53">
            <v>513154</v>
          </cell>
          <cell r="B53" t="str">
            <v>Elec Rev Indrl Farm OP UR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A54">
            <v>513160</v>
          </cell>
          <cell r="B54" t="str">
            <v>Elec Rev Indrl Hv&lt;66Kv Peak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-9416296.0700000003</v>
          </cell>
          <cell r="AJ54">
            <v>0</v>
          </cell>
          <cell r="AK54">
            <v>0</v>
          </cell>
          <cell r="AL54">
            <v>0</v>
          </cell>
          <cell r="AM54">
            <v>-9416296.0700000003</v>
          </cell>
          <cell r="AN54">
            <v>0</v>
          </cell>
        </row>
        <row r="55">
          <cell r="A55">
            <v>513162</v>
          </cell>
          <cell r="B55" t="str">
            <v>Elec Rev Indrl Hv&lt;66Kv Peak UB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</row>
        <row r="56">
          <cell r="A56">
            <v>513164</v>
          </cell>
          <cell r="B56" t="str">
            <v>Elec Rev Indrl Hv&lt;66Kv Peak UR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</row>
        <row r="57">
          <cell r="A57">
            <v>513180</v>
          </cell>
          <cell r="B57" t="str">
            <v>Elec Rev Indrl Hv&lt;66Kv OP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</row>
        <row r="58">
          <cell r="A58">
            <v>513182</v>
          </cell>
          <cell r="B58" t="str">
            <v>Elec Rev Indrl Hv&lt;66Kv OP UB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A59">
            <v>513184</v>
          </cell>
          <cell r="B59" t="str">
            <v>Elec Rev Indrl Hv&lt;66Kv OP UR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</row>
        <row r="60">
          <cell r="A60">
            <v>515000</v>
          </cell>
          <cell r="B60" t="str">
            <v>Elec Rev Traction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</row>
        <row r="61">
          <cell r="A61">
            <v>515002</v>
          </cell>
          <cell r="B61" t="str">
            <v>Elec Rev Traction UB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</row>
        <row r="62">
          <cell r="A62">
            <v>515004</v>
          </cell>
          <cell r="B62" t="str">
            <v>Elec Rev Traction UR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</row>
        <row r="63">
          <cell r="A63">
            <v>516000</v>
          </cell>
          <cell r="B63" t="str">
            <v>Elec Rev Public Lighting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-2486251.56</v>
          </cell>
          <cell r="AJ63">
            <v>-2503321</v>
          </cell>
          <cell r="AK63">
            <v>0</v>
          </cell>
          <cell r="AL63">
            <v>0</v>
          </cell>
          <cell r="AM63">
            <v>-2486251.56</v>
          </cell>
          <cell r="AN63">
            <v>-2503321</v>
          </cell>
        </row>
        <row r="64">
          <cell r="A64">
            <v>516002</v>
          </cell>
          <cell r="B64" t="str">
            <v>Elec Rev Public Lighting UB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>
            <v>516004</v>
          </cell>
          <cell r="B65" t="str">
            <v>Elec Rev Public Lighting UR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</row>
        <row r="66">
          <cell r="A66">
            <v>518000</v>
          </cell>
          <cell r="B66" t="str">
            <v>Elec Estd Rev UR Meters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</row>
        <row r="67">
          <cell r="A67">
            <v>519000</v>
          </cell>
          <cell r="B67" t="str">
            <v>Elec Income - Other</v>
          </cell>
          <cell r="C67">
            <v>0</v>
          </cell>
          <cell r="D67">
            <v>0</v>
          </cell>
          <cell r="E67">
            <v>-1.96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-9620.64</v>
          </cell>
          <cell r="AH67">
            <v>0</v>
          </cell>
          <cell r="AI67">
            <v>-1496003.69</v>
          </cell>
          <cell r="AJ67">
            <v>0</v>
          </cell>
          <cell r="AK67">
            <v>-7590.69</v>
          </cell>
          <cell r="AL67">
            <v>0</v>
          </cell>
          <cell r="AM67">
            <v>-1513216.98</v>
          </cell>
          <cell r="AN67">
            <v>0</v>
          </cell>
        </row>
        <row r="68">
          <cell r="A68">
            <v>504556</v>
          </cell>
          <cell r="B68" t="str">
            <v>Network Revenue Generators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-679211.36</v>
          </cell>
          <cell r="AJ68">
            <v>-668730</v>
          </cell>
          <cell r="AK68">
            <v>0</v>
          </cell>
          <cell r="AL68">
            <v>0</v>
          </cell>
          <cell r="AM68">
            <v>-679211.36</v>
          </cell>
          <cell r="AN68">
            <v>-668730</v>
          </cell>
        </row>
        <row r="70">
          <cell r="A70" t="str">
            <v>TOTAL</v>
          </cell>
          <cell r="B70" t="str">
            <v>ELECTRICITY REVENUE</v>
          </cell>
          <cell r="C70">
            <v>0</v>
          </cell>
          <cell r="D70">
            <v>0</v>
          </cell>
          <cell r="E70">
            <v>26144.35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-9620.64</v>
          </cell>
          <cell r="AH70">
            <v>0</v>
          </cell>
          <cell r="AI70">
            <v>-124441127.5</v>
          </cell>
          <cell r="AJ70">
            <v>-137658814</v>
          </cell>
          <cell r="AK70">
            <v>-7590.69</v>
          </cell>
          <cell r="AL70">
            <v>0</v>
          </cell>
          <cell r="AM70">
            <v>-124432194.48</v>
          </cell>
          <cell r="AN70">
            <v>-137658814</v>
          </cell>
        </row>
        <row r="72">
          <cell r="A72" t="str">
            <v>ELECTRICITY PURCHASES</v>
          </cell>
        </row>
        <row r="74">
          <cell r="A74">
            <v>607000</v>
          </cell>
          <cell r="B74" t="str">
            <v>AES MHA Premiums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5497164</v>
          </cell>
          <cell r="AL74">
            <v>8190000</v>
          </cell>
          <cell r="AM74">
            <v>5497164</v>
          </cell>
          <cell r="AN74">
            <v>8190000</v>
          </cell>
        </row>
        <row r="75">
          <cell r="A75">
            <v>504310</v>
          </cell>
          <cell r="B75" t="str">
            <v>Winter Power Bonus Rebate Rev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</row>
        <row r="76">
          <cell r="A76">
            <v>504450</v>
          </cell>
          <cell r="B76" t="str">
            <v>Cross Boundary Sales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2418672</v>
          </cell>
          <cell r="AL76">
            <v>0</v>
          </cell>
          <cell r="AM76">
            <v>2418672</v>
          </cell>
          <cell r="AN76">
            <v>0</v>
          </cell>
        </row>
        <row r="77">
          <cell r="A77">
            <v>605199</v>
          </cell>
          <cell r="B77" t="str">
            <v>Vicpool Revisions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>
            <v>605200</v>
          </cell>
          <cell r="B78" t="str">
            <v>EITP Energy from Other DB's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-296552.55</v>
          </cell>
          <cell r="AL78">
            <v>0</v>
          </cell>
          <cell r="AM78">
            <v>-296552.55</v>
          </cell>
          <cell r="AN78">
            <v>0</v>
          </cell>
        </row>
        <row r="79">
          <cell r="A79">
            <v>605220</v>
          </cell>
          <cell r="B79" t="str">
            <v>EITP Energy to Other DB's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</row>
        <row r="80">
          <cell r="A80">
            <v>605230</v>
          </cell>
          <cell r="B80" t="str">
            <v>EITP Administration Fees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</row>
        <row r="81">
          <cell r="A81">
            <v>605600</v>
          </cell>
          <cell r="B81" t="str">
            <v>Franchise Pool Energy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49519594.82</v>
          </cell>
          <cell r="AL81">
            <v>46411700</v>
          </cell>
          <cell r="AM81">
            <v>49519594.82</v>
          </cell>
          <cell r="AN81">
            <v>46411700</v>
          </cell>
        </row>
        <row r="82">
          <cell r="A82">
            <v>605610</v>
          </cell>
          <cell r="B82" t="str">
            <v>Franchise 1+2 Way Hedges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-1802075.16</v>
          </cell>
          <cell r="AL82">
            <v>0</v>
          </cell>
          <cell r="AM82">
            <v>-1802075.16</v>
          </cell>
          <cell r="AN82">
            <v>0</v>
          </cell>
        </row>
        <row r="83">
          <cell r="A83">
            <v>605620</v>
          </cell>
          <cell r="B83" t="str">
            <v>Embedded Generation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4152815.54</v>
          </cell>
          <cell r="AL83">
            <v>0</v>
          </cell>
          <cell r="AM83">
            <v>4152815.54</v>
          </cell>
          <cell r="AN83">
            <v>0</v>
          </cell>
        </row>
        <row r="84">
          <cell r="A84">
            <v>605700</v>
          </cell>
          <cell r="B84" t="str">
            <v>Contestable Pool Energy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17632009.739999998</v>
          </cell>
          <cell r="AL84">
            <v>22047600</v>
          </cell>
          <cell r="AM84">
            <v>17632009.739999998</v>
          </cell>
          <cell r="AN84">
            <v>22047600</v>
          </cell>
        </row>
        <row r="85">
          <cell r="A85">
            <v>605710</v>
          </cell>
          <cell r="B85" t="str">
            <v>Contestable 1+2 Way Hedges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-1456449.58</v>
          </cell>
          <cell r="AL85">
            <v>0</v>
          </cell>
          <cell r="AM85">
            <v>-1456449.58</v>
          </cell>
          <cell r="AN85">
            <v>0</v>
          </cell>
        </row>
        <row r="86">
          <cell r="A86">
            <v>605800</v>
          </cell>
          <cell r="B86" t="str">
            <v>Energy Fees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355390.82</v>
          </cell>
          <cell r="AL86">
            <v>0</v>
          </cell>
          <cell r="AM86">
            <v>355390.82</v>
          </cell>
          <cell r="AN86">
            <v>0</v>
          </cell>
        </row>
        <row r="87">
          <cell r="A87">
            <v>605810</v>
          </cell>
          <cell r="B87" t="str">
            <v>Startup/NBS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A88">
            <v>605820</v>
          </cell>
          <cell r="B88" t="str">
            <v>Ancillary Charges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1419476.61</v>
          </cell>
          <cell r="AL88">
            <v>0</v>
          </cell>
          <cell r="AM88">
            <v>1419476.61</v>
          </cell>
          <cell r="AN88">
            <v>0</v>
          </cell>
        </row>
        <row r="89">
          <cell r="A89">
            <v>606000</v>
          </cell>
          <cell r="B89" t="str">
            <v>Smelter Reduction Levy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1225904.72</v>
          </cell>
          <cell r="AL89">
            <v>0</v>
          </cell>
          <cell r="AM89">
            <v>1225904.72</v>
          </cell>
          <cell r="AN89">
            <v>0</v>
          </cell>
        </row>
        <row r="90">
          <cell r="A90">
            <v>606100</v>
          </cell>
          <cell r="B90" t="str">
            <v>Cross Boundary Purchases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-2606538</v>
          </cell>
          <cell r="AL90">
            <v>0</v>
          </cell>
          <cell r="AM90">
            <v>-2606538</v>
          </cell>
          <cell r="AN90">
            <v>0</v>
          </cell>
        </row>
        <row r="91">
          <cell r="A91">
            <v>607015</v>
          </cell>
          <cell r="B91" t="str">
            <v>Network Fees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323152.89</v>
          </cell>
          <cell r="AL91">
            <v>0</v>
          </cell>
          <cell r="AM91">
            <v>323152.89</v>
          </cell>
          <cell r="AN91">
            <v>0</v>
          </cell>
        </row>
        <row r="92">
          <cell r="A92">
            <v>607100</v>
          </cell>
          <cell r="B92" t="str">
            <v>Contestable AES Purchases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</row>
        <row r="93">
          <cell r="A93">
            <v>605602</v>
          </cell>
          <cell r="B93" t="str">
            <v>Int-Franchise Energy transfer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31616490.530000001</v>
          </cell>
          <cell r="AJ93">
            <v>39769374.869999997</v>
          </cell>
          <cell r="AK93">
            <v>0</v>
          </cell>
          <cell r="AL93">
            <v>0</v>
          </cell>
          <cell r="AM93">
            <v>31616490.530000001</v>
          </cell>
          <cell r="AN93">
            <v>39769374.869999997</v>
          </cell>
        </row>
        <row r="94">
          <cell r="A94">
            <v>605702</v>
          </cell>
          <cell r="B94" t="str">
            <v>Int-Contestable Energy transfr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8771434.7799999993</v>
          </cell>
          <cell r="AJ94">
            <v>15019362</v>
          </cell>
          <cell r="AK94">
            <v>0</v>
          </cell>
          <cell r="AL94">
            <v>0</v>
          </cell>
          <cell r="AM94">
            <v>8771434.7799999993</v>
          </cell>
          <cell r="AN94">
            <v>15019362</v>
          </cell>
        </row>
        <row r="95">
          <cell r="A95">
            <v>605802</v>
          </cell>
          <cell r="B95" t="str">
            <v>Int-NEMMCO Pool Fees transfer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121282.87</v>
          </cell>
          <cell r="AJ95">
            <v>0</v>
          </cell>
          <cell r="AK95">
            <v>0</v>
          </cell>
          <cell r="AL95">
            <v>0</v>
          </cell>
          <cell r="AM95">
            <v>121282.87</v>
          </cell>
          <cell r="AN95">
            <v>0</v>
          </cell>
        </row>
        <row r="96">
          <cell r="A96">
            <v>605822</v>
          </cell>
          <cell r="B96" t="str">
            <v>Int-Ancillary Charges transfer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359356.7</v>
          </cell>
          <cell r="AJ96">
            <v>0</v>
          </cell>
          <cell r="AK96">
            <v>0</v>
          </cell>
          <cell r="AL96">
            <v>0</v>
          </cell>
          <cell r="AM96">
            <v>359356.7</v>
          </cell>
          <cell r="AN96">
            <v>0</v>
          </cell>
        </row>
        <row r="97">
          <cell r="A97">
            <v>606202</v>
          </cell>
          <cell r="B97" t="str">
            <v>Int-Overhead Admin Transfer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471655.67</v>
          </cell>
          <cell r="AJ97">
            <v>0</v>
          </cell>
          <cell r="AK97">
            <v>0</v>
          </cell>
          <cell r="AL97">
            <v>0</v>
          </cell>
          <cell r="AM97">
            <v>471655.67</v>
          </cell>
          <cell r="AN97">
            <v>0</v>
          </cell>
        </row>
        <row r="99">
          <cell r="A99" t="str">
            <v>TOTAL</v>
          </cell>
          <cell r="B99" t="str">
            <v>ELECTRICITY PURCHASES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41340220.549999997</v>
          </cell>
          <cell r="AJ99">
            <v>54788736.869999997</v>
          </cell>
          <cell r="AK99">
            <v>76382565.849999994</v>
          </cell>
          <cell r="AL99">
            <v>76649300</v>
          </cell>
          <cell r="AM99">
            <v>117722786.40000001</v>
          </cell>
          <cell r="AN99">
            <v>131438036.87</v>
          </cell>
        </row>
        <row r="101">
          <cell r="A101" t="str">
            <v>GRID FEES</v>
          </cell>
        </row>
        <row r="103">
          <cell r="A103">
            <v>602660</v>
          </cell>
          <cell r="B103" t="str">
            <v>Exit Charge - Powernet</v>
          </cell>
          <cell r="C103">
            <v>0</v>
          </cell>
          <cell r="D103">
            <v>0</v>
          </cell>
          <cell r="E103">
            <v>396637.93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396637.93</v>
          </cell>
          <cell r="AN103">
            <v>0</v>
          </cell>
        </row>
        <row r="104">
          <cell r="A104">
            <v>602665</v>
          </cell>
          <cell r="B104" t="str">
            <v>Network Support Payment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</row>
        <row r="105">
          <cell r="A105">
            <v>602720</v>
          </cell>
          <cell r="B105" t="str">
            <v>Transmission Use of System</v>
          </cell>
          <cell r="C105">
            <v>0</v>
          </cell>
          <cell r="D105">
            <v>0</v>
          </cell>
          <cell r="E105">
            <v>1402935.82</v>
          </cell>
          <cell r="F105">
            <v>7331347.2000000002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1402935.82</v>
          </cell>
          <cell r="AN105">
            <v>7331347.2000000002</v>
          </cell>
        </row>
        <row r="107">
          <cell r="A107" t="str">
            <v>TOTAL</v>
          </cell>
          <cell r="B107" t="str">
            <v>GRID FEES</v>
          </cell>
          <cell r="C107">
            <v>0</v>
          </cell>
          <cell r="D107">
            <v>0</v>
          </cell>
          <cell r="E107">
            <v>1799573.75</v>
          </cell>
          <cell r="F107">
            <v>7331347.2000000002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1799573.75</v>
          </cell>
          <cell r="AN107">
            <v>7331347.2000000002</v>
          </cell>
        </row>
        <row r="109">
          <cell r="A109" t="str">
            <v>DISTRIB NETWORK CHARGES - EXT</v>
          </cell>
        </row>
        <row r="111">
          <cell r="A111">
            <v>604552</v>
          </cell>
          <cell r="B111" t="str">
            <v>Ext-Contestable Distn Expense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3759360.26</v>
          </cell>
          <cell r="AJ111">
            <v>7298854</v>
          </cell>
          <cell r="AK111">
            <v>0</v>
          </cell>
          <cell r="AL111">
            <v>0</v>
          </cell>
          <cell r="AM111">
            <v>3759360.26</v>
          </cell>
          <cell r="AN111">
            <v>7298854</v>
          </cell>
        </row>
        <row r="112">
          <cell r="A112">
            <v>604553</v>
          </cell>
          <cell r="B112" t="str">
            <v>Ext Meter Provn &amp; Data Fwding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11640.75</v>
          </cell>
          <cell r="AJ112">
            <v>0</v>
          </cell>
          <cell r="AK112">
            <v>0</v>
          </cell>
          <cell r="AL112">
            <v>0</v>
          </cell>
          <cell r="AM112">
            <v>11640.75</v>
          </cell>
          <cell r="AN112">
            <v>0</v>
          </cell>
        </row>
        <row r="113">
          <cell r="A113">
            <v>604554</v>
          </cell>
          <cell r="B113" t="str">
            <v>Cross Boundary Nwk Charges</v>
          </cell>
          <cell r="C113">
            <v>0</v>
          </cell>
          <cell r="D113">
            <v>0</v>
          </cell>
          <cell r="E113">
            <v>-3182688</v>
          </cell>
          <cell r="F113">
            <v>314874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-3182688</v>
          </cell>
          <cell r="AN113">
            <v>314874</v>
          </cell>
        </row>
        <row r="115">
          <cell r="A115" t="str">
            <v>TOTAL</v>
          </cell>
          <cell r="B115" t="str">
            <v>DISTRIB NETWORK CHARGES - EXT</v>
          </cell>
          <cell r="C115">
            <v>0</v>
          </cell>
          <cell r="D115">
            <v>0</v>
          </cell>
          <cell r="E115">
            <v>-3182688</v>
          </cell>
          <cell r="F115">
            <v>314874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3771001.01</v>
          </cell>
          <cell r="AJ115">
            <v>7298854</v>
          </cell>
          <cell r="AK115">
            <v>0</v>
          </cell>
          <cell r="AL115">
            <v>0</v>
          </cell>
          <cell r="AM115">
            <v>588313.01</v>
          </cell>
          <cell r="AN115">
            <v>7613728</v>
          </cell>
        </row>
        <row r="117">
          <cell r="A117" t="str">
            <v>WINTER POWER BONUS</v>
          </cell>
        </row>
        <row r="119">
          <cell r="A119">
            <v>604300</v>
          </cell>
          <cell r="B119" t="str">
            <v>Franchise Fee Expense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  <row r="120">
          <cell r="A120">
            <v>604310</v>
          </cell>
          <cell r="B120" t="str">
            <v>Winer Power Bonus Expenditure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-1063.74</v>
          </cell>
          <cell r="AJ120">
            <v>0</v>
          </cell>
          <cell r="AK120">
            <v>0</v>
          </cell>
          <cell r="AL120">
            <v>0</v>
          </cell>
          <cell r="AM120">
            <v>-1063.74</v>
          </cell>
          <cell r="AN120">
            <v>0</v>
          </cell>
        </row>
        <row r="121">
          <cell r="A121">
            <v>564310</v>
          </cell>
          <cell r="B121" t="str">
            <v>Winter Power bonus Scheme Rev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3">
          <cell r="A123" t="str">
            <v>TOTAL</v>
          </cell>
          <cell r="B123" t="str">
            <v>WINTER POWER BONUS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-1063.74</v>
          </cell>
          <cell r="AJ123">
            <v>0</v>
          </cell>
          <cell r="AK123">
            <v>0</v>
          </cell>
          <cell r="AL123">
            <v>0</v>
          </cell>
          <cell r="AM123">
            <v>-1063.74</v>
          </cell>
          <cell r="AN123">
            <v>0</v>
          </cell>
        </row>
        <row r="125">
          <cell r="A125" t="str">
            <v>INTERNAL NETWORK MARGIN</v>
          </cell>
        </row>
        <row r="127">
          <cell r="A127">
            <v>604550</v>
          </cell>
          <cell r="B127" t="str">
            <v>Franchise Distribution Expense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31672576.190000001</v>
          </cell>
          <cell r="AJ127">
            <v>42599000</v>
          </cell>
          <cell r="AK127">
            <v>0</v>
          </cell>
          <cell r="AL127">
            <v>0</v>
          </cell>
          <cell r="AM127">
            <v>31672576.190000001</v>
          </cell>
          <cell r="AN127">
            <v>42599000</v>
          </cell>
        </row>
        <row r="128">
          <cell r="A128">
            <v>604551</v>
          </cell>
          <cell r="B128" t="str">
            <v>Int-Contestable Distn Expense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3333878.45</v>
          </cell>
          <cell r="AJ128">
            <v>8312938</v>
          </cell>
          <cell r="AK128">
            <v>0</v>
          </cell>
          <cell r="AL128">
            <v>0</v>
          </cell>
          <cell r="AM128">
            <v>3333878.45</v>
          </cell>
          <cell r="AN128">
            <v>8312938</v>
          </cell>
        </row>
        <row r="129">
          <cell r="A129">
            <v>504550</v>
          </cell>
          <cell r="B129" t="str">
            <v>Franchise Distribution Revenue</v>
          </cell>
          <cell r="C129">
            <v>0</v>
          </cell>
          <cell r="D129">
            <v>0</v>
          </cell>
          <cell r="E129">
            <v>-31296182.190000001</v>
          </cell>
          <cell r="F129">
            <v>-42600000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-31296182.190000001</v>
          </cell>
          <cell r="AN129">
            <v>-42600000</v>
          </cell>
        </row>
        <row r="130">
          <cell r="A130">
            <v>504551</v>
          </cell>
          <cell r="B130" t="str">
            <v>Contestable Int Network Rev</v>
          </cell>
          <cell r="C130">
            <v>0</v>
          </cell>
          <cell r="D130">
            <v>0</v>
          </cell>
          <cell r="E130">
            <v>-3333878.45</v>
          </cell>
          <cell r="F130">
            <v>-8313000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-3333878.45</v>
          </cell>
          <cell r="AN130">
            <v>-8313000</v>
          </cell>
        </row>
        <row r="132">
          <cell r="A132" t="str">
            <v>TOTAL</v>
          </cell>
          <cell r="B132" t="str">
            <v>INTERNAL NETWORK MARGIN</v>
          </cell>
          <cell r="C132">
            <v>0</v>
          </cell>
          <cell r="D132">
            <v>0</v>
          </cell>
          <cell r="E132">
            <v>-34630060.640000001</v>
          </cell>
          <cell r="F132">
            <v>-50913000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35006454.640000001</v>
          </cell>
          <cell r="AJ132">
            <v>50911938</v>
          </cell>
          <cell r="AK132">
            <v>0</v>
          </cell>
          <cell r="AL132">
            <v>0</v>
          </cell>
          <cell r="AM132">
            <v>376394</v>
          </cell>
          <cell r="AN132">
            <v>-1062</v>
          </cell>
        </row>
        <row r="134">
          <cell r="A134" t="str">
            <v>GAS SALES</v>
          </cell>
        </row>
        <row r="136">
          <cell r="A136">
            <v>521010</v>
          </cell>
          <cell r="B136" t="str">
            <v>Natural Gas Domestic Actual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>
            <v>521012</v>
          </cell>
          <cell r="B137" t="str">
            <v>Natural Gas Comm Gen Actual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</row>
        <row r="138">
          <cell r="A138">
            <v>521014</v>
          </cell>
          <cell r="B138" t="str">
            <v>Natural Gas Comm Contract Act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</row>
        <row r="139">
          <cell r="A139">
            <v>521015</v>
          </cell>
          <cell r="B139" t="str">
            <v>Gas Commercial Contestable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A140">
            <v>521016</v>
          </cell>
          <cell r="B140" t="str">
            <v>Natural Gas Ind General Actual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>
            <v>521018</v>
          </cell>
          <cell r="B141" t="str">
            <v>Natural Gas Ind Contract Actua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2">
          <cell r="A142">
            <v>521019</v>
          </cell>
          <cell r="B142" t="str">
            <v>Gas Industrial Contestable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-23118957.559999999</v>
          </cell>
          <cell r="AJ142">
            <v>-28261341.879999999</v>
          </cell>
          <cell r="AK142">
            <v>0</v>
          </cell>
          <cell r="AL142">
            <v>0</v>
          </cell>
          <cell r="AM142">
            <v>-23118957.559999999</v>
          </cell>
          <cell r="AN142">
            <v>-28261341.879999999</v>
          </cell>
        </row>
        <row r="143">
          <cell r="A143">
            <v>521020</v>
          </cell>
          <cell r="B143" t="str">
            <v>TLPG Domestic Actual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</row>
        <row r="144">
          <cell r="A144">
            <v>521022</v>
          </cell>
          <cell r="B144" t="str">
            <v>TLPG Comm General Actual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</row>
        <row r="145">
          <cell r="A145">
            <v>521024</v>
          </cell>
          <cell r="B145" t="str">
            <v>TLPG Ind General Actual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</row>
        <row r="146">
          <cell r="A146">
            <v>521030</v>
          </cell>
          <cell r="B146" t="str">
            <v>Gas AES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-9427890.1600000001</v>
          </cell>
          <cell r="AJ146">
            <v>0</v>
          </cell>
          <cell r="AK146">
            <v>0</v>
          </cell>
          <cell r="AL146">
            <v>0</v>
          </cell>
          <cell r="AM146">
            <v>-9427890.1600000001</v>
          </cell>
          <cell r="AN146">
            <v>0</v>
          </cell>
        </row>
        <row r="147">
          <cell r="A147">
            <v>521099</v>
          </cell>
          <cell r="B147" t="str">
            <v>Rounding Deficit Account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</row>
        <row r="148">
          <cell r="A148">
            <v>522010</v>
          </cell>
          <cell r="B148" t="str">
            <v>Gas Sales Accrual Domestic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</row>
        <row r="149">
          <cell r="A149">
            <v>522012</v>
          </cell>
          <cell r="B149" t="str">
            <v>Gas Sales Accrual Com General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-995850</v>
          </cell>
          <cell r="AM149">
            <v>0</v>
          </cell>
          <cell r="AN149">
            <v>-995850</v>
          </cell>
        </row>
        <row r="150">
          <cell r="A150">
            <v>522014</v>
          </cell>
          <cell r="B150" t="str">
            <v>Gas Sales Accrual Comm Contrac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</row>
        <row r="151">
          <cell r="A151">
            <v>522015</v>
          </cell>
          <cell r="B151" t="str">
            <v>Gas Acc Commercial Contestable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1780863.53</v>
          </cell>
          <cell r="AJ151">
            <v>0</v>
          </cell>
          <cell r="AK151">
            <v>0</v>
          </cell>
          <cell r="AL151">
            <v>0</v>
          </cell>
          <cell r="AM151">
            <v>1780863.53</v>
          </cell>
          <cell r="AN151">
            <v>0</v>
          </cell>
        </row>
        <row r="152">
          <cell r="A152">
            <v>522016</v>
          </cell>
          <cell r="B152" t="str">
            <v>Gas Sales Acc Indust General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</row>
        <row r="153">
          <cell r="A153">
            <v>522018</v>
          </cell>
          <cell r="B153" t="str">
            <v>Gas Sales Accrual Indust Contr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1996000</v>
          </cell>
          <cell r="AJ153">
            <v>0</v>
          </cell>
          <cell r="AK153">
            <v>0</v>
          </cell>
          <cell r="AL153">
            <v>0</v>
          </cell>
          <cell r="AM153">
            <v>1996000</v>
          </cell>
          <cell r="AN153">
            <v>0</v>
          </cell>
        </row>
        <row r="154">
          <cell r="A154">
            <v>522019</v>
          </cell>
          <cell r="B154" t="str">
            <v>Gas Acc Industrial Contestable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8218998.04</v>
          </cell>
          <cell r="AJ154">
            <v>0</v>
          </cell>
          <cell r="AK154">
            <v>0</v>
          </cell>
          <cell r="AL154">
            <v>0</v>
          </cell>
          <cell r="AM154">
            <v>8218998.04</v>
          </cell>
          <cell r="AN154">
            <v>0</v>
          </cell>
        </row>
        <row r="155">
          <cell r="A155">
            <v>522020</v>
          </cell>
          <cell r="B155" t="str">
            <v>TLPG Sale Accrual Domestic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</row>
        <row r="156">
          <cell r="A156">
            <v>522022</v>
          </cell>
          <cell r="B156" t="str">
            <v>TLPG Sale Accrual Comm General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</row>
        <row r="157">
          <cell r="A157">
            <v>522024</v>
          </cell>
          <cell r="B157" t="str">
            <v>TLPG Sale Accrual Indust Gener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</row>
        <row r="158">
          <cell r="A158">
            <v>522030</v>
          </cell>
          <cell r="B158" t="str">
            <v>Gas Acc AES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197041.02</v>
          </cell>
          <cell r="AJ158">
            <v>0</v>
          </cell>
          <cell r="AK158">
            <v>0</v>
          </cell>
          <cell r="AL158">
            <v>0</v>
          </cell>
          <cell r="AM158">
            <v>197041.02</v>
          </cell>
          <cell r="AN158">
            <v>0</v>
          </cell>
        </row>
        <row r="159">
          <cell r="A159">
            <v>560102</v>
          </cell>
          <cell r="B159" t="str">
            <v>Gascor Agency Revenue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-17535117.800000001</v>
          </cell>
          <cell r="AJ159">
            <v>-17216203.82</v>
          </cell>
          <cell r="AK159">
            <v>0</v>
          </cell>
          <cell r="AL159">
            <v>0</v>
          </cell>
          <cell r="AM159">
            <v>-17535117.800000001</v>
          </cell>
          <cell r="AN159">
            <v>-17216203.82</v>
          </cell>
        </row>
        <row r="161">
          <cell r="A161" t="str">
            <v>TOTAL</v>
          </cell>
          <cell r="B161" t="str">
            <v>GAS SALES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-37889062.93</v>
          </cell>
          <cell r="AJ161">
            <v>-45477545.700000003</v>
          </cell>
          <cell r="AK161">
            <v>0</v>
          </cell>
          <cell r="AL161">
            <v>-995850</v>
          </cell>
          <cell r="AM161">
            <v>-37889062.93</v>
          </cell>
          <cell r="AN161">
            <v>-46473395.700000003</v>
          </cell>
        </row>
        <row r="163">
          <cell r="A163" t="str">
            <v>GAS PURCHASES</v>
          </cell>
        </row>
        <row r="165">
          <cell r="A165">
            <v>602010</v>
          </cell>
          <cell r="B165" t="str">
            <v>ESSO BHP Gas (Actual)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A166">
            <v>602012</v>
          </cell>
          <cell r="B166" t="str">
            <v>ESSO BHP Gas (Accrual)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</row>
        <row r="167">
          <cell r="A167">
            <v>602015</v>
          </cell>
          <cell r="B167" t="str">
            <v>COGS Boral Additional MDQ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-307398</v>
          </cell>
          <cell r="AL167">
            <v>0</v>
          </cell>
          <cell r="AM167">
            <v>-307398</v>
          </cell>
          <cell r="AN167">
            <v>0</v>
          </cell>
        </row>
        <row r="168">
          <cell r="A168">
            <v>602020</v>
          </cell>
          <cell r="B168" t="str">
            <v>Cost of Gas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18541622.120000001</v>
          </cell>
          <cell r="AL168">
            <v>31396400</v>
          </cell>
          <cell r="AM168">
            <v>18541622.120000001</v>
          </cell>
          <cell r="AN168">
            <v>31396400</v>
          </cell>
        </row>
        <row r="169">
          <cell r="A169">
            <v>602025</v>
          </cell>
          <cell r="B169" t="str">
            <v>COGS ESSO BHP (QB)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5620695.1500000004</v>
          </cell>
          <cell r="AL169">
            <v>20180100</v>
          </cell>
          <cell r="AM169">
            <v>5620695.1500000004</v>
          </cell>
          <cell r="AN169">
            <v>20180100</v>
          </cell>
        </row>
        <row r="170">
          <cell r="A170">
            <v>602030</v>
          </cell>
          <cell r="B170" t="str">
            <v>COGS LNG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</row>
        <row r="171">
          <cell r="A171">
            <v>602035</v>
          </cell>
          <cell r="B171" t="str">
            <v>COGS AGL Gas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>
            <v>602040</v>
          </cell>
          <cell r="B172" t="str">
            <v>COGS TLPG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94116.25</v>
          </cell>
          <cell r="AJ172">
            <v>0</v>
          </cell>
          <cell r="AK172">
            <v>0</v>
          </cell>
          <cell r="AL172">
            <v>0</v>
          </cell>
          <cell r="AM172">
            <v>94116.25</v>
          </cell>
          <cell r="AN172">
            <v>0</v>
          </cell>
        </row>
        <row r="173">
          <cell r="A173">
            <v>602050</v>
          </cell>
          <cell r="B173" t="str">
            <v>COGS Vencorp Trading Amounts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5440376.9400000004</v>
          </cell>
          <cell r="AL173">
            <v>0</v>
          </cell>
          <cell r="AM173">
            <v>5440376.9400000004</v>
          </cell>
          <cell r="AN173">
            <v>0</v>
          </cell>
        </row>
        <row r="174">
          <cell r="A174">
            <v>602052</v>
          </cell>
          <cell r="B174" t="str">
            <v>ESSO BHP Additional MDQ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-18239.07</v>
          </cell>
          <cell r="AL174">
            <v>63746</v>
          </cell>
          <cell r="AM174">
            <v>-18239.07</v>
          </cell>
          <cell r="AN174">
            <v>63746</v>
          </cell>
        </row>
        <row r="175">
          <cell r="A175">
            <v>602055</v>
          </cell>
          <cell r="B175" t="str">
            <v>Gas fixed costs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3666129.14</v>
          </cell>
          <cell r="AL175">
            <v>972400</v>
          </cell>
          <cell r="AM175">
            <v>3666129.14</v>
          </cell>
          <cell r="AN175">
            <v>972400</v>
          </cell>
        </row>
        <row r="176">
          <cell r="A176">
            <v>602100</v>
          </cell>
          <cell r="B176" t="str">
            <v>Vencorp Gas Market Fees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486393.45</v>
          </cell>
          <cell r="AJ176">
            <v>0</v>
          </cell>
          <cell r="AK176">
            <v>0</v>
          </cell>
          <cell r="AL176">
            <v>0</v>
          </cell>
          <cell r="AM176">
            <v>486393.45</v>
          </cell>
          <cell r="AN176">
            <v>0</v>
          </cell>
        </row>
        <row r="177">
          <cell r="A177">
            <v>602200</v>
          </cell>
          <cell r="B177" t="str">
            <v>Gascor Agency Expense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58075.86</v>
          </cell>
          <cell r="AL177">
            <v>0</v>
          </cell>
          <cell r="AM177">
            <v>58075.86</v>
          </cell>
          <cell r="AN177">
            <v>0</v>
          </cell>
        </row>
        <row r="178">
          <cell r="A178">
            <v>602210</v>
          </cell>
          <cell r="B178" t="str">
            <v>Gascor Profit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>
            <v>602250</v>
          </cell>
          <cell r="B179" t="str">
            <v>Unaccounted for Gas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>
            <v>602260</v>
          </cell>
          <cell r="B180" t="str">
            <v>COGS Fuel Oil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1670485.97</v>
          </cell>
          <cell r="AL180">
            <v>0</v>
          </cell>
          <cell r="AM180">
            <v>1670485.97</v>
          </cell>
          <cell r="AN180">
            <v>0</v>
          </cell>
        </row>
        <row r="182">
          <cell r="A182" t="str">
            <v>TOTAL</v>
          </cell>
          <cell r="B182" t="str">
            <v>GAS PURCHASES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580509.69999999995</v>
          </cell>
          <cell r="AJ182">
            <v>0</v>
          </cell>
          <cell r="AK182">
            <v>34671748.109999999</v>
          </cell>
          <cell r="AL182">
            <v>52612646</v>
          </cell>
          <cell r="AM182">
            <v>35252257.810000002</v>
          </cell>
          <cell r="AN182">
            <v>52612646</v>
          </cell>
        </row>
        <row r="184">
          <cell r="A184" t="str">
            <v>GAS TRANSPORTATION</v>
          </cell>
        </row>
        <row r="186">
          <cell r="A186">
            <v>602060</v>
          </cell>
          <cell r="B186" t="str">
            <v>Gas TUOS Charges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1387122.56</v>
          </cell>
          <cell r="AJ186">
            <v>4249445.79</v>
          </cell>
          <cell r="AK186">
            <v>0</v>
          </cell>
          <cell r="AL186">
            <v>0</v>
          </cell>
          <cell r="AM186">
            <v>1387122.56</v>
          </cell>
          <cell r="AN186">
            <v>4249445.79</v>
          </cell>
        </row>
        <row r="187">
          <cell r="A187">
            <v>602080</v>
          </cell>
          <cell r="B187" t="str">
            <v>Gas DUOS Charges (Other)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1957397.66</v>
          </cell>
          <cell r="AJ187">
            <v>7707835.8099999996</v>
          </cell>
          <cell r="AK187">
            <v>0</v>
          </cell>
          <cell r="AL187">
            <v>0</v>
          </cell>
          <cell r="AM187">
            <v>1957397.66</v>
          </cell>
          <cell r="AN187">
            <v>7707835.8099999996</v>
          </cell>
        </row>
        <row r="188">
          <cell r="A188">
            <v>602110</v>
          </cell>
          <cell r="B188" t="str">
            <v>O&amp;M Gas Charges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38395.9</v>
          </cell>
          <cell r="AJ188">
            <v>0</v>
          </cell>
          <cell r="AK188">
            <v>0</v>
          </cell>
          <cell r="AL188">
            <v>0</v>
          </cell>
          <cell r="AM188">
            <v>38395.9</v>
          </cell>
          <cell r="AN188">
            <v>0</v>
          </cell>
        </row>
        <row r="189">
          <cell r="A189">
            <v>602140</v>
          </cell>
          <cell r="B189" t="str">
            <v>Chargeable Field Work - Other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68284.33</v>
          </cell>
          <cell r="AJ189">
            <v>0</v>
          </cell>
          <cell r="AK189">
            <v>0</v>
          </cell>
          <cell r="AL189">
            <v>0</v>
          </cell>
          <cell r="AM189">
            <v>68284.33</v>
          </cell>
          <cell r="AN189">
            <v>0</v>
          </cell>
        </row>
        <row r="190">
          <cell r="A190">
            <v>602160</v>
          </cell>
          <cell r="B190" t="str">
            <v>Local Capacity Charges - Other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2611.0700000000002</v>
          </cell>
          <cell r="AJ190">
            <v>0</v>
          </cell>
          <cell r="AK190">
            <v>0</v>
          </cell>
          <cell r="AL190">
            <v>0</v>
          </cell>
          <cell r="AM190">
            <v>2611.0700000000002</v>
          </cell>
          <cell r="AN190">
            <v>0</v>
          </cell>
        </row>
        <row r="192">
          <cell r="A192" t="str">
            <v>TOTAL</v>
          </cell>
          <cell r="B192" t="str">
            <v>GAS TRANSPORTATION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3453811.52</v>
          </cell>
          <cell r="AJ192">
            <v>11957281.6</v>
          </cell>
          <cell r="AK192">
            <v>0</v>
          </cell>
          <cell r="AL192">
            <v>0</v>
          </cell>
          <cell r="AM192">
            <v>3453811.52</v>
          </cell>
          <cell r="AN192">
            <v>11957281.6</v>
          </cell>
        </row>
        <row r="194">
          <cell r="A194" t="str">
            <v>INTERNAL GAS COSTS</v>
          </cell>
        </row>
        <row r="196">
          <cell r="A196">
            <v>602022</v>
          </cell>
          <cell r="B196" t="str">
            <v>Int-Gas Cost Franchise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-519117.76</v>
          </cell>
          <cell r="AJ196">
            <v>0</v>
          </cell>
          <cell r="AK196">
            <v>0</v>
          </cell>
          <cell r="AL196">
            <v>0</v>
          </cell>
          <cell r="AM196">
            <v>-519117.76</v>
          </cell>
          <cell r="AN196">
            <v>0</v>
          </cell>
        </row>
        <row r="197">
          <cell r="A197">
            <v>602024</v>
          </cell>
          <cell r="B197" t="str">
            <v>Int-Additional MDQ-Franchise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</row>
        <row r="198">
          <cell r="A198">
            <v>602041</v>
          </cell>
          <cell r="B198" t="str">
            <v>Int-Cost of Gas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6672055.8399999999</v>
          </cell>
          <cell r="AJ198">
            <v>22169059.789999999</v>
          </cell>
          <cell r="AK198">
            <v>-198.99</v>
          </cell>
          <cell r="AL198">
            <v>0</v>
          </cell>
          <cell r="AM198">
            <v>6671856.8499999996</v>
          </cell>
          <cell r="AN198">
            <v>22169059.789999999</v>
          </cell>
        </row>
        <row r="199">
          <cell r="A199">
            <v>602045</v>
          </cell>
          <cell r="B199" t="str">
            <v>Int-Additional MDQ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</row>
        <row r="200">
          <cell r="A200">
            <v>602047</v>
          </cell>
          <cell r="B200" t="str">
            <v>Int - AES costs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3650567.13</v>
          </cell>
          <cell r="AJ200">
            <v>0</v>
          </cell>
          <cell r="AK200">
            <v>0</v>
          </cell>
          <cell r="AL200">
            <v>0</v>
          </cell>
          <cell r="AM200">
            <v>3650567.13</v>
          </cell>
          <cell r="AN200">
            <v>0</v>
          </cell>
        </row>
        <row r="201">
          <cell r="A201">
            <v>602058</v>
          </cell>
          <cell r="B201" t="str">
            <v>Int-Management Fees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>
            <v>602070</v>
          </cell>
          <cell r="B202" t="str">
            <v>Int - Gas DUOS Charges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2419302.83</v>
          </cell>
          <cell r="AJ202">
            <v>8688267.7300000004</v>
          </cell>
          <cell r="AK202">
            <v>0</v>
          </cell>
          <cell r="AL202">
            <v>0</v>
          </cell>
          <cell r="AM202">
            <v>2419302.83</v>
          </cell>
          <cell r="AN202">
            <v>8688267.7300000004</v>
          </cell>
        </row>
        <row r="203">
          <cell r="A203">
            <v>602090</v>
          </cell>
          <cell r="B203" t="str">
            <v>Int - Vencorp Tarriffs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665480.04</v>
          </cell>
          <cell r="AK203">
            <v>0</v>
          </cell>
          <cell r="AL203">
            <v>0</v>
          </cell>
          <cell r="AM203">
            <v>0</v>
          </cell>
          <cell r="AN203">
            <v>665480.04</v>
          </cell>
        </row>
        <row r="204">
          <cell r="A204">
            <v>602120</v>
          </cell>
          <cell r="B204" t="str">
            <v>Int - O&amp;M Gas charges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75792</v>
          </cell>
          <cell r="AJ204">
            <v>0</v>
          </cell>
          <cell r="AK204">
            <v>0</v>
          </cell>
          <cell r="AL204">
            <v>0</v>
          </cell>
          <cell r="AM204">
            <v>75792</v>
          </cell>
          <cell r="AN204">
            <v>0</v>
          </cell>
        </row>
        <row r="205">
          <cell r="A205">
            <v>602130</v>
          </cell>
          <cell r="B205" t="str">
            <v>Westar Guarantee/Indemnity Fee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</row>
        <row r="206">
          <cell r="A206">
            <v>602145</v>
          </cell>
          <cell r="B206" t="str">
            <v>Int-Chargeable Field Work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49744.06</v>
          </cell>
          <cell r="AJ206">
            <v>0</v>
          </cell>
          <cell r="AK206">
            <v>0</v>
          </cell>
          <cell r="AL206">
            <v>0</v>
          </cell>
          <cell r="AM206">
            <v>49744.06</v>
          </cell>
          <cell r="AN206">
            <v>0</v>
          </cell>
        </row>
        <row r="207">
          <cell r="A207">
            <v>602150</v>
          </cell>
          <cell r="B207" t="str">
            <v>Int-Local Capacity Charges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35034.1</v>
          </cell>
          <cell r="AJ207">
            <v>0</v>
          </cell>
          <cell r="AK207">
            <v>0</v>
          </cell>
          <cell r="AL207">
            <v>0</v>
          </cell>
          <cell r="AM207">
            <v>35034.1</v>
          </cell>
          <cell r="AN207">
            <v>0</v>
          </cell>
        </row>
        <row r="209">
          <cell r="A209" t="str">
            <v>TOTAL</v>
          </cell>
          <cell r="B209" t="str">
            <v>INTERNAL GAS COSTS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12383378.199999999</v>
          </cell>
          <cell r="AJ209">
            <v>31522807.559999999</v>
          </cell>
          <cell r="AK209">
            <v>-198.99</v>
          </cell>
          <cell r="AL209">
            <v>0</v>
          </cell>
          <cell r="AM209">
            <v>12383179.210000001</v>
          </cell>
          <cell r="AN209">
            <v>31522807.559999999</v>
          </cell>
        </row>
        <row r="211">
          <cell r="A211" t="str">
            <v>NETWORK REVENUE - EXTERNAL</v>
          </cell>
        </row>
        <row r="213">
          <cell r="A213">
            <v>504552</v>
          </cell>
          <cell r="B213" t="str">
            <v>Network Revenue Oth Retailers</v>
          </cell>
          <cell r="C213">
            <v>0</v>
          </cell>
          <cell r="D213">
            <v>0</v>
          </cell>
          <cell r="E213">
            <v>-2233961.67</v>
          </cell>
          <cell r="F213">
            <v>-15304000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-2233961.67</v>
          </cell>
          <cell r="AN213">
            <v>-15304000</v>
          </cell>
        </row>
        <row r="214">
          <cell r="A214">
            <v>504554</v>
          </cell>
          <cell r="B214" t="str">
            <v>Network Revenue Oth Distn Bus</v>
          </cell>
          <cell r="C214">
            <v>0</v>
          </cell>
          <cell r="D214">
            <v>0</v>
          </cell>
          <cell r="E214">
            <v>2850221</v>
          </cell>
          <cell r="F214">
            <v>-315373.8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2850221</v>
          </cell>
          <cell r="AN214">
            <v>-315373.8</v>
          </cell>
        </row>
        <row r="215">
          <cell r="A215">
            <v>504558</v>
          </cell>
          <cell r="B215" t="str">
            <v>Network Revenue Excluded Serv</v>
          </cell>
          <cell r="C215">
            <v>0</v>
          </cell>
          <cell r="D215">
            <v>0</v>
          </cell>
          <cell r="E215">
            <v>-99318</v>
          </cell>
          <cell r="F215">
            <v>-1774539.9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-99318</v>
          </cell>
          <cell r="AN215">
            <v>-1774539.9</v>
          </cell>
        </row>
        <row r="216">
          <cell r="A216">
            <v>504610</v>
          </cell>
          <cell r="B216" t="str">
            <v>Regulated Rev Other Tariff V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-1892584.3</v>
          </cell>
          <cell r="AH216">
            <v>-7878500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-1892584.3</v>
          </cell>
          <cell r="AN216">
            <v>-7878500</v>
          </cell>
        </row>
        <row r="217">
          <cell r="A217">
            <v>504630</v>
          </cell>
          <cell r="B217" t="str">
            <v>Regulated Rev Other Tariff D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-498089.8</v>
          </cell>
          <cell r="AH217">
            <v>-760000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-498089.8</v>
          </cell>
          <cell r="AN217">
            <v>-760000</v>
          </cell>
        </row>
        <row r="218">
          <cell r="A218">
            <v>504650</v>
          </cell>
          <cell r="B218" t="str">
            <v>BETS Revenue Lost Customers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</row>
        <row r="219">
          <cell r="A219">
            <v>504655</v>
          </cell>
          <cell r="B219" t="str">
            <v>Cont. 1&amp;2 Way Hedge Receipts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45363479.759999998</v>
          </cell>
          <cell r="AL219">
            <v>-4191000</v>
          </cell>
          <cell r="AM219">
            <v>45363479.759999998</v>
          </cell>
          <cell r="AN219">
            <v>-4191000</v>
          </cell>
        </row>
        <row r="220">
          <cell r="A220">
            <v>504660</v>
          </cell>
          <cell r="B220" t="str">
            <v>F'chise 1&amp;2 Way Hedge Receipts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</row>
        <row r="222">
          <cell r="A222" t="str">
            <v>TOTAL</v>
          </cell>
          <cell r="B222" t="str">
            <v>NETWORK REVENUE - EXTERNAL</v>
          </cell>
          <cell r="C222">
            <v>0</v>
          </cell>
          <cell r="D222">
            <v>0</v>
          </cell>
          <cell r="E222">
            <v>516941.33</v>
          </cell>
          <cell r="F222">
            <v>-17393913.699999999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-2390674.1</v>
          </cell>
          <cell r="AH222">
            <v>-8638500</v>
          </cell>
          <cell r="AI222">
            <v>0</v>
          </cell>
          <cell r="AJ222">
            <v>0</v>
          </cell>
          <cell r="AK222">
            <v>45363479.759999998</v>
          </cell>
          <cell r="AL222">
            <v>-4191000</v>
          </cell>
          <cell r="AM222">
            <v>43489746.990000002</v>
          </cell>
          <cell r="AN222">
            <v>-30223413.699999999</v>
          </cell>
        </row>
        <row r="224">
          <cell r="A224" t="str">
            <v>WHOLESALE TRADING</v>
          </cell>
        </row>
        <row r="226">
          <cell r="A226">
            <v>607010</v>
          </cell>
          <cell r="B226" t="str">
            <v>AES MHA Expenditure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-2230996.37</v>
          </cell>
          <cell r="AL226">
            <v>0</v>
          </cell>
          <cell r="AM226">
            <v>-2230996.37</v>
          </cell>
          <cell r="AN226">
            <v>0</v>
          </cell>
        </row>
        <row r="227">
          <cell r="A227">
            <v>560190</v>
          </cell>
          <cell r="B227" t="str">
            <v>Unrealised gains - derivatives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1923721</v>
          </cell>
          <cell r="AL227">
            <v>5771163</v>
          </cell>
          <cell r="AM227">
            <v>1923721</v>
          </cell>
          <cell r="AN227">
            <v>5771163</v>
          </cell>
        </row>
        <row r="228">
          <cell r="A228">
            <v>560192</v>
          </cell>
          <cell r="B228" t="str">
            <v>Vesting Contract Provn Release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-8000000</v>
          </cell>
          <cell r="AL228">
            <v>-12000000</v>
          </cell>
          <cell r="AM228">
            <v>-8000000</v>
          </cell>
          <cell r="AN228">
            <v>-12000000</v>
          </cell>
        </row>
        <row r="229">
          <cell r="A229">
            <v>605825</v>
          </cell>
          <cell r="B229" t="str">
            <v>Option Fees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143745.82</v>
          </cell>
          <cell r="AL229">
            <v>0</v>
          </cell>
          <cell r="AM229">
            <v>143745.82</v>
          </cell>
          <cell r="AN229">
            <v>0</v>
          </cell>
        </row>
        <row r="230">
          <cell r="A230">
            <v>606200</v>
          </cell>
          <cell r="B230" t="str">
            <v>Energy Brokerage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77399.09</v>
          </cell>
          <cell r="AL230">
            <v>0</v>
          </cell>
          <cell r="AM230">
            <v>77399.09</v>
          </cell>
          <cell r="AN230">
            <v>0</v>
          </cell>
        </row>
        <row r="231">
          <cell r="A231">
            <v>607190</v>
          </cell>
          <cell r="B231" t="str">
            <v>Unrealised losses-derivatives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</row>
        <row r="232">
          <cell r="A232">
            <v>504460</v>
          </cell>
          <cell r="B232" t="str">
            <v>Wholesale Trading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-3842373.23</v>
          </cell>
          <cell r="AL232">
            <v>-600499.93000000005</v>
          </cell>
          <cell r="AM232">
            <v>-3842373.23</v>
          </cell>
          <cell r="AN232">
            <v>-600499.93000000005</v>
          </cell>
        </row>
        <row r="233">
          <cell r="A233">
            <v>504465</v>
          </cell>
          <cell r="B233" t="str">
            <v>AES MHA Revenue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-17450064.649999999</v>
          </cell>
          <cell r="AL233">
            <v>-38815500</v>
          </cell>
          <cell r="AM233">
            <v>-17450064.649999999</v>
          </cell>
          <cell r="AN233">
            <v>-38815500</v>
          </cell>
        </row>
        <row r="234">
          <cell r="A234">
            <v>504470</v>
          </cell>
          <cell r="B234" t="str">
            <v>Option Fees Revenue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-7228000</v>
          </cell>
          <cell r="AL234">
            <v>0</v>
          </cell>
          <cell r="AM234">
            <v>-7228000</v>
          </cell>
          <cell r="AN234">
            <v>0</v>
          </cell>
        </row>
        <row r="235">
          <cell r="A235">
            <v>504475</v>
          </cell>
          <cell r="B235" t="str">
            <v>Electricity Market Revenue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-65333983.890000001</v>
          </cell>
          <cell r="AL235">
            <v>-38863999.93</v>
          </cell>
          <cell r="AM235">
            <v>-65333983.890000001</v>
          </cell>
          <cell r="AN235">
            <v>-38863999.93</v>
          </cell>
        </row>
        <row r="236">
          <cell r="A236">
            <v>504480</v>
          </cell>
          <cell r="B236" t="str">
            <v>Oil Burn Compensation Revenue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33000</v>
          </cell>
          <cell r="AL236">
            <v>0</v>
          </cell>
          <cell r="AM236">
            <v>33000</v>
          </cell>
          <cell r="AN236">
            <v>0</v>
          </cell>
        </row>
        <row r="237">
          <cell r="A237">
            <v>504485</v>
          </cell>
          <cell r="B237" t="str">
            <v>Ancillary Services Revenue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-2901104.58</v>
          </cell>
          <cell r="AL237">
            <v>0</v>
          </cell>
          <cell r="AM237">
            <v>-2901104.58</v>
          </cell>
          <cell r="AN237">
            <v>0</v>
          </cell>
        </row>
        <row r="239">
          <cell r="A239" t="str">
            <v>TOTAL</v>
          </cell>
          <cell r="B239" t="str">
            <v>WHOLESALE TRADING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-104808656.81</v>
          </cell>
          <cell r="AL239">
            <v>-84508836.859999999</v>
          </cell>
          <cell r="AM239">
            <v>-104808656.81</v>
          </cell>
          <cell r="AN239">
            <v>-84508836.859999999</v>
          </cell>
        </row>
        <row r="241">
          <cell r="A241" t="str">
            <v>PROCEEDS FROM SALE OF ASSETS</v>
          </cell>
        </row>
        <row r="243">
          <cell r="A243">
            <v>560050</v>
          </cell>
          <cell r="B243" t="str">
            <v>Sale Of Investments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</row>
        <row r="244">
          <cell r="A244">
            <v>560100</v>
          </cell>
          <cell r="B244" t="str">
            <v>G/Proceeds on Sale of Assets</v>
          </cell>
          <cell r="C244">
            <v>-82</v>
          </cell>
          <cell r="D244">
            <v>0</v>
          </cell>
          <cell r="E244">
            <v>-126599.09</v>
          </cell>
          <cell r="F244">
            <v>-187425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-30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-11203.64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-137914.73000000001</v>
          </cell>
          <cell r="AN244">
            <v>-187425</v>
          </cell>
        </row>
        <row r="246">
          <cell r="A246" t="str">
            <v>TOTAL</v>
          </cell>
          <cell r="B246" t="str">
            <v>PROCEEDS FROM SALE OF ASSETS</v>
          </cell>
          <cell r="C246">
            <v>-82</v>
          </cell>
          <cell r="D246">
            <v>0</v>
          </cell>
          <cell r="E246">
            <v>-126599.09</v>
          </cell>
          <cell r="F246">
            <v>-187425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-30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-11203.64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-137914.73000000001</v>
          </cell>
          <cell r="AN246">
            <v>-187425</v>
          </cell>
        </row>
        <row r="248">
          <cell r="A248" t="str">
            <v>CUSTOMER CONTRIBUTIONS</v>
          </cell>
        </row>
        <row r="250">
          <cell r="A250">
            <v>560172</v>
          </cell>
          <cell r="B250" t="str">
            <v>Contributions for Capital Wks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-1202126.45</v>
          </cell>
          <cell r="AH250">
            <v>-4605325.99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-1202126.45</v>
          </cell>
          <cell r="AN250">
            <v>-4605325.99</v>
          </cell>
        </row>
        <row r="251">
          <cell r="A251">
            <v>560173</v>
          </cell>
          <cell r="B251" t="str">
            <v>HV Equalisation revenue-LVonly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-4996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-4996</v>
          </cell>
          <cell r="AN251">
            <v>0</v>
          </cell>
        </row>
        <row r="253">
          <cell r="A253" t="str">
            <v>TOTAL</v>
          </cell>
          <cell r="B253" t="str">
            <v>CUSTOMER CONTRIBUTIONS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-1207122.45</v>
          </cell>
          <cell r="AH253">
            <v>-4605325.99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-1207122.45</v>
          </cell>
          <cell r="AN253">
            <v>-4605325.99</v>
          </cell>
        </row>
        <row r="255">
          <cell r="A255" t="str">
            <v>INTER-COMPANY REVENUE</v>
          </cell>
        </row>
        <row r="257">
          <cell r="A257">
            <v>530055</v>
          </cell>
          <cell r="B257" t="str">
            <v>Interest Revenue Subsidiaries</v>
          </cell>
          <cell r="C257">
            <v>0</v>
          </cell>
          <cell r="D257">
            <v>0</v>
          </cell>
          <cell r="E257">
            <v>-40942895.549999997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-75658275.730000004</v>
          </cell>
          <cell r="V257">
            <v>0</v>
          </cell>
          <cell r="W257">
            <v>-35374782.609999999</v>
          </cell>
          <cell r="X257">
            <v>0</v>
          </cell>
          <cell r="Y257">
            <v>0</v>
          </cell>
          <cell r="Z257">
            <v>0</v>
          </cell>
          <cell r="AA257">
            <v>-35181449.270000003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-187157403.16</v>
          </cell>
          <cell r="AN257">
            <v>0</v>
          </cell>
        </row>
        <row r="258">
          <cell r="A258">
            <v>590060</v>
          </cell>
          <cell r="B258" t="str">
            <v>Margin EE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</row>
        <row r="259">
          <cell r="A259">
            <v>590063</v>
          </cell>
          <cell r="B259" t="str">
            <v>Margin EE Retail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</row>
        <row r="260">
          <cell r="A260">
            <v>504600</v>
          </cell>
          <cell r="B260" t="str">
            <v>Regulated Rev Kinetik Tariff V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-1622078.21</v>
          </cell>
          <cell r="AH260">
            <v>-7246500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-1622078.21</v>
          </cell>
          <cell r="AN260">
            <v>-7246500</v>
          </cell>
        </row>
        <row r="261">
          <cell r="A261">
            <v>504620</v>
          </cell>
          <cell r="B261" t="str">
            <v>Regulated Rev Kinetik Tariff D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-331492.67</v>
          </cell>
          <cell r="AH261">
            <v>-682000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-331492.67</v>
          </cell>
          <cell r="AN261">
            <v>-682000</v>
          </cell>
        </row>
        <row r="262">
          <cell r="A262">
            <v>504625</v>
          </cell>
          <cell r="B262" t="str">
            <v>Int - Network Rev Excluded Ser</v>
          </cell>
          <cell r="C262">
            <v>0</v>
          </cell>
          <cell r="D262">
            <v>0</v>
          </cell>
          <cell r="E262">
            <v>-1148394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-1148394</v>
          </cell>
          <cell r="AN262">
            <v>0</v>
          </cell>
        </row>
        <row r="263">
          <cell r="A263">
            <v>540820</v>
          </cell>
          <cell r="B263" t="str">
            <v>Other Revenue tariff V-Kinetik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-18026.82</v>
          </cell>
          <cell r="AH263">
            <v>-53978.400000000001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-18026.82</v>
          </cell>
          <cell r="AN263">
            <v>-53978.400000000001</v>
          </cell>
        </row>
        <row r="264">
          <cell r="A264">
            <v>540823</v>
          </cell>
          <cell r="B264" t="str">
            <v>Other Revenue Tariff D-Kinetik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-135487.1</v>
          </cell>
          <cell r="AH264">
            <v>-713422.31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-135487.1</v>
          </cell>
          <cell r="AN264">
            <v>-713422.31</v>
          </cell>
        </row>
        <row r="265">
          <cell r="A265">
            <v>540800</v>
          </cell>
          <cell r="B265" t="str">
            <v>Inter-company Revenue</v>
          </cell>
          <cell r="C265">
            <v>-11396251.5</v>
          </cell>
          <cell r="D265">
            <v>-18525000</v>
          </cell>
          <cell r="E265">
            <v>-163802.62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-7633878.5800000001</v>
          </cell>
          <cell r="L265">
            <v>-11430637.439999999</v>
          </cell>
          <cell r="M265">
            <v>-3727632.28</v>
          </cell>
          <cell r="N265">
            <v>-3690771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-3318571.84</v>
          </cell>
          <cell r="AH265">
            <v>-1800861.11</v>
          </cell>
          <cell r="AI265">
            <v>-254234.02</v>
          </cell>
          <cell r="AJ265">
            <v>0</v>
          </cell>
          <cell r="AK265">
            <v>-35409291.030000001</v>
          </cell>
          <cell r="AL265">
            <v>-3262642.5</v>
          </cell>
          <cell r="AM265">
            <v>-61903661.869999997</v>
          </cell>
          <cell r="AN265">
            <v>-38709912.049999997</v>
          </cell>
        </row>
        <row r="266">
          <cell r="A266">
            <v>540873</v>
          </cell>
          <cell r="B266" t="str">
            <v>Revenue Trading - Gas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-19221063.350000001</v>
          </cell>
          <cell r="AL266">
            <v>-23388000</v>
          </cell>
          <cell r="AM266">
            <v>-19221063.350000001</v>
          </cell>
          <cell r="AN266">
            <v>-23388000</v>
          </cell>
        </row>
        <row r="268">
          <cell r="A268" t="str">
            <v>TOTAL</v>
          </cell>
          <cell r="B268" t="str">
            <v>INTER-COMPANY REVENUE</v>
          </cell>
          <cell r="C268">
            <v>-11396251.5</v>
          </cell>
          <cell r="D268">
            <v>-18525000</v>
          </cell>
          <cell r="E268">
            <v>-42255092.170000002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-7633878.5800000001</v>
          </cell>
          <cell r="L268">
            <v>-11430637.439999999</v>
          </cell>
          <cell r="M268">
            <v>-3727632.28</v>
          </cell>
          <cell r="N268">
            <v>-3690771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-75658275.730000004</v>
          </cell>
          <cell r="V268">
            <v>0</v>
          </cell>
          <cell r="W268">
            <v>-35374782.609999999</v>
          </cell>
          <cell r="X268">
            <v>0</v>
          </cell>
          <cell r="Y268">
            <v>0</v>
          </cell>
          <cell r="Z268">
            <v>0</v>
          </cell>
          <cell r="AA268">
            <v>-35181449.270000003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-5425656.6399999997</v>
          </cell>
          <cell r="AH268">
            <v>-10496761.82</v>
          </cell>
          <cell r="AI268">
            <v>-254234.02</v>
          </cell>
          <cell r="AJ268">
            <v>0</v>
          </cell>
          <cell r="AK268">
            <v>-54630354.380000003</v>
          </cell>
          <cell r="AL268">
            <v>-26650642.5</v>
          </cell>
          <cell r="AM268">
            <v>-271537607.18000001</v>
          </cell>
          <cell r="AN268">
            <v>-70793812.760000005</v>
          </cell>
        </row>
        <row r="270">
          <cell r="A270" t="str">
            <v>REVENUE ASSET SALES TO EE</v>
          </cell>
        </row>
        <row r="272">
          <cell r="A272">
            <v>590000</v>
          </cell>
          <cell r="B272" t="str">
            <v>Inter-company Margin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</row>
        <row r="273">
          <cell r="A273">
            <v>590010</v>
          </cell>
          <cell r="B273" t="str">
            <v>Margin Westar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</row>
        <row r="274">
          <cell r="A274">
            <v>590020</v>
          </cell>
          <cell r="B274" t="str">
            <v>Margin Kinetik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</row>
        <row r="275">
          <cell r="A275">
            <v>590040</v>
          </cell>
          <cell r="B275" t="str">
            <v>Margin Enetech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</row>
        <row r="276">
          <cell r="A276">
            <v>590050</v>
          </cell>
          <cell r="B276" t="str">
            <v>Margin EFM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</row>
        <row r="277">
          <cell r="A277">
            <v>590070</v>
          </cell>
          <cell r="B277" t="str">
            <v>Margin ATM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</row>
        <row r="278">
          <cell r="A278">
            <v>590073</v>
          </cell>
          <cell r="B278" t="str">
            <v>Margin Trading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</row>
        <row r="279">
          <cell r="A279">
            <v>590080</v>
          </cell>
          <cell r="B279" t="str">
            <v>Margin GCS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</row>
        <row r="280">
          <cell r="A280">
            <v>590090</v>
          </cell>
          <cell r="B280" t="str">
            <v>Margin TUA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</row>
        <row r="281">
          <cell r="A281">
            <v>590099</v>
          </cell>
          <cell r="B281" t="str">
            <v>RWK Revenue-Transfer to BSheet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</row>
        <row r="282">
          <cell r="A282">
            <v>590100</v>
          </cell>
          <cell r="B282" t="str">
            <v>Margin EE Asset sales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168959.18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168959.18</v>
          </cell>
          <cell r="AN282">
            <v>0</v>
          </cell>
        </row>
        <row r="283">
          <cell r="A283">
            <v>590102</v>
          </cell>
          <cell r="B283" t="str">
            <v>Margin Westar Asset Sales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116612.52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116612.52</v>
          </cell>
          <cell r="AN283">
            <v>0</v>
          </cell>
        </row>
        <row r="284">
          <cell r="A284">
            <v>540862</v>
          </cell>
          <cell r="B284" t="str">
            <v>Revenue EE Asset Sales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16895925.789999999</v>
          </cell>
          <cell r="AH284">
            <v>0.23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16895925.789999999</v>
          </cell>
          <cell r="AN284">
            <v>0.23</v>
          </cell>
        </row>
        <row r="285">
          <cell r="A285">
            <v>540864</v>
          </cell>
          <cell r="B285" t="str">
            <v>Revenue Westar Asset Sales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11661249.310000001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11661249.310000001</v>
          </cell>
          <cell r="AN285">
            <v>0</v>
          </cell>
        </row>
        <row r="287">
          <cell r="A287" t="str">
            <v>TOTAL</v>
          </cell>
          <cell r="B287" t="str">
            <v>REVENUE ASSET SALES TO EE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28842746.800000001</v>
          </cell>
          <cell r="AH287">
            <v>0.23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28842746.800000001</v>
          </cell>
          <cell r="AN287">
            <v>0.23</v>
          </cell>
        </row>
        <row r="289">
          <cell r="A289" t="str">
            <v>REVENUE NETWORK MANAGEMENT FEE</v>
          </cell>
        </row>
        <row r="291">
          <cell r="A291">
            <v>540830</v>
          </cell>
          <cell r="B291" t="str">
            <v>Revenue EFM Mgt Fee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-1703818.26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-1703818.26</v>
          </cell>
        </row>
        <row r="293">
          <cell r="A293" t="str">
            <v>TOTAL</v>
          </cell>
          <cell r="B293" t="str">
            <v>REVENUE NETWORK MANAGEMENT FEE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-1703818.26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-1703818.26</v>
          </cell>
        </row>
        <row r="295">
          <cell r="A295" t="str">
            <v>REVENUE WUGS</v>
          </cell>
        </row>
        <row r="297">
          <cell r="A297">
            <v>523100</v>
          </cell>
          <cell r="B297" t="str">
            <v>Native Gas Sales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</row>
        <row r="298">
          <cell r="A298">
            <v>523110</v>
          </cell>
          <cell r="B298" t="str">
            <v>Gas Income-Non-Complying gas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</row>
        <row r="299">
          <cell r="A299">
            <v>523120</v>
          </cell>
          <cell r="B299" t="str">
            <v>Toll processing-complying gas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-30747.68</v>
          </cell>
          <cell r="AL299">
            <v>-502200</v>
          </cell>
          <cell r="AM299">
            <v>-30747.68</v>
          </cell>
          <cell r="AN299">
            <v>-502200</v>
          </cell>
        </row>
        <row r="300">
          <cell r="A300">
            <v>523130</v>
          </cell>
          <cell r="B300" t="str">
            <v>Toll processing-non-complying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</row>
        <row r="301">
          <cell r="A301">
            <v>523140</v>
          </cell>
          <cell r="B301" t="str">
            <v>Credit on sale of condensate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-153213.04999999999</v>
          </cell>
          <cell r="AL301">
            <v>0</v>
          </cell>
          <cell r="AM301">
            <v>-153213.04999999999</v>
          </cell>
          <cell r="AN301">
            <v>0</v>
          </cell>
        </row>
        <row r="302">
          <cell r="A302">
            <v>523150</v>
          </cell>
          <cell r="B302" t="str">
            <v>Sale of condensate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-103859.29</v>
          </cell>
          <cell r="AL302">
            <v>0</v>
          </cell>
          <cell r="AM302">
            <v>-103859.29</v>
          </cell>
          <cell r="AN302">
            <v>0</v>
          </cell>
        </row>
        <row r="303">
          <cell r="A303">
            <v>523160</v>
          </cell>
          <cell r="B303" t="str">
            <v>Toll Processing Avail. Charge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3210.6</v>
          </cell>
          <cell r="AL303">
            <v>0</v>
          </cell>
          <cell r="AM303">
            <v>3210.6</v>
          </cell>
          <cell r="AN303">
            <v>0</v>
          </cell>
        </row>
        <row r="304">
          <cell r="A304">
            <v>523170</v>
          </cell>
          <cell r="B304" t="str">
            <v>Storage Availability Charge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-368804.77</v>
          </cell>
          <cell r="AL304">
            <v>-1106499</v>
          </cell>
          <cell r="AM304">
            <v>-368804.77</v>
          </cell>
          <cell r="AN304">
            <v>-1106499</v>
          </cell>
        </row>
        <row r="305">
          <cell r="A305">
            <v>523180</v>
          </cell>
          <cell r="B305" t="str">
            <v>Gas injection fees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-93.29</v>
          </cell>
          <cell r="AL305">
            <v>0</v>
          </cell>
          <cell r="AM305">
            <v>-93.29</v>
          </cell>
          <cell r="AN305">
            <v>0</v>
          </cell>
        </row>
        <row r="306">
          <cell r="A306">
            <v>523190</v>
          </cell>
          <cell r="B306" t="str">
            <v>Gas withdrawal fees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</row>
        <row r="308">
          <cell r="A308" t="str">
            <v>TOTAL</v>
          </cell>
          <cell r="B308" t="str">
            <v>REVENUE WUGS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-653507.48</v>
          </cell>
          <cell r="AL308">
            <v>-1608699</v>
          </cell>
          <cell r="AM308">
            <v>-653507.48</v>
          </cell>
          <cell r="AN308">
            <v>-1608699</v>
          </cell>
        </row>
        <row r="310">
          <cell r="A310" t="str">
            <v>OTHER REVENUE</v>
          </cell>
        </row>
        <row r="312">
          <cell r="A312">
            <v>530000</v>
          </cell>
          <cell r="B312" t="str">
            <v>Interest Income</v>
          </cell>
          <cell r="C312">
            <v>0</v>
          </cell>
          <cell r="D312">
            <v>0</v>
          </cell>
          <cell r="E312">
            <v>-57720.6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-14.88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-12982.4</v>
          </cell>
          <cell r="AD312">
            <v>0</v>
          </cell>
          <cell r="AE312">
            <v>0</v>
          </cell>
          <cell r="AF312">
            <v>0</v>
          </cell>
          <cell r="AG312">
            <v>-1176.93</v>
          </cell>
          <cell r="AH312">
            <v>0</v>
          </cell>
          <cell r="AI312">
            <v>-7624.77</v>
          </cell>
          <cell r="AJ312">
            <v>0</v>
          </cell>
          <cell r="AK312">
            <v>-105.32</v>
          </cell>
          <cell r="AL312">
            <v>0</v>
          </cell>
          <cell r="AM312">
            <v>-79624.899999999994</v>
          </cell>
          <cell r="AN312">
            <v>0</v>
          </cell>
        </row>
        <row r="313">
          <cell r="A313">
            <v>530005</v>
          </cell>
          <cell r="B313" t="str">
            <v>ST Money Market Interest Rev</v>
          </cell>
          <cell r="C313">
            <v>0</v>
          </cell>
          <cell r="D313">
            <v>0</v>
          </cell>
          <cell r="E313">
            <v>-31119.83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-31119.83</v>
          </cell>
          <cell r="AN313">
            <v>0</v>
          </cell>
        </row>
        <row r="314">
          <cell r="A314">
            <v>530010</v>
          </cell>
          <cell r="B314" t="str">
            <v>Bridging Finance Interest Rev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</row>
        <row r="315">
          <cell r="A315">
            <v>530020</v>
          </cell>
          <cell r="B315" t="str">
            <v>Futures Deposits Interest Rev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</row>
        <row r="316">
          <cell r="A316">
            <v>530040</v>
          </cell>
          <cell r="B316" t="str">
            <v>Discount Securities Int Rev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</row>
        <row r="317">
          <cell r="A317">
            <v>530050</v>
          </cell>
          <cell r="B317" t="str">
            <v>Interest Revenue TUA Loans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</row>
        <row r="318">
          <cell r="A318">
            <v>530060</v>
          </cell>
          <cell r="B318" t="str">
            <v>Other Interest Revenue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-13640.85</v>
          </cell>
          <cell r="AJ318">
            <v>0</v>
          </cell>
          <cell r="AK318">
            <v>-26185.35</v>
          </cell>
          <cell r="AL318">
            <v>0</v>
          </cell>
          <cell r="AM318">
            <v>-39826.199999999997</v>
          </cell>
          <cell r="AN318">
            <v>0</v>
          </cell>
        </row>
        <row r="319">
          <cell r="A319">
            <v>560125</v>
          </cell>
          <cell r="B319" t="str">
            <v>Non-regulated Revenue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-346952.97</v>
          </cell>
          <cell r="AH319">
            <v>-487013.34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-346952.97</v>
          </cell>
          <cell r="AN319">
            <v>-487013.34</v>
          </cell>
        </row>
        <row r="320">
          <cell r="A320">
            <v>560101</v>
          </cell>
          <cell r="B320" t="str">
            <v>Disposal Sales</v>
          </cell>
          <cell r="C320">
            <v>-270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-270</v>
          </cell>
          <cell r="AN320">
            <v>0</v>
          </cell>
        </row>
        <row r="321">
          <cell r="A321">
            <v>560103</v>
          </cell>
          <cell r="B321" t="str">
            <v>NGV (Sales of Gas Vehicles)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-42832.87</v>
          </cell>
          <cell r="AJ321">
            <v>-112500</v>
          </cell>
          <cell r="AK321">
            <v>0</v>
          </cell>
          <cell r="AL321">
            <v>0</v>
          </cell>
          <cell r="AM321">
            <v>-42832.87</v>
          </cell>
          <cell r="AN321">
            <v>-112500</v>
          </cell>
        </row>
        <row r="322">
          <cell r="A322">
            <v>560104</v>
          </cell>
          <cell r="B322" t="str">
            <v>SOU Management Fee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</row>
        <row r="323">
          <cell r="A323">
            <v>560105</v>
          </cell>
          <cell r="B323" t="str">
            <v>Hot Water Hotline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</row>
        <row r="324">
          <cell r="A324">
            <v>560107</v>
          </cell>
          <cell r="B324" t="str">
            <v>Supply Installation Services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-110869.11</v>
          </cell>
          <cell r="AH324">
            <v>-164227.59</v>
          </cell>
          <cell r="AI324">
            <v>-4786</v>
          </cell>
          <cell r="AJ324">
            <v>0</v>
          </cell>
          <cell r="AK324">
            <v>0</v>
          </cell>
          <cell r="AL324">
            <v>0</v>
          </cell>
          <cell r="AM324">
            <v>-115655.11</v>
          </cell>
          <cell r="AN324">
            <v>-164227.59</v>
          </cell>
        </row>
        <row r="325">
          <cell r="A325">
            <v>560108</v>
          </cell>
          <cell r="B325" t="str">
            <v>REC Inspection Fee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</row>
        <row r="326">
          <cell r="A326">
            <v>560110</v>
          </cell>
          <cell r="B326" t="str">
            <v>Electrical Services (Desa)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2615</v>
          </cell>
          <cell r="AJ326">
            <v>0</v>
          </cell>
          <cell r="AK326">
            <v>0</v>
          </cell>
          <cell r="AL326">
            <v>0</v>
          </cell>
          <cell r="AM326">
            <v>2615</v>
          </cell>
          <cell r="AN326">
            <v>0</v>
          </cell>
        </row>
        <row r="327">
          <cell r="A327">
            <v>560115</v>
          </cell>
          <cell r="B327" t="str">
            <v>Plumbing (Wizard)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60</v>
          </cell>
          <cell r="AJ327">
            <v>0</v>
          </cell>
          <cell r="AK327">
            <v>0</v>
          </cell>
          <cell r="AL327">
            <v>0</v>
          </cell>
          <cell r="AM327">
            <v>60</v>
          </cell>
          <cell r="AN327">
            <v>0</v>
          </cell>
        </row>
        <row r="328">
          <cell r="A328">
            <v>560119</v>
          </cell>
          <cell r="B328" t="str">
            <v>Joint Use of Poles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-153695.72</v>
          </cell>
          <cell r="AH328">
            <v>-230826.63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-153695.72</v>
          </cell>
          <cell r="AN328">
            <v>-230826.63</v>
          </cell>
        </row>
        <row r="329">
          <cell r="A329">
            <v>560120</v>
          </cell>
          <cell r="B329" t="str">
            <v>Home Loan Commission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</row>
        <row r="330">
          <cell r="A330">
            <v>560122</v>
          </cell>
          <cell r="B330" t="str">
            <v>Printing and Duplicating - Ext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</row>
        <row r="331">
          <cell r="A331">
            <v>560123</v>
          </cell>
          <cell r="B331" t="str">
            <v>Lease / Hire Of  EE Assets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</row>
        <row r="332">
          <cell r="A332">
            <v>560124</v>
          </cell>
          <cell r="B332" t="str">
            <v>Call Centre Revenue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-863237.32</v>
          </cell>
          <cell r="L332">
            <v>-1680824.97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-863237.32</v>
          </cell>
          <cell r="AN332">
            <v>-1680824.97</v>
          </cell>
        </row>
        <row r="333">
          <cell r="A333">
            <v>560126</v>
          </cell>
          <cell r="B333" t="str">
            <v>Security (Chubb)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</row>
        <row r="334">
          <cell r="A334">
            <v>560129</v>
          </cell>
          <cell r="B334" t="str">
            <v>Bad Debts Recovered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-1427.07</v>
          </cell>
          <cell r="AJ334">
            <v>0</v>
          </cell>
          <cell r="AK334">
            <v>0</v>
          </cell>
          <cell r="AL334">
            <v>0</v>
          </cell>
          <cell r="AM334">
            <v>-1427.07</v>
          </cell>
          <cell r="AN334">
            <v>0</v>
          </cell>
        </row>
        <row r="335">
          <cell r="A335">
            <v>560131</v>
          </cell>
          <cell r="B335" t="str">
            <v>Property Rentals</v>
          </cell>
          <cell r="C335">
            <v>0</v>
          </cell>
          <cell r="D335">
            <v>0</v>
          </cell>
          <cell r="E335">
            <v>-8951.85</v>
          </cell>
          <cell r="F335">
            <v>-6872.25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-7862.5</v>
          </cell>
          <cell r="AH335">
            <v>-9996</v>
          </cell>
          <cell r="AI335">
            <v>0</v>
          </cell>
          <cell r="AJ335">
            <v>0</v>
          </cell>
          <cell r="AK335">
            <v>-3913.55</v>
          </cell>
          <cell r="AL335">
            <v>0</v>
          </cell>
          <cell r="AM335">
            <v>-20727.900000000001</v>
          </cell>
          <cell r="AN335">
            <v>-16868.25</v>
          </cell>
        </row>
        <row r="336">
          <cell r="A336">
            <v>560134</v>
          </cell>
          <cell r="B336" t="str">
            <v>Unidentified Receipts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</row>
        <row r="337">
          <cell r="A337">
            <v>560135</v>
          </cell>
          <cell r="B337" t="str">
            <v>CRAFT Technical Education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</row>
        <row r="338">
          <cell r="A338">
            <v>560143</v>
          </cell>
          <cell r="B338" t="str">
            <v>Recoverable Wks Revenue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6276.41</v>
          </cell>
          <cell r="AH338">
            <v>-27493.05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6276.41</v>
          </cell>
          <cell r="AN338">
            <v>-27493.05</v>
          </cell>
        </row>
        <row r="339">
          <cell r="A339">
            <v>560147</v>
          </cell>
          <cell r="B339" t="str">
            <v>Officer Contributions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-480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-480</v>
          </cell>
          <cell r="AN339">
            <v>0</v>
          </cell>
        </row>
        <row r="340">
          <cell r="A340">
            <v>560154</v>
          </cell>
          <cell r="B340" t="str">
            <v>Gas Meter Reading Revenue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-69727.649999999994</v>
          </cell>
          <cell r="AH340">
            <v>-173480.58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-69727.649999999994</v>
          </cell>
          <cell r="AN340">
            <v>-173480.58</v>
          </cell>
        </row>
        <row r="341">
          <cell r="A341">
            <v>560155</v>
          </cell>
          <cell r="B341" t="str">
            <v>Meter Provisioning Revenue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-6509.25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-36186.85</v>
          </cell>
          <cell r="AH341">
            <v>-147141.12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-42696.1</v>
          </cell>
          <cell r="AN341">
            <v>-147141.12</v>
          </cell>
        </row>
        <row r="342">
          <cell r="A342">
            <v>560156</v>
          </cell>
          <cell r="B342" t="str">
            <v>Wholesale Meter Reading Revenu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-52770.39</v>
          </cell>
          <cell r="AH342">
            <v>-147490.98000000001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-52770.39</v>
          </cell>
          <cell r="AN342">
            <v>-147490.98000000001</v>
          </cell>
        </row>
        <row r="343">
          <cell r="A343">
            <v>560157</v>
          </cell>
          <cell r="B343" t="str">
            <v>Contestable Meter Reading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8345.3799999999992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-44012.63</v>
          </cell>
          <cell r="AH343">
            <v>-147141.12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-35667.25</v>
          </cell>
          <cell r="AN343">
            <v>-147141.12</v>
          </cell>
        </row>
        <row r="344">
          <cell r="A344">
            <v>560158</v>
          </cell>
          <cell r="B344" t="str">
            <v>Cust Tfr/Reconnection Fees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-283129.09000000003</v>
          </cell>
          <cell r="AH344">
            <v>-380222.82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-283129.09000000003</v>
          </cell>
          <cell r="AN344">
            <v>-380222.82</v>
          </cell>
        </row>
        <row r="345">
          <cell r="A345">
            <v>560159</v>
          </cell>
          <cell r="B345" t="str">
            <v>Discount Received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-5411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-5411</v>
          </cell>
          <cell r="AN345">
            <v>0</v>
          </cell>
        </row>
        <row r="346">
          <cell r="A346">
            <v>560162</v>
          </cell>
          <cell r="B346" t="str">
            <v>Co-Gen Contributions Revenue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-5764.78</v>
          </cell>
          <cell r="AL346">
            <v>0</v>
          </cell>
          <cell r="AM346">
            <v>-5764.78</v>
          </cell>
          <cell r="AN346">
            <v>0</v>
          </cell>
        </row>
        <row r="347">
          <cell r="A347">
            <v>560164</v>
          </cell>
          <cell r="B347" t="str">
            <v>Revenue Guarantee Agreements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</row>
        <row r="348">
          <cell r="A348">
            <v>560166</v>
          </cell>
          <cell r="B348" t="str">
            <v>Repairs of Vehicles - External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</row>
        <row r="349">
          <cell r="A349">
            <v>560169</v>
          </cell>
          <cell r="B349" t="str">
            <v>Dishonoured Cheque Fees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</row>
        <row r="350">
          <cell r="A350">
            <v>560174</v>
          </cell>
          <cell r="B350" t="str">
            <v>Registration and TAC Refunds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</row>
        <row r="351">
          <cell r="A351">
            <v>560199</v>
          </cell>
          <cell r="B351" t="str">
            <v>Other Revenue</v>
          </cell>
          <cell r="C351">
            <v>-4284.46</v>
          </cell>
          <cell r="D351">
            <v>0</v>
          </cell>
          <cell r="E351">
            <v>-1535.76</v>
          </cell>
          <cell r="F351">
            <v>-24990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-9673.5</v>
          </cell>
          <cell r="L351">
            <v>0</v>
          </cell>
          <cell r="M351">
            <v>-115205.78</v>
          </cell>
          <cell r="N351">
            <v>-99382.24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-53329.599999999999</v>
          </cell>
          <cell r="AH351">
            <v>-157825.82</v>
          </cell>
          <cell r="AI351">
            <v>-139597.32999999999</v>
          </cell>
          <cell r="AJ351">
            <v>-10000000</v>
          </cell>
          <cell r="AK351">
            <v>0</v>
          </cell>
          <cell r="AL351">
            <v>0</v>
          </cell>
          <cell r="AM351">
            <v>-323626.43</v>
          </cell>
          <cell r="AN351">
            <v>-10282198.060000001</v>
          </cell>
        </row>
        <row r="352">
          <cell r="A352">
            <v>562010</v>
          </cell>
          <cell r="B352" t="str">
            <v>Sub Meter Hire Charges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</row>
        <row r="353">
          <cell r="A353">
            <v>562020</v>
          </cell>
          <cell r="B353" t="str">
            <v>Appliance Maintenance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</row>
        <row r="354">
          <cell r="A354">
            <v>562030</v>
          </cell>
          <cell r="B354" t="str">
            <v>Recoveries Excess Service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</row>
        <row r="355">
          <cell r="A355">
            <v>562040</v>
          </cell>
          <cell r="B355" t="str">
            <v>Natural Gas Account Coll Fee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</row>
        <row r="356">
          <cell r="A356">
            <v>562050</v>
          </cell>
          <cell r="B356" t="str">
            <v>Supp Charge Rebate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</row>
        <row r="357">
          <cell r="A357">
            <v>564300</v>
          </cell>
          <cell r="B357" t="str">
            <v>Revenue  - GES/ERGS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-58607.61</v>
          </cell>
          <cell r="AJ357">
            <v>0</v>
          </cell>
          <cell r="AK357">
            <v>0</v>
          </cell>
          <cell r="AL357">
            <v>0</v>
          </cell>
          <cell r="AM357">
            <v>-58607.61</v>
          </cell>
          <cell r="AN357">
            <v>0</v>
          </cell>
        </row>
        <row r="358">
          <cell r="A358">
            <v>560152</v>
          </cell>
          <cell r="B358" t="str">
            <v>Other Rev Tariff V - Other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-101951.9</v>
          </cell>
          <cell r="AH358">
            <v>-80967.570000000007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-101951.9</v>
          </cell>
          <cell r="AN358">
            <v>-80967.570000000007</v>
          </cell>
        </row>
        <row r="359">
          <cell r="A359">
            <v>560153</v>
          </cell>
          <cell r="B359" t="str">
            <v>Other Rev Tariff D - Other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-180581.13</v>
          </cell>
          <cell r="AH359">
            <v>-327408.99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-180581.13</v>
          </cell>
          <cell r="AN359">
            <v>-327408.99</v>
          </cell>
        </row>
        <row r="360">
          <cell r="A360">
            <v>560150</v>
          </cell>
          <cell r="B360" t="str">
            <v>Project External Revenue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-290019.07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-31070.86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78975.17</v>
          </cell>
          <cell r="AL360">
            <v>0</v>
          </cell>
          <cell r="AM360">
            <v>-242114.76</v>
          </cell>
          <cell r="AN360">
            <v>0</v>
          </cell>
        </row>
        <row r="361">
          <cell r="A361">
            <v>540660</v>
          </cell>
          <cell r="B361" t="str">
            <v>Other Rev Competitive Kinetik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</row>
        <row r="362">
          <cell r="A362">
            <v>540840</v>
          </cell>
          <cell r="B362" t="str">
            <v>Revenue Internal Enetech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</row>
        <row r="363">
          <cell r="A363">
            <v>540845</v>
          </cell>
          <cell r="B363" t="str">
            <v>Revenue Fleet Basic Hire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</row>
        <row r="364">
          <cell r="A364">
            <v>540665</v>
          </cell>
          <cell r="B364" t="str">
            <v>Other Rev Competitive - Other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</row>
        <row r="365">
          <cell r="A365">
            <v>540877</v>
          </cell>
          <cell r="B365" t="str">
            <v>Revenue Trading - Electricity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19095549.100000001</v>
          </cell>
          <cell r="AL365">
            <v>-54816100</v>
          </cell>
          <cell r="AM365">
            <v>19095549.100000001</v>
          </cell>
          <cell r="AN365">
            <v>-54816100</v>
          </cell>
        </row>
        <row r="367">
          <cell r="A367" t="str">
            <v>TOTAL</v>
          </cell>
          <cell r="B367" t="str">
            <v>OTHER REVENUE</v>
          </cell>
          <cell r="C367">
            <v>-4554.46</v>
          </cell>
          <cell r="D367">
            <v>0</v>
          </cell>
          <cell r="E367">
            <v>-99328.04</v>
          </cell>
          <cell r="F367">
            <v>-31862.25</v>
          </cell>
          <cell r="G367">
            <v>-290019.07</v>
          </cell>
          <cell r="H367">
            <v>0</v>
          </cell>
          <cell r="I367">
            <v>0</v>
          </cell>
          <cell r="J367">
            <v>0</v>
          </cell>
          <cell r="K367">
            <v>-871074.69</v>
          </cell>
          <cell r="L367">
            <v>-1680824.97</v>
          </cell>
          <cell r="M367">
            <v>-146291.51999999999</v>
          </cell>
          <cell r="N367">
            <v>-99382.24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-12982.4</v>
          </cell>
          <cell r="AD367">
            <v>0</v>
          </cell>
          <cell r="AE367">
            <v>0</v>
          </cell>
          <cell r="AF367">
            <v>0</v>
          </cell>
          <cell r="AG367">
            <v>-1441861.06</v>
          </cell>
          <cell r="AH367">
            <v>-2481235.61</v>
          </cell>
          <cell r="AI367">
            <v>-265841.5</v>
          </cell>
          <cell r="AJ367">
            <v>-10112500</v>
          </cell>
          <cell r="AK367">
            <v>19138555.27</v>
          </cell>
          <cell r="AL367">
            <v>-54816100</v>
          </cell>
          <cell r="AM367">
            <v>16006602.529999999</v>
          </cell>
          <cell r="AN367">
            <v>-69221905.069999993</v>
          </cell>
        </row>
        <row r="369">
          <cell r="A369" t="str">
            <v>SALARIES</v>
          </cell>
        </row>
        <row r="371">
          <cell r="A371">
            <v>611000</v>
          </cell>
          <cell r="B371" t="str">
            <v>Salaries Ordinary Time</v>
          </cell>
          <cell r="C371">
            <v>2302360.9500000002</v>
          </cell>
          <cell r="D371">
            <v>4254169</v>
          </cell>
          <cell r="E371">
            <v>-721.08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832426.38</v>
          </cell>
          <cell r="L371">
            <v>5275822.0199999996</v>
          </cell>
          <cell r="M371">
            <v>1038213.37</v>
          </cell>
          <cell r="N371">
            <v>2863255.86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646649.43999999994</v>
          </cell>
          <cell r="AH371">
            <v>4293159.54</v>
          </cell>
          <cell r="AI371">
            <v>771659.48</v>
          </cell>
          <cell r="AJ371">
            <v>1966242.39</v>
          </cell>
          <cell r="AK371">
            <v>217065.2</v>
          </cell>
          <cell r="AL371">
            <v>1458919.8</v>
          </cell>
          <cell r="AM371">
            <v>5807653.7400000002</v>
          </cell>
          <cell r="AN371">
            <v>20111568.609999999</v>
          </cell>
        </row>
        <row r="372">
          <cell r="A372">
            <v>611001</v>
          </cell>
          <cell r="B372" t="str">
            <v>Salaries - Other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-1150995</v>
          </cell>
          <cell r="N372">
            <v>454919.53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-1150995</v>
          </cell>
          <cell r="AN372">
            <v>454919.53</v>
          </cell>
        </row>
        <row r="373">
          <cell r="A373">
            <v>611002</v>
          </cell>
          <cell r="B373" t="str">
            <v>Salaries Overtime</v>
          </cell>
          <cell r="C373">
            <v>115640.38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59826.13</v>
          </cell>
          <cell r="L373">
            <v>0</v>
          </cell>
          <cell r="M373">
            <v>7684.63</v>
          </cell>
          <cell r="N373">
            <v>2499.9899999999998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72071.28</v>
          </cell>
          <cell r="AH373">
            <v>56364.31</v>
          </cell>
          <cell r="AI373">
            <v>-2074.59</v>
          </cell>
          <cell r="AJ373">
            <v>0</v>
          </cell>
          <cell r="AK373">
            <v>0</v>
          </cell>
          <cell r="AL373">
            <v>0</v>
          </cell>
          <cell r="AM373">
            <v>253147.83</v>
          </cell>
          <cell r="AN373">
            <v>58864.3</v>
          </cell>
        </row>
        <row r="374">
          <cell r="A374">
            <v>611003</v>
          </cell>
          <cell r="B374" t="str">
            <v>Salaries - Availability Allow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3118.23</v>
          </cell>
          <cell r="L374">
            <v>2079.9899999999998</v>
          </cell>
          <cell r="M374">
            <v>9477.42</v>
          </cell>
          <cell r="N374">
            <v>6049.98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40952.94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53548.59</v>
          </cell>
          <cell r="AN374">
            <v>8129.97</v>
          </cell>
        </row>
        <row r="375">
          <cell r="A375">
            <v>611004</v>
          </cell>
          <cell r="B375" t="str">
            <v>Salaries - Relocation Allow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3837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3837</v>
          </cell>
          <cell r="AN375">
            <v>0</v>
          </cell>
        </row>
        <row r="376">
          <cell r="A376">
            <v>611090</v>
          </cell>
          <cell r="B376" t="str">
            <v>Salaries Suspense Normal Time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5430.42</v>
          </cell>
          <cell r="L376">
            <v>0</v>
          </cell>
          <cell r="M376">
            <v>18417.41</v>
          </cell>
          <cell r="N376">
            <v>78289.11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2406.21</v>
          </cell>
          <cell r="AH376">
            <v>0</v>
          </cell>
          <cell r="AI376">
            <v>5071.2700000000004</v>
          </cell>
          <cell r="AJ376">
            <v>0</v>
          </cell>
          <cell r="AK376">
            <v>53086.37</v>
          </cell>
          <cell r="AL376">
            <v>0</v>
          </cell>
          <cell r="AM376">
            <v>84411.68</v>
          </cell>
          <cell r="AN376">
            <v>78289.11</v>
          </cell>
        </row>
        <row r="377">
          <cell r="A377">
            <v>611092</v>
          </cell>
          <cell r="B377" t="str">
            <v>Salaries Suspense Overtime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-1481.88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-1481.88</v>
          </cell>
          <cell r="AN377">
            <v>0</v>
          </cell>
        </row>
        <row r="378">
          <cell r="A378">
            <v>611200</v>
          </cell>
          <cell r="B378" t="str">
            <v>Oncosts Expense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138454.37</v>
          </cell>
          <cell r="L378">
            <v>0</v>
          </cell>
          <cell r="M378">
            <v>127502.28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234320.33</v>
          </cell>
          <cell r="AH378">
            <v>0</v>
          </cell>
          <cell r="AI378">
            <v>83976.36</v>
          </cell>
          <cell r="AJ378">
            <v>0</v>
          </cell>
          <cell r="AK378">
            <v>50293.59</v>
          </cell>
          <cell r="AL378">
            <v>0</v>
          </cell>
          <cell r="AM378">
            <v>634546.93000000005</v>
          </cell>
          <cell r="AN378">
            <v>0</v>
          </cell>
        </row>
        <row r="379">
          <cell r="A379">
            <v>611910</v>
          </cell>
          <cell r="B379" t="str">
            <v>Salaries Redundancy Payments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-261003.23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-76236.2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92506.39</v>
          </cell>
          <cell r="AH379">
            <v>2372340.4</v>
          </cell>
          <cell r="AI379">
            <v>0</v>
          </cell>
          <cell r="AJ379">
            <v>0</v>
          </cell>
          <cell r="AK379">
            <v>35862.5</v>
          </cell>
          <cell r="AL379">
            <v>0</v>
          </cell>
          <cell r="AM379">
            <v>-208870.54</v>
          </cell>
          <cell r="AN379">
            <v>2372340.4</v>
          </cell>
        </row>
        <row r="380">
          <cell r="A380">
            <v>611911</v>
          </cell>
          <cell r="B380" t="str">
            <v>Redundancy Reimbt Salaries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</row>
        <row r="381">
          <cell r="A381">
            <v>614000</v>
          </cell>
          <cell r="B381" t="str">
            <v>Contracts Labour Non-Payroll</v>
          </cell>
          <cell r="C381">
            <v>90690.39</v>
          </cell>
          <cell r="D381">
            <v>306000</v>
          </cell>
          <cell r="E381">
            <v>0</v>
          </cell>
          <cell r="F381">
            <v>0</v>
          </cell>
          <cell r="G381">
            <v>2662.41</v>
          </cell>
          <cell r="H381">
            <v>0</v>
          </cell>
          <cell r="I381">
            <v>0</v>
          </cell>
          <cell r="J381">
            <v>0</v>
          </cell>
          <cell r="K381">
            <v>266740.09999999998</v>
          </cell>
          <cell r="L381">
            <v>97151.96</v>
          </cell>
          <cell r="M381">
            <v>74410</v>
          </cell>
          <cell r="N381">
            <v>633027.72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3621</v>
          </cell>
          <cell r="AJ381">
            <v>118250.01</v>
          </cell>
          <cell r="AK381">
            <v>19748.41</v>
          </cell>
          <cell r="AL381">
            <v>0</v>
          </cell>
          <cell r="AM381">
            <v>457872.31</v>
          </cell>
          <cell r="AN381">
            <v>1154429.69</v>
          </cell>
        </row>
        <row r="382">
          <cell r="A382">
            <v>614005</v>
          </cell>
          <cell r="B382" t="str">
            <v>Payroll Tax - Cont Lbr nonpayr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</row>
        <row r="383">
          <cell r="A383">
            <v>614010</v>
          </cell>
          <cell r="B383" t="str">
            <v>Contract Labour Super Contribn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</row>
        <row r="384">
          <cell r="A384">
            <v>614050</v>
          </cell>
          <cell r="B384" t="str">
            <v>Temporary Staff - Agency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1582964.83</v>
          </cell>
          <cell r="L384">
            <v>34800</v>
          </cell>
          <cell r="M384">
            <v>145794.62</v>
          </cell>
          <cell r="N384">
            <v>289598.39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190467.6</v>
          </cell>
          <cell r="AH384">
            <v>349180.61</v>
          </cell>
          <cell r="AI384">
            <v>225221.05</v>
          </cell>
          <cell r="AJ384">
            <v>0</v>
          </cell>
          <cell r="AK384">
            <v>28283.39</v>
          </cell>
          <cell r="AL384">
            <v>0</v>
          </cell>
          <cell r="AM384">
            <v>2172731.4900000002</v>
          </cell>
          <cell r="AN384">
            <v>673579</v>
          </cell>
        </row>
        <row r="385">
          <cell r="A385">
            <v>614055</v>
          </cell>
          <cell r="B385" t="str">
            <v>Payroll Tax -Agency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126114.36</v>
          </cell>
          <cell r="L385">
            <v>549.99</v>
          </cell>
          <cell r="M385">
            <v>5617.98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389.87</v>
          </cell>
          <cell r="AH385">
            <v>1235.5</v>
          </cell>
          <cell r="AI385">
            <v>7761.46</v>
          </cell>
          <cell r="AJ385">
            <v>127877.4</v>
          </cell>
          <cell r="AK385">
            <v>3558.58</v>
          </cell>
          <cell r="AL385">
            <v>0</v>
          </cell>
          <cell r="AM385">
            <v>143442.25</v>
          </cell>
          <cell r="AN385">
            <v>129662.89</v>
          </cell>
        </row>
        <row r="386">
          <cell r="A386">
            <v>615130</v>
          </cell>
          <cell r="B386" t="str">
            <v>Sick Leave O-C Crdts Sals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-30034.59</v>
          </cell>
          <cell r="L386">
            <v>0</v>
          </cell>
          <cell r="M386">
            <v>-20435.330000000002</v>
          </cell>
          <cell r="N386">
            <v>-6239.13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-144227.34</v>
          </cell>
          <cell r="AH386">
            <v>-35900.769999999997</v>
          </cell>
          <cell r="AI386">
            <v>-17335.46</v>
          </cell>
          <cell r="AJ386">
            <v>0</v>
          </cell>
          <cell r="AK386">
            <v>-7367.15</v>
          </cell>
          <cell r="AL386">
            <v>0</v>
          </cell>
          <cell r="AM386">
            <v>-219399.87</v>
          </cell>
          <cell r="AN386">
            <v>-42139.9</v>
          </cell>
        </row>
        <row r="387">
          <cell r="A387">
            <v>615135</v>
          </cell>
          <cell r="B387" t="str">
            <v>Sick Leave Taken - Salaries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33716.19</v>
          </cell>
          <cell r="L387">
            <v>0</v>
          </cell>
          <cell r="M387">
            <v>5936.84</v>
          </cell>
          <cell r="N387">
            <v>6239.13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83523.960000000006</v>
          </cell>
          <cell r="AH387">
            <v>36007.96</v>
          </cell>
          <cell r="AI387">
            <v>9899.4699999999993</v>
          </cell>
          <cell r="AJ387">
            <v>0</v>
          </cell>
          <cell r="AK387">
            <v>751.44</v>
          </cell>
          <cell r="AL387">
            <v>0</v>
          </cell>
          <cell r="AM387">
            <v>133827.9</v>
          </cell>
          <cell r="AN387">
            <v>42247.09</v>
          </cell>
        </row>
        <row r="388">
          <cell r="A388">
            <v>615140</v>
          </cell>
          <cell r="B388" t="str">
            <v>O/Paid Lv O-C Crdts Sals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-70948.13</v>
          </cell>
          <cell r="L388">
            <v>0</v>
          </cell>
          <cell r="M388">
            <v>-61494.66</v>
          </cell>
          <cell r="N388">
            <v>-31196.21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-212877.43</v>
          </cell>
          <cell r="AH388">
            <v>-160286.93</v>
          </cell>
          <cell r="AI388">
            <v>-34059.22</v>
          </cell>
          <cell r="AJ388">
            <v>0</v>
          </cell>
          <cell r="AK388">
            <v>-24330.87</v>
          </cell>
          <cell r="AL388">
            <v>0</v>
          </cell>
          <cell r="AM388">
            <v>-403710.31</v>
          </cell>
          <cell r="AN388">
            <v>-191483.14</v>
          </cell>
        </row>
        <row r="389">
          <cell r="A389">
            <v>615145</v>
          </cell>
          <cell r="B389" t="str">
            <v>O/Paid Lv Taken Sals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120274.85</v>
          </cell>
          <cell r="L389">
            <v>0</v>
          </cell>
          <cell r="M389">
            <v>90820.67</v>
          </cell>
          <cell r="N389">
            <v>31196.21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427869.32</v>
          </cell>
          <cell r="AH389">
            <v>165875.06</v>
          </cell>
          <cell r="AI389">
            <v>69194</v>
          </cell>
          <cell r="AJ389">
            <v>61989</v>
          </cell>
          <cell r="AK389">
            <v>39320.51</v>
          </cell>
          <cell r="AL389">
            <v>0</v>
          </cell>
          <cell r="AM389">
            <v>747479.35</v>
          </cell>
          <cell r="AN389">
            <v>259060.27</v>
          </cell>
        </row>
        <row r="390">
          <cell r="A390">
            <v>615160</v>
          </cell>
          <cell r="B390" t="str">
            <v>Workcover O-C Crdts Sals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-14556.18</v>
          </cell>
          <cell r="L390">
            <v>0</v>
          </cell>
          <cell r="M390">
            <v>-13736.58</v>
          </cell>
          <cell r="N390">
            <v>-10259.129999999999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-110660.72</v>
          </cell>
          <cell r="AH390">
            <v>-34637.14</v>
          </cell>
          <cell r="AI390">
            <v>-16590.650000000001</v>
          </cell>
          <cell r="AJ390">
            <v>0</v>
          </cell>
          <cell r="AK390">
            <v>-3998.76</v>
          </cell>
          <cell r="AL390">
            <v>0</v>
          </cell>
          <cell r="AM390">
            <v>-159542.89000000001</v>
          </cell>
          <cell r="AN390">
            <v>-44896.27</v>
          </cell>
        </row>
        <row r="391">
          <cell r="A391">
            <v>615162</v>
          </cell>
          <cell r="B391" t="str">
            <v>Workcover Medical Exp Sals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-158.5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-158.5</v>
          </cell>
          <cell r="AN391">
            <v>0</v>
          </cell>
        </row>
        <row r="392">
          <cell r="A392">
            <v>615165</v>
          </cell>
          <cell r="B392" t="str">
            <v>Workcover Leave Taken Sals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</row>
        <row r="393">
          <cell r="A393">
            <v>615167</v>
          </cell>
          <cell r="B393" t="str">
            <v>Workcover Recoupment Sals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</row>
        <row r="394">
          <cell r="A394">
            <v>615169</v>
          </cell>
          <cell r="B394" t="str">
            <v>Workcover Levy Sals</v>
          </cell>
          <cell r="C394">
            <v>1629.5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21910.86</v>
          </cell>
          <cell r="L394">
            <v>0</v>
          </cell>
          <cell r="M394">
            <v>7286.88</v>
          </cell>
          <cell r="N394">
            <v>10259.129999999999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35344.639999999999</v>
          </cell>
          <cell r="AH394">
            <v>34663.980000000003</v>
          </cell>
          <cell r="AI394">
            <v>22098.49</v>
          </cell>
          <cell r="AJ394">
            <v>143157.1</v>
          </cell>
          <cell r="AK394">
            <v>14217.08</v>
          </cell>
          <cell r="AL394">
            <v>0</v>
          </cell>
          <cell r="AM394">
            <v>102487.45</v>
          </cell>
          <cell r="AN394">
            <v>188080.21</v>
          </cell>
        </row>
        <row r="395">
          <cell r="A395">
            <v>615170</v>
          </cell>
          <cell r="B395" t="str">
            <v>SuperA - Oncost Credit Sals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-146916.63</v>
          </cell>
          <cell r="L395">
            <v>0</v>
          </cell>
          <cell r="M395">
            <v>-133531.98000000001</v>
          </cell>
          <cell r="N395">
            <v>-81422.2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-256889.59</v>
          </cell>
          <cell r="AH395">
            <v>-436254.01</v>
          </cell>
          <cell r="AI395">
            <v>-88784.02</v>
          </cell>
          <cell r="AJ395">
            <v>0</v>
          </cell>
          <cell r="AK395">
            <v>-55033.26</v>
          </cell>
          <cell r="AL395">
            <v>0</v>
          </cell>
          <cell r="AM395">
            <v>-681155.48</v>
          </cell>
          <cell r="AN395">
            <v>-517676.21</v>
          </cell>
        </row>
        <row r="396">
          <cell r="A396">
            <v>615173</v>
          </cell>
          <cell r="B396" t="str">
            <v>SuperA - Employer Contn Sals</v>
          </cell>
          <cell r="C396">
            <v>18000</v>
          </cell>
          <cell r="D396">
            <v>0</v>
          </cell>
          <cell r="E396">
            <v>-290991.12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168087.07</v>
          </cell>
          <cell r="L396">
            <v>0</v>
          </cell>
          <cell r="M396">
            <v>141879.47</v>
          </cell>
          <cell r="N396">
            <v>81422.2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268677.46000000002</v>
          </cell>
          <cell r="AH396">
            <v>436253.26</v>
          </cell>
          <cell r="AI396">
            <v>89258.15</v>
          </cell>
          <cell r="AJ396">
            <v>183197.74</v>
          </cell>
          <cell r="AK396">
            <v>65717.7</v>
          </cell>
          <cell r="AL396">
            <v>0</v>
          </cell>
          <cell r="AM396">
            <v>460628.73</v>
          </cell>
          <cell r="AN396">
            <v>700873.2</v>
          </cell>
        </row>
        <row r="397">
          <cell r="A397">
            <v>615180</v>
          </cell>
          <cell r="B397" t="str">
            <v>Payroll Tax Oncost Credit Sals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-127711.02</v>
          </cell>
          <cell r="L397">
            <v>0</v>
          </cell>
          <cell r="M397">
            <v>-109176.86</v>
          </cell>
          <cell r="N397">
            <v>-56995.57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-316657.65000000002</v>
          </cell>
          <cell r="AH397">
            <v>-241372.42</v>
          </cell>
          <cell r="AI397">
            <v>-63871.89</v>
          </cell>
          <cell r="AJ397">
            <v>0</v>
          </cell>
          <cell r="AK397">
            <v>-39372.53</v>
          </cell>
          <cell r="AL397">
            <v>0</v>
          </cell>
          <cell r="AM397">
            <v>-656789.94999999995</v>
          </cell>
          <cell r="AN397">
            <v>-298367.99</v>
          </cell>
        </row>
        <row r="398">
          <cell r="A398">
            <v>615183</v>
          </cell>
          <cell r="B398" t="str">
            <v>Payroll Tax Payments Sals</v>
          </cell>
          <cell r="C398">
            <v>0</v>
          </cell>
          <cell r="D398">
            <v>0</v>
          </cell>
          <cell r="E398">
            <v>268491.42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47509.04</v>
          </cell>
          <cell r="L398">
            <v>0</v>
          </cell>
          <cell r="M398">
            <v>63591.56</v>
          </cell>
          <cell r="N398">
            <v>56995.57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172527.46</v>
          </cell>
          <cell r="AH398">
            <v>244774.98</v>
          </cell>
          <cell r="AI398">
            <v>62508.07</v>
          </cell>
          <cell r="AJ398">
            <v>0</v>
          </cell>
          <cell r="AK398">
            <v>16312.55</v>
          </cell>
          <cell r="AL398">
            <v>0</v>
          </cell>
          <cell r="AM398">
            <v>630940.1</v>
          </cell>
          <cell r="AN398">
            <v>301770.55</v>
          </cell>
        </row>
        <row r="399">
          <cell r="A399">
            <v>615190</v>
          </cell>
          <cell r="B399" t="str">
            <v>Redundancy Fund O-C Credits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</row>
        <row r="400">
          <cell r="A400">
            <v>615193</v>
          </cell>
          <cell r="B400" t="str">
            <v>Redundancy Fund Contributions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</row>
        <row r="401">
          <cell r="A401">
            <v>615200</v>
          </cell>
          <cell r="B401" t="str">
            <v>PAYG expense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</row>
        <row r="402">
          <cell r="A402">
            <v>619999</v>
          </cell>
          <cell r="B402" t="str">
            <v>Salaries Transfer to BSheet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</row>
        <row r="403">
          <cell r="A403">
            <v>622000</v>
          </cell>
          <cell r="B403" t="str">
            <v>Wages Ordinary Time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</row>
        <row r="404">
          <cell r="A404">
            <v>622002</v>
          </cell>
          <cell r="B404" t="str">
            <v>Wages Overtime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</row>
        <row r="405">
          <cell r="A405">
            <v>622090</v>
          </cell>
          <cell r="B405" t="str">
            <v>Wages Suspense Normal Time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</row>
        <row r="406">
          <cell r="A406">
            <v>622092</v>
          </cell>
          <cell r="B406" t="str">
            <v>Wages Suspense Overtime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</row>
        <row r="407">
          <cell r="A407">
            <v>622910</v>
          </cell>
          <cell r="B407" t="str">
            <v>Wages Redundancy Payments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</row>
        <row r="408">
          <cell r="A408">
            <v>622911</v>
          </cell>
          <cell r="B408" t="str">
            <v>Redundancy Reimbt Wgs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</row>
        <row r="409">
          <cell r="A409">
            <v>625230</v>
          </cell>
          <cell r="B409" t="str">
            <v>Sick Leave O-C Crdts Wgs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</row>
        <row r="410">
          <cell r="A410">
            <v>625235</v>
          </cell>
          <cell r="B410" t="str">
            <v>Sick Leave Taken Wgs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</row>
        <row r="411">
          <cell r="A411">
            <v>625240</v>
          </cell>
          <cell r="B411" t="str">
            <v>O/Paid Lv O-C Crdts Wgs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</row>
        <row r="412">
          <cell r="A412">
            <v>625245</v>
          </cell>
          <cell r="B412" t="str">
            <v>O/Paid Lv Taken Wgs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</row>
        <row r="413">
          <cell r="A413">
            <v>625260</v>
          </cell>
          <cell r="B413" t="str">
            <v>Workcover O-C Crdts Wgs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</row>
        <row r="414">
          <cell r="A414">
            <v>625262</v>
          </cell>
          <cell r="B414" t="str">
            <v>Workcover Medical Exp Wgs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80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80</v>
          </cell>
          <cell r="AN414">
            <v>0</v>
          </cell>
        </row>
        <row r="415">
          <cell r="A415">
            <v>625265</v>
          </cell>
          <cell r="B415" t="str">
            <v>Workcover Leave Taken Wgs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</row>
        <row r="416">
          <cell r="A416">
            <v>625267</v>
          </cell>
          <cell r="B416" t="str">
            <v>Workcover Recoupment Wgs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</row>
        <row r="417">
          <cell r="A417">
            <v>625269</v>
          </cell>
          <cell r="B417" t="str">
            <v>Workcover Levy Wgs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</row>
        <row r="418">
          <cell r="A418">
            <v>625270</v>
          </cell>
          <cell r="B418" t="str">
            <v>SuperA O-C Crdts Wgs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</row>
        <row r="419">
          <cell r="A419">
            <v>625273</v>
          </cell>
          <cell r="B419" t="str">
            <v>SuperA Employer Contn Wgs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</row>
        <row r="420">
          <cell r="A420">
            <v>625280</v>
          </cell>
          <cell r="B420" t="str">
            <v>Payroll Tax O-C Crdts Wgs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</row>
        <row r="421">
          <cell r="A421">
            <v>625283</v>
          </cell>
          <cell r="B421" t="str">
            <v>Payroll Tax Payments Wgs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</row>
        <row r="422">
          <cell r="A422">
            <v>629999</v>
          </cell>
          <cell r="B422" t="str">
            <v>Wages Transfer to BSheet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</row>
        <row r="424">
          <cell r="A424" t="str">
            <v>TOTAL</v>
          </cell>
          <cell r="B424" t="str">
            <v>SALARIES</v>
          </cell>
          <cell r="C424">
            <v>2528321.2200000002</v>
          </cell>
          <cell r="D424">
            <v>4560169</v>
          </cell>
          <cell r="E424">
            <v>-23220.78</v>
          </cell>
          <cell r="F424">
            <v>0</v>
          </cell>
          <cell r="G424">
            <v>-258419.32</v>
          </cell>
          <cell r="H424">
            <v>0</v>
          </cell>
          <cell r="I424">
            <v>0</v>
          </cell>
          <cell r="J424">
            <v>0</v>
          </cell>
          <cell r="K424">
            <v>3016406.28</v>
          </cell>
          <cell r="L424">
            <v>5410403.96</v>
          </cell>
          <cell r="M424">
            <v>174863.52</v>
          </cell>
          <cell r="N424">
            <v>4327640.58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1224912.29</v>
          </cell>
          <cell r="AH424">
            <v>7081404.3300000001</v>
          </cell>
          <cell r="AI424">
            <v>1127552.97</v>
          </cell>
          <cell r="AJ424">
            <v>2600713.64</v>
          </cell>
          <cell r="AK424">
            <v>414114.75</v>
          </cell>
          <cell r="AL424">
            <v>1458919.8</v>
          </cell>
          <cell r="AM424">
            <v>8204530.9299999997</v>
          </cell>
          <cell r="AN424">
            <v>25439251.309999999</v>
          </cell>
        </row>
        <row r="426">
          <cell r="A426" t="str">
            <v>MATERIALS</v>
          </cell>
        </row>
        <row r="428">
          <cell r="A428">
            <v>630000</v>
          </cell>
          <cell r="B428" t="str">
            <v>Materials General</v>
          </cell>
          <cell r="C428">
            <v>219479.87</v>
          </cell>
          <cell r="D428">
            <v>468370</v>
          </cell>
          <cell r="E428">
            <v>-1178.27</v>
          </cell>
          <cell r="F428">
            <v>0</v>
          </cell>
          <cell r="G428">
            <v>7499.26</v>
          </cell>
          <cell r="H428">
            <v>0</v>
          </cell>
          <cell r="I428">
            <v>0</v>
          </cell>
          <cell r="J428">
            <v>0</v>
          </cell>
          <cell r="K428">
            <v>99115.58</v>
          </cell>
          <cell r="L428">
            <v>53583.33</v>
          </cell>
          <cell r="M428">
            <v>11565.92</v>
          </cell>
          <cell r="N428">
            <v>12177.91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47608.959999999999</v>
          </cell>
          <cell r="AH428">
            <v>89501.31</v>
          </cell>
          <cell r="AI428">
            <v>2694.2</v>
          </cell>
          <cell r="AJ428">
            <v>10874.97</v>
          </cell>
          <cell r="AK428">
            <v>72402.399999999994</v>
          </cell>
          <cell r="AL428">
            <v>89902.14</v>
          </cell>
          <cell r="AM428">
            <v>459187.92</v>
          </cell>
          <cell r="AN428">
            <v>724409.66</v>
          </cell>
        </row>
        <row r="429">
          <cell r="A429">
            <v>630050</v>
          </cell>
          <cell r="B429" t="str">
            <v>Stock Write Off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-507078.65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-507078.65</v>
          </cell>
          <cell r="AN429">
            <v>0</v>
          </cell>
        </row>
        <row r="430">
          <cell r="A430">
            <v>631100</v>
          </cell>
          <cell r="B430" t="str">
            <v>Fuel &amp; Oil Vehicles and Plant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-16112.01</v>
          </cell>
          <cell r="L430">
            <v>0</v>
          </cell>
          <cell r="M430">
            <v>2118.9899999999998</v>
          </cell>
          <cell r="N430">
            <v>13209.2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-54559.96</v>
          </cell>
          <cell r="AH430">
            <v>125328.57</v>
          </cell>
          <cell r="AI430">
            <v>2798.95</v>
          </cell>
          <cell r="AJ430">
            <v>6374.97</v>
          </cell>
          <cell r="AK430">
            <v>46431.39</v>
          </cell>
          <cell r="AL430">
            <v>3773.46</v>
          </cell>
          <cell r="AM430">
            <v>-19322.64</v>
          </cell>
          <cell r="AN430">
            <v>148686.20000000001</v>
          </cell>
        </row>
        <row r="431">
          <cell r="A431">
            <v>631120</v>
          </cell>
          <cell r="B431" t="str">
            <v>Natural Gas Vehicles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20608.03</v>
          </cell>
          <cell r="AJ431">
            <v>49999.98</v>
          </cell>
          <cell r="AK431">
            <v>0</v>
          </cell>
          <cell r="AL431">
            <v>0</v>
          </cell>
          <cell r="AM431">
            <v>20608.03</v>
          </cell>
          <cell r="AN431">
            <v>49999.98</v>
          </cell>
        </row>
        <row r="432">
          <cell r="A432">
            <v>631150</v>
          </cell>
          <cell r="B432" t="str">
            <v>Lubricants-Vehicles and Plant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</row>
        <row r="433">
          <cell r="A433">
            <v>631300</v>
          </cell>
          <cell r="B433" t="str">
            <v>Tyres Vehicles and Plant</v>
          </cell>
          <cell r="C433">
            <v>0</v>
          </cell>
          <cell r="D433">
            <v>0</v>
          </cell>
          <cell r="E433">
            <v>43.95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6996.59</v>
          </cell>
          <cell r="L433">
            <v>0</v>
          </cell>
          <cell r="M433">
            <v>164.68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6685.48</v>
          </cell>
          <cell r="AH433">
            <v>15143.94</v>
          </cell>
          <cell r="AI433">
            <v>3283.38</v>
          </cell>
          <cell r="AJ433">
            <v>749.96</v>
          </cell>
          <cell r="AK433">
            <v>0</v>
          </cell>
          <cell r="AL433">
            <v>0</v>
          </cell>
          <cell r="AM433">
            <v>17174.080000000002</v>
          </cell>
          <cell r="AN433">
            <v>15893.9</v>
          </cell>
        </row>
        <row r="434">
          <cell r="A434">
            <v>632100</v>
          </cell>
          <cell r="B434" t="str">
            <v>Printing and Stationery</v>
          </cell>
          <cell r="C434">
            <v>2575.21</v>
          </cell>
          <cell r="D434">
            <v>3850</v>
          </cell>
          <cell r="E434">
            <v>0</v>
          </cell>
          <cell r="F434">
            <v>0</v>
          </cell>
          <cell r="G434">
            <v>1848.52</v>
          </cell>
          <cell r="H434">
            <v>0</v>
          </cell>
          <cell r="I434">
            <v>-70.2</v>
          </cell>
          <cell r="J434">
            <v>0</v>
          </cell>
          <cell r="K434">
            <v>193795.96</v>
          </cell>
          <cell r="L434">
            <v>390859.83</v>
          </cell>
          <cell r="M434">
            <v>20665.560000000001</v>
          </cell>
          <cell r="N434">
            <v>27499.49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55256.89</v>
          </cell>
          <cell r="AH434">
            <v>133491.9</v>
          </cell>
          <cell r="AI434">
            <v>27245.87</v>
          </cell>
          <cell r="AJ434">
            <v>73009.64</v>
          </cell>
          <cell r="AK434">
            <v>13363.22</v>
          </cell>
          <cell r="AL434">
            <v>5316.63</v>
          </cell>
          <cell r="AM434">
            <v>314681.03000000003</v>
          </cell>
          <cell r="AN434">
            <v>634027.49</v>
          </cell>
        </row>
        <row r="435">
          <cell r="A435">
            <v>633100</v>
          </cell>
          <cell r="B435" t="str">
            <v>Protective Clothing</v>
          </cell>
          <cell r="C435">
            <v>3705.53</v>
          </cell>
          <cell r="D435">
            <v>2110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1444.8</v>
          </cell>
          <cell r="L435">
            <v>1500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176.06</v>
          </cell>
          <cell r="AH435">
            <v>11064.78</v>
          </cell>
          <cell r="AI435">
            <v>331.9</v>
          </cell>
          <cell r="AJ435">
            <v>0</v>
          </cell>
          <cell r="AK435">
            <v>1871.24</v>
          </cell>
          <cell r="AL435">
            <v>79.98</v>
          </cell>
          <cell r="AM435">
            <v>7529.53</v>
          </cell>
          <cell r="AN435">
            <v>14754.76</v>
          </cell>
        </row>
        <row r="436">
          <cell r="A436">
            <v>639500</v>
          </cell>
          <cell r="B436" t="str">
            <v>Stores Recoveries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</row>
        <row r="437">
          <cell r="A437">
            <v>639999</v>
          </cell>
          <cell r="B437" t="str">
            <v>Material Transfer to BSheet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</row>
        <row r="439">
          <cell r="A439" t="str">
            <v>TOTAL</v>
          </cell>
          <cell r="B439" t="str">
            <v>MATERIALS</v>
          </cell>
          <cell r="C439">
            <v>225760.61</v>
          </cell>
          <cell r="D439">
            <v>474330</v>
          </cell>
          <cell r="E439">
            <v>-1134.32</v>
          </cell>
          <cell r="F439">
            <v>0</v>
          </cell>
          <cell r="G439">
            <v>9347.7800000000007</v>
          </cell>
          <cell r="H439">
            <v>0</v>
          </cell>
          <cell r="I439">
            <v>-70.2</v>
          </cell>
          <cell r="J439">
            <v>0</v>
          </cell>
          <cell r="K439">
            <v>285240.92</v>
          </cell>
          <cell r="L439">
            <v>445943.16</v>
          </cell>
          <cell r="M439">
            <v>34515.15</v>
          </cell>
          <cell r="N439">
            <v>52886.6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-451911.22</v>
          </cell>
          <cell r="AH439">
            <v>374530.5</v>
          </cell>
          <cell r="AI439">
            <v>56962.33</v>
          </cell>
          <cell r="AJ439">
            <v>141009.51999999999</v>
          </cell>
          <cell r="AK439">
            <v>134068.25</v>
          </cell>
          <cell r="AL439">
            <v>99072.21</v>
          </cell>
          <cell r="AM439">
            <v>292779.3</v>
          </cell>
          <cell r="AN439">
            <v>1587771.99</v>
          </cell>
        </row>
        <row r="441">
          <cell r="A441" t="str">
            <v>CONTRACTS, CONSULT &amp; PROF EXP</v>
          </cell>
        </row>
        <row r="443">
          <cell r="A443">
            <v>646010</v>
          </cell>
          <cell r="B443" t="str">
            <v>Communications Charges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4245.3599999999997</v>
          </cell>
          <cell r="L443">
            <v>72750</v>
          </cell>
          <cell r="M443">
            <v>-1358.74</v>
          </cell>
          <cell r="N443">
            <v>124096.22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144610.72</v>
          </cell>
          <cell r="AH443">
            <v>387175.62</v>
          </cell>
          <cell r="AI443">
            <v>612.28</v>
          </cell>
          <cell r="AJ443">
            <v>0</v>
          </cell>
          <cell r="AK443">
            <v>0</v>
          </cell>
          <cell r="AL443">
            <v>0</v>
          </cell>
          <cell r="AM443">
            <v>148109.62</v>
          </cell>
          <cell r="AN443">
            <v>584021.84</v>
          </cell>
        </row>
        <row r="444">
          <cell r="A444">
            <v>646050</v>
          </cell>
          <cell r="B444" t="str">
            <v>Internet Useage Expense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11679.22</v>
          </cell>
          <cell r="N444">
            <v>15436.78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499.77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11679.22</v>
          </cell>
          <cell r="AN444">
            <v>15936.55</v>
          </cell>
        </row>
        <row r="445">
          <cell r="A445">
            <v>646400</v>
          </cell>
          <cell r="B445" t="str">
            <v>Postal Charges</v>
          </cell>
          <cell r="C445">
            <v>286.29000000000002</v>
          </cell>
          <cell r="D445">
            <v>0</v>
          </cell>
          <cell r="E445">
            <v>0</v>
          </cell>
          <cell r="F445">
            <v>0</v>
          </cell>
          <cell r="G445">
            <v>537.35</v>
          </cell>
          <cell r="H445">
            <v>0</v>
          </cell>
          <cell r="I445">
            <v>0</v>
          </cell>
          <cell r="J445">
            <v>0</v>
          </cell>
          <cell r="K445">
            <v>235794.02</v>
          </cell>
          <cell r="L445">
            <v>665000.01</v>
          </cell>
          <cell r="M445">
            <v>1640.82</v>
          </cell>
          <cell r="N445">
            <v>662.51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10363.6</v>
          </cell>
          <cell r="AH445">
            <v>29169.24</v>
          </cell>
          <cell r="AI445">
            <v>20929.919999999998</v>
          </cell>
          <cell r="AJ445">
            <v>1392.51</v>
          </cell>
          <cell r="AK445">
            <v>348.59</v>
          </cell>
          <cell r="AL445">
            <v>442.32</v>
          </cell>
          <cell r="AM445">
            <v>269900.59000000003</v>
          </cell>
          <cell r="AN445">
            <v>696666.59</v>
          </cell>
        </row>
        <row r="446">
          <cell r="A446">
            <v>646500</v>
          </cell>
          <cell r="B446" t="str">
            <v>Telephones, Mobiles &amp; Pagers</v>
          </cell>
          <cell r="C446">
            <v>4491.49</v>
          </cell>
          <cell r="D446">
            <v>54450</v>
          </cell>
          <cell r="E446">
            <v>0</v>
          </cell>
          <cell r="F446">
            <v>0</v>
          </cell>
          <cell r="G446">
            <v>1006.69</v>
          </cell>
          <cell r="H446">
            <v>0</v>
          </cell>
          <cell r="I446">
            <v>0</v>
          </cell>
          <cell r="J446">
            <v>0</v>
          </cell>
          <cell r="K446">
            <v>-28010.49</v>
          </cell>
          <cell r="L446">
            <v>279174.96000000002</v>
          </cell>
          <cell r="M446">
            <v>37760.86</v>
          </cell>
          <cell r="N446">
            <v>102552.07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312091.2</v>
          </cell>
          <cell r="AH446">
            <v>323766.42</v>
          </cell>
          <cell r="AI446">
            <v>-37727.43</v>
          </cell>
          <cell r="AJ446">
            <v>77802.12</v>
          </cell>
          <cell r="AK446">
            <v>46350.54</v>
          </cell>
          <cell r="AL446">
            <v>47509.440000000002</v>
          </cell>
          <cell r="AM446">
            <v>335962.86</v>
          </cell>
          <cell r="AN446">
            <v>885255.01</v>
          </cell>
        </row>
        <row r="447">
          <cell r="A447">
            <v>645110</v>
          </cell>
          <cell r="B447" t="str">
            <v>General Computing</v>
          </cell>
          <cell r="C447">
            <v>1080.33</v>
          </cell>
          <cell r="D447">
            <v>65499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15343.1</v>
          </cell>
          <cell r="L447">
            <v>70624.95</v>
          </cell>
          <cell r="M447">
            <v>64956.99</v>
          </cell>
          <cell r="N447">
            <v>1184533.1299999999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17967.86</v>
          </cell>
          <cell r="AH447">
            <v>37919.31</v>
          </cell>
          <cell r="AI447">
            <v>110061.17</v>
          </cell>
          <cell r="AJ447">
            <v>5950.02</v>
          </cell>
          <cell r="AK447">
            <v>8966.36</v>
          </cell>
          <cell r="AL447">
            <v>38250</v>
          </cell>
          <cell r="AM447">
            <v>218375.81</v>
          </cell>
          <cell r="AN447">
            <v>1402776.41</v>
          </cell>
        </row>
        <row r="448">
          <cell r="A448">
            <v>645150</v>
          </cell>
          <cell r="B448" t="str">
            <v>IT Licence Costs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20453.89</v>
          </cell>
          <cell r="L448">
            <v>0</v>
          </cell>
          <cell r="M448">
            <v>-65322.02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39900</v>
          </cell>
          <cell r="AK448">
            <v>0</v>
          </cell>
          <cell r="AL448">
            <v>0</v>
          </cell>
          <cell r="AM448">
            <v>-44868.13</v>
          </cell>
          <cell r="AN448">
            <v>39900</v>
          </cell>
        </row>
        <row r="449">
          <cell r="A449">
            <v>645250</v>
          </cell>
          <cell r="B449" t="str">
            <v>Hardware</v>
          </cell>
          <cell r="C449">
            <v>3441.44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11885.56</v>
          </cell>
          <cell r="L449">
            <v>249.96</v>
          </cell>
          <cell r="M449">
            <v>25994</v>
          </cell>
          <cell r="N449">
            <v>1577.57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2257.31</v>
          </cell>
          <cell r="AH449">
            <v>7372.02</v>
          </cell>
          <cell r="AI449">
            <v>705</v>
          </cell>
          <cell r="AJ449">
            <v>0</v>
          </cell>
          <cell r="AK449">
            <v>-4911.4799999999996</v>
          </cell>
          <cell r="AL449">
            <v>0</v>
          </cell>
          <cell r="AM449">
            <v>39371.83</v>
          </cell>
          <cell r="AN449">
            <v>9199.5499999999993</v>
          </cell>
        </row>
        <row r="450">
          <cell r="A450">
            <v>645300</v>
          </cell>
          <cell r="B450" t="str">
            <v>Data Networks Expense</v>
          </cell>
          <cell r="C450">
            <v>123637.09</v>
          </cell>
          <cell r="D450">
            <v>26751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1141413.3799999999</v>
          </cell>
          <cell r="L450">
            <v>534999.99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3800</v>
          </cell>
          <cell r="AH450">
            <v>0</v>
          </cell>
          <cell r="AI450">
            <v>-4850.3599999999997</v>
          </cell>
          <cell r="AJ450">
            <v>0</v>
          </cell>
          <cell r="AK450">
            <v>26197.759999999998</v>
          </cell>
          <cell r="AL450">
            <v>0</v>
          </cell>
          <cell r="AM450">
            <v>1290197.8700000001</v>
          </cell>
          <cell r="AN450">
            <v>561750.99</v>
          </cell>
        </row>
        <row r="451">
          <cell r="A451">
            <v>645400</v>
          </cell>
          <cell r="B451" t="str">
            <v>PC Software and Upgrades</v>
          </cell>
          <cell r="C451">
            <v>15187</v>
          </cell>
          <cell r="D451">
            <v>30500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30238.38</v>
          </cell>
          <cell r="L451">
            <v>249.96</v>
          </cell>
          <cell r="M451">
            <v>7316.69</v>
          </cell>
          <cell r="N451">
            <v>10950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9070.8799999999992</v>
          </cell>
          <cell r="AH451">
            <v>16380.81</v>
          </cell>
          <cell r="AI451">
            <v>3346</v>
          </cell>
          <cell r="AJ451">
            <v>39500.01</v>
          </cell>
          <cell r="AK451">
            <v>3806.5</v>
          </cell>
          <cell r="AL451">
            <v>0</v>
          </cell>
          <cell r="AM451">
            <v>68965.45</v>
          </cell>
          <cell r="AN451">
            <v>97580.78</v>
          </cell>
        </row>
        <row r="452">
          <cell r="A452">
            <v>640000</v>
          </cell>
          <cell r="B452" t="str">
            <v>Contracts</v>
          </cell>
          <cell r="C452">
            <v>404099.03</v>
          </cell>
          <cell r="D452">
            <v>1242440</v>
          </cell>
          <cell r="E452">
            <v>-3976.85</v>
          </cell>
          <cell r="F452">
            <v>0</v>
          </cell>
          <cell r="G452">
            <v>-1026182.47</v>
          </cell>
          <cell r="H452">
            <v>0</v>
          </cell>
          <cell r="I452">
            <v>365</v>
          </cell>
          <cell r="J452">
            <v>0</v>
          </cell>
          <cell r="K452">
            <v>105340.11</v>
          </cell>
          <cell r="L452">
            <v>102375</v>
          </cell>
          <cell r="M452">
            <v>-275716.7</v>
          </cell>
          <cell r="N452">
            <v>2342184.39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1189841.33</v>
          </cell>
          <cell r="AH452">
            <v>2569133.38</v>
          </cell>
          <cell r="AI452">
            <v>101837.82</v>
          </cell>
          <cell r="AJ452">
            <v>828021.72</v>
          </cell>
          <cell r="AK452">
            <v>635807.19999999995</v>
          </cell>
          <cell r="AL452">
            <v>1414533.78</v>
          </cell>
          <cell r="AM452">
            <v>1131414.47</v>
          </cell>
          <cell r="AN452">
            <v>8498688.2699999996</v>
          </cell>
        </row>
        <row r="453">
          <cell r="A453">
            <v>640050</v>
          </cell>
          <cell r="B453" t="str">
            <v>TU Services (Dallas) Assoc Co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1273207.24</v>
          </cell>
          <cell r="N453">
            <v>1383306.28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-14513.22</v>
          </cell>
          <cell r="AL453">
            <v>0</v>
          </cell>
          <cell r="AM453">
            <v>1258694.02</v>
          </cell>
          <cell r="AN453">
            <v>1383306.28</v>
          </cell>
        </row>
        <row r="454">
          <cell r="A454">
            <v>640100</v>
          </cell>
          <cell r="B454" t="str">
            <v>Internal Contracts Exp (in Co)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-283796.8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-283796.8</v>
          </cell>
          <cell r="AN454">
            <v>0</v>
          </cell>
        </row>
        <row r="455">
          <cell r="A455">
            <v>640155</v>
          </cell>
          <cell r="B455" t="str">
            <v>Meter Provisioning Expenses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</row>
        <row r="456">
          <cell r="A456">
            <v>640210</v>
          </cell>
          <cell r="B456" t="str">
            <v>Alliance Labour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1037903.91</v>
          </cell>
          <cell r="AH456">
            <v>1121464.4099999999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1037903.91</v>
          </cell>
          <cell r="AN456">
            <v>1121464.4099999999</v>
          </cell>
        </row>
        <row r="457">
          <cell r="A457">
            <v>640220</v>
          </cell>
          <cell r="B457" t="str">
            <v>Alliance Materials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175327.77</v>
          </cell>
          <cell r="AH457">
            <v>218557.88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175327.77</v>
          </cell>
          <cell r="AN457">
            <v>218557.88</v>
          </cell>
        </row>
        <row r="458">
          <cell r="A458">
            <v>640230</v>
          </cell>
          <cell r="B458" t="str">
            <v>Alliance Contracts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925751.66</v>
          </cell>
          <cell r="AH458">
            <v>6492842.7800000003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925751.66</v>
          </cell>
          <cell r="AN458">
            <v>6492842.7800000003</v>
          </cell>
        </row>
        <row r="459">
          <cell r="A459">
            <v>640235</v>
          </cell>
          <cell r="B459" t="str">
            <v>Alliance Plant &amp; Equipment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19324.990000000002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19324.990000000002</v>
          </cell>
          <cell r="AN459">
            <v>0</v>
          </cell>
        </row>
        <row r="460">
          <cell r="A460">
            <v>640240</v>
          </cell>
          <cell r="B460" t="str">
            <v>Alliance Support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854932.12</v>
          </cell>
          <cell r="AH460">
            <v>1426075.3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854932.12</v>
          </cell>
          <cell r="AN460">
            <v>1426075.3</v>
          </cell>
        </row>
        <row r="461">
          <cell r="A461">
            <v>640250</v>
          </cell>
          <cell r="B461" t="str">
            <v>Alliance Corporate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590049.12</v>
          </cell>
          <cell r="AH461">
            <v>155474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590049.12</v>
          </cell>
          <cell r="AN461">
            <v>155474</v>
          </cell>
        </row>
        <row r="462">
          <cell r="A462">
            <v>640260</v>
          </cell>
          <cell r="B462" t="str">
            <v>Alliance Management Fee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25854.67</v>
          </cell>
          <cell r="AH462">
            <v>440151.47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25854.67</v>
          </cell>
          <cell r="AN462">
            <v>440151.47</v>
          </cell>
        </row>
        <row r="463">
          <cell r="A463">
            <v>640270</v>
          </cell>
          <cell r="B463" t="str">
            <v>Alliance Savings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</row>
        <row r="464">
          <cell r="A464">
            <v>640400</v>
          </cell>
          <cell r="B464" t="str">
            <v>Gas Technology Services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12367</v>
          </cell>
          <cell r="AH464">
            <v>0</v>
          </cell>
          <cell r="AI464">
            <v>-52210</v>
          </cell>
          <cell r="AJ464">
            <v>0</v>
          </cell>
          <cell r="AK464">
            <v>0</v>
          </cell>
          <cell r="AL464">
            <v>0</v>
          </cell>
          <cell r="AM464">
            <v>-39843</v>
          </cell>
          <cell r="AN464">
            <v>0</v>
          </cell>
        </row>
        <row r="465">
          <cell r="A465">
            <v>640410</v>
          </cell>
          <cell r="B465" t="str">
            <v>Call Centre Costs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</row>
        <row r="466">
          <cell r="A466">
            <v>640510</v>
          </cell>
          <cell r="B466" t="str">
            <v>Contracts - Meter Reading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174981.53</v>
          </cell>
          <cell r="L466">
            <v>360000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31971.75</v>
          </cell>
          <cell r="AH466">
            <v>52479</v>
          </cell>
          <cell r="AI466">
            <v>0</v>
          </cell>
          <cell r="AJ466">
            <v>0</v>
          </cell>
          <cell r="AK466">
            <v>5225.3999999999996</v>
          </cell>
          <cell r="AL466">
            <v>0</v>
          </cell>
          <cell r="AM466">
            <v>212178.68</v>
          </cell>
          <cell r="AN466">
            <v>412479</v>
          </cell>
        </row>
        <row r="467">
          <cell r="A467">
            <v>640560</v>
          </cell>
          <cell r="B467" t="str">
            <v>Contracts Local Service Agents</v>
          </cell>
          <cell r="C467">
            <v>0</v>
          </cell>
          <cell r="D467">
            <v>0</v>
          </cell>
          <cell r="E467">
            <v>0</v>
          </cell>
          <cell r="F467">
            <v>21241.5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31058.6</v>
          </cell>
          <cell r="L467">
            <v>53333.31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24021.26</v>
          </cell>
          <cell r="AH467">
            <v>354737.49</v>
          </cell>
          <cell r="AI467">
            <v>0</v>
          </cell>
          <cell r="AJ467">
            <v>0</v>
          </cell>
          <cell r="AK467">
            <v>968.82</v>
          </cell>
          <cell r="AL467">
            <v>0</v>
          </cell>
          <cell r="AM467">
            <v>56048.68</v>
          </cell>
          <cell r="AN467">
            <v>429312.3</v>
          </cell>
        </row>
        <row r="468">
          <cell r="A468">
            <v>640600</v>
          </cell>
          <cell r="B468" t="str">
            <v>Repairs and Maintenance</v>
          </cell>
          <cell r="C468">
            <v>0</v>
          </cell>
          <cell r="D468">
            <v>0</v>
          </cell>
          <cell r="E468">
            <v>-539.5</v>
          </cell>
          <cell r="F468">
            <v>749.7</v>
          </cell>
          <cell r="G468">
            <v>-21.25</v>
          </cell>
          <cell r="H468">
            <v>0</v>
          </cell>
          <cell r="I468">
            <v>0</v>
          </cell>
          <cell r="J468">
            <v>0</v>
          </cell>
          <cell r="K468">
            <v>5688.73</v>
          </cell>
          <cell r="L468">
            <v>249.96</v>
          </cell>
          <cell r="M468">
            <v>735.45</v>
          </cell>
          <cell r="N468">
            <v>612.66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23762.55</v>
          </cell>
          <cell r="AH468">
            <v>6622.8</v>
          </cell>
          <cell r="AI468">
            <v>2640.1</v>
          </cell>
          <cell r="AJ468">
            <v>0</v>
          </cell>
          <cell r="AK468">
            <v>64571.78</v>
          </cell>
          <cell r="AL468">
            <v>0</v>
          </cell>
          <cell r="AM468">
            <v>96837.86</v>
          </cell>
          <cell r="AN468">
            <v>8235.1200000000008</v>
          </cell>
        </row>
        <row r="469">
          <cell r="A469">
            <v>640620</v>
          </cell>
          <cell r="B469" t="str">
            <v>Contracts Serco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</row>
        <row r="470">
          <cell r="A470">
            <v>640625</v>
          </cell>
          <cell r="B470" t="str">
            <v>EFM Maintenance Expense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</row>
        <row r="471">
          <cell r="A471">
            <v>640630</v>
          </cell>
          <cell r="B471" t="str">
            <v>Works Maintenance Expense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3398.85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3398.85</v>
          </cell>
          <cell r="AN471">
            <v>0</v>
          </cell>
        </row>
        <row r="472">
          <cell r="A472">
            <v>640825</v>
          </cell>
          <cell r="B472" t="str">
            <v>Internal Audit Expense</v>
          </cell>
          <cell r="C472">
            <v>13310</v>
          </cell>
          <cell r="D472">
            <v>10000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12499.97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3748.5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13310</v>
          </cell>
          <cell r="AN472">
            <v>26248.47</v>
          </cell>
        </row>
        <row r="473">
          <cell r="A473">
            <v>640845</v>
          </cell>
          <cell r="B473" t="str">
            <v>External Audit Expense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-104546</v>
          </cell>
          <cell r="N473">
            <v>151999.94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2727.27</v>
          </cell>
          <cell r="AH473">
            <v>17992.77</v>
          </cell>
          <cell r="AI473">
            <v>975</v>
          </cell>
          <cell r="AJ473">
            <v>51241.23</v>
          </cell>
          <cell r="AK473">
            <v>0</v>
          </cell>
          <cell r="AL473">
            <v>0</v>
          </cell>
          <cell r="AM473">
            <v>-100843.73</v>
          </cell>
          <cell r="AN473">
            <v>221233.94</v>
          </cell>
        </row>
        <row r="474">
          <cell r="A474">
            <v>640855</v>
          </cell>
          <cell r="B474" t="str">
            <v>Legal Expenses Tax Deductible</v>
          </cell>
          <cell r="C474">
            <v>256.77</v>
          </cell>
          <cell r="D474">
            <v>9000</v>
          </cell>
          <cell r="E474">
            <v>-29275.16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685.6</v>
          </cell>
          <cell r="L474">
            <v>2399.94</v>
          </cell>
          <cell r="M474">
            <v>13343.06</v>
          </cell>
          <cell r="N474">
            <v>95499.97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584832.16</v>
          </cell>
          <cell r="AH474">
            <v>126577.05</v>
          </cell>
          <cell r="AI474">
            <v>-1237.72</v>
          </cell>
          <cell r="AJ474">
            <v>185790.6</v>
          </cell>
          <cell r="AK474">
            <v>-36268.699999999997</v>
          </cell>
          <cell r="AL474">
            <v>9996</v>
          </cell>
          <cell r="AM474">
            <v>532336.01</v>
          </cell>
          <cell r="AN474">
            <v>429263.56</v>
          </cell>
        </row>
        <row r="475">
          <cell r="A475">
            <v>640865</v>
          </cell>
          <cell r="B475" t="str">
            <v>Legal Expenses Non Tax Ded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17500.02</v>
          </cell>
          <cell r="AK475">
            <v>-64259.89</v>
          </cell>
          <cell r="AL475">
            <v>0</v>
          </cell>
          <cell r="AM475">
            <v>-64259.89</v>
          </cell>
          <cell r="AN475">
            <v>17500.02</v>
          </cell>
        </row>
        <row r="476">
          <cell r="A476">
            <v>640910</v>
          </cell>
          <cell r="B476" t="str">
            <v>Consultancy - Computing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29507.759999999998</v>
          </cell>
          <cell r="L476">
            <v>215556.87</v>
          </cell>
          <cell r="M476">
            <v>55106.1</v>
          </cell>
          <cell r="N476">
            <v>37499.980000000003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50548.59</v>
          </cell>
          <cell r="AH476">
            <v>12994.8</v>
          </cell>
          <cell r="AI476">
            <v>22667</v>
          </cell>
          <cell r="AJ476">
            <v>49999.92</v>
          </cell>
          <cell r="AK476">
            <v>49498</v>
          </cell>
          <cell r="AL476">
            <v>0</v>
          </cell>
          <cell r="AM476">
            <v>207327.45</v>
          </cell>
          <cell r="AN476">
            <v>316051.57</v>
          </cell>
        </row>
        <row r="477">
          <cell r="A477">
            <v>640912</v>
          </cell>
          <cell r="B477" t="str">
            <v>Consultancy Non Comp Tax Ded</v>
          </cell>
          <cell r="C477">
            <v>122341.95</v>
          </cell>
          <cell r="D477">
            <v>82000</v>
          </cell>
          <cell r="E477">
            <v>14775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39642.93</v>
          </cell>
          <cell r="L477">
            <v>171404.97</v>
          </cell>
          <cell r="M477">
            <v>1532319.01</v>
          </cell>
          <cell r="N477">
            <v>305446.38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90000</v>
          </cell>
          <cell r="AD477">
            <v>0</v>
          </cell>
          <cell r="AE477">
            <v>0</v>
          </cell>
          <cell r="AF477">
            <v>0</v>
          </cell>
          <cell r="AG477">
            <v>89829.85</v>
          </cell>
          <cell r="AH477">
            <v>662096.46</v>
          </cell>
          <cell r="AI477">
            <v>53638.61</v>
          </cell>
          <cell r="AJ477">
            <v>425499.96</v>
          </cell>
          <cell r="AK477">
            <v>117184.64</v>
          </cell>
          <cell r="AL477">
            <v>0</v>
          </cell>
          <cell r="AM477">
            <v>2059731.99</v>
          </cell>
          <cell r="AN477">
            <v>1646447.77</v>
          </cell>
        </row>
        <row r="478">
          <cell r="A478">
            <v>640915</v>
          </cell>
          <cell r="B478" t="str">
            <v>Consultancy Non-Tax Ded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960</v>
          </cell>
          <cell r="L478">
            <v>0</v>
          </cell>
          <cell r="M478">
            <v>49532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3122</v>
          </cell>
          <cell r="AH478">
            <v>0</v>
          </cell>
          <cell r="AI478">
            <v>450563.93</v>
          </cell>
          <cell r="AJ478">
            <v>184999.95</v>
          </cell>
          <cell r="AK478">
            <v>750</v>
          </cell>
          <cell r="AL478">
            <v>0</v>
          </cell>
          <cell r="AM478">
            <v>504927.93</v>
          </cell>
          <cell r="AN478">
            <v>184999.95</v>
          </cell>
        </row>
        <row r="479">
          <cell r="A479">
            <v>644070</v>
          </cell>
          <cell r="B479" t="str">
            <v>Bad Debts Expense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82037.710000000006</v>
          </cell>
          <cell r="H479">
            <v>0</v>
          </cell>
          <cell r="I479">
            <v>0</v>
          </cell>
          <cell r="J479">
            <v>0</v>
          </cell>
          <cell r="K479">
            <v>1424.8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47776.26</v>
          </cell>
          <cell r="AH479">
            <v>0</v>
          </cell>
          <cell r="AI479">
            <v>477697.76</v>
          </cell>
          <cell r="AJ479">
            <v>483168</v>
          </cell>
          <cell r="AK479">
            <v>-7.97</v>
          </cell>
          <cell r="AL479">
            <v>0</v>
          </cell>
          <cell r="AM479">
            <v>608928.56000000006</v>
          </cell>
          <cell r="AN479">
            <v>483168</v>
          </cell>
        </row>
        <row r="480">
          <cell r="A480">
            <v>644080</v>
          </cell>
          <cell r="B480" t="str">
            <v>Doubtful Debts Expense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-992038.38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710045.03</v>
          </cell>
          <cell r="AJ480">
            <v>68524.2</v>
          </cell>
          <cell r="AK480">
            <v>0</v>
          </cell>
          <cell r="AL480">
            <v>0</v>
          </cell>
          <cell r="AM480">
            <v>-281993.34999999998</v>
          </cell>
          <cell r="AN480">
            <v>68524.2</v>
          </cell>
        </row>
        <row r="481">
          <cell r="A481">
            <v>644090</v>
          </cell>
          <cell r="B481" t="str">
            <v>Debt Collection Fees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34349.99</v>
          </cell>
          <cell r="L481">
            <v>30000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34349.99</v>
          </cell>
          <cell r="AN481">
            <v>30000</v>
          </cell>
        </row>
        <row r="482">
          <cell r="A482">
            <v>644100</v>
          </cell>
          <cell r="B482" t="str">
            <v>Agency Collection Fees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1177350.47</v>
          </cell>
          <cell r="L482">
            <v>1549999.98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1177350.47</v>
          </cell>
          <cell r="AN482">
            <v>1549999.98</v>
          </cell>
        </row>
        <row r="483">
          <cell r="A483">
            <v>644600</v>
          </cell>
          <cell r="B483" t="str">
            <v>Discount Allowed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17244</v>
          </cell>
          <cell r="AK483">
            <v>0</v>
          </cell>
          <cell r="AL483">
            <v>0</v>
          </cell>
          <cell r="AM483">
            <v>0</v>
          </cell>
          <cell r="AN483">
            <v>17244</v>
          </cell>
        </row>
        <row r="484">
          <cell r="A484">
            <v>644650</v>
          </cell>
          <cell r="B484" t="str">
            <v>Guaranteed Service Levels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36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400</v>
          </cell>
          <cell r="AJ484">
            <v>3453.51</v>
          </cell>
          <cell r="AK484">
            <v>0</v>
          </cell>
          <cell r="AL484">
            <v>0</v>
          </cell>
          <cell r="AM484">
            <v>436</v>
          </cell>
          <cell r="AN484">
            <v>3453.51</v>
          </cell>
        </row>
        <row r="485">
          <cell r="A485">
            <v>644660</v>
          </cell>
          <cell r="B485" t="str">
            <v>Customer Compensation -non GSL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469.11</v>
          </cell>
          <cell r="AH485">
            <v>0</v>
          </cell>
          <cell r="AI485">
            <v>226981.78</v>
          </cell>
          <cell r="AJ485">
            <v>28026.959999999999</v>
          </cell>
          <cell r="AK485">
            <v>0</v>
          </cell>
          <cell r="AL485">
            <v>0</v>
          </cell>
          <cell r="AM485">
            <v>227450.89</v>
          </cell>
          <cell r="AN485">
            <v>28026.959999999999</v>
          </cell>
        </row>
        <row r="486">
          <cell r="A486">
            <v>659000</v>
          </cell>
          <cell r="B486" t="str">
            <v>Miscellaneous General</v>
          </cell>
          <cell r="C486">
            <v>0</v>
          </cell>
          <cell r="D486">
            <v>0</v>
          </cell>
          <cell r="E486">
            <v>-113447.72</v>
          </cell>
          <cell r="F486">
            <v>0</v>
          </cell>
          <cell r="G486">
            <v>-571.04999999999995</v>
          </cell>
          <cell r="H486">
            <v>0</v>
          </cell>
          <cell r="I486">
            <v>0</v>
          </cell>
          <cell r="J486">
            <v>0</v>
          </cell>
          <cell r="K486">
            <v>96827.5</v>
          </cell>
          <cell r="L486">
            <v>132499.92000000001</v>
          </cell>
          <cell r="M486">
            <v>59244.51</v>
          </cell>
          <cell r="N486">
            <v>57750.19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-18331.59</v>
          </cell>
          <cell r="AH486">
            <v>859888.89</v>
          </cell>
          <cell r="AI486">
            <v>132581.72</v>
          </cell>
          <cell r="AJ486">
            <v>52908.639999999999</v>
          </cell>
          <cell r="AK486">
            <v>8723.01</v>
          </cell>
          <cell r="AL486">
            <v>253389.99</v>
          </cell>
          <cell r="AM486">
            <v>165026.38</v>
          </cell>
          <cell r="AN486">
            <v>1356437.63</v>
          </cell>
        </row>
        <row r="487">
          <cell r="A487">
            <v>659005</v>
          </cell>
          <cell r="B487" t="str">
            <v>Awards Safety, Long Service</v>
          </cell>
          <cell r="C487">
            <v>337</v>
          </cell>
          <cell r="D487">
            <v>1500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21703.67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905.73</v>
          </cell>
          <cell r="AH487">
            <v>0</v>
          </cell>
          <cell r="AI487">
            <v>255.68</v>
          </cell>
          <cell r="AJ487">
            <v>0</v>
          </cell>
          <cell r="AK487">
            <v>427</v>
          </cell>
          <cell r="AL487">
            <v>0</v>
          </cell>
          <cell r="AM487">
            <v>23629.08</v>
          </cell>
          <cell r="AN487">
            <v>1500</v>
          </cell>
        </row>
        <row r="488">
          <cell r="A488">
            <v>659008</v>
          </cell>
          <cell r="B488" t="str">
            <v>Employee Assistance Programs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159.69999999999999</v>
          </cell>
          <cell r="L488">
            <v>0</v>
          </cell>
          <cell r="M488">
            <v>0</v>
          </cell>
          <cell r="N488">
            <v>3630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460.39</v>
          </cell>
          <cell r="AH488">
            <v>2124.12</v>
          </cell>
          <cell r="AI488">
            <v>7305.16</v>
          </cell>
          <cell r="AJ488">
            <v>6999.96</v>
          </cell>
          <cell r="AK488">
            <v>3000</v>
          </cell>
          <cell r="AL488">
            <v>0</v>
          </cell>
          <cell r="AM488">
            <v>10925.25</v>
          </cell>
          <cell r="AN488">
            <v>12754.08</v>
          </cell>
        </row>
        <row r="489">
          <cell r="A489">
            <v>659010</v>
          </cell>
          <cell r="B489" t="str">
            <v>Light Meals On Premises/Site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6717.53</v>
          </cell>
          <cell r="L489">
            <v>499.98</v>
          </cell>
          <cell r="M489">
            <v>15080.83</v>
          </cell>
          <cell r="N489">
            <v>12100.89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9083.3799999999992</v>
          </cell>
          <cell r="AH489">
            <v>17376.57</v>
          </cell>
          <cell r="AI489">
            <v>3648.46</v>
          </cell>
          <cell r="AJ489">
            <v>743.73</v>
          </cell>
          <cell r="AK489">
            <v>11073.05</v>
          </cell>
          <cell r="AL489">
            <v>179.91</v>
          </cell>
          <cell r="AM489">
            <v>45603.25</v>
          </cell>
          <cell r="AN489">
            <v>30901.08</v>
          </cell>
        </row>
        <row r="490">
          <cell r="A490">
            <v>659015</v>
          </cell>
          <cell r="B490" t="str">
            <v>Entertainment FBT</v>
          </cell>
          <cell r="C490">
            <v>64.5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2961.61</v>
          </cell>
          <cell r="L490">
            <v>0</v>
          </cell>
          <cell r="M490">
            <v>25919.29</v>
          </cell>
          <cell r="N490">
            <v>10528.64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9459.84</v>
          </cell>
          <cell r="AH490">
            <v>23490.33</v>
          </cell>
          <cell r="AI490">
            <v>5581.96</v>
          </cell>
          <cell r="AJ490">
            <v>62314.89</v>
          </cell>
          <cell r="AK490">
            <v>32524.959999999999</v>
          </cell>
          <cell r="AL490">
            <v>450</v>
          </cell>
          <cell r="AM490">
            <v>76512.160000000003</v>
          </cell>
          <cell r="AN490">
            <v>96783.86</v>
          </cell>
        </row>
        <row r="491">
          <cell r="A491">
            <v>659017</v>
          </cell>
          <cell r="B491" t="str">
            <v>Entertainment Non FBT</v>
          </cell>
          <cell r="C491">
            <v>36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1837.24</v>
          </cell>
          <cell r="L491">
            <v>0</v>
          </cell>
          <cell r="M491">
            <v>2629.88</v>
          </cell>
          <cell r="N491">
            <v>4875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17756.88</v>
          </cell>
          <cell r="AH491">
            <v>14569.08</v>
          </cell>
          <cell r="AI491">
            <v>8462.36</v>
          </cell>
          <cell r="AJ491">
            <v>350.01</v>
          </cell>
          <cell r="AK491">
            <v>3624.2</v>
          </cell>
          <cell r="AL491">
            <v>2024.19</v>
          </cell>
          <cell r="AM491">
            <v>34346.559999999998</v>
          </cell>
          <cell r="AN491">
            <v>21818.28</v>
          </cell>
        </row>
        <row r="492">
          <cell r="A492">
            <v>659020</v>
          </cell>
          <cell r="B492" t="str">
            <v>Subscriptions Tax Deductible</v>
          </cell>
          <cell r="C492">
            <v>2272.86</v>
          </cell>
          <cell r="D492">
            <v>0</v>
          </cell>
          <cell r="E492">
            <v>450</v>
          </cell>
          <cell r="F492">
            <v>0</v>
          </cell>
          <cell r="G492">
            <v>-332.33</v>
          </cell>
          <cell r="H492">
            <v>0</v>
          </cell>
          <cell r="I492">
            <v>0</v>
          </cell>
          <cell r="J492">
            <v>0</v>
          </cell>
          <cell r="K492">
            <v>5646.65</v>
          </cell>
          <cell r="L492">
            <v>0</v>
          </cell>
          <cell r="M492">
            <v>30588.18</v>
          </cell>
          <cell r="N492">
            <v>21228.94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375</v>
          </cell>
          <cell r="AD492">
            <v>0</v>
          </cell>
          <cell r="AE492">
            <v>0</v>
          </cell>
          <cell r="AF492">
            <v>0</v>
          </cell>
          <cell r="AG492">
            <v>43928.46</v>
          </cell>
          <cell r="AH492">
            <v>22815.54</v>
          </cell>
          <cell r="AI492">
            <v>850.28</v>
          </cell>
          <cell r="AJ492">
            <v>7437</v>
          </cell>
          <cell r="AK492">
            <v>21982.37</v>
          </cell>
          <cell r="AL492">
            <v>0</v>
          </cell>
          <cell r="AM492">
            <v>105761.47</v>
          </cell>
          <cell r="AN492">
            <v>51481.48</v>
          </cell>
        </row>
        <row r="493">
          <cell r="A493">
            <v>659025</v>
          </cell>
          <cell r="B493" t="str">
            <v>Subscrip - Newspapers/Magazine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2194.9299999999998</v>
          </cell>
          <cell r="L493">
            <v>0</v>
          </cell>
          <cell r="M493">
            <v>1252.48</v>
          </cell>
          <cell r="N493">
            <v>1500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4126.17</v>
          </cell>
          <cell r="AH493">
            <v>0</v>
          </cell>
          <cell r="AI493">
            <v>6371.06</v>
          </cell>
          <cell r="AJ493">
            <v>3679.2</v>
          </cell>
          <cell r="AK493">
            <v>1456.74</v>
          </cell>
          <cell r="AL493">
            <v>0</v>
          </cell>
          <cell r="AM493">
            <v>15401.38</v>
          </cell>
          <cell r="AN493">
            <v>5179.2</v>
          </cell>
        </row>
        <row r="494">
          <cell r="A494">
            <v>659030</v>
          </cell>
          <cell r="B494" t="str">
            <v>Employee Subscriptions Reimbt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1123.6400000000001</v>
          </cell>
          <cell r="N494">
            <v>1112.51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513.5</v>
          </cell>
          <cell r="AH494">
            <v>0</v>
          </cell>
          <cell r="AI494">
            <v>221.25</v>
          </cell>
          <cell r="AJ494">
            <v>0</v>
          </cell>
          <cell r="AK494">
            <v>0</v>
          </cell>
          <cell r="AL494">
            <v>0</v>
          </cell>
          <cell r="AM494">
            <v>1858.39</v>
          </cell>
          <cell r="AN494">
            <v>1112.51</v>
          </cell>
        </row>
        <row r="495">
          <cell r="A495">
            <v>659032</v>
          </cell>
          <cell r="B495" t="str">
            <v>Sponsorship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40000</v>
          </cell>
          <cell r="N495">
            <v>34999.96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116400</v>
          </cell>
          <cell r="AH495">
            <v>32237.01</v>
          </cell>
          <cell r="AI495">
            <v>21053.56</v>
          </cell>
          <cell r="AJ495">
            <v>14199.96</v>
          </cell>
          <cell r="AK495">
            <v>0</v>
          </cell>
          <cell r="AL495">
            <v>0</v>
          </cell>
          <cell r="AM495">
            <v>177453.56</v>
          </cell>
          <cell r="AN495">
            <v>81436.929999999993</v>
          </cell>
        </row>
        <row r="496">
          <cell r="A496">
            <v>659060</v>
          </cell>
          <cell r="B496" t="str">
            <v>Donations Tax Deductible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29730</v>
          </cell>
          <cell r="AH496">
            <v>0</v>
          </cell>
          <cell r="AI496">
            <v>0</v>
          </cell>
          <cell r="AJ496">
            <v>0</v>
          </cell>
          <cell r="AK496">
            <v>864.14</v>
          </cell>
          <cell r="AL496">
            <v>0</v>
          </cell>
          <cell r="AM496">
            <v>30594.14</v>
          </cell>
          <cell r="AN496">
            <v>0</v>
          </cell>
        </row>
        <row r="497">
          <cell r="A497">
            <v>659065</v>
          </cell>
          <cell r="B497" t="str">
            <v>Donations Non Tax Deductible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</row>
        <row r="498">
          <cell r="A498">
            <v>659070</v>
          </cell>
          <cell r="B498" t="str">
            <v>Relocation Movement Prov FBT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4285</v>
          </cell>
          <cell r="AJ498">
            <v>0</v>
          </cell>
          <cell r="AK498">
            <v>0</v>
          </cell>
          <cell r="AL498">
            <v>0</v>
          </cell>
          <cell r="AM498">
            <v>4285</v>
          </cell>
          <cell r="AN498">
            <v>0</v>
          </cell>
        </row>
        <row r="499">
          <cell r="A499">
            <v>659075</v>
          </cell>
          <cell r="B499" t="str">
            <v>Corporate Wardrobe Expense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83.95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83.95</v>
          </cell>
          <cell r="AN499">
            <v>0</v>
          </cell>
        </row>
        <row r="500">
          <cell r="A500">
            <v>659080</v>
          </cell>
          <cell r="B500" t="str">
            <v>Expense Reimbt FBT</v>
          </cell>
          <cell r="C500">
            <v>20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34.9</v>
          </cell>
          <cell r="N500">
            <v>900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3705.69</v>
          </cell>
          <cell r="AH500">
            <v>1499.34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3760.59</v>
          </cell>
          <cell r="AN500">
            <v>2399.34</v>
          </cell>
        </row>
        <row r="501">
          <cell r="A501">
            <v>659082</v>
          </cell>
          <cell r="B501" t="str">
            <v>Expense Reimbt Non FBT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900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460.7</v>
          </cell>
          <cell r="AH501">
            <v>874.62</v>
          </cell>
          <cell r="AI501">
            <v>0</v>
          </cell>
          <cell r="AJ501">
            <v>1500</v>
          </cell>
          <cell r="AK501">
            <v>0</v>
          </cell>
          <cell r="AL501">
            <v>0</v>
          </cell>
          <cell r="AM501">
            <v>460.7</v>
          </cell>
          <cell r="AN501">
            <v>3274.62</v>
          </cell>
        </row>
        <row r="502">
          <cell r="A502">
            <v>659105</v>
          </cell>
          <cell r="B502" t="str">
            <v>Training Courses</v>
          </cell>
          <cell r="C502">
            <v>14168.6</v>
          </cell>
          <cell r="D502">
            <v>20648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26468.11</v>
          </cell>
          <cell r="L502">
            <v>18849.96</v>
          </cell>
          <cell r="M502">
            <v>19558.5</v>
          </cell>
          <cell r="N502">
            <v>78412.61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79269.119999999995</v>
          </cell>
          <cell r="AH502">
            <v>150496.01999999999</v>
          </cell>
          <cell r="AI502">
            <v>18126.47</v>
          </cell>
          <cell r="AJ502">
            <v>119941.26</v>
          </cell>
          <cell r="AK502">
            <v>14615.51</v>
          </cell>
          <cell r="AL502">
            <v>3998.4</v>
          </cell>
          <cell r="AM502">
            <v>172206.31</v>
          </cell>
          <cell r="AN502">
            <v>392346.25</v>
          </cell>
        </row>
        <row r="503">
          <cell r="A503">
            <v>659110</v>
          </cell>
          <cell r="B503" t="str">
            <v>External Seminars &amp;Conferences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410</v>
          </cell>
          <cell r="N503">
            <v>3300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2996.2</v>
          </cell>
          <cell r="AH503">
            <v>0</v>
          </cell>
          <cell r="AI503">
            <v>3715</v>
          </cell>
          <cell r="AJ503">
            <v>0</v>
          </cell>
          <cell r="AK503">
            <v>0</v>
          </cell>
          <cell r="AL503">
            <v>0</v>
          </cell>
          <cell r="AM503">
            <v>7121.2</v>
          </cell>
          <cell r="AN503">
            <v>3300</v>
          </cell>
        </row>
        <row r="504">
          <cell r="A504">
            <v>659320</v>
          </cell>
          <cell r="B504" t="str">
            <v>Overseas Travel (-Spouse)</v>
          </cell>
          <cell r="C504">
            <v>164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67611.399999999994</v>
          </cell>
          <cell r="N504">
            <v>83349.929999999993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239.44</v>
          </cell>
          <cell r="AH504">
            <v>42010.68</v>
          </cell>
          <cell r="AI504">
            <v>32100.92</v>
          </cell>
          <cell r="AJ504">
            <v>37849.910000000003</v>
          </cell>
          <cell r="AK504">
            <v>0</v>
          </cell>
          <cell r="AL504">
            <v>0</v>
          </cell>
          <cell r="AM504">
            <v>100115.76</v>
          </cell>
          <cell r="AN504">
            <v>163210.51999999999</v>
          </cell>
        </row>
        <row r="505">
          <cell r="A505">
            <v>659321</v>
          </cell>
          <cell r="B505" t="str">
            <v>Overseas Travel (+Spouse)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29914.16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29914.16</v>
          </cell>
          <cell r="AN505">
            <v>0</v>
          </cell>
        </row>
        <row r="506">
          <cell r="A506">
            <v>659322</v>
          </cell>
          <cell r="B506" t="str">
            <v>Domestic Travel (-Spouse)</v>
          </cell>
          <cell r="C506">
            <v>7670.5</v>
          </cell>
          <cell r="D506">
            <v>57400</v>
          </cell>
          <cell r="E506">
            <v>0</v>
          </cell>
          <cell r="F506">
            <v>0</v>
          </cell>
          <cell r="G506">
            <v>330.1</v>
          </cell>
          <cell r="H506">
            <v>0</v>
          </cell>
          <cell r="I506">
            <v>0</v>
          </cell>
          <cell r="J506">
            <v>0</v>
          </cell>
          <cell r="K506">
            <v>1086.54</v>
          </cell>
          <cell r="L506">
            <v>3750</v>
          </cell>
          <cell r="M506">
            <v>12590.47</v>
          </cell>
          <cell r="N506">
            <v>40626.28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3040.88</v>
          </cell>
          <cell r="AH506">
            <v>49575.839999999997</v>
          </cell>
          <cell r="AI506">
            <v>10054.290000000001</v>
          </cell>
          <cell r="AJ506">
            <v>49324.98</v>
          </cell>
          <cell r="AK506">
            <v>62544.44</v>
          </cell>
          <cell r="AL506">
            <v>6741.06</v>
          </cell>
          <cell r="AM506">
            <v>97317.22</v>
          </cell>
          <cell r="AN506">
            <v>207418.16</v>
          </cell>
        </row>
        <row r="507">
          <cell r="A507">
            <v>659323</v>
          </cell>
          <cell r="B507" t="str">
            <v>Domestic Travel (+Spouse)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3323.26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3323.26</v>
          </cell>
          <cell r="AN507">
            <v>0</v>
          </cell>
        </row>
        <row r="508">
          <cell r="A508">
            <v>659330</v>
          </cell>
          <cell r="B508" t="str">
            <v>Overseas Accom (-Spouse)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14506.88</v>
          </cell>
          <cell r="N508">
            <v>13764.9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1752.63</v>
          </cell>
          <cell r="AH508">
            <v>2499</v>
          </cell>
          <cell r="AI508">
            <v>2425.4299999999998</v>
          </cell>
          <cell r="AJ508">
            <v>36999.9</v>
          </cell>
          <cell r="AK508">
            <v>0</v>
          </cell>
          <cell r="AL508">
            <v>0</v>
          </cell>
          <cell r="AM508">
            <v>18684.939999999999</v>
          </cell>
          <cell r="AN508">
            <v>53263.8</v>
          </cell>
        </row>
        <row r="509">
          <cell r="A509">
            <v>659331</v>
          </cell>
          <cell r="B509" t="str">
            <v>Overseas Accom (+Spouse)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</row>
        <row r="510">
          <cell r="A510">
            <v>659332</v>
          </cell>
          <cell r="B510" t="str">
            <v>Domestic Accom (-Spouse)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-3861.2</v>
          </cell>
          <cell r="H510">
            <v>0</v>
          </cell>
          <cell r="I510">
            <v>-48</v>
          </cell>
          <cell r="J510">
            <v>0</v>
          </cell>
          <cell r="K510">
            <v>3540.55</v>
          </cell>
          <cell r="L510">
            <v>0</v>
          </cell>
          <cell r="M510">
            <v>20405.93</v>
          </cell>
          <cell r="N510">
            <v>16099.98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22900.880000000001</v>
          </cell>
          <cell r="AH510">
            <v>63707.94</v>
          </cell>
          <cell r="AI510">
            <v>12707.65</v>
          </cell>
          <cell r="AJ510">
            <v>33699.9</v>
          </cell>
          <cell r="AK510">
            <v>12283.09</v>
          </cell>
          <cell r="AL510">
            <v>1124.55</v>
          </cell>
          <cell r="AM510">
            <v>67928.899999999994</v>
          </cell>
          <cell r="AN510">
            <v>114632.37</v>
          </cell>
        </row>
        <row r="511">
          <cell r="A511">
            <v>659333</v>
          </cell>
          <cell r="B511" t="str">
            <v>Domestic Accom (+Spouse)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</row>
        <row r="512">
          <cell r="A512">
            <v>659999</v>
          </cell>
          <cell r="B512" t="str">
            <v>Miscellaneous Transf to BSheet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</row>
        <row r="513">
          <cell r="A513">
            <v>649900</v>
          </cell>
          <cell r="B513" t="str">
            <v>Equity share of Assoc profits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</row>
        <row r="514">
          <cell r="A514">
            <v>649915</v>
          </cell>
          <cell r="B514" t="str">
            <v>Asset Devaluation Expense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</row>
        <row r="515">
          <cell r="A515">
            <v>649930</v>
          </cell>
          <cell r="B515" t="str">
            <v>Deferred Apparent Surplus P&amp;L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</row>
        <row r="516">
          <cell r="A516">
            <v>649940</v>
          </cell>
          <cell r="B516" t="str">
            <v>Foreign Exchange gains/losses</v>
          </cell>
          <cell r="C516">
            <v>0</v>
          </cell>
          <cell r="D516">
            <v>0</v>
          </cell>
          <cell r="E516">
            <v>47902.16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183762.96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231665.12</v>
          </cell>
          <cell r="AN516">
            <v>0</v>
          </cell>
        </row>
        <row r="517">
          <cell r="A517">
            <v>649950</v>
          </cell>
          <cell r="B517" t="str">
            <v>Financial Adjustments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110259.71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110259.71</v>
          </cell>
        </row>
        <row r="518">
          <cell r="A518">
            <v>649999</v>
          </cell>
          <cell r="B518" t="str">
            <v>Contracts Transfer to BSheet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</row>
        <row r="519">
          <cell r="A519">
            <v>642040</v>
          </cell>
          <cell r="B519" t="str">
            <v>Insurance</v>
          </cell>
          <cell r="C519">
            <v>122664.29</v>
          </cell>
          <cell r="D519">
            <v>432000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2000</v>
          </cell>
          <cell r="L519">
            <v>6149.94</v>
          </cell>
          <cell r="M519">
            <v>334</v>
          </cell>
          <cell r="N519">
            <v>23978.95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135225.84</v>
          </cell>
          <cell r="AH519">
            <v>238477.68</v>
          </cell>
          <cell r="AI519">
            <v>17945.36</v>
          </cell>
          <cell r="AJ519">
            <v>16249.92</v>
          </cell>
          <cell r="AK519">
            <v>58468.72</v>
          </cell>
          <cell r="AL519">
            <v>24990</v>
          </cell>
          <cell r="AM519">
            <v>336638.21</v>
          </cell>
          <cell r="AN519">
            <v>741846.49</v>
          </cell>
        </row>
        <row r="520">
          <cell r="A520">
            <v>642042</v>
          </cell>
          <cell r="B520" t="str">
            <v>Damage Payments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260.5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57792.75</v>
          </cell>
          <cell r="AH520">
            <v>121836.21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58053.25</v>
          </cell>
          <cell r="AN520">
            <v>121836.21</v>
          </cell>
        </row>
        <row r="521">
          <cell r="A521">
            <v>642043</v>
          </cell>
          <cell r="B521" t="str">
            <v>Domestic Surge Claims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99516.3</v>
          </cell>
          <cell r="AH521">
            <v>112954.77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99516.3</v>
          </cell>
          <cell r="AN521">
            <v>112954.77</v>
          </cell>
        </row>
        <row r="522">
          <cell r="A522">
            <v>642044</v>
          </cell>
          <cell r="B522" t="str">
            <v>Commercial Surge Claims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11974.84</v>
          </cell>
          <cell r="AH522">
            <v>28988.37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11974.84</v>
          </cell>
          <cell r="AN522">
            <v>28988.37</v>
          </cell>
        </row>
        <row r="523">
          <cell r="A523">
            <v>643000</v>
          </cell>
          <cell r="B523" t="str">
            <v>Lease - Vehicles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4395.71</v>
          </cell>
          <cell r="L523">
            <v>221099.88</v>
          </cell>
          <cell r="M523">
            <v>32646.19</v>
          </cell>
          <cell r="N523">
            <v>8449.9699999999993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13832.53</v>
          </cell>
          <cell r="AH523">
            <v>88890.63</v>
          </cell>
          <cell r="AI523">
            <v>-6579.1</v>
          </cell>
          <cell r="AJ523">
            <v>55127.01</v>
          </cell>
          <cell r="AK523">
            <v>24945.83</v>
          </cell>
          <cell r="AL523">
            <v>84822.93</v>
          </cell>
          <cell r="AM523">
            <v>69241.16</v>
          </cell>
          <cell r="AN523">
            <v>458390.42</v>
          </cell>
        </row>
        <row r="524">
          <cell r="A524">
            <v>643020</v>
          </cell>
          <cell r="B524" t="str">
            <v>Novated Lease Vehicles</v>
          </cell>
          <cell r="C524">
            <v>2675</v>
          </cell>
          <cell r="D524">
            <v>24750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10009.6</v>
          </cell>
          <cell r="N524">
            <v>12649.95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13501.64</v>
          </cell>
          <cell r="AH524">
            <v>51562.29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26186.240000000002</v>
          </cell>
          <cell r="AN524">
            <v>88962.240000000005</v>
          </cell>
        </row>
        <row r="525">
          <cell r="A525">
            <v>643050</v>
          </cell>
          <cell r="B525" t="str">
            <v>Hire - Vehicles</v>
          </cell>
          <cell r="C525">
            <v>2273</v>
          </cell>
          <cell r="D525">
            <v>2250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3403.4</v>
          </cell>
          <cell r="L525">
            <v>0</v>
          </cell>
          <cell r="M525">
            <v>7655.6</v>
          </cell>
          <cell r="N525">
            <v>2303.33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21254.39</v>
          </cell>
          <cell r="AH525">
            <v>0</v>
          </cell>
          <cell r="AI525">
            <v>4694.5600000000004</v>
          </cell>
          <cell r="AJ525">
            <v>0</v>
          </cell>
          <cell r="AK525">
            <v>4722.54</v>
          </cell>
          <cell r="AL525">
            <v>0</v>
          </cell>
          <cell r="AM525">
            <v>44003.49</v>
          </cell>
          <cell r="AN525">
            <v>4553.33</v>
          </cell>
        </row>
        <row r="526">
          <cell r="A526">
            <v>643150</v>
          </cell>
          <cell r="B526" t="str">
            <v>Hire - Plant and Equipment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-5759.69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121.51</v>
          </cell>
          <cell r="AH526">
            <v>1110.33</v>
          </cell>
          <cell r="AI526">
            <v>0</v>
          </cell>
          <cell r="AJ526">
            <v>0</v>
          </cell>
          <cell r="AK526">
            <v>4089.82</v>
          </cell>
          <cell r="AL526">
            <v>7097.13</v>
          </cell>
          <cell r="AM526">
            <v>-1548.36</v>
          </cell>
          <cell r="AN526">
            <v>8207.4599999999991</v>
          </cell>
        </row>
        <row r="527">
          <cell r="A527">
            <v>643300</v>
          </cell>
          <cell r="B527" t="str">
            <v>Lease - Land and Buildings</v>
          </cell>
          <cell r="C527">
            <v>0</v>
          </cell>
          <cell r="D527">
            <v>0</v>
          </cell>
          <cell r="E527">
            <v>6666.66</v>
          </cell>
          <cell r="F527">
            <v>26207.759999999998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239862.9</v>
          </cell>
          <cell r="L527">
            <v>277599.87</v>
          </cell>
          <cell r="M527">
            <v>490647.62</v>
          </cell>
          <cell r="N527">
            <v>148158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449435.25</v>
          </cell>
          <cell r="AH527">
            <v>168924.21</v>
          </cell>
          <cell r="AI527">
            <v>83704.84</v>
          </cell>
          <cell r="AJ527">
            <v>174399.75</v>
          </cell>
          <cell r="AK527">
            <v>71983.42</v>
          </cell>
          <cell r="AL527">
            <v>0</v>
          </cell>
          <cell r="AM527">
            <v>1342300.69</v>
          </cell>
          <cell r="AN527">
            <v>795289.59</v>
          </cell>
        </row>
        <row r="528">
          <cell r="A528">
            <v>643400</v>
          </cell>
          <cell r="B528" t="str">
            <v>Lease - Computer Equipment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80119.98</v>
          </cell>
          <cell r="L528">
            <v>34560.870000000003</v>
          </cell>
          <cell r="M528">
            <v>65285.84</v>
          </cell>
          <cell r="N528">
            <v>57145.93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122239.98</v>
          </cell>
          <cell r="AH528">
            <v>127684.05</v>
          </cell>
          <cell r="AI528">
            <v>22947.84</v>
          </cell>
          <cell r="AJ528">
            <v>46197.75</v>
          </cell>
          <cell r="AK528">
            <v>17160.54</v>
          </cell>
          <cell r="AL528">
            <v>0</v>
          </cell>
          <cell r="AM528">
            <v>307754.18</v>
          </cell>
          <cell r="AN528">
            <v>265588.59999999998</v>
          </cell>
        </row>
        <row r="529">
          <cell r="A529">
            <v>643600</v>
          </cell>
          <cell r="B529" t="str">
            <v>Lease - Office Equipment</v>
          </cell>
          <cell r="C529">
            <v>3333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13231.15</v>
          </cell>
          <cell r="L529">
            <v>19749.990000000002</v>
          </cell>
          <cell r="M529">
            <v>1990</v>
          </cell>
          <cell r="N529">
            <v>499.95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235.6</v>
          </cell>
          <cell r="AH529">
            <v>13696.47</v>
          </cell>
          <cell r="AI529">
            <v>3231.48</v>
          </cell>
          <cell r="AJ529">
            <v>900</v>
          </cell>
          <cell r="AK529">
            <v>202.7</v>
          </cell>
          <cell r="AL529">
            <v>0</v>
          </cell>
          <cell r="AM529">
            <v>22223.93</v>
          </cell>
          <cell r="AN529">
            <v>34846.410000000003</v>
          </cell>
        </row>
        <row r="530">
          <cell r="A530">
            <v>643690</v>
          </cell>
          <cell r="B530" t="str">
            <v>M/Vehicle Service and Maint</v>
          </cell>
          <cell r="C530">
            <v>12809.34</v>
          </cell>
          <cell r="D530">
            <v>0</v>
          </cell>
          <cell r="E530">
            <v>0</v>
          </cell>
          <cell r="F530">
            <v>0</v>
          </cell>
          <cell r="G530">
            <v>376.25</v>
          </cell>
          <cell r="H530">
            <v>0</v>
          </cell>
          <cell r="I530">
            <v>0</v>
          </cell>
          <cell r="J530">
            <v>0</v>
          </cell>
          <cell r="K530">
            <v>26275.84</v>
          </cell>
          <cell r="L530">
            <v>0</v>
          </cell>
          <cell r="M530">
            <v>8337.31</v>
          </cell>
          <cell r="N530">
            <v>6656.82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26030.05</v>
          </cell>
          <cell r="AH530">
            <v>55142.94</v>
          </cell>
          <cell r="AI530">
            <v>6182.39</v>
          </cell>
          <cell r="AJ530">
            <v>3749.88</v>
          </cell>
          <cell r="AK530">
            <v>695.76</v>
          </cell>
          <cell r="AL530">
            <v>0</v>
          </cell>
          <cell r="AM530">
            <v>80706.94</v>
          </cell>
          <cell r="AN530">
            <v>65549.64</v>
          </cell>
        </row>
        <row r="531">
          <cell r="A531">
            <v>643695</v>
          </cell>
          <cell r="B531" t="str">
            <v>M/Vehicle Maint Labour Costs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</row>
        <row r="532">
          <cell r="A532">
            <v>643700</v>
          </cell>
          <cell r="B532" t="str">
            <v>M/Vehicle Parts &amp; Batteries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610.52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23090.16</v>
          </cell>
          <cell r="AI532">
            <v>237.5</v>
          </cell>
          <cell r="AJ532">
            <v>0</v>
          </cell>
          <cell r="AK532">
            <v>0</v>
          </cell>
          <cell r="AL532">
            <v>0</v>
          </cell>
          <cell r="AM532">
            <v>848.02</v>
          </cell>
          <cell r="AN532">
            <v>23090.16</v>
          </cell>
        </row>
        <row r="533">
          <cell r="A533">
            <v>643710</v>
          </cell>
          <cell r="B533" t="str">
            <v>Tool Costs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</row>
        <row r="534">
          <cell r="A534">
            <v>643720</v>
          </cell>
          <cell r="B534" t="str">
            <v>Motor Vehicle Useage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304.60000000000002</v>
          </cell>
          <cell r="L534">
            <v>0</v>
          </cell>
          <cell r="M534">
            <v>209.3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3834.61</v>
          </cell>
          <cell r="AH534">
            <v>0</v>
          </cell>
          <cell r="AI534">
            <v>2311.89</v>
          </cell>
          <cell r="AJ534">
            <v>0</v>
          </cell>
          <cell r="AK534">
            <v>1838.92</v>
          </cell>
          <cell r="AL534">
            <v>0</v>
          </cell>
          <cell r="AM534">
            <v>8499.32</v>
          </cell>
          <cell r="AN534">
            <v>0</v>
          </cell>
        </row>
        <row r="535">
          <cell r="A535">
            <v>643750</v>
          </cell>
          <cell r="B535" t="str">
            <v>M/Vehicle and 3rd Party Reg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-3517.03</v>
          </cell>
          <cell r="L535">
            <v>0</v>
          </cell>
          <cell r="M535">
            <v>35.51</v>
          </cell>
          <cell r="N535">
            <v>2385.42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466.7</v>
          </cell>
          <cell r="AH535">
            <v>14616.33</v>
          </cell>
          <cell r="AI535">
            <v>669</v>
          </cell>
          <cell r="AJ535">
            <v>300</v>
          </cell>
          <cell r="AK535">
            <v>467.8</v>
          </cell>
          <cell r="AL535">
            <v>0</v>
          </cell>
          <cell r="AM535">
            <v>-1878.02</v>
          </cell>
          <cell r="AN535">
            <v>17301.75</v>
          </cell>
        </row>
        <row r="536">
          <cell r="A536">
            <v>643755</v>
          </cell>
          <cell r="B536" t="str">
            <v>Vehicle Toll Expense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1300.28</v>
          </cell>
          <cell r="L536">
            <v>804.96</v>
          </cell>
          <cell r="M536">
            <v>1873.06</v>
          </cell>
          <cell r="N536">
            <v>1881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6248.76</v>
          </cell>
          <cell r="AH536">
            <v>40421.370000000003</v>
          </cell>
          <cell r="AI536">
            <v>1457.01</v>
          </cell>
          <cell r="AJ536">
            <v>125.01</v>
          </cell>
          <cell r="AK536">
            <v>278.89999999999998</v>
          </cell>
          <cell r="AL536">
            <v>0</v>
          </cell>
          <cell r="AM536">
            <v>11158.01</v>
          </cell>
          <cell r="AN536">
            <v>43232.34</v>
          </cell>
        </row>
        <row r="537">
          <cell r="A537">
            <v>643908</v>
          </cell>
          <cell r="B537" t="str">
            <v>Freight &amp; Courier Fees</v>
          </cell>
          <cell r="C537">
            <v>2371.4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19502.93</v>
          </cell>
          <cell r="L537">
            <v>11250</v>
          </cell>
          <cell r="M537">
            <v>5471.27</v>
          </cell>
          <cell r="N537">
            <v>4301.2299999999996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9496.39</v>
          </cell>
          <cell r="AH537">
            <v>12571.83</v>
          </cell>
          <cell r="AI537">
            <v>7475.99</v>
          </cell>
          <cell r="AJ537">
            <v>3824.34</v>
          </cell>
          <cell r="AK537">
            <v>3246.11</v>
          </cell>
          <cell r="AL537">
            <v>12028.65</v>
          </cell>
          <cell r="AM537">
            <v>47564.09</v>
          </cell>
          <cell r="AN537">
            <v>43976.05</v>
          </cell>
        </row>
        <row r="538">
          <cell r="A538">
            <v>643925</v>
          </cell>
          <cell r="B538" t="str">
            <v>Car Parking Permanent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8571.2000000000007</v>
          </cell>
          <cell r="L538">
            <v>4727.26</v>
          </cell>
          <cell r="M538">
            <v>21309.57</v>
          </cell>
          <cell r="N538">
            <v>14400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24173.15</v>
          </cell>
          <cell r="AH538">
            <v>34856.49</v>
          </cell>
          <cell r="AI538">
            <v>13499.68</v>
          </cell>
          <cell r="AJ538">
            <v>4518.09</v>
          </cell>
          <cell r="AK538">
            <v>5696.18</v>
          </cell>
          <cell r="AL538">
            <v>0</v>
          </cell>
          <cell r="AM538">
            <v>73249.78</v>
          </cell>
          <cell r="AN538">
            <v>58501.84</v>
          </cell>
        </row>
        <row r="539">
          <cell r="A539">
            <v>643930</v>
          </cell>
          <cell r="B539" t="str">
            <v>Car Parking Non Permanent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519.6</v>
          </cell>
          <cell r="L539">
            <v>125.01</v>
          </cell>
          <cell r="M539">
            <v>562.94000000000005</v>
          </cell>
          <cell r="N539">
            <v>1733.08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14785.3</v>
          </cell>
          <cell r="AH539">
            <v>15995.61</v>
          </cell>
          <cell r="AI539">
            <v>9040.24</v>
          </cell>
          <cell r="AJ539">
            <v>0</v>
          </cell>
          <cell r="AK539">
            <v>90811.23</v>
          </cell>
          <cell r="AL539">
            <v>0</v>
          </cell>
          <cell r="AM539">
            <v>115719.31</v>
          </cell>
          <cell r="AN539">
            <v>17853.7</v>
          </cell>
        </row>
        <row r="540">
          <cell r="A540">
            <v>643940</v>
          </cell>
          <cell r="B540" t="str">
            <v>Taxi Charges</v>
          </cell>
          <cell r="C540">
            <v>3901.74</v>
          </cell>
          <cell r="D540">
            <v>300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4522.92</v>
          </cell>
          <cell r="L540">
            <v>5999.94</v>
          </cell>
          <cell r="M540">
            <v>7509.75</v>
          </cell>
          <cell r="N540">
            <v>6701.37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4591.7299999999996</v>
          </cell>
          <cell r="AH540">
            <v>6567.81</v>
          </cell>
          <cell r="AI540">
            <v>7441.3</v>
          </cell>
          <cell r="AJ540">
            <v>4229.88</v>
          </cell>
          <cell r="AK540">
            <v>5865</v>
          </cell>
          <cell r="AL540">
            <v>324.87</v>
          </cell>
          <cell r="AM540">
            <v>33832.44</v>
          </cell>
          <cell r="AN540">
            <v>24123.87</v>
          </cell>
        </row>
        <row r="541">
          <cell r="A541">
            <v>643960</v>
          </cell>
          <cell r="B541" t="str">
            <v>Internal Plant/Veh/Asset Hire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-59.8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-59.8</v>
          </cell>
          <cell r="AN541">
            <v>0</v>
          </cell>
        </row>
        <row r="542">
          <cell r="A542">
            <v>647100</v>
          </cell>
          <cell r="B542" t="str">
            <v>Hot Water Marketing Rebates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3249</v>
          </cell>
          <cell r="AM542">
            <v>0</v>
          </cell>
          <cell r="AN542">
            <v>3249</v>
          </cell>
        </row>
        <row r="543">
          <cell r="A543">
            <v>647200</v>
          </cell>
          <cell r="B543" t="str">
            <v>Advertising</v>
          </cell>
          <cell r="C543">
            <v>0</v>
          </cell>
          <cell r="D543">
            <v>0</v>
          </cell>
          <cell r="E543">
            <v>3524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1250.01</v>
          </cell>
          <cell r="M543">
            <v>601</v>
          </cell>
          <cell r="N543">
            <v>115749.89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156788.89000000001</v>
          </cell>
          <cell r="AH543">
            <v>229383.15</v>
          </cell>
          <cell r="AI543">
            <v>444506.92</v>
          </cell>
          <cell r="AJ543">
            <v>1634001</v>
          </cell>
          <cell r="AK543">
            <v>0</v>
          </cell>
          <cell r="AL543">
            <v>44.97</v>
          </cell>
          <cell r="AM543">
            <v>605420.81000000006</v>
          </cell>
          <cell r="AN543">
            <v>1980429.02</v>
          </cell>
        </row>
        <row r="544">
          <cell r="A544">
            <v>647250</v>
          </cell>
          <cell r="B544" t="str">
            <v>Brand Sponsorship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400000</v>
          </cell>
          <cell r="AK544">
            <v>0</v>
          </cell>
          <cell r="AL544">
            <v>0</v>
          </cell>
          <cell r="AM544">
            <v>0</v>
          </cell>
          <cell r="AN544">
            <v>400000</v>
          </cell>
        </row>
        <row r="545">
          <cell r="A545">
            <v>647275</v>
          </cell>
          <cell r="B545" t="str">
            <v>New Business Sponsorship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12500.01</v>
          </cell>
          <cell r="AK545">
            <v>0</v>
          </cell>
          <cell r="AL545">
            <v>0</v>
          </cell>
          <cell r="AM545">
            <v>0</v>
          </cell>
          <cell r="AN545">
            <v>12500.01</v>
          </cell>
        </row>
        <row r="546">
          <cell r="A546">
            <v>647300</v>
          </cell>
          <cell r="B546" t="str">
            <v>Direct &amp; Tele Marketing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140369.41</v>
          </cell>
          <cell r="AJ546">
            <v>701251.99</v>
          </cell>
          <cell r="AK546">
            <v>0</v>
          </cell>
          <cell r="AL546">
            <v>0</v>
          </cell>
          <cell r="AM546">
            <v>140369.41</v>
          </cell>
          <cell r="AN546">
            <v>701251.99</v>
          </cell>
        </row>
        <row r="547">
          <cell r="A547">
            <v>647400</v>
          </cell>
          <cell r="B547" t="str">
            <v>Photographic Expenditure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14.45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1831.45</v>
          </cell>
          <cell r="AH547">
            <v>3195.63</v>
          </cell>
          <cell r="AI547">
            <v>19</v>
          </cell>
          <cell r="AJ547">
            <v>0</v>
          </cell>
          <cell r="AK547">
            <v>2800</v>
          </cell>
          <cell r="AL547">
            <v>0</v>
          </cell>
          <cell r="AM547">
            <v>4664.8999999999996</v>
          </cell>
          <cell r="AN547">
            <v>3195.63</v>
          </cell>
        </row>
        <row r="548">
          <cell r="A548">
            <v>647500</v>
          </cell>
          <cell r="B548" t="str">
            <v>Corporate Brochures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10440.32</v>
          </cell>
          <cell r="L548">
            <v>0</v>
          </cell>
          <cell r="M548">
            <v>0</v>
          </cell>
          <cell r="N548">
            <v>18750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131197.5</v>
          </cell>
          <cell r="AI548">
            <v>1349.52</v>
          </cell>
          <cell r="AJ548">
            <v>86012.01</v>
          </cell>
          <cell r="AK548">
            <v>0</v>
          </cell>
          <cell r="AL548">
            <v>0</v>
          </cell>
          <cell r="AM548">
            <v>11789.84</v>
          </cell>
          <cell r="AN548">
            <v>235959.51</v>
          </cell>
        </row>
        <row r="549">
          <cell r="A549">
            <v>647600</v>
          </cell>
          <cell r="B549" t="str">
            <v>Promotional Products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-735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5499.96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594.5</v>
          </cell>
          <cell r="AH549">
            <v>13119.81</v>
          </cell>
          <cell r="AI549">
            <v>22965.49</v>
          </cell>
          <cell r="AJ549">
            <v>69249.929999999993</v>
          </cell>
          <cell r="AK549">
            <v>0</v>
          </cell>
          <cell r="AL549">
            <v>89.94</v>
          </cell>
          <cell r="AM549">
            <v>22824.99</v>
          </cell>
          <cell r="AN549">
            <v>87959.64</v>
          </cell>
        </row>
        <row r="550">
          <cell r="A550">
            <v>647700</v>
          </cell>
          <cell r="B550" t="str">
            <v>Appliance Rebates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796.9</v>
          </cell>
          <cell r="AH550">
            <v>7497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796.9</v>
          </cell>
          <cell r="AN550">
            <v>7497</v>
          </cell>
        </row>
        <row r="551">
          <cell r="A551">
            <v>647800</v>
          </cell>
          <cell r="B551" t="str">
            <v>Data Acquisition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840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840</v>
          </cell>
          <cell r="AN551">
            <v>0</v>
          </cell>
        </row>
        <row r="552">
          <cell r="A552">
            <v>647900</v>
          </cell>
          <cell r="B552" t="str">
            <v>Market Research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199999.98</v>
          </cell>
          <cell r="AK552">
            <v>0</v>
          </cell>
          <cell r="AL552">
            <v>0</v>
          </cell>
          <cell r="AM552">
            <v>0</v>
          </cell>
          <cell r="AN552">
            <v>199999.98</v>
          </cell>
        </row>
        <row r="553">
          <cell r="A553">
            <v>648030</v>
          </cell>
          <cell r="B553" t="str">
            <v>Bank Fees</v>
          </cell>
          <cell r="C553">
            <v>5030.84</v>
          </cell>
          <cell r="D553">
            <v>0</v>
          </cell>
          <cell r="E553">
            <v>-53708.43</v>
          </cell>
          <cell r="F553">
            <v>0</v>
          </cell>
          <cell r="G553">
            <v>9</v>
          </cell>
          <cell r="H553">
            <v>0</v>
          </cell>
          <cell r="I553">
            <v>0</v>
          </cell>
          <cell r="J553">
            <v>0</v>
          </cell>
          <cell r="K553">
            <v>1844.57</v>
          </cell>
          <cell r="L553">
            <v>0</v>
          </cell>
          <cell r="M553">
            <v>709.72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9078.08</v>
          </cell>
          <cell r="AD553">
            <v>0</v>
          </cell>
          <cell r="AE553">
            <v>0</v>
          </cell>
          <cell r="AF553">
            <v>0</v>
          </cell>
          <cell r="AG553">
            <v>605.54</v>
          </cell>
          <cell r="AH553">
            <v>499.77</v>
          </cell>
          <cell r="AI553">
            <v>116952.6</v>
          </cell>
          <cell r="AJ553">
            <v>97638</v>
          </cell>
          <cell r="AK553">
            <v>26554.9</v>
          </cell>
          <cell r="AL553">
            <v>0</v>
          </cell>
          <cell r="AM553">
            <v>107076.82</v>
          </cell>
          <cell r="AN553">
            <v>98137.77</v>
          </cell>
        </row>
        <row r="554">
          <cell r="A554">
            <v>648031</v>
          </cell>
          <cell r="B554" t="str">
            <v>Dishonoured Cheque Fees</v>
          </cell>
          <cell r="C554">
            <v>0</v>
          </cell>
          <cell r="D554">
            <v>0</v>
          </cell>
          <cell r="E554">
            <v>9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2600.4299999999998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45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2654.43</v>
          </cell>
          <cell r="AN554">
            <v>0</v>
          </cell>
        </row>
        <row r="555">
          <cell r="A555">
            <v>648032</v>
          </cell>
          <cell r="B555" t="str">
            <v>Financial Institutions Duty</v>
          </cell>
          <cell r="C555">
            <v>0</v>
          </cell>
          <cell r="D555">
            <v>0</v>
          </cell>
          <cell r="E555">
            <v>6370.89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15965.59</v>
          </cell>
          <cell r="AD555">
            <v>0</v>
          </cell>
          <cell r="AE555">
            <v>0</v>
          </cell>
          <cell r="AF555">
            <v>0</v>
          </cell>
          <cell r="AG555">
            <v>17</v>
          </cell>
          <cell r="AH555">
            <v>0</v>
          </cell>
          <cell r="AI555">
            <v>6302.27</v>
          </cell>
          <cell r="AJ555">
            <v>7899.96</v>
          </cell>
          <cell r="AK555">
            <v>0</v>
          </cell>
          <cell r="AL555">
            <v>0</v>
          </cell>
          <cell r="AM555">
            <v>28655.75</v>
          </cell>
          <cell r="AN555">
            <v>7899.96</v>
          </cell>
        </row>
        <row r="556">
          <cell r="A556">
            <v>648034</v>
          </cell>
          <cell r="B556" t="str">
            <v>Fedl Bank Accts Debits Tax</v>
          </cell>
          <cell r="C556">
            <v>0</v>
          </cell>
          <cell r="D556">
            <v>0</v>
          </cell>
          <cell r="E556">
            <v>719.05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114.7</v>
          </cell>
          <cell r="AD556">
            <v>0</v>
          </cell>
          <cell r="AE556">
            <v>0</v>
          </cell>
          <cell r="AF556">
            <v>0</v>
          </cell>
          <cell r="AG556">
            <v>42.3</v>
          </cell>
          <cell r="AH556">
            <v>0</v>
          </cell>
          <cell r="AI556">
            <v>231</v>
          </cell>
          <cell r="AJ556">
            <v>918.96</v>
          </cell>
          <cell r="AK556">
            <v>0</v>
          </cell>
          <cell r="AL556">
            <v>0</v>
          </cell>
          <cell r="AM556">
            <v>1107.05</v>
          </cell>
          <cell r="AN556">
            <v>918.96</v>
          </cell>
        </row>
        <row r="557">
          <cell r="A557">
            <v>648050</v>
          </cell>
          <cell r="B557" t="str">
            <v>Brokerage - Investments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</row>
        <row r="558">
          <cell r="A558">
            <v>648100</v>
          </cell>
          <cell r="B558" t="str">
            <v>Fringe Benefits Tax</v>
          </cell>
          <cell r="C558">
            <v>15497.67</v>
          </cell>
          <cell r="D558">
            <v>0</v>
          </cell>
          <cell r="E558">
            <v>0</v>
          </cell>
          <cell r="F558">
            <v>0</v>
          </cell>
          <cell r="G558">
            <v>-33937.879999999997</v>
          </cell>
          <cell r="H558">
            <v>0</v>
          </cell>
          <cell r="I558">
            <v>-1.23</v>
          </cell>
          <cell r="J558">
            <v>0</v>
          </cell>
          <cell r="K558">
            <v>7032</v>
          </cell>
          <cell r="L558">
            <v>17000.009999999998</v>
          </cell>
          <cell r="M558">
            <v>600439.19999999995</v>
          </cell>
          <cell r="N558">
            <v>26589.85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45350.7</v>
          </cell>
          <cell r="AH558">
            <v>122662.65</v>
          </cell>
          <cell r="AI558">
            <v>90902</v>
          </cell>
          <cell r="AJ558">
            <v>10319.08</v>
          </cell>
          <cell r="AK558">
            <v>1734</v>
          </cell>
          <cell r="AL558">
            <v>0</v>
          </cell>
          <cell r="AM558">
            <v>727016.46</v>
          </cell>
          <cell r="AN558">
            <v>176571.59</v>
          </cell>
        </row>
        <row r="559">
          <cell r="A559">
            <v>648200</v>
          </cell>
          <cell r="B559" t="str">
            <v>Land Tax</v>
          </cell>
          <cell r="C559">
            <v>20590</v>
          </cell>
          <cell r="D559">
            <v>0</v>
          </cell>
          <cell r="E559">
            <v>0</v>
          </cell>
          <cell r="F559">
            <v>99960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86215.5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20590</v>
          </cell>
          <cell r="AN559">
            <v>186175.5</v>
          </cell>
        </row>
        <row r="560">
          <cell r="A560">
            <v>648210</v>
          </cell>
          <cell r="B560" t="str">
            <v>Water Rates</v>
          </cell>
          <cell r="C560">
            <v>4236.6000000000004</v>
          </cell>
          <cell r="D560">
            <v>117000</v>
          </cell>
          <cell r="E560">
            <v>2277.39</v>
          </cell>
          <cell r="F560">
            <v>4500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50</v>
          </cell>
          <cell r="L560">
            <v>0</v>
          </cell>
          <cell r="M560">
            <v>361.35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3534.11</v>
          </cell>
          <cell r="AH560">
            <v>1500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10459.450000000001</v>
          </cell>
          <cell r="AN560">
            <v>123000</v>
          </cell>
        </row>
        <row r="561">
          <cell r="A561">
            <v>648220</v>
          </cell>
          <cell r="B561" t="str">
            <v>Council Rates</v>
          </cell>
          <cell r="C561">
            <v>0</v>
          </cell>
          <cell r="D561">
            <v>0</v>
          </cell>
          <cell r="E561">
            <v>383.75</v>
          </cell>
          <cell r="F561">
            <v>10750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1635.77</v>
          </cell>
          <cell r="AH561">
            <v>5250</v>
          </cell>
          <cell r="AI561">
            <v>0</v>
          </cell>
          <cell r="AJ561">
            <v>0</v>
          </cell>
          <cell r="AK561">
            <v>187807</v>
          </cell>
          <cell r="AL561">
            <v>290000</v>
          </cell>
          <cell r="AM561">
            <v>189826.52</v>
          </cell>
          <cell r="AN561">
            <v>306000</v>
          </cell>
        </row>
        <row r="562">
          <cell r="A562">
            <v>648230</v>
          </cell>
          <cell r="B562" t="str">
            <v>Elec Expense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6989.76</v>
          </cell>
          <cell r="L562">
            <v>44000.01</v>
          </cell>
          <cell r="M562">
            <v>3218.95</v>
          </cell>
          <cell r="N562">
            <v>8025.78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10375.81</v>
          </cell>
          <cell r="AH562">
            <v>49012.65</v>
          </cell>
          <cell r="AI562">
            <v>112.2</v>
          </cell>
          <cell r="AJ562">
            <v>0</v>
          </cell>
          <cell r="AK562">
            <v>149266.73000000001</v>
          </cell>
          <cell r="AL562">
            <v>158181.99</v>
          </cell>
          <cell r="AM562">
            <v>169963.45</v>
          </cell>
          <cell r="AN562">
            <v>259220.43</v>
          </cell>
        </row>
        <row r="563">
          <cell r="A563">
            <v>648240</v>
          </cell>
          <cell r="B563" t="str">
            <v>Gas Used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118.96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249.87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118.96</v>
          </cell>
          <cell r="AN563">
            <v>249.87</v>
          </cell>
        </row>
        <row r="564">
          <cell r="A564">
            <v>648300</v>
          </cell>
          <cell r="B564" t="str">
            <v>Stamp Duty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16.05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96122</v>
          </cell>
          <cell r="AL564">
            <v>0</v>
          </cell>
          <cell r="AM564">
            <v>96138.05</v>
          </cell>
          <cell r="AN564">
            <v>0</v>
          </cell>
        </row>
        <row r="565">
          <cell r="A565">
            <v>648400</v>
          </cell>
          <cell r="B565" t="str">
            <v>Penalties &amp; Fines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80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222.37</v>
          </cell>
          <cell r="N565">
            <v>750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302.37</v>
          </cell>
          <cell r="AN565">
            <v>750</v>
          </cell>
        </row>
        <row r="566">
          <cell r="A566">
            <v>648500</v>
          </cell>
          <cell r="B566" t="str">
            <v>Other Govt Charges and Levies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5300</v>
          </cell>
          <cell r="N566">
            <v>2500.0300000000002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20081.16</v>
          </cell>
          <cell r="AH566">
            <v>136298.19</v>
          </cell>
          <cell r="AI566">
            <v>0</v>
          </cell>
          <cell r="AJ566">
            <v>20000</v>
          </cell>
          <cell r="AK566">
            <v>0</v>
          </cell>
          <cell r="AL566">
            <v>0</v>
          </cell>
          <cell r="AM566">
            <v>25381.16</v>
          </cell>
          <cell r="AN566">
            <v>158798.22</v>
          </cell>
        </row>
        <row r="567">
          <cell r="A567">
            <v>648600</v>
          </cell>
          <cell r="B567" t="str">
            <v>Permits and Other Licences</v>
          </cell>
          <cell r="C567">
            <v>28797.33</v>
          </cell>
          <cell r="D567">
            <v>60000</v>
          </cell>
          <cell r="E567">
            <v>0</v>
          </cell>
          <cell r="F567">
            <v>5997.6</v>
          </cell>
          <cell r="G567">
            <v>-15000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345.28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10374.870000000001</v>
          </cell>
          <cell r="AH567">
            <v>81478.350000000006</v>
          </cell>
          <cell r="AI567">
            <v>30</v>
          </cell>
          <cell r="AJ567">
            <v>0</v>
          </cell>
          <cell r="AK567">
            <v>-174.83</v>
          </cell>
          <cell r="AL567">
            <v>10245.9</v>
          </cell>
          <cell r="AM567">
            <v>24027.37</v>
          </cell>
          <cell r="AN567">
            <v>158067.13</v>
          </cell>
        </row>
        <row r="568">
          <cell r="A568">
            <v>648605</v>
          </cell>
          <cell r="B568" t="str">
            <v>Royalties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</row>
        <row r="569">
          <cell r="A569">
            <v>648610</v>
          </cell>
          <cell r="B569" t="str">
            <v>Retail Licence Fee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32749</v>
          </cell>
          <cell r="AK569">
            <v>0</v>
          </cell>
          <cell r="AL569">
            <v>0</v>
          </cell>
          <cell r="AM569">
            <v>0</v>
          </cell>
          <cell r="AN569">
            <v>32749</v>
          </cell>
        </row>
        <row r="570">
          <cell r="A570">
            <v>648620</v>
          </cell>
          <cell r="B570" t="str">
            <v>Distribution Licence Fee</v>
          </cell>
          <cell r="C570">
            <v>0</v>
          </cell>
          <cell r="D570">
            <v>0</v>
          </cell>
          <cell r="E570">
            <v>0</v>
          </cell>
          <cell r="F570">
            <v>78968.37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-275000</v>
          </cell>
          <cell r="AH570">
            <v>50979.6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-275000</v>
          </cell>
          <cell r="AN570">
            <v>129947.97</v>
          </cell>
        </row>
        <row r="571">
          <cell r="A571">
            <v>648630</v>
          </cell>
          <cell r="B571" t="str">
            <v>Ombudsman Levy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3750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-188935</v>
          </cell>
          <cell r="AH571">
            <v>37113.120000000003</v>
          </cell>
          <cell r="AI571">
            <v>38092.68</v>
          </cell>
          <cell r="AJ571">
            <v>87499.98</v>
          </cell>
          <cell r="AK571">
            <v>0</v>
          </cell>
          <cell r="AL571">
            <v>0</v>
          </cell>
          <cell r="AM571">
            <v>-150842.32</v>
          </cell>
          <cell r="AN571">
            <v>128363.1</v>
          </cell>
        </row>
        <row r="572">
          <cell r="A572">
            <v>648640</v>
          </cell>
          <cell r="B572" t="str">
            <v>Office of Gas and Safety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139413.21</v>
          </cell>
          <cell r="AJ572">
            <v>229959.19</v>
          </cell>
          <cell r="AK572">
            <v>0</v>
          </cell>
          <cell r="AL572">
            <v>0</v>
          </cell>
          <cell r="AM572">
            <v>139413.21</v>
          </cell>
          <cell r="AN572">
            <v>229959.19</v>
          </cell>
        </row>
        <row r="573">
          <cell r="A573">
            <v>648650</v>
          </cell>
          <cell r="B573" t="str">
            <v>CEI Levy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192015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192015</v>
          </cell>
          <cell r="AN573">
            <v>0</v>
          </cell>
        </row>
        <row r="574">
          <cell r="A574">
            <v>660095</v>
          </cell>
          <cell r="B574" t="str">
            <v>Management Fee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</row>
        <row r="575">
          <cell r="A575">
            <v>660099</v>
          </cell>
          <cell r="B575" t="str">
            <v>RWK Transfer to Balance Sheet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</row>
        <row r="576">
          <cell r="A576">
            <v>699990</v>
          </cell>
          <cell r="B576" t="str">
            <v>WIP Clearance Asset Addition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</row>
        <row r="577">
          <cell r="A577">
            <v>699991</v>
          </cell>
          <cell r="B577" t="str">
            <v>WIP Clearance Cost Of Sales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</row>
        <row r="579">
          <cell r="A579" t="str">
            <v>TOTAL</v>
          </cell>
          <cell r="B579" t="str">
            <v>CONTRACTS, CONSULT &amp; PROF EXP</v>
          </cell>
          <cell r="C579">
            <v>937045.06</v>
          </cell>
          <cell r="D579">
            <v>2236488</v>
          </cell>
          <cell r="E579">
            <v>-117869.75999999999</v>
          </cell>
          <cell r="F579">
            <v>248374.93</v>
          </cell>
          <cell r="G579">
            <v>-1993511.43</v>
          </cell>
          <cell r="H579">
            <v>0</v>
          </cell>
          <cell r="I579">
            <v>315.77</v>
          </cell>
          <cell r="J579">
            <v>0</v>
          </cell>
          <cell r="K579">
            <v>3631328.76</v>
          </cell>
          <cell r="L579">
            <v>4913787.43</v>
          </cell>
          <cell r="M579">
            <v>4132364.8</v>
          </cell>
          <cell r="N579">
            <v>6621643.5099999998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115533.37</v>
          </cell>
          <cell r="AD579">
            <v>0</v>
          </cell>
          <cell r="AE579">
            <v>0</v>
          </cell>
          <cell r="AF579">
            <v>0</v>
          </cell>
          <cell r="AG579">
            <v>7521446.6699999999</v>
          </cell>
          <cell r="AH579">
            <v>17969696.309999999</v>
          </cell>
          <cell r="AI579">
            <v>3532328.42</v>
          </cell>
          <cell r="AJ579">
            <v>6835584.79</v>
          </cell>
          <cell r="AK579">
            <v>1767416.11</v>
          </cell>
          <cell r="AL579">
            <v>2369715.02</v>
          </cell>
          <cell r="AM579">
            <v>19526397.77</v>
          </cell>
          <cell r="AN579">
            <v>41195289.990000002</v>
          </cell>
        </row>
        <row r="581">
          <cell r="A581" t="str">
            <v>INTER-COMPANY MARGIN</v>
          </cell>
        </row>
        <row r="583">
          <cell r="A583">
            <v>641800</v>
          </cell>
          <cell r="B583" t="str">
            <v>Inter-company contracts</v>
          </cell>
          <cell r="C583">
            <v>3414922</v>
          </cell>
          <cell r="D583">
            <v>6900000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1099999.94</v>
          </cell>
          <cell r="L583">
            <v>1127249.95</v>
          </cell>
          <cell r="M583">
            <v>59109.89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5209183.9400000004</v>
          </cell>
          <cell r="AH583">
            <v>5364198.1900000004</v>
          </cell>
          <cell r="AI583">
            <v>18753771.899999999</v>
          </cell>
          <cell r="AJ583">
            <v>1546959.27</v>
          </cell>
          <cell r="AK583">
            <v>1628469.39</v>
          </cell>
          <cell r="AL583">
            <v>3255000</v>
          </cell>
          <cell r="AM583">
            <v>30165457.059999999</v>
          </cell>
          <cell r="AN583">
            <v>18193407.41</v>
          </cell>
        </row>
        <row r="584">
          <cell r="A584">
            <v>641858</v>
          </cell>
          <cell r="B584" t="str">
            <v>Contracts TXU SA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4009491.5</v>
          </cell>
          <cell r="AL584">
            <v>11469000</v>
          </cell>
          <cell r="AM584">
            <v>4009491.5</v>
          </cell>
          <cell r="AN584">
            <v>11469000</v>
          </cell>
        </row>
        <row r="585">
          <cell r="A585">
            <v>641881</v>
          </cell>
          <cell r="B585" t="str">
            <v>Int-Meter Reading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484176.76</v>
          </cell>
          <cell r="AJ585">
            <v>709938.21</v>
          </cell>
          <cell r="AK585">
            <v>0</v>
          </cell>
          <cell r="AL585">
            <v>0</v>
          </cell>
          <cell r="AM585">
            <v>484176.76</v>
          </cell>
          <cell r="AN585">
            <v>709938.21</v>
          </cell>
        </row>
        <row r="586">
          <cell r="A586">
            <v>641883</v>
          </cell>
          <cell r="B586" t="str">
            <v>Int - Metering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772000</v>
          </cell>
          <cell r="AJ586">
            <v>211500</v>
          </cell>
          <cell r="AK586">
            <v>0</v>
          </cell>
          <cell r="AL586">
            <v>0</v>
          </cell>
          <cell r="AM586">
            <v>772000</v>
          </cell>
          <cell r="AN586">
            <v>211500</v>
          </cell>
        </row>
        <row r="587">
          <cell r="A587">
            <v>641885</v>
          </cell>
          <cell r="B587" t="str">
            <v>Int - Customer Billing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1330694.8400000001</v>
          </cell>
          <cell r="AJ587">
            <v>1996042.26</v>
          </cell>
          <cell r="AK587">
            <v>0</v>
          </cell>
          <cell r="AL587">
            <v>0</v>
          </cell>
          <cell r="AM587">
            <v>1330694.8400000001</v>
          </cell>
          <cell r="AN587">
            <v>1996042.26</v>
          </cell>
        </row>
        <row r="588">
          <cell r="A588">
            <v>641887</v>
          </cell>
          <cell r="B588" t="str">
            <v>Int-Customer Credit Mgt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1651375.84</v>
          </cell>
          <cell r="AJ588">
            <v>2477063.7599999998</v>
          </cell>
          <cell r="AK588">
            <v>0</v>
          </cell>
          <cell r="AL588">
            <v>0</v>
          </cell>
          <cell r="AM588">
            <v>1651375.84</v>
          </cell>
          <cell r="AN588">
            <v>2477063.7599999998</v>
          </cell>
        </row>
        <row r="589">
          <cell r="A589">
            <v>641889</v>
          </cell>
          <cell r="B589" t="str">
            <v>Int - Call Centre Services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1704438.34</v>
          </cell>
          <cell r="AJ589">
            <v>2556657.5099999998</v>
          </cell>
          <cell r="AK589">
            <v>0</v>
          </cell>
          <cell r="AL589">
            <v>0</v>
          </cell>
          <cell r="AM589">
            <v>1704438.34</v>
          </cell>
          <cell r="AN589">
            <v>2556657.5099999998</v>
          </cell>
        </row>
        <row r="590">
          <cell r="A590">
            <v>641900</v>
          </cell>
          <cell r="B590" t="str">
            <v>Int - Management fee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875023.35</v>
          </cell>
          <cell r="AJ590">
            <v>791838</v>
          </cell>
          <cell r="AK590">
            <v>0</v>
          </cell>
          <cell r="AL590">
            <v>0</v>
          </cell>
          <cell r="AM590">
            <v>875023.35</v>
          </cell>
          <cell r="AN590">
            <v>791838</v>
          </cell>
        </row>
        <row r="591">
          <cell r="A591">
            <v>700000</v>
          </cell>
          <cell r="B591" t="str">
            <v>Internal Tfr Expense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</row>
        <row r="592">
          <cell r="A592">
            <v>800000</v>
          </cell>
          <cell r="B592" t="str">
            <v>Internal Tfr Rev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</row>
        <row r="593">
          <cell r="A593">
            <v>641300</v>
          </cell>
          <cell r="B593" t="str">
            <v>Contract margin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</row>
        <row r="594">
          <cell r="A594">
            <v>641340</v>
          </cell>
          <cell r="B594" t="str">
            <v>Contract Internal Enetech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</row>
        <row r="595">
          <cell r="A595">
            <v>641350</v>
          </cell>
          <cell r="B595" t="str">
            <v>Contract Margin EE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</row>
        <row r="597">
          <cell r="A597" t="str">
            <v>TOTAL</v>
          </cell>
          <cell r="B597" t="str">
            <v>INTER-COMPANY MARGIN</v>
          </cell>
          <cell r="C597">
            <v>3414922</v>
          </cell>
          <cell r="D597">
            <v>6900000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1099999.94</v>
          </cell>
          <cell r="L597">
            <v>1127249.95</v>
          </cell>
          <cell r="M597">
            <v>59109.89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5209183.9400000004</v>
          </cell>
          <cell r="AH597">
            <v>5364198.1900000004</v>
          </cell>
          <cell r="AI597">
            <v>25571481.030000001</v>
          </cell>
          <cell r="AJ597">
            <v>10289999.01</v>
          </cell>
          <cell r="AK597">
            <v>5637960.8899999997</v>
          </cell>
          <cell r="AL597">
            <v>14724000</v>
          </cell>
          <cell r="AM597">
            <v>40992657.689999998</v>
          </cell>
          <cell r="AN597">
            <v>38405447.149999999</v>
          </cell>
        </row>
        <row r="599">
          <cell r="A599" t="str">
            <v>COST OF SALES</v>
          </cell>
        </row>
        <row r="601">
          <cell r="A601">
            <v>600100</v>
          </cell>
          <cell r="B601" t="str">
            <v>Cost of Sales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-32184850.609999999</v>
          </cell>
          <cell r="AH601">
            <v>4605326.01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-32184850.609999999</v>
          </cell>
          <cell r="AN601">
            <v>4605326.01</v>
          </cell>
        </row>
        <row r="603">
          <cell r="A603" t="str">
            <v>TOTAL</v>
          </cell>
          <cell r="B603" t="str">
            <v>COST OF SALES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-32184850.609999999</v>
          </cell>
          <cell r="AH603">
            <v>4605326.01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-32184850.609999999</v>
          </cell>
          <cell r="AN603">
            <v>4605326.01</v>
          </cell>
        </row>
        <row r="605">
          <cell r="A605" t="str">
            <v>CORPORATE ACCOUNTS</v>
          </cell>
        </row>
        <row r="607">
          <cell r="A607">
            <v>660020</v>
          </cell>
          <cell r="B607" t="str">
            <v>Recoverable Work Write Off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38394.400000000001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38394.400000000001</v>
          </cell>
        </row>
        <row r="608">
          <cell r="A608">
            <v>682000</v>
          </cell>
          <cell r="B608" t="str">
            <v>Overheads Received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</row>
        <row r="609">
          <cell r="A609">
            <v>682260</v>
          </cell>
          <cell r="B609" t="str">
            <v>Overheads - Corp Services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</row>
        <row r="610">
          <cell r="A610">
            <v>682300</v>
          </cell>
          <cell r="B610" t="str">
            <v>TUA Support Group Overheads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</row>
        <row r="611">
          <cell r="A611">
            <v>682500</v>
          </cell>
          <cell r="B611" t="str">
            <v>Overheads Distributed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5190530.2300000004</v>
          </cell>
          <cell r="AH611">
            <v>-4220125.33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5190530.2300000004</v>
          </cell>
          <cell r="AN611">
            <v>-4220125.33</v>
          </cell>
        </row>
        <row r="612">
          <cell r="A612">
            <v>689999</v>
          </cell>
          <cell r="B612" t="str">
            <v>Overheads Transfer to BSheet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</row>
        <row r="614">
          <cell r="A614" t="str">
            <v>TOTAL</v>
          </cell>
          <cell r="B614" t="str">
            <v>CORPORATE ACCOUNTS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5190530.2300000004</v>
          </cell>
          <cell r="AH614">
            <v>-4181730.93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5190530.2300000004</v>
          </cell>
          <cell r="AN614">
            <v>-4181730.93</v>
          </cell>
        </row>
        <row r="616">
          <cell r="A616" t="str">
            <v>WRITTEN DOWN VALUE</v>
          </cell>
        </row>
        <row r="618">
          <cell r="A618">
            <v>660040</v>
          </cell>
          <cell r="B618" t="str">
            <v>WDV Fixed Assets Retired</v>
          </cell>
          <cell r="C618">
            <v>0</v>
          </cell>
          <cell r="D618">
            <v>0</v>
          </cell>
          <cell r="E618">
            <v>-20116.5</v>
          </cell>
          <cell r="F618">
            <v>1274240.1000000001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737175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-20116.5</v>
          </cell>
          <cell r="AN618">
            <v>2011415.1</v>
          </cell>
        </row>
        <row r="620">
          <cell r="A620" t="str">
            <v>TOTAL</v>
          </cell>
          <cell r="B620" t="str">
            <v>WRITTEN DOWN VALUE</v>
          </cell>
          <cell r="C620">
            <v>0</v>
          </cell>
          <cell r="D620">
            <v>0</v>
          </cell>
          <cell r="E620">
            <v>-20116.5</v>
          </cell>
          <cell r="F620">
            <v>1274240.1000000001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737175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-20116.5</v>
          </cell>
          <cell r="AN620">
            <v>2011415.1</v>
          </cell>
        </row>
        <row r="622">
          <cell r="A622" t="str">
            <v>NETWORK MANAGEMENT FEE</v>
          </cell>
        </row>
        <row r="624">
          <cell r="A624">
            <v>641830</v>
          </cell>
          <cell r="B624" t="str">
            <v>Contracts EFM Mgt Fee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1703939.43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1703939.43</v>
          </cell>
        </row>
        <row r="626">
          <cell r="A626" t="str">
            <v>TOTAL</v>
          </cell>
          <cell r="B626" t="str">
            <v>NETWORK MANAGEMENT FEE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1703939.43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1703939.43</v>
          </cell>
        </row>
        <row r="628">
          <cell r="A628" t="str">
            <v>DEPRECIATION</v>
          </cell>
        </row>
        <row r="630">
          <cell r="A630">
            <v>680500</v>
          </cell>
          <cell r="B630" t="str">
            <v>Depreciation transfer</v>
          </cell>
          <cell r="C630">
            <v>0</v>
          </cell>
          <cell r="D630">
            <v>0</v>
          </cell>
          <cell r="E630">
            <v>-16223.15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52176.47</v>
          </cell>
          <cell r="L630">
            <v>0</v>
          </cell>
          <cell r="M630">
            <v>27534.19</v>
          </cell>
          <cell r="N630">
            <v>28799.98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71883.03</v>
          </cell>
          <cell r="AH630">
            <v>0</v>
          </cell>
          <cell r="AI630">
            <v>26663.17</v>
          </cell>
          <cell r="AJ630">
            <v>0</v>
          </cell>
          <cell r="AK630">
            <v>1768.76</v>
          </cell>
          <cell r="AL630">
            <v>0</v>
          </cell>
          <cell r="AM630">
            <v>163802.47</v>
          </cell>
          <cell r="AN630">
            <v>28799.98</v>
          </cell>
        </row>
        <row r="631">
          <cell r="A631">
            <v>681000</v>
          </cell>
          <cell r="B631" t="str">
            <v>Depreciation</v>
          </cell>
          <cell r="C631">
            <v>2466262</v>
          </cell>
          <cell r="D631">
            <v>3000000</v>
          </cell>
          <cell r="E631">
            <v>11325753.640000001</v>
          </cell>
          <cell r="F631">
            <v>18417630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178236.02</v>
          </cell>
          <cell r="L631">
            <v>302499.99</v>
          </cell>
          <cell r="M631">
            <v>513871.58</v>
          </cell>
          <cell r="N631">
            <v>1046942.1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5235154.59</v>
          </cell>
          <cell r="AH631">
            <v>7699342.4100000001</v>
          </cell>
          <cell r="AI631">
            <v>190735.15</v>
          </cell>
          <cell r="AJ631">
            <v>714062.46</v>
          </cell>
          <cell r="AK631">
            <v>-7265813.3399999999</v>
          </cell>
          <cell r="AL631">
            <v>1749270</v>
          </cell>
          <cell r="AM631">
            <v>12644199.640000001</v>
          </cell>
          <cell r="AN631">
            <v>32929746.960000001</v>
          </cell>
        </row>
        <row r="632">
          <cell r="A632">
            <v>681030</v>
          </cell>
          <cell r="B632" t="str">
            <v>Deferred Revenue Amortisation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</row>
        <row r="633">
          <cell r="A633">
            <v>681130</v>
          </cell>
          <cell r="B633" t="str">
            <v>Goodwill Amortisation Exp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46266.66</v>
          </cell>
          <cell r="AH633">
            <v>69371.25</v>
          </cell>
          <cell r="AI633">
            <v>2482301.56</v>
          </cell>
          <cell r="AJ633">
            <v>3727006.05</v>
          </cell>
          <cell r="AK633">
            <v>0</v>
          </cell>
          <cell r="AL633">
            <v>0</v>
          </cell>
          <cell r="AM633">
            <v>2528568.2200000002</v>
          </cell>
          <cell r="AN633">
            <v>3796377.3</v>
          </cell>
        </row>
        <row r="634">
          <cell r="A634">
            <v>681140</v>
          </cell>
          <cell r="B634" t="str">
            <v>Amortisation of hedge premium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</row>
        <row r="635">
          <cell r="A635">
            <v>681150</v>
          </cell>
          <cell r="B635" t="str">
            <v>Amortisation of WUGS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166834.18</v>
          </cell>
          <cell r="AL635">
            <v>255000</v>
          </cell>
          <cell r="AM635">
            <v>166834.18</v>
          </cell>
          <cell r="AN635">
            <v>255000</v>
          </cell>
        </row>
        <row r="637">
          <cell r="A637" t="str">
            <v>TOTAL</v>
          </cell>
          <cell r="B637" t="str">
            <v>DEPRECIATION</v>
          </cell>
          <cell r="C637">
            <v>2466262</v>
          </cell>
          <cell r="D637">
            <v>3000000</v>
          </cell>
          <cell r="E637">
            <v>11309530.49</v>
          </cell>
          <cell r="F637">
            <v>18417630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230412.49</v>
          </cell>
          <cell r="L637">
            <v>302499.99</v>
          </cell>
          <cell r="M637">
            <v>541405.77</v>
          </cell>
          <cell r="N637">
            <v>1075742.08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5353304.28</v>
          </cell>
          <cell r="AH637">
            <v>7768713.6600000001</v>
          </cell>
          <cell r="AI637">
            <v>2699699.88</v>
          </cell>
          <cell r="AJ637">
            <v>4441068.51</v>
          </cell>
          <cell r="AK637">
            <v>-7097210.4000000004</v>
          </cell>
          <cell r="AL637">
            <v>2004270</v>
          </cell>
          <cell r="AM637">
            <v>15503404.51</v>
          </cell>
          <cell r="AN637">
            <v>37009924.240000002</v>
          </cell>
        </row>
        <row r="639">
          <cell r="A639" t="str">
            <v>FINANCE CHARGES</v>
          </cell>
        </row>
        <row r="641">
          <cell r="A641">
            <v>672100</v>
          </cell>
          <cell r="B641" t="str">
            <v>Subordinated debt interest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4801710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4801710</v>
          </cell>
          <cell r="AN641">
            <v>0</v>
          </cell>
        </row>
        <row r="642">
          <cell r="A642">
            <v>672110</v>
          </cell>
          <cell r="B642" t="str">
            <v>Short Term Securities Interest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</row>
        <row r="643">
          <cell r="A643">
            <v>672120</v>
          </cell>
          <cell r="B643" t="str">
            <v>Security Deposits Interest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-148814.65</v>
          </cell>
          <cell r="AJ643">
            <v>0</v>
          </cell>
          <cell r="AK643">
            <v>0</v>
          </cell>
          <cell r="AL643">
            <v>0</v>
          </cell>
          <cell r="AM643">
            <v>-148814.65</v>
          </cell>
          <cell r="AN643">
            <v>0</v>
          </cell>
        </row>
        <row r="644">
          <cell r="A644">
            <v>672165</v>
          </cell>
          <cell r="B644" t="str">
            <v>Margin S/T Money Market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</row>
        <row r="645">
          <cell r="A645">
            <v>672170</v>
          </cell>
          <cell r="B645" t="str">
            <v>Int on STMM Borrowings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</row>
        <row r="646">
          <cell r="A646">
            <v>672175</v>
          </cell>
          <cell r="B646" t="str">
            <v>Bank Overdraft Interest</v>
          </cell>
          <cell r="C646">
            <v>3.16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3.16</v>
          </cell>
          <cell r="AN646">
            <v>0</v>
          </cell>
        </row>
        <row r="647">
          <cell r="A647">
            <v>672180</v>
          </cell>
          <cell r="B647" t="str">
            <v>CommitFees STMM Borrowings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-171.23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-171.23</v>
          </cell>
          <cell r="AN647">
            <v>0</v>
          </cell>
        </row>
        <row r="648">
          <cell r="A648">
            <v>672185</v>
          </cell>
          <cell r="B648" t="str">
            <v>Interest on UC Cash Borrowing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</row>
        <row r="649">
          <cell r="A649">
            <v>672190</v>
          </cell>
          <cell r="B649" t="str">
            <v>Domestic Swap Interest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</row>
        <row r="650">
          <cell r="A650">
            <v>672200</v>
          </cell>
          <cell r="B650" t="str">
            <v>Senior debt loan interest</v>
          </cell>
          <cell r="C650">
            <v>0</v>
          </cell>
          <cell r="D650">
            <v>0</v>
          </cell>
          <cell r="E650">
            <v>2988195.9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29048113.640000001</v>
          </cell>
          <cell r="AD650">
            <v>49900000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32036309.539999999</v>
          </cell>
          <cell r="AN650">
            <v>49900000</v>
          </cell>
        </row>
        <row r="651">
          <cell r="A651">
            <v>672210</v>
          </cell>
          <cell r="B651" t="str">
            <v>Facility Margin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</row>
        <row r="652">
          <cell r="A652">
            <v>672220</v>
          </cell>
          <cell r="B652" t="str">
            <v>Commitment Fees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</row>
        <row r="653">
          <cell r="A653">
            <v>672230</v>
          </cell>
          <cell r="B653" t="str">
            <v>Interest on US 144A Placement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</row>
        <row r="654">
          <cell r="A654">
            <v>672240</v>
          </cell>
          <cell r="B654" t="str">
            <v>Margin on US 144A Placement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</row>
        <row r="655">
          <cell r="A655">
            <v>672250</v>
          </cell>
          <cell r="B655" t="str">
            <v>Discount on Commercial Paper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</row>
        <row r="656">
          <cell r="A656">
            <v>672252</v>
          </cell>
          <cell r="B656" t="str">
            <v>Discount on C P - Kinetik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</row>
        <row r="657">
          <cell r="A657">
            <v>672260</v>
          </cell>
          <cell r="B657" t="str">
            <v>Finance Charge Fees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317223.83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317223.83</v>
          </cell>
          <cell r="AN657">
            <v>0</v>
          </cell>
        </row>
        <row r="658">
          <cell r="A658">
            <v>672262</v>
          </cell>
          <cell r="B658" t="str">
            <v>CP Dealer Fees - Kinetik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</row>
        <row r="659">
          <cell r="A659">
            <v>672270</v>
          </cell>
          <cell r="B659" t="str">
            <v>CP Support Line Fees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</row>
        <row r="660">
          <cell r="A660">
            <v>672272</v>
          </cell>
          <cell r="B660" t="str">
            <v>CP Support Line Fees - Kinetik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</row>
        <row r="661">
          <cell r="A661">
            <v>672280</v>
          </cell>
          <cell r="B661" t="str">
            <v>Placement Line Interrest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</row>
        <row r="662">
          <cell r="A662">
            <v>672290</v>
          </cell>
          <cell r="B662" t="str">
            <v>Placement Line Margin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</row>
        <row r="663">
          <cell r="A663">
            <v>672300</v>
          </cell>
          <cell r="B663" t="str">
            <v>Loan Flotation Amortisation</v>
          </cell>
          <cell r="C663">
            <v>0</v>
          </cell>
          <cell r="D663">
            <v>0</v>
          </cell>
          <cell r="E663">
            <v>96653.89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193333.34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1684669.58</v>
          </cell>
          <cell r="AD663">
            <v>3000000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1974656.81</v>
          </cell>
          <cell r="AN663">
            <v>3000000</v>
          </cell>
        </row>
        <row r="664">
          <cell r="A664">
            <v>672305</v>
          </cell>
          <cell r="B664" t="str">
            <v>Interest on Ecogen Financing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</row>
        <row r="665">
          <cell r="A665">
            <v>672310</v>
          </cell>
          <cell r="B665" t="str">
            <v>Margin on Ecogen Financing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</row>
        <row r="666">
          <cell r="A666">
            <v>672312</v>
          </cell>
          <cell r="B666" t="str">
            <v>Commitment Fees-Ecogen Finance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</row>
        <row r="667">
          <cell r="A667">
            <v>672320</v>
          </cell>
          <cell r="B667" t="str">
            <v>Debt Financing Costs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-796489.46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-796489.46</v>
          </cell>
          <cell r="AN667">
            <v>0</v>
          </cell>
        </row>
        <row r="668">
          <cell r="A668">
            <v>672360</v>
          </cell>
          <cell r="B668" t="str">
            <v>Interest on Subord Loan - K/W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7500000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7500000</v>
          </cell>
        </row>
        <row r="669">
          <cell r="A669">
            <v>672365</v>
          </cell>
          <cell r="B669" t="str">
            <v>Margin on Subord Loan - K/W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</row>
        <row r="670">
          <cell r="A670">
            <v>672400</v>
          </cell>
          <cell r="B670" t="str">
            <v>Interco interest to subs</v>
          </cell>
          <cell r="C670">
            <v>1804845.76</v>
          </cell>
          <cell r="D670">
            <v>0</v>
          </cell>
          <cell r="E670">
            <v>34005006.270000003</v>
          </cell>
          <cell r="F670">
            <v>0</v>
          </cell>
          <cell r="G670">
            <v>-173879.74</v>
          </cell>
          <cell r="H670">
            <v>0</v>
          </cell>
          <cell r="I670">
            <v>-5191.33</v>
          </cell>
          <cell r="J670">
            <v>0</v>
          </cell>
          <cell r="K670">
            <v>8158.99</v>
          </cell>
          <cell r="L670">
            <v>0</v>
          </cell>
          <cell r="M670">
            <v>9339.08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76308339.079999998</v>
          </cell>
          <cell r="V670">
            <v>0</v>
          </cell>
          <cell r="W670">
            <v>35181449.270000003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26509236.010000002</v>
          </cell>
          <cell r="AH670">
            <v>0</v>
          </cell>
          <cell r="AI670">
            <v>4792870.2300000004</v>
          </cell>
          <cell r="AJ670">
            <v>0</v>
          </cell>
          <cell r="AK670">
            <v>8332046.5899999999</v>
          </cell>
          <cell r="AL670">
            <v>0</v>
          </cell>
          <cell r="AM670">
            <v>186772220.21000001</v>
          </cell>
          <cell r="AN670">
            <v>0</v>
          </cell>
        </row>
        <row r="671">
          <cell r="A671">
            <v>672550</v>
          </cell>
          <cell r="B671" t="str">
            <v>Amortis G/L on Fwd Rate Agree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</row>
        <row r="672">
          <cell r="A672">
            <v>673000</v>
          </cell>
          <cell r="B672" t="str">
            <v>NPV interest expense(non-cash)</v>
          </cell>
          <cell r="C672">
            <v>107940</v>
          </cell>
          <cell r="D672">
            <v>180000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1138000</v>
          </cell>
          <cell r="AL672">
            <v>1401000</v>
          </cell>
          <cell r="AM672">
            <v>1245940</v>
          </cell>
          <cell r="AN672">
            <v>1581000</v>
          </cell>
        </row>
        <row r="673">
          <cell r="A673">
            <v>679999</v>
          </cell>
          <cell r="B673" t="str">
            <v>Fin Charges Transfer to BSheet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</row>
        <row r="675">
          <cell r="A675" t="str">
            <v>TOTAL</v>
          </cell>
          <cell r="B675" t="str">
            <v>FINANCE CHARGES</v>
          </cell>
          <cell r="C675">
            <v>1912788.92</v>
          </cell>
          <cell r="D675">
            <v>180000</v>
          </cell>
          <cell r="E675">
            <v>37089856.060000002</v>
          </cell>
          <cell r="F675">
            <v>0</v>
          </cell>
          <cell r="G675">
            <v>-173879.74</v>
          </cell>
          <cell r="H675">
            <v>0</v>
          </cell>
          <cell r="I675">
            <v>-5191.33</v>
          </cell>
          <cell r="J675">
            <v>0</v>
          </cell>
          <cell r="K675">
            <v>8158.99</v>
          </cell>
          <cell r="L675">
            <v>0</v>
          </cell>
          <cell r="M675">
            <v>9339.08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76308339.079999998</v>
          </cell>
          <cell r="V675">
            <v>0</v>
          </cell>
          <cell r="W675">
            <v>35374782.609999999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35055056.359999999</v>
          </cell>
          <cell r="AD675">
            <v>60400000</v>
          </cell>
          <cell r="AE675">
            <v>0</v>
          </cell>
          <cell r="AF675">
            <v>0</v>
          </cell>
          <cell r="AG675">
            <v>26509236.010000002</v>
          </cell>
          <cell r="AH675">
            <v>0</v>
          </cell>
          <cell r="AI675">
            <v>4644055.58</v>
          </cell>
          <cell r="AJ675">
            <v>0</v>
          </cell>
          <cell r="AK675">
            <v>9470046.5899999999</v>
          </cell>
          <cell r="AL675">
            <v>1401000</v>
          </cell>
          <cell r="AM675">
            <v>226202588.21000001</v>
          </cell>
          <cell r="AN675">
            <v>61981000</v>
          </cell>
        </row>
        <row r="677">
          <cell r="A677" t="str">
            <v>ABNORMAL ITEMS</v>
          </cell>
        </row>
        <row r="679">
          <cell r="A679">
            <v>661000</v>
          </cell>
          <cell r="B679" t="str">
            <v>Abnormal Items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-16398000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39972.93</v>
          </cell>
          <cell r="AJ679">
            <v>0</v>
          </cell>
          <cell r="AK679">
            <v>0</v>
          </cell>
          <cell r="AL679">
            <v>0</v>
          </cell>
          <cell r="AM679">
            <v>39972.93</v>
          </cell>
          <cell r="AN679">
            <v>-16398000</v>
          </cell>
        </row>
        <row r="681">
          <cell r="A681" t="str">
            <v>TOTAL</v>
          </cell>
          <cell r="B681" t="str">
            <v>ABNORMAL ITEMS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-16398000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39972.93</v>
          </cell>
          <cell r="AJ681">
            <v>0</v>
          </cell>
          <cell r="AK681">
            <v>0</v>
          </cell>
          <cell r="AL681">
            <v>0</v>
          </cell>
          <cell r="AM681">
            <v>39972.93</v>
          </cell>
          <cell r="AN681">
            <v>-16398000</v>
          </cell>
        </row>
        <row r="683">
          <cell r="A683" t="str">
            <v>INCOME TAX EXPENSE</v>
          </cell>
        </row>
        <row r="685">
          <cell r="A685">
            <v>697000</v>
          </cell>
          <cell r="B685" t="str">
            <v>Income Tax Expense</v>
          </cell>
          <cell r="C685">
            <v>418196</v>
          </cell>
          <cell r="D685">
            <v>0</v>
          </cell>
          <cell r="E685">
            <v>5397491</v>
          </cell>
          <cell r="F685">
            <v>0</v>
          </cell>
          <cell r="G685">
            <v>189602</v>
          </cell>
          <cell r="H685">
            <v>0</v>
          </cell>
          <cell r="I685">
            <v>993</v>
          </cell>
          <cell r="J685">
            <v>0</v>
          </cell>
          <cell r="K685">
            <v>24309</v>
          </cell>
          <cell r="L685">
            <v>0</v>
          </cell>
          <cell r="M685">
            <v>-1158332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10801104</v>
          </cell>
          <cell r="AB685">
            <v>0</v>
          </cell>
          <cell r="AC685">
            <v>-10797208.84</v>
          </cell>
          <cell r="AD685">
            <v>-3826000</v>
          </cell>
          <cell r="AE685">
            <v>0</v>
          </cell>
          <cell r="AF685">
            <v>0</v>
          </cell>
          <cell r="AG685">
            <v>-8106858.5700000003</v>
          </cell>
          <cell r="AH685">
            <v>0</v>
          </cell>
          <cell r="AI685">
            <v>684781</v>
          </cell>
          <cell r="AJ685">
            <v>0</v>
          </cell>
          <cell r="AK685">
            <v>2060045</v>
          </cell>
          <cell r="AL685">
            <v>0</v>
          </cell>
          <cell r="AM685">
            <v>-485878.41</v>
          </cell>
          <cell r="AN685">
            <v>-3826000</v>
          </cell>
        </row>
        <row r="687">
          <cell r="A687" t="str">
            <v>TOTAL</v>
          </cell>
          <cell r="B687" t="str">
            <v>INCOME TAX EXPENSE</v>
          </cell>
          <cell r="C687">
            <v>418196</v>
          </cell>
          <cell r="D687">
            <v>0</v>
          </cell>
          <cell r="E687">
            <v>5397491</v>
          </cell>
          <cell r="F687">
            <v>0</v>
          </cell>
          <cell r="G687">
            <v>189602</v>
          </cell>
          <cell r="H687">
            <v>0</v>
          </cell>
          <cell r="I687">
            <v>993</v>
          </cell>
          <cell r="J687">
            <v>0</v>
          </cell>
          <cell r="K687">
            <v>24309</v>
          </cell>
          <cell r="L687">
            <v>0</v>
          </cell>
          <cell r="M687">
            <v>-1158332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10801104</v>
          </cell>
          <cell r="AB687">
            <v>0</v>
          </cell>
          <cell r="AC687">
            <v>-10797208.84</v>
          </cell>
          <cell r="AD687">
            <v>-3826000</v>
          </cell>
          <cell r="AE687">
            <v>0</v>
          </cell>
          <cell r="AF687">
            <v>0</v>
          </cell>
          <cell r="AG687">
            <v>-8106858.5700000003</v>
          </cell>
          <cell r="AH687">
            <v>0</v>
          </cell>
          <cell r="AI687">
            <v>684781</v>
          </cell>
          <cell r="AJ687">
            <v>0</v>
          </cell>
          <cell r="AK687">
            <v>2060045</v>
          </cell>
          <cell r="AL687">
            <v>0</v>
          </cell>
          <cell r="AM687">
            <v>-485878.41</v>
          </cell>
          <cell r="AN687">
            <v>-3826000</v>
          </cell>
        </row>
        <row r="690">
          <cell r="A690" t="str">
            <v>TOTAL</v>
          </cell>
          <cell r="B690" t="str">
            <v>Consolidated Profit and Loss</v>
          </cell>
          <cell r="C690">
            <v>502407.85</v>
          </cell>
          <cell r="D690">
            <v>-1174013</v>
          </cell>
          <cell r="E690">
            <v>-24316572.32</v>
          </cell>
          <cell r="F690">
            <v>-40939734.719999999</v>
          </cell>
          <cell r="G690">
            <v>-2516879.7799999998</v>
          </cell>
          <cell r="H690">
            <v>0</v>
          </cell>
          <cell r="I690">
            <v>-3952.76</v>
          </cell>
          <cell r="J690">
            <v>0</v>
          </cell>
          <cell r="K690">
            <v>-209096.89</v>
          </cell>
          <cell r="L690">
            <v>-911577.92</v>
          </cell>
          <cell r="M690">
            <v>-80687.59</v>
          </cell>
          <cell r="N690">
            <v>8287759.5300000003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650063.35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-24380345.27</v>
          </cell>
          <cell r="AB690">
            <v>0</v>
          </cell>
          <cell r="AC690">
            <v>24360398.489999998</v>
          </cell>
          <cell r="AD690">
            <v>40176000</v>
          </cell>
          <cell r="AE690">
            <v>0</v>
          </cell>
          <cell r="AF690">
            <v>0</v>
          </cell>
          <cell r="AG690">
            <v>28621601.289999999</v>
          </cell>
          <cell r="AH690">
            <v>13497611.050000001</v>
          </cell>
          <cell r="AI690">
            <v>-27959119.93</v>
          </cell>
          <cell r="AJ690">
            <v>-12460866.199999999</v>
          </cell>
          <cell r="AK690">
            <v>27842481.829999998</v>
          </cell>
          <cell r="AL690">
            <v>-21452205.329999998</v>
          </cell>
          <cell r="AM690">
            <v>2510298.27</v>
          </cell>
          <cell r="AN690">
            <v>-14977026.59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ME Changes 240298"/>
      <sheetName val="Opening Balance Balance Sheet"/>
      <sheetName val="Balance Sheet Inputs"/>
      <sheetName val="PL Data 9899"/>
      <sheetName val="Balance Sheet Calcs"/>
      <sheetName val="Tax Effect Accounting"/>
      <sheetName val="Total Profit &amp; Loss"/>
      <sheetName val="Balance Sheet"/>
      <sheetName val="Cash Flow Statement"/>
      <sheetName val="Balance Sheet Pivot"/>
      <sheetName val="BalSheetBudget"/>
    </sheetNames>
    <sheetDataSet>
      <sheetData sheetId="0" refreshError="1"/>
      <sheetData sheetId="1" refreshError="1"/>
      <sheetData sheetId="2" refreshError="1"/>
      <sheetData sheetId="3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DV</v>
          </cell>
          <cell r="C10">
            <v>17306.882915874467</v>
          </cell>
          <cell r="D10">
            <v>15697.306910669729</v>
          </cell>
          <cell r="E10">
            <v>12955.676215027352</v>
          </cell>
          <cell r="F10">
            <v>9146.7201059617291</v>
          </cell>
          <cell r="G10">
            <v>6854.0810477656432</v>
          </cell>
          <cell r="H10">
            <v>5905.0175658866574</v>
          </cell>
          <cell r="I10">
            <v>5613.0683586920677</v>
          </cell>
          <cell r="J10">
            <v>5176.297392371368</v>
          </cell>
          <cell r="K10">
            <v>6034.9512584324575</v>
          </cell>
          <cell r="L10">
            <v>7711.0311742609701</v>
          </cell>
          <cell r="M10">
            <v>11210.393255929597</v>
          </cell>
          <cell r="N10">
            <v>14502.147085176919</v>
          </cell>
          <cell r="O10">
            <v>118113.65128604897</v>
          </cell>
        </row>
        <row r="11">
          <cell r="C11">
            <v>17306.882915874467</v>
          </cell>
          <cell r="D11">
            <v>15697.306910669729</v>
          </cell>
          <cell r="E11">
            <v>12955.676215027352</v>
          </cell>
          <cell r="F11">
            <v>9146.7201059617291</v>
          </cell>
          <cell r="G11">
            <v>6854.0810477656432</v>
          </cell>
          <cell r="H11">
            <v>5905.0175658866574</v>
          </cell>
          <cell r="I11">
            <v>5613.0683586920677</v>
          </cell>
          <cell r="J11">
            <v>5176.297392371368</v>
          </cell>
          <cell r="K11">
            <v>6034.9512584324575</v>
          </cell>
          <cell r="L11">
            <v>7711.0311742609701</v>
          </cell>
          <cell r="M11">
            <v>11210.393255929597</v>
          </cell>
          <cell r="N11">
            <v>14502.147085176919</v>
          </cell>
          <cell r="O11">
            <v>118113.57328604895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C19">
            <v>17306.882915874467</v>
          </cell>
          <cell r="D19">
            <v>15697.306910669729</v>
          </cell>
          <cell r="E19">
            <v>12955.676215027352</v>
          </cell>
          <cell r="F19">
            <v>9146.7201059617291</v>
          </cell>
          <cell r="G19">
            <v>6854.0810477656432</v>
          </cell>
          <cell r="H19">
            <v>5905.0175658866574</v>
          </cell>
          <cell r="I19">
            <v>5613.0683586920677</v>
          </cell>
          <cell r="J19">
            <v>5176.297392371368</v>
          </cell>
          <cell r="K19">
            <v>6034.9512584324575</v>
          </cell>
          <cell r="L19">
            <v>7711.0311742609701</v>
          </cell>
          <cell r="M19">
            <v>11210.393255929597</v>
          </cell>
          <cell r="N19">
            <v>14502.147085176919</v>
          </cell>
          <cell r="O19">
            <v>118113.57328604895</v>
          </cell>
        </row>
        <row r="20"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OTNR</v>
          </cell>
          <cell r="C23">
            <v>309.89009999999996</v>
          </cell>
          <cell r="D23">
            <v>310.09613999999999</v>
          </cell>
          <cell r="E23">
            <v>308.15825000000001</v>
          </cell>
          <cell r="F23">
            <v>310.19531999999998</v>
          </cell>
          <cell r="G23">
            <v>315.64648999999997</v>
          </cell>
          <cell r="H23">
            <v>315.18844999999999</v>
          </cell>
          <cell r="I23">
            <v>388.82234999999997</v>
          </cell>
          <cell r="J23">
            <v>390.79077000000001</v>
          </cell>
          <cell r="K23">
            <v>403.35428999999999</v>
          </cell>
          <cell r="L23">
            <v>401.62844000000001</v>
          </cell>
          <cell r="M23">
            <v>403.35428999999999</v>
          </cell>
          <cell r="N23">
            <v>401.23784999999998</v>
          </cell>
          <cell r="O23">
            <v>4258.3627400000005</v>
          </cell>
        </row>
        <row r="24">
          <cell r="B24" t="str">
            <v>CSR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17617.773015874467</v>
          </cell>
          <cell r="D25">
            <v>16008.403050669729</v>
          </cell>
          <cell r="E25">
            <v>13264.834465027352</v>
          </cell>
          <cell r="F25">
            <v>9457.9154259617299</v>
          </cell>
          <cell r="G25">
            <v>7170.7275377656433</v>
          </cell>
          <cell r="H25">
            <v>6221.206015886657</v>
          </cell>
          <cell r="I25">
            <v>6002.8907086920681</v>
          </cell>
          <cell r="J25">
            <v>5568.0881623713676</v>
          </cell>
          <cell r="K25">
            <v>6439.3055484324577</v>
          </cell>
          <cell r="L25">
            <v>8113.6596142609706</v>
          </cell>
          <cell r="M25">
            <v>11614.747545929597</v>
          </cell>
          <cell r="N25">
            <v>14904.384935176919</v>
          </cell>
          <cell r="O25">
            <v>122383.93602604895</v>
          </cell>
        </row>
        <row r="27">
          <cell r="B27" t="str">
            <v>LAB</v>
          </cell>
          <cell r="C27">
            <v>970.45677000000001</v>
          </cell>
          <cell r="D27">
            <v>851.54760999999996</v>
          </cell>
          <cell r="E27">
            <v>819.03440999999998</v>
          </cell>
          <cell r="F27">
            <v>936.43362999999999</v>
          </cell>
          <cell r="G27">
            <v>869.18160999999998</v>
          </cell>
          <cell r="H27">
            <v>850.97357999999997</v>
          </cell>
          <cell r="I27">
            <v>676.30583000000001</v>
          </cell>
          <cell r="J27">
            <v>837.30160999999998</v>
          </cell>
          <cell r="K27">
            <v>905.82988</v>
          </cell>
          <cell r="L27">
            <v>811.98666000000003</v>
          </cell>
          <cell r="M27">
            <v>882.29888000000005</v>
          </cell>
          <cell r="N27">
            <v>933.33001999999999</v>
          </cell>
          <cell r="O27">
            <v>10344.680489999999</v>
          </cell>
        </row>
        <row r="28">
          <cell r="B28" t="str">
            <v>MAT</v>
          </cell>
          <cell r="C28">
            <v>23.477</v>
          </cell>
          <cell r="D28">
            <v>22.611000000000001</v>
          </cell>
          <cell r="E28">
            <v>32.590000000000003</v>
          </cell>
          <cell r="F28">
            <v>24.971</v>
          </cell>
          <cell r="G28">
            <v>30.254999999999999</v>
          </cell>
          <cell r="H28">
            <v>23.62</v>
          </cell>
          <cell r="I28">
            <v>17.2</v>
          </cell>
          <cell r="J28">
            <v>27.422000000000001</v>
          </cell>
          <cell r="K28">
            <v>28.489000000000001</v>
          </cell>
          <cell r="L28">
            <v>26.774999999999999</v>
          </cell>
          <cell r="M28">
            <v>27.533999999999999</v>
          </cell>
          <cell r="N28">
            <v>47.107999999999997</v>
          </cell>
          <cell r="O28">
            <v>332.05199999999996</v>
          </cell>
        </row>
        <row r="29">
          <cell r="B29" t="str">
            <v>OUTSER</v>
          </cell>
          <cell r="C29">
            <v>338.255</v>
          </cell>
          <cell r="D29">
            <v>371.10599999999999</v>
          </cell>
          <cell r="E29">
            <v>503.47899999999998</v>
          </cell>
          <cell r="F29">
            <v>422.75599999999997</v>
          </cell>
          <cell r="G29">
            <v>424.65699999999998</v>
          </cell>
          <cell r="H29">
            <v>483.26100000000002</v>
          </cell>
          <cell r="I29">
            <v>492.04899999999998</v>
          </cell>
          <cell r="J29">
            <v>657.82899999999995</v>
          </cell>
          <cell r="K29">
            <v>608.84</v>
          </cell>
          <cell r="L29">
            <v>514.50699999999995</v>
          </cell>
          <cell r="M29">
            <v>583.28700000000003</v>
          </cell>
          <cell r="N29">
            <v>1047.145</v>
          </cell>
          <cell r="O29">
            <v>6447.1710000000003</v>
          </cell>
        </row>
        <row r="30">
          <cell r="B30" t="str">
            <v>AP</v>
          </cell>
          <cell r="C30">
            <v>951.10659999999996</v>
          </cell>
          <cell r="D30">
            <v>963.60294999999996</v>
          </cell>
          <cell r="E30">
            <v>919.66568999999993</v>
          </cell>
          <cell r="F30">
            <v>905.64039000000002</v>
          </cell>
          <cell r="G30">
            <v>855.02121</v>
          </cell>
          <cell r="H30">
            <v>858.30325000000005</v>
          </cell>
          <cell r="I30">
            <v>861.33504000000005</v>
          </cell>
          <cell r="J30">
            <v>875.95230000000004</v>
          </cell>
          <cell r="K30">
            <v>883.17027000000007</v>
          </cell>
          <cell r="L30">
            <v>866.98473000000001</v>
          </cell>
          <cell r="M30">
            <v>874.39756000000011</v>
          </cell>
          <cell r="N30">
            <v>1142.1042600000001</v>
          </cell>
          <cell r="O30">
            <v>10957.284249999999</v>
          </cell>
        </row>
        <row r="31">
          <cell r="B31" t="str">
            <v>COMP</v>
          </cell>
          <cell r="C31">
            <v>49.734999999999999</v>
          </cell>
          <cell r="D31">
            <v>59.756999999999998</v>
          </cell>
          <cell r="E31">
            <v>158.78399999999999</v>
          </cell>
          <cell r="F31">
            <v>53.756999999999998</v>
          </cell>
          <cell r="G31">
            <v>53.433999999999997</v>
          </cell>
          <cell r="H31">
            <v>54.106999999999999</v>
          </cell>
          <cell r="I31">
            <v>63.433999999999997</v>
          </cell>
          <cell r="J31">
            <v>74.007000000000005</v>
          </cell>
          <cell r="K31">
            <v>103.35299999999999</v>
          </cell>
          <cell r="L31">
            <v>53.256999999999998</v>
          </cell>
          <cell r="M31">
            <v>52.933999999999997</v>
          </cell>
          <cell r="N31">
            <v>72.242000000000004</v>
          </cell>
          <cell r="O31">
            <v>848.8009999999997</v>
          </cell>
        </row>
        <row r="32">
          <cell r="B32" t="str">
            <v>DEP</v>
          </cell>
          <cell r="C32">
            <v>1497.1379999999999</v>
          </cell>
          <cell r="D32">
            <v>1506.492</v>
          </cell>
          <cell r="E32">
            <v>1521.46</v>
          </cell>
          <cell r="F32">
            <v>1542.0530000000001</v>
          </cell>
          <cell r="G32">
            <v>1547.6679999999999</v>
          </cell>
          <cell r="H32">
            <v>1555.1489999999999</v>
          </cell>
          <cell r="I32">
            <v>1568.252</v>
          </cell>
          <cell r="J32">
            <v>1575.739</v>
          </cell>
          <cell r="K32">
            <v>1581.354</v>
          </cell>
          <cell r="L32">
            <v>1600.066</v>
          </cell>
          <cell r="M32">
            <v>1605.6769999999999</v>
          </cell>
          <cell r="N32">
            <v>1613.165</v>
          </cell>
          <cell r="O32">
            <v>18714.213</v>
          </cell>
        </row>
        <row r="33">
          <cell r="B33" t="str">
            <v>OTHC</v>
          </cell>
          <cell r="C33">
            <v>317.37607000000003</v>
          </cell>
          <cell r="D33">
            <v>320.55847999999997</v>
          </cell>
          <cell r="E33">
            <v>367.91687000000002</v>
          </cell>
          <cell r="F33">
            <v>326.98081000000002</v>
          </cell>
          <cell r="G33">
            <v>311.99546999999995</v>
          </cell>
          <cell r="H33">
            <v>514.6078</v>
          </cell>
          <cell r="I33">
            <v>280.20204999999999</v>
          </cell>
          <cell r="J33">
            <v>299.16793000000001</v>
          </cell>
          <cell r="K33">
            <v>383.38995</v>
          </cell>
          <cell r="L33">
            <v>316.12604999999996</v>
          </cell>
          <cell r="M33">
            <v>317.66179999999997</v>
          </cell>
          <cell r="N33">
            <v>713.67345999999998</v>
          </cell>
          <cell r="O33">
            <v>4469.6567399999994</v>
          </cell>
        </row>
        <row r="34">
          <cell r="B34" t="str">
            <v>CSE</v>
          </cell>
          <cell r="C34">
            <v>900.96</v>
          </cell>
          <cell r="D34">
            <v>900.96</v>
          </cell>
          <cell r="E34">
            <v>900.96</v>
          </cell>
          <cell r="F34">
            <v>900.96</v>
          </cell>
          <cell r="G34">
            <v>900.96</v>
          </cell>
          <cell r="H34">
            <v>900.96</v>
          </cell>
          <cell r="I34">
            <v>900.96</v>
          </cell>
          <cell r="J34">
            <v>900.96</v>
          </cell>
          <cell r="K34">
            <v>900.96</v>
          </cell>
          <cell r="L34">
            <v>900.96</v>
          </cell>
          <cell r="M34">
            <v>900.96</v>
          </cell>
          <cell r="N34">
            <v>900.96</v>
          </cell>
          <cell r="O34">
            <v>10811.52</v>
          </cell>
        </row>
        <row r="35">
          <cell r="C35">
            <v>5048.5044399999997</v>
          </cell>
          <cell r="D35">
            <v>4996.6350399999992</v>
          </cell>
          <cell r="E35">
            <v>5223.8899700000002</v>
          </cell>
          <cell r="F35">
            <v>5113.5518300000003</v>
          </cell>
          <cell r="G35">
            <v>4993.1722899999995</v>
          </cell>
          <cell r="H35">
            <v>5240.9816300000002</v>
          </cell>
          <cell r="I35">
            <v>4859.7379199999996</v>
          </cell>
          <cell r="J35">
            <v>5248.3788400000003</v>
          </cell>
          <cell r="K35">
            <v>5395.3860999999997</v>
          </cell>
          <cell r="L35">
            <v>5090.6624400000001</v>
          </cell>
          <cell r="M35">
            <v>5244.7502400000003</v>
          </cell>
          <cell r="N35">
            <v>6469.7277400000003</v>
          </cell>
          <cell r="O35">
            <v>62925.378479999985</v>
          </cell>
        </row>
        <row r="37">
          <cell r="B37" t="str">
            <v>COV</v>
          </cell>
          <cell r="C37">
            <v>-449.34753999999998</v>
          </cell>
          <cell r="D37">
            <v>-504.71967999999998</v>
          </cell>
          <cell r="E37">
            <v>-650.98873000000003</v>
          </cell>
          <cell r="F37">
            <v>-638.53619000000003</v>
          </cell>
          <cell r="G37">
            <v>-608.40576999999996</v>
          </cell>
          <cell r="H37">
            <v>-505.84091000000001</v>
          </cell>
          <cell r="I37">
            <v>-424.85091</v>
          </cell>
          <cell r="J37">
            <v>-637.36555999999996</v>
          </cell>
          <cell r="K37">
            <v>-685.78976999999998</v>
          </cell>
          <cell r="L37">
            <v>-572.61879999999996</v>
          </cell>
          <cell r="M37">
            <v>-658.23477000000003</v>
          </cell>
          <cell r="N37">
            <v>-911.13004000000001</v>
          </cell>
          <cell r="O37">
            <v>-7247.8286699999999</v>
          </cell>
        </row>
        <row r="40">
          <cell r="B40" t="str">
            <v>ABN</v>
          </cell>
          <cell r="C40">
            <v>-17.417650000000002</v>
          </cell>
          <cell r="D40">
            <v>-89.36760000000001</v>
          </cell>
          <cell r="E40">
            <v>-17.195529999999998</v>
          </cell>
          <cell r="F40">
            <v>-80.92725999999999</v>
          </cell>
          <cell r="G40">
            <v>-1.39307</v>
          </cell>
          <cell r="H40">
            <v>-1.1731099999999999</v>
          </cell>
          <cell r="I40">
            <v>-1.1040999999999999</v>
          </cell>
          <cell r="J40">
            <v>-1.3564100000000001</v>
          </cell>
          <cell r="K40">
            <v>-1.46207</v>
          </cell>
          <cell r="L40">
            <v>-1.3175899999999998</v>
          </cell>
          <cell r="M40">
            <v>-1.4254100000000001</v>
          </cell>
          <cell r="N40">
            <v>193.56899999999999</v>
          </cell>
          <cell r="O40">
            <v>-20.57080000000002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DATES"/>
      <sheetName val="A"/>
      <sheetName val="Reference"/>
      <sheetName val="Lists"/>
      <sheetName val="Balsheet"/>
      <sheetName val="Lookups and Dates"/>
      <sheetName val="List"/>
      <sheetName val="Master Data"/>
      <sheetName val="Rates"/>
      <sheetName val="OPEX"/>
      <sheetName val="Lookups"/>
      <sheetName val="2. Labour"/>
      <sheetName val="(X) Data"/>
      <sheetName val="GL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Six Years (2)"/>
      <sheetName val="Past Six Years"/>
      <sheetName val="Lead times"/>
      <sheetName val="CD List1 - Sorted on Compl"/>
      <sheetName val="CD List1 - Sorted by Type"/>
      <sheetName val="Projected Eng &amp; Net Resources"/>
      <sheetName val="PC Overview"/>
      <sheetName val="Property Scope"/>
      <sheetName val="Complexes - Summary"/>
      <sheetName val="Order of Preference - P'Complex"/>
      <sheetName val="Planning Dates #1"/>
      <sheetName val="Corrected Dates #2"/>
      <sheetName val="PDR Issue Dates"/>
      <sheetName val="Short List rev00 "/>
    </sheetNames>
    <sheetDataSet>
      <sheetData sheetId="0"/>
      <sheetData sheetId="1"/>
      <sheetData sheetId="2" refreshError="1">
        <row r="7">
          <cell r="A7">
            <v>1</v>
          </cell>
          <cell r="B7" t="str">
            <v>EHV TL -EIS</v>
          </cell>
          <cell r="C7">
            <v>60</v>
          </cell>
          <cell r="D7">
            <v>0.2</v>
          </cell>
        </row>
        <row r="8">
          <cell r="A8">
            <v>2</v>
          </cell>
          <cell r="B8" t="str">
            <v>EHV TL -REF</v>
          </cell>
          <cell r="C8">
            <v>36</v>
          </cell>
          <cell r="D8">
            <v>0.17499999999999999</v>
          </cell>
        </row>
        <row r="9">
          <cell r="A9">
            <v>3</v>
          </cell>
          <cell r="B9" t="str">
            <v>TL -EIS</v>
          </cell>
          <cell r="C9">
            <v>48</v>
          </cell>
          <cell r="D9">
            <v>0.2</v>
          </cell>
        </row>
        <row r="10">
          <cell r="A10">
            <v>4</v>
          </cell>
          <cell r="B10" t="str">
            <v>TL -REF</v>
          </cell>
          <cell r="C10">
            <v>24</v>
          </cell>
          <cell r="D10">
            <v>0.17499999999999999</v>
          </cell>
        </row>
        <row r="11">
          <cell r="A11">
            <v>5</v>
          </cell>
          <cell r="B11" t="str">
            <v>500/330kV Greenfield</v>
          </cell>
          <cell r="C11">
            <v>40</v>
          </cell>
          <cell r="D11">
            <v>0.2</v>
          </cell>
        </row>
        <row r="12">
          <cell r="A12">
            <v>6</v>
          </cell>
          <cell r="B12" t="str">
            <v>330/132kV Greenfield</v>
          </cell>
          <cell r="C12">
            <v>36</v>
          </cell>
          <cell r="D12">
            <v>0.2</v>
          </cell>
        </row>
        <row r="13">
          <cell r="A13">
            <v>7</v>
          </cell>
          <cell r="B13" t="str">
            <v>132kV Greenfield</v>
          </cell>
          <cell r="C13">
            <v>30</v>
          </cell>
          <cell r="D13">
            <v>0.2</v>
          </cell>
        </row>
        <row r="14">
          <cell r="A14">
            <v>8</v>
          </cell>
          <cell r="B14" t="str">
            <v>500/330kV Aug</v>
          </cell>
          <cell r="C14">
            <v>28</v>
          </cell>
          <cell r="D14">
            <v>0.3</v>
          </cell>
        </row>
        <row r="15">
          <cell r="A15">
            <v>9</v>
          </cell>
          <cell r="B15" t="str">
            <v>330/132kV Aug</v>
          </cell>
          <cell r="C15">
            <v>24</v>
          </cell>
          <cell r="D15">
            <v>0.3</v>
          </cell>
        </row>
        <row r="16">
          <cell r="A16">
            <v>10</v>
          </cell>
          <cell r="B16" t="str">
            <v>132kV Aug</v>
          </cell>
          <cell r="C16">
            <v>24</v>
          </cell>
          <cell r="D16">
            <v>0.3</v>
          </cell>
        </row>
        <row r="17">
          <cell r="A17">
            <v>11</v>
          </cell>
          <cell r="B17" t="str">
            <v>Transformer Replace</v>
          </cell>
          <cell r="C17">
            <v>18</v>
          </cell>
          <cell r="D17">
            <v>0.3</v>
          </cell>
        </row>
        <row r="18">
          <cell r="A18">
            <v>12</v>
          </cell>
          <cell r="B18" t="str">
            <v>Capacitor Replace</v>
          </cell>
          <cell r="C18">
            <v>14</v>
          </cell>
          <cell r="D18">
            <v>0.6</v>
          </cell>
        </row>
        <row r="19">
          <cell r="A19">
            <v>13</v>
          </cell>
          <cell r="B19" t="str">
            <v>Shunt Reactor Replace</v>
          </cell>
          <cell r="C19">
            <v>18</v>
          </cell>
          <cell r="D19">
            <v>0.3</v>
          </cell>
        </row>
        <row r="20">
          <cell r="A20">
            <v>14</v>
          </cell>
          <cell r="B20" t="str">
            <v>SS Property Acquistion</v>
          </cell>
          <cell r="C20">
            <v>18</v>
          </cell>
        </row>
        <row r="21">
          <cell r="A21">
            <v>15</v>
          </cell>
          <cell r="B21" t="str">
            <v>TL Property Acquistion</v>
          </cell>
          <cell r="C21">
            <v>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Option 1 Meet Planning Dates"/>
      <sheetName val="Option 2 No Major Projects"/>
      <sheetName val="Option 3 Selected Major Project"/>
      <sheetName val="Option 3 Selected Major-sorted"/>
      <sheetName val="Option 3 Eng &amp; Net Costs"/>
      <sheetName val="Option 3 Eng &amp; Net Costs (2)"/>
      <sheetName val="Sheet1"/>
      <sheetName val="Simplified Summary"/>
      <sheetName val="Lead ti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">
          <cell r="A5" t="str">
            <v>No</v>
          </cell>
          <cell r="B5" t="str">
            <v>Type</v>
          </cell>
          <cell r="C5" t="str">
            <v xml:space="preserve">Lead Time </v>
          </cell>
          <cell r="D5" t="str">
            <v xml:space="preserve">Eng &amp; </v>
          </cell>
        </row>
        <row r="6">
          <cell r="C6" t="str">
            <v>Months</v>
          </cell>
          <cell r="D6" t="str">
            <v>Network</v>
          </cell>
        </row>
        <row r="7">
          <cell r="A7">
            <v>1</v>
          </cell>
          <cell r="B7" t="str">
            <v>EHV TL -EIS</v>
          </cell>
          <cell r="C7">
            <v>60</v>
          </cell>
          <cell r="D7">
            <v>0.2</v>
          </cell>
        </row>
        <row r="8">
          <cell r="A8">
            <v>2</v>
          </cell>
          <cell r="B8" t="str">
            <v>EHV TL -REF</v>
          </cell>
          <cell r="C8">
            <v>36</v>
          </cell>
          <cell r="D8">
            <v>0.17499999999999999</v>
          </cell>
        </row>
        <row r="9">
          <cell r="A9">
            <v>3</v>
          </cell>
          <cell r="B9" t="str">
            <v>TL -EIS</v>
          </cell>
          <cell r="C9">
            <v>48</v>
          </cell>
          <cell r="D9">
            <v>0.2</v>
          </cell>
        </row>
        <row r="10">
          <cell r="A10">
            <v>4</v>
          </cell>
          <cell r="B10" t="str">
            <v>TL -REF</v>
          </cell>
          <cell r="C10">
            <v>24</v>
          </cell>
          <cell r="D10">
            <v>0.17499999999999999</v>
          </cell>
        </row>
        <row r="11">
          <cell r="A11">
            <v>5</v>
          </cell>
          <cell r="B11" t="str">
            <v>500/330kV Greenfield</v>
          </cell>
          <cell r="C11">
            <v>40</v>
          </cell>
          <cell r="D11">
            <v>0.2</v>
          </cell>
        </row>
        <row r="12">
          <cell r="A12">
            <v>6</v>
          </cell>
          <cell r="B12" t="str">
            <v>330/132kV Greenfield</v>
          </cell>
          <cell r="C12">
            <v>36</v>
          </cell>
          <cell r="D12">
            <v>0.2</v>
          </cell>
        </row>
        <row r="13">
          <cell r="A13">
            <v>7</v>
          </cell>
          <cell r="B13" t="str">
            <v>132kV Greenfield</v>
          </cell>
          <cell r="C13">
            <v>30</v>
          </cell>
          <cell r="D13">
            <v>0.2</v>
          </cell>
        </row>
        <row r="14">
          <cell r="A14">
            <v>8</v>
          </cell>
          <cell r="B14" t="str">
            <v>500/330kV Aug</v>
          </cell>
          <cell r="C14">
            <v>28</v>
          </cell>
          <cell r="D14">
            <v>0.3</v>
          </cell>
        </row>
        <row r="15">
          <cell r="A15">
            <v>9</v>
          </cell>
          <cell r="B15" t="str">
            <v>330/132kV Aug</v>
          </cell>
          <cell r="C15">
            <v>24</v>
          </cell>
          <cell r="D15">
            <v>0.3</v>
          </cell>
        </row>
        <row r="16">
          <cell r="A16">
            <v>10</v>
          </cell>
          <cell r="B16" t="str">
            <v>132kV Aug</v>
          </cell>
          <cell r="C16">
            <v>24</v>
          </cell>
          <cell r="D16">
            <v>0.3</v>
          </cell>
        </row>
        <row r="17">
          <cell r="A17">
            <v>11</v>
          </cell>
          <cell r="B17" t="str">
            <v>Transformer Replace</v>
          </cell>
          <cell r="C17">
            <v>18</v>
          </cell>
          <cell r="D17">
            <v>0.3</v>
          </cell>
        </row>
        <row r="18">
          <cell r="A18">
            <v>12</v>
          </cell>
          <cell r="B18" t="str">
            <v>Capacitor Replace</v>
          </cell>
          <cell r="C18">
            <v>14</v>
          </cell>
          <cell r="D18">
            <v>0.6</v>
          </cell>
        </row>
        <row r="19">
          <cell r="A19">
            <v>13</v>
          </cell>
          <cell r="B19" t="str">
            <v>Shunt Reactor Replace</v>
          </cell>
          <cell r="C19">
            <v>18</v>
          </cell>
          <cell r="D19">
            <v>0.3</v>
          </cell>
        </row>
        <row r="20">
          <cell r="A20">
            <v>14</v>
          </cell>
          <cell r="B20" t="str">
            <v>SS Property Acquistion</v>
          </cell>
          <cell r="C20">
            <v>18</v>
          </cell>
        </row>
        <row r="21">
          <cell r="A21">
            <v>15</v>
          </cell>
          <cell r="B21" t="str">
            <v>TL Property Acquistion</v>
          </cell>
          <cell r="C21">
            <v>18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NFORMATION"/>
      <sheetName val="Segment Note Page"/>
      <sheetName val="CompIncomeVsSegment"/>
      <sheetName val="Segment note(withworkings)"/>
      <sheetName val="March 08_P&amp;L"/>
      <sheetName val="Revenue Recon"/>
      <sheetName val="Mar08 Exps Recon"/>
      <sheetName val="TRANS Mar 08 P&amp;L"/>
      <sheetName val="Output GAS"/>
      <sheetName val="Output 143"/>
      <sheetName val="Output Elect"/>
      <sheetName val="Output 152"/>
      <sheetName val="Output Distribution"/>
      <sheetName val="153 Accounts"/>
      <sheetName val="Output 153"/>
      <sheetName val="Output 203"/>
      <sheetName val="PROJECT PIVOT"/>
      <sheetName val="Project Revenue_Costs"/>
      <sheetName val="PROJ Codes"/>
      <sheetName val="MAR 08 BS by Entity"/>
      <sheetName val="SP AusNet Capex Mar"/>
      <sheetName val="Linh's reco"/>
    </sheetNames>
    <sheetDataSet>
      <sheetData sheetId="0"/>
      <sheetData sheetId="1"/>
      <sheetData sheetId="2"/>
      <sheetData sheetId="3"/>
      <sheetData sheetId="4"/>
      <sheetData sheetId="5">
        <row r="111">
          <cell r="C111" t="str">
            <v>T REG</v>
          </cell>
        </row>
        <row r="112">
          <cell r="C112" t="str">
            <v>T REG IC</v>
          </cell>
        </row>
        <row r="113">
          <cell r="C113" t="str">
            <v>E REG</v>
          </cell>
        </row>
        <row r="114">
          <cell r="C114" t="str">
            <v>E REG IC</v>
          </cell>
        </row>
        <row r="115">
          <cell r="C115" t="str">
            <v>G REG</v>
          </cell>
        </row>
        <row r="116">
          <cell r="C116" t="str">
            <v>G REG IC</v>
          </cell>
        </row>
        <row r="117">
          <cell r="C117" t="str">
            <v>T EXCL</v>
          </cell>
        </row>
        <row r="118">
          <cell r="C118" t="str">
            <v>T EXCL IC</v>
          </cell>
        </row>
        <row r="119">
          <cell r="C119" t="str">
            <v>E EXCL</v>
          </cell>
        </row>
        <row r="120">
          <cell r="C120" t="str">
            <v>E EXCL IC</v>
          </cell>
        </row>
        <row r="121">
          <cell r="C121" t="str">
            <v>G EXCL</v>
          </cell>
        </row>
        <row r="122">
          <cell r="C122" t="str">
            <v>G EXCL IC</v>
          </cell>
        </row>
        <row r="123">
          <cell r="C123" t="str">
            <v>CC</v>
          </cell>
        </row>
        <row r="124">
          <cell r="C124" t="str">
            <v>OTHER</v>
          </cell>
        </row>
        <row r="125">
          <cell r="C125" t="str">
            <v>OTHER IC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ource Data"/>
      <sheetName val="Network Capex ACCC Submission"/>
      <sheetName val="Printout Source Data"/>
      <sheetName val="Printout Project Type"/>
      <sheetName val="Lead times"/>
      <sheetName val="Summary Network Costs"/>
      <sheetName val="Conso Proj Des Final"/>
      <sheetName val="All Details"/>
    </sheetNames>
    <sheetDataSet>
      <sheetData sheetId="0" refreshError="1"/>
      <sheetData sheetId="1" refreshError="1">
        <row r="58">
          <cell r="A58">
            <v>1</v>
          </cell>
          <cell r="B58" t="str">
            <v>Newcastle and Lower North Coast Supply - Committed</v>
          </cell>
          <cell r="C58">
            <v>1</v>
          </cell>
          <cell r="E58">
            <v>39</v>
          </cell>
          <cell r="H58">
            <v>11</v>
          </cell>
          <cell r="I58" t="str">
            <v>Transformer Replace</v>
          </cell>
          <cell r="N58" t="str">
            <v>Committed</v>
          </cell>
          <cell r="O58" t="str">
            <v>Establishment of Waratah West 330/132kV Sub - Contract</v>
          </cell>
          <cell r="P58" t="str">
            <v>330SS</v>
          </cell>
          <cell r="Q58" t="str">
            <v>Northern</v>
          </cell>
          <cell r="R58">
            <v>18.57</v>
          </cell>
          <cell r="S58">
            <v>4.0199999999999996</v>
          </cell>
        </row>
        <row r="59">
          <cell r="A59">
            <v>2</v>
          </cell>
          <cell r="B59" t="str">
            <v>Sydney West SVC</v>
          </cell>
          <cell r="C59">
            <v>1</v>
          </cell>
          <cell r="E59">
            <v>55</v>
          </cell>
          <cell r="H59">
            <v>11</v>
          </cell>
          <cell r="I59" t="str">
            <v>Transformer Replace</v>
          </cell>
          <cell r="N59" t="str">
            <v>Committed</v>
          </cell>
          <cell r="O59" t="str">
            <v>Sydney West SVC - Contract</v>
          </cell>
          <cell r="P59" t="str">
            <v>SVC</v>
          </cell>
          <cell r="Q59" t="str">
            <v>Central</v>
          </cell>
          <cell r="R59">
            <v>26.9</v>
          </cell>
          <cell r="S59">
            <v>3.6</v>
          </cell>
          <cell r="T59">
            <v>2.9000000000000001E-2</v>
          </cell>
        </row>
        <row r="60">
          <cell r="A60">
            <v>3</v>
          </cell>
          <cell r="B60" t="str">
            <v>Tuggerah Sterland Line Upgrade</v>
          </cell>
          <cell r="C60">
            <v>1</v>
          </cell>
          <cell r="E60">
            <v>63</v>
          </cell>
          <cell r="H60">
            <v>11</v>
          </cell>
          <cell r="I60" t="str">
            <v>Transformer Replace</v>
          </cell>
          <cell r="N60" t="str">
            <v>Committed</v>
          </cell>
          <cell r="O60" t="str">
            <v>Tuggerah Streland Upgrade</v>
          </cell>
          <cell r="P60" t="str">
            <v>TL REF</v>
          </cell>
          <cell r="Q60" t="str">
            <v>Northern</v>
          </cell>
          <cell r="R60">
            <v>14.23</v>
          </cell>
          <cell r="S60">
            <v>1.64</v>
          </cell>
        </row>
        <row r="61">
          <cell r="A61">
            <v>4</v>
          </cell>
          <cell r="B61" t="str">
            <v>Yass 330 kV Substation Equipment Replacement</v>
          </cell>
          <cell r="C61">
            <v>1</v>
          </cell>
          <cell r="E61">
            <v>68</v>
          </cell>
          <cell r="H61">
            <v>11</v>
          </cell>
          <cell r="I61" t="str">
            <v>Transformer Replace</v>
          </cell>
          <cell r="N61" t="str">
            <v>Committed</v>
          </cell>
          <cell r="O61" t="str">
            <v>Yass 330kV Substation Refurbishment - Contract</v>
          </cell>
          <cell r="P61" t="str">
            <v>330SS</v>
          </cell>
          <cell r="Q61" t="str">
            <v>Southern</v>
          </cell>
          <cell r="R61">
            <v>38.67</v>
          </cell>
          <cell r="S61">
            <v>13.9</v>
          </cell>
        </row>
        <row r="62">
          <cell r="A62">
            <v>5</v>
          </cell>
          <cell r="B62" t="str">
            <v>Substation Projects - Miscellaneous</v>
          </cell>
          <cell r="C62">
            <v>1</v>
          </cell>
          <cell r="E62">
            <v>68</v>
          </cell>
          <cell r="H62">
            <v>11</v>
          </cell>
          <cell r="I62" t="str">
            <v>Transformer Replace</v>
          </cell>
          <cell r="N62" t="str">
            <v>Committed</v>
          </cell>
          <cell r="O62" t="str">
            <v>Substation Projects - Miscellaneous</v>
          </cell>
          <cell r="P62" t="str">
            <v>330SS</v>
          </cell>
          <cell r="Q62" t="str">
            <v>Various</v>
          </cell>
          <cell r="R62">
            <v>34.700000000000003</v>
          </cell>
          <cell r="S62">
            <v>1.49</v>
          </cell>
        </row>
        <row r="63">
          <cell r="A63">
            <v>6</v>
          </cell>
          <cell r="B63" t="str">
            <v>SNOVIC Upgrades</v>
          </cell>
          <cell r="C63">
            <v>1</v>
          </cell>
          <cell r="E63">
            <v>39</v>
          </cell>
          <cell r="H63">
            <v>11</v>
          </cell>
          <cell r="I63" t="str">
            <v>Transformer Replace</v>
          </cell>
          <cell r="N63" t="str">
            <v>Committed</v>
          </cell>
          <cell r="O63" t="str">
            <v>SNOVIC Upgrade</v>
          </cell>
          <cell r="P63" t="str">
            <v>330SS</v>
          </cell>
          <cell r="Q63" t="str">
            <v>Northern</v>
          </cell>
          <cell r="R63">
            <v>2.58</v>
          </cell>
          <cell r="S63">
            <v>1.55E-2</v>
          </cell>
        </row>
        <row r="64">
          <cell r="A64">
            <v>7</v>
          </cell>
          <cell r="B64" t="str">
            <v>Koolkhan 132/66kV Substation - Upgrade</v>
          </cell>
          <cell r="C64">
            <v>1</v>
          </cell>
          <cell r="E64">
            <v>39</v>
          </cell>
          <cell r="H64">
            <v>11</v>
          </cell>
          <cell r="I64" t="str">
            <v>Transformer Replace</v>
          </cell>
          <cell r="N64" t="str">
            <v>Committed</v>
          </cell>
          <cell r="O64" t="str">
            <v>Koolkhan 132/66kV Substation - Upgrade</v>
          </cell>
          <cell r="P64" t="str">
            <v>330SS</v>
          </cell>
          <cell r="Q64" t="str">
            <v>Northern</v>
          </cell>
          <cell r="R64">
            <v>4.4980000000000002</v>
          </cell>
          <cell r="S64">
            <v>0.50600000000000001</v>
          </cell>
        </row>
        <row r="65">
          <cell r="A65">
            <v>8</v>
          </cell>
          <cell r="B65" t="str">
            <v>Communications Upgrades</v>
          </cell>
          <cell r="C65">
            <v>1</v>
          </cell>
          <cell r="E65">
            <v>39</v>
          </cell>
          <cell r="H65">
            <v>11</v>
          </cell>
          <cell r="I65" t="str">
            <v>Transformer Replace</v>
          </cell>
          <cell r="N65" t="str">
            <v>Committed</v>
          </cell>
          <cell r="O65" t="str">
            <v>Communications Upgrades</v>
          </cell>
          <cell r="P65" t="str">
            <v>Tech Serv</v>
          </cell>
          <cell r="Q65" t="str">
            <v>Various</v>
          </cell>
          <cell r="R65">
            <v>25.5</v>
          </cell>
          <cell r="S65">
            <v>5.4</v>
          </cell>
          <cell r="T65">
            <v>6.5</v>
          </cell>
          <cell r="U65">
            <v>6</v>
          </cell>
          <cell r="V65">
            <v>3.5</v>
          </cell>
        </row>
        <row r="66">
          <cell r="A66">
            <v>9</v>
          </cell>
        </row>
        <row r="67">
          <cell r="A67">
            <v>10</v>
          </cell>
        </row>
        <row r="68">
          <cell r="A68">
            <v>11</v>
          </cell>
        </row>
        <row r="69">
          <cell r="A69">
            <v>12</v>
          </cell>
          <cell r="B69" t="str">
            <v>Wollar - Wellington 330 kV Line &amp; Wollar 330 kV Sw Stn</v>
          </cell>
          <cell r="C69">
            <v>1</v>
          </cell>
          <cell r="E69">
            <v>64</v>
          </cell>
          <cell r="H69">
            <v>11</v>
          </cell>
          <cell r="I69" t="str">
            <v>Transformer Replace</v>
          </cell>
          <cell r="N69" t="str">
            <v>Committed</v>
          </cell>
          <cell r="O69" t="str">
            <v>Wollar to Wellington Substation Works</v>
          </cell>
          <cell r="P69" t="str">
            <v>330SS</v>
          </cell>
          <cell r="Q69" t="str">
            <v>Central</v>
          </cell>
          <cell r="R69">
            <v>24.870000000000005</v>
          </cell>
          <cell r="S69">
            <v>1.7689999999999999</v>
          </cell>
          <cell r="T69">
            <v>5.2240000000000002</v>
          </cell>
          <cell r="U69">
            <v>17.256</v>
          </cell>
        </row>
        <row r="70">
          <cell r="A70">
            <v>13</v>
          </cell>
          <cell r="B70" t="str">
            <v>Wollar - Wellington 330 kV Line &amp; Wollar 330 kV Sw Stn</v>
          </cell>
          <cell r="C70">
            <v>1</v>
          </cell>
          <cell r="E70">
            <v>65</v>
          </cell>
          <cell r="H70">
            <v>11</v>
          </cell>
          <cell r="I70" t="str">
            <v>Transformer Replace</v>
          </cell>
          <cell r="N70" t="str">
            <v>Committed</v>
          </cell>
          <cell r="O70" t="str">
            <v>Wollar to Wellington 330kV TL - Contract</v>
          </cell>
          <cell r="P70" t="str">
            <v>TL EIS</v>
          </cell>
          <cell r="Q70" t="str">
            <v>Central</v>
          </cell>
          <cell r="R70">
            <v>49.3</v>
          </cell>
          <cell r="S70">
            <v>1.1200000000000001</v>
          </cell>
          <cell r="T70">
            <v>14.2</v>
          </cell>
          <cell r="U70">
            <v>30.8</v>
          </cell>
          <cell r="V70">
            <v>2.1</v>
          </cell>
        </row>
        <row r="71">
          <cell r="A71">
            <v>14</v>
          </cell>
          <cell r="B71" t="str">
            <v>Armidale, Mrln, Vales, Vinyd,Well'ton,&amp; Yass 330 kV Txs</v>
          </cell>
          <cell r="C71">
            <v>1</v>
          </cell>
          <cell r="E71">
            <v>3</v>
          </cell>
          <cell r="H71">
            <v>11</v>
          </cell>
          <cell r="I71" t="str">
            <v>Transformer Replace</v>
          </cell>
          <cell r="N71" t="str">
            <v>Committed</v>
          </cell>
          <cell r="O71" t="str">
            <v>Vineyard 330kV SS- Replacement of No.2 Tx - Contract</v>
          </cell>
          <cell r="P71" t="str">
            <v>330TX</v>
          </cell>
          <cell r="Q71" t="str">
            <v>Central</v>
          </cell>
          <cell r="R71">
            <v>3.8450000000000002</v>
          </cell>
          <cell r="S71">
            <v>2.1000000000000001E-2</v>
          </cell>
        </row>
        <row r="72">
          <cell r="A72">
            <v>15</v>
          </cell>
          <cell r="B72" t="str">
            <v>Liverpool Third 330/132 kV Transformer</v>
          </cell>
          <cell r="C72">
            <v>1</v>
          </cell>
          <cell r="E72">
            <v>28</v>
          </cell>
          <cell r="H72">
            <v>11</v>
          </cell>
          <cell r="I72" t="str">
            <v>Transformer Replace</v>
          </cell>
          <cell r="N72" t="str">
            <v>Committed</v>
          </cell>
          <cell r="O72" t="str">
            <v>Liverpool Third Transformer - Contract</v>
          </cell>
          <cell r="P72" t="str">
            <v>330SS</v>
          </cell>
          <cell r="Q72" t="str">
            <v>Central</v>
          </cell>
          <cell r="R72">
            <v>8.89</v>
          </cell>
          <cell r="S72">
            <v>8.4</v>
          </cell>
        </row>
        <row r="73">
          <cell r="A73">
            <v>16</v>
          </cell>
          <cell r="B73" t="str">
            <v>Coffs Harbour: 330/132 kV Substation</v>
          </cell>
          <cell r="C73">
            <v>1</v>
          </cell>
          <cell r="E73">
            <v>9</v>
          </cell>
          <cell r="H73">
            <v>11</v>
          </cell>
          <cell r="I73" t="str">
            <v>Transformer Replace</v>
          </cell>
          <cell r="N73" t="str">
            <v>Committed</v>
          </cell>
          <cell r="O73" t="str">
            <v>Coffs Harbour 330/132kV Substation - Contract</v>
          </cell>
          <cell r="P73" t="str">
            <v>330SS</v>
          </cell>
          <cell r="Q73" t="str">
            <v>Northern</v>
          </cell>
          <cell r="R73">
            <v>16.2</v>
          </cell>
          <cell r="S73">
            <v>3.8</v>
          </cell>
          <cell r="T73">
            <v>12.2</v>
          </cell>
        </row>
        <row r="74">
          <cell r="A74">
            <v>17</v>
          </cell>
          <cell r="B74" t="str">
            <v>Coffs Harbour: 330/132 kV Substation</v>
          </cell>
          <cell r="C74">
            <v>1</v>
          </cell>
          <cell r="E74">
            <v>9</v>
          </cell>
          <cell r="H74">
            <v>11</v>
          </cell>
          <cell r="I74" t="str">
            <v>Transformer Replace</v>
          </cell>
          <cell r="N74" t="str">
            <v>Committed</v>
          </cell>
          <cell r="O74" t="str">
            <v>Coffs Harbour TL Rearrangement - Contract</v>
          </cell>
          <cell r="P74" t="str">
            <v>TL REF</v>
          </cell>
          <cell r="Q74" t="str">
            <v>Northern</v>
          </cell>
          <cell r="R74">
            <v>3.3</v>
          </cell>
          <cell r="S74">
            <v>0.88</v>
          </cell>
          <cell r="T74">
            <v>2.2999999999999998</v>
          </cell>
        </row>
        <row r="75">
          <cell r="A75">
            <v>18</v>
          </cell>
        </row>
        <row r="76">
          <cell r="A76">
            <v>19</v>
          </cell>
        </row>
        <row r="77">
          <cell r="A77" t="str">
            <v>Condition Based Transformer Replacements</v>
          </cell>
        </row>
        <row r="78">
          <cell r="A78">
            <v>20</v>
          </cell>
          <cell r="B78" t="str">
            <v>Armidale 132/66 kV Transformer Replacement</v>
          </cell>
          <cell r="C78">
            <v>1</v>
          </cell>
          <cell r="D78">
            <v>38749</v>
          </cell>
          <cell r="E78">
            <v>2</v>
          </cell>
          <cell r="F78">
            <v>3</v>
          </cell>
          <cell r="G78">
            <v>38209</v>
          </cell>
          <cell r="H78">
            <v>11</v>
          </cell>
          <cell r="I78" t="str">
            <v>Transformer Replace</v>
          </cell>
          <cell r="J78">
            <v>18</v>
          </cell>
          <cell r="L78" t="str">
            <v>5.3.2</v>
          </cell>
          <cell r="M78" t="str">
            <v>Likely</v>
          </cell>
          <cell r="N78" t="str">
            <v>Planning</v>
          </cell>
          <cell r="O78" t="str">
            <v>Armidale 2*132/66kV Tx Replacement</v>
          </cell>
          <cell r="P78" t="str">
            <v>132TX</v>
          </cell>
          <cell r="Q78" t="str">
            <v>Northern</v>
          </cell>
          <cell r="R78">
            <v>7.5</v>
          </cell>
          <cell r="S78">
            <v>2.3396739130434794</v>
          </cell>
          <cell r="T78">
            <v>5.1603260869565206</v>
          </cell>
        </row>
        <row r="79">
          <cell r="A79">
            <v>21</v>
          </cell>
          <cell r="B79" t="str">
            <v>Armidale, Mrln, Vales, Vinyd,Well'ton,&amp; Yass 330 kV Txs</v>
          </cell>
          <cell r="C79">
            <v>1</v>
          </cell>
          <cell r="D79">
            <v>38749</v>
          </cell>
          <cell r="E79">
            <v>3</v>
          </cell>
          <cell r="F79">
            <v>3</v>
          </cell>
          <cell r="G79">
            <v>38209</v>
          </cell>
          <cell r="H79">
            <v>11</v>
          </cell>
          <cell r="I79" t="str">
            <v>Transformer Replace</v>
          </cell>
          <cell r="J79">
            <v>18</v>
          </cell>
          <cell r="L79" t="str">
            <v>6.3.1</v>
          </cell>
          <cell r="M79" t="str">
            <v>Likely</v>
          </cell>
          <cell r="N79" t="str">
            <v>Planning</v>
          </cell>
          <cell r="O79" t="str">
            <v>Wellington Tx Replacement 2x375MVA tx - contract</v>
          </cell>
          <cell r="P79" t="str">
            <v>330TX</v>
          </cell>
          <cell r="Q79" t="str">
            <v>Central</v>
          </cell>
          <cell r="R79">
            <v>6</v>
          </cell>
          <cell r="S79">
            <v>1.8717391304347832</v>
          </cell>
          <cell r="T79">
            <v>4.1282608695652172</v>
          </cell>
        </row>
        <row r="80">
          <cell r="A80">
            <v>22</v>
          </cell>
          <cell r="B80" t="str">
            <v>Armidale, Mrln, Vales, Vinyd,Well'ton,&amp; Yass 330 kV Txs</v>
          </cell>
          <cell r="C80">
            <v>1</v>
          </cell>
          <cell r="D80">
            <v>39234</v>
          </cell>
          <cell r="E80">
            <v>3</v>
          </cell>
          <cell r="F80">
            <v>3</v>
          </cell>
          <cell r="G80">
            <v>38694</v>
          </cell>
          <cell r="H80">
            <v>11</v>
          </cell>
          <cell r="I80" t="str">
            <v>Transformer Replace</v>
          </cell>
          <cell r="J80">
            <v>18</v>
          </cell>
          <cell r="L80" t="str">
            <v>6.3.1</v>
          </cell>
          <cell r="M80" t="str">
            <v>Likely</v>
          </cell>
          <cell r="N80" t="str">
            <v>Planning</v>
          </cell>
          <cell r="O80" t="str">
            <v>Vales Point Txs Replacement - Contract</v>
          </cell>
          <cell r="P80" t="str">
            <v>330TX</v>
          </cell>
          <cell r="Q80" t="str">
            <v>Northern</v>
          </cell>
          <cell r="R80">
            <v>4</v>
          </cell>
          <cell r="T80">
            <v>0.32</v>
          </cell>
          <cell r="U80">
            <v>3.68</v>
          </cell>
        </row>
        <row r="81">
          <cell r="A81">
            <v>23</v>
          </cell>
          <cell r="B81" t="str">
            <v>Armidale, Mrln, Vales, Vinyd,Well'ton,&amp; Yass 330 kV Txs</v>
          </cell>
          <cell r="C81">
            <v>1</v>
          </cell>
          <cell r="D81">
            <v>39234</v>
          </cell>
          <cell r="E81">
            <v>3</v>
          </cell>
          <cell r="F81">
            <v>3</v>
          </cell>
          <cell r="G81">
            <v>38694</v>
          </cell>
          <cell r="H81">
            <v>11</v>
          </cell>
          <cell r="I81" t="str">
            <v>Transformer Replace</v>
          </cell>
          <cell r="J81">
            <v>18</v>
          </cell>
          <cell r="L81" t="str">
            <v>6.3.1</v>
          </cell>
          <cell r="M81" t="str">
            <v>Likely</v>
          </cell>
          <cell r="N81" t="str">
            <v>Planning</v>
          </cell>
          <cell r="O81" t="str">
            <v>Armidale 2* 330/132kV 375 MVAr Tx replacement - contract</v>
          </cell>
          <cell r="P81" t="str">
            <v>330TX</v>
          </cell>
          <cell r="Q81" t="str">
            <v>Northern</v>
          </cell>
          <cell r="R81">
            <v>12</v>
          </cell>
          <cell r="T81">
            <v>0.96</v>
          </cell>
          <cell r="U81">
            <v>11.04</v>
          </cell>
        </row>
        <row r="82">
          <cell r="A82">
            <v>24</v>
          </cell>
          <cell r="B82" t="str">
            <v>Port Macquarie 132/33 kV Transformer Replacement</v>
          </cell>
          <cell r="C82">
            <v>1</v>
          </cell>
          <cell r="D82">
            <v>38991</v>
          </cell>
          <cell r="E82">
            <v>44</v>
          </cell>
          <cell r="F82">
            <v>3</v>
          </cell>
          <cell r="G82">
            <v>38271</v>
          </cell>
          <cell r="H82">
            <v>10</v>
          </cell>
          <cell r="I82" t="str">
            <v>132kV Aug</v>
          </cell>
          <cell r="J82">
            <v>24</v>
          </cell>
          <cell r="L82" t="str">
            <v>5.3.3</v>
          </cell>
          <cell r="M82" t="str">
            <v>Likely</v>
          </cell>
          <cell r="N82" t="str">
            <v>Proposed</v>
          </cell>
          <cell r="O82" t="str">
            <v>Port Macquarie Tx Replacement - Contract</v>
          </cell>
          <cell r="P82" t="str">
            <v>132TX</v>
          </cell>
          <cell r="Q82" t="str">
            <v>Northern</v>
          </cell>
          <cell r="R82">
            <v>5.666666666666667</v>
          </cell>
          <cell r="S82">
            <v>0.42499999999999999</v>
          </cell>
          <cell r="T82">
            <v>4.6749999999999998</v>
          </cell>
          <cell r="U82">
            <v>0.56666666666666665</v>
          </cell>
        </row>
        <row r="83">
          <cell r="A83">
            <v>25</v>
          </cell>
          <cell r="B83" t="str">
            <v>Supply to South &amp; Inner Metro Sydney</v>
          </cell>
          <cell r="C83">
            <v>1</v>
          </cell>
          <cell r="D83">
            <v>39234</v>
          </cell>
          <cell r="E83">
            <v>52</v>
          </cell>
          <cell r="F83">
            <v>3</v>
          </cell>
          <cell r="G83">
            <v>38694</v>
          </cell>
          <cell r="H83">
            <v>13</v>
          </cell>
          <cell r="I83" t="str">
            <v>Shunt Reactor Replace</v>
          </cell>
          <cell r="J83">
            <v>18</v>
          </cell>
          <cell r="L83" t="str">
            <v>6.5.13</v>
          </cell>
          <cell r="M83" t="str">
            <v>Poss</v>
          </cell>
          <cell r="N83" t="str">
            <v>PT</v>
          </cell>
          <cell r="O83" t="str">
            <v>Sydney South 41 Cable Series Reactor Replacement - Contract</v>
          </cell>
          <cell r="P83" t="str">
            <v>330TX</v>
          </cell>
          <cell r="Q83" t="str">
            <v>Central</v>
          </cell>
          <cell r="R83">
            <v>5</v>
          </cell>
          <cell r="T83">
            <v>0.4</v>
          </cell>
          <cell r="U83">
            <v>4.5999999999999996</v>
          </cell>
        </row>
        <row r="84">
          <cell r="A84">
            <v>26</v>
          </cell>
          <cell r="B84" t="str">
            <v>Supply to South &amp; Inner Metro Sydney</v>
          </cell>
          <cell r="C84">
            <v>1</v>
          </cell>
          <cell r="D84">
            <v>39234</v>
          </cell>
          <cell r="E84">
            <v>52</v>
          </cell>
          <cell r="F84">
            <v>3</v>
          </cell>
          <cell r="G84">
            <v>38694</v>
          </cell>
          <cell r="H84">
            <v>13</v>
          </cell>
          <cell r="I84" t="str">
            <v>Shunt Reactor Replace</v>
          </cell>
          <cell r="J84">
            <v>18</v>
          </cell>
          <cell r="L84" t="str">
            <v>6.5.13</v>
          </cell>
          <cell r="M84" t="str">
            <v>Poss</v>
          </cell>
          <cell r="N84" t="str">
            <v>PT</v>
          </cell>
          <cell r="O84" t="str">
            <v>Sydney South 41 Cable Shunt Reactor Replacement - Contract</v>
          </cell>
          <cell r="P84" t="str">
            <v>Asset Replace</v>
          </cell>
          <cell r="Q84" t="str">
            <v>Central</v>
          </cell>
          <cell r="R84">
            <v>5</v>
          </cell>
          <cell r="T84">
            <v>0.4</v>
          </cell>
          <cell r="U84">
            <v>4.5999999999999996</v>
          </cell>
        </row>
        <row r="85">
          <cell r="A85">
            <v>27</v>
          </cell>
          <cell r="B85" t="str">
            <v>Sydney West Transformer Replacement</v>
          </cell>
          <cell r="C85">
            <v>1</v>
          </cell>
          <cell r="D85">
            <v>39965</v>
          </cell>
          <cell r="E85">
            <v>56</v>
          </cell>
          <cell r="F85">
            <v>3</v>
          </cell>
          <cell r="G85">
            <v>38405</v>
          </cell>
          <cell r="H85">
            <v>11</v>
          </cell>
          <cell r="I85" t="str">
            <v>Transformer Replace</v>
          </cell>
          <cell r="J85">
            <v>52</v>
          </cell>
          <cell r="L85" t="str">
            <v>6.5.16</v>
          </cell>
          <cell r="M85" t="str">
            <v>Poss</v>
          </cell>
          <cell r="N85" t="str">
            <v>Proposed</v>
          </cell>
          <cell r="O85" t="str">
            <v>Sydney West Single Phase Tx Replacement - Contract</v>
          </cell>
          <cell r="P85" t="str">
            <v>330TX</v>
          </cell>
          <cell r="Q85" t="str">
            <v>Central</v>
          </cell>
          <cell r="R85">
            <v>24</v>
          </cell>
          <cell r="S85">
            <v>0.19780219780219782</v>
          </cell>
          <cell r="T85">
            <v>1.3714285714285719</v>
          </cell>
          <cell r="U85">
            <v>2.2039651070578907</v>
          </cell>
          <cell r="V85">
            <v>15.674174993883511</v>
          </cell>
          <cell r="W85">
            <v>4.5526291298278272</v>
          </cell>
        </row>
        <row r="86">
          <cell r="A86">
            <v>28</v>
          </cell>
          <cell r="B86" t="str">
            <v>Tamworth Reactors</v>
          </cell>
          <cell r="C86">
            <v>1</v>
          </cell>
          <cell r="D86">
            <v>39539</v>
          </cell>
          <cell r="E86">
            <v>58</v>
          </cell>
          <cell r="F86">
            <v>3</v>
          </cell>
          <cell r="G86">
            <v>38999</v>
          </cell>
          <cell r="H86">
            <v>13</v>
          </cell>
          <cell r="I86" t="str">
            <v>Shunt Reactor Replace</v>
          </cell>
          <cell r="J86">
            <v>18</v>
          </cell>
          <cell r="L86" t="str">
            <v>6.3.9</v>
          </cell>
          <cell r="M86" t="str">
            <v>Likely</v>
          </cell>
          <cell r="N86" t="str">
            <v>Future</v>
          </cell>
          <cell r="O86" t="str">
            <v>Tamworth Reactor Replacement Stage 2 - Contract</v>
          </cell>
          <cell r="P86" t="str">
            <v>330CAP</v>
          </cell>
          <cell r="Q86" t="str">
            <v>Northern</v>
          </cell>
          <cell r="R86">
            <v>6</v>
          </cell>
          <cell r="U86">
            <v>0.6</v>
          </cell>
          <cell r="V86">
            <v>5.4</v>
          </cell>
        </row>
        <row r="87">
          <cell r="A87">
            <v>29</v>
          </cell>
          <cell r="B87" t="str">
            <v>Tamworth Reactors</v>
          </cell>
          <cell r="C87">
            <v>1</v>
          </cell>
          <cell r="D87">
            <v>39052</v>
          </cell>
          <cell r="E87">
            <v>58</v>
          </cell>
          <cell r="F87">
            <v>3</v>
          </cell>
          <cell r="G87">
            <v>38512</v>
          </cell>
          <cell r="H87">
            <v>13</v>
          </cell>
          <cell r="I87" t="str">
            <v>Shunt Reactor Replace</v>
          </cell>
          <cell r="J87">
            <v>18</v>
          </cell>
          <cell r="L87" t="str">
            <v>6.3.9</v>
          </cell>
          <cell r="M87" t="str">
            <v>Likely</v>
          </cell>
          <cell r="N87" t="str">
            <v>Future</v>
          </cell>
          <cell r="O87" t="str">
            <v>Tamworth Reactor Replacement Stage 1 - Contract</v>
          </cell>
          <cell r="P87" t="str">
            <v>330CAP</v>
          </cell>
          <cell r="Q87" t="str">
            <v>Northern</v>
          </cell>
          <cell r="R87">
            <v>6</v>
          </cell>
          <cell r="S87">
            <v>0.03</v>
          </cell>
          <cell r="T87">
            <v>4.47</v>
          </cell>
          <cell r="U87">
            <v>1.5</v>
          </cell>
        </row>
        <row r="88">
          <cell r="A88" t="str">
            <v>Strategy Based Substation Replacements</v>
          </cell>
        </row>
        <row r="89">
          <cell r="A89">
            <v>30</v>
          </cell>
          <cell r="B89" t="str">
            <v>Snowy Assets Rehab - MSS</v>
          </cell>
          <cell r="C89">
            <v>1</v>
          </cell>
          <cell r="D89">
            <v>39783</v>
          </cell>
          <cell r="E89">
            <v>48</v>
          </cell>
          <cell r="F89">
            <v>3</v>
          </cell>
          <cell r="G89">
            <v>38703</v>
          </cell>
          <cell r="H89">
            <v>6</v>
          </cell>
          <cell r="I89" t="str">
            <v>330/132kV Greenfield</v>
          </cell>
          <cell r="J89">
            <v>36</v>
          </cell>
          <cell r="L89" t="str">
            <v>5.3.7</v>
          </cell>
          <cell r="M89" t="str">
            <v>Const</v>
          </cell>
          <cell r="N89" t="str">
            <v>Proposed</v>
          </cell>
          <cell r="O89" t="str">
            <v>Murray 330kV SS Augmentation - Contract</v>
          </cell>
          <cell r="P89" t="str">
            <v>330SS</v>
          </cell>
          <cell r="Q89" t="str">
            <v>Southern</v>
          </cell>
          <cell r="R89">
            <v>10</v>
          </cell>
          <cell r="T89">
            <v>0.31111111111111112</v>
          </cell>
          <cell r="U89">
            <v>0.90869565217391335</v>
          </cell>
          <cell r="V89">
            <v>7.6294469680582591</v>
          </cell>
          <cell r="W89">
            <v>1.1507462686567167</v>
          </cell>
        </row>
        <row r="90">
          <cell r="A90">
            <v>31</v>
          </cell>
          <cell r="B90" t="str">
            <v>Snowy Assets Rehab - UTSS</v>
          </cell>
          <cell r="C90">
            <v>1</v>
          </cell>
          <cell r="D90">
            <v>39783</v>
          </cell>
          <cell r="E90">
            <v>49</v>
          </cell>
          <cell r="F90">
            <v>3</v>
          </cell>
          <cell r="G90">
            <v>38703</v>
          </cell>
          <cell r="H90">
            <v>6</v>
          </cell>
          <cell r="I90" t="str">
            <v>330/132kV Greenfield</v>
          </cell>
          <cell r="J90">
            <v>36</v>
          </cell>
          <cell r="L90" t="str">
            <v>5.3.7</v>
          </cell>
          <cell r="M90" t="str">
            <v>Const</v>
          </cell>
          <cell r="N90" t="str">
            <v>Proposed</v>
          </cell>
          <cell r="O90" t="str">
            <v>Upper Tumut Switching Station (UTSS) Augmentation - Contract</v>
          </cell>
          <cell r="P90" t="str">
            <v>330SS</v>
          </cell>
          <cell r="Q90" t="str">
            <v>Southern</v>
          </cell>
          <cell r="R90">
            <v>7.5</v>
          </cell>
          <cell r="T90">
            <v>0.23333333333333334</v>
          </cell>
          <cell r="U90">
            <v>0.68152173913043501</v>
          </cell>
          <cell r="V90">
            <v>5.722085226043693</v>
          </cell>
          <cell r="W90">
            <v>0.86305970149253741</v>
          </cell>
        </row>
        <row r="91">
          <cell r="A91" t="str">
            <v>Small Augmentations - New Lines</v>
          </cell>
        </row>
        <row r="92">
          <cell r="A92">
            <v>32</v>
          </cell>
          <cell r="B92" t="str">
            <v>Glen Innes/Inverell supply</v>
          </cell>
          <cell r="C92">
            <v>1</v>
          </cell>
          <cell r="D92">
            <v>40513</v>
          </cell>
          <cell r="E92">
            <v>20</v>
          </cell>
          <cell r="F92">
            <v>1</v>
          </cell>
          <cell r="G92">
            <v>39073</v>
          </cell>
          <cell r="H92">
            <v>3</v>
          </cell>
          <cell r="I92" t="str">
            <v>TL -EIS</v>
          </cell>
          <cell r="J92">
            <v>48</v>
          </cell>
          <cell r="L92" t="str">
            <v>7.2.11</v>
          </cell>
          <cell r="M92" t="str">
            <v>Future</v>
          </cell>
          <cell r="N92" t="str">
            <v>Planning PT</v>
          </cell>
          <cell r="O92" t="str">
            <v>Glen Innes - Inverell 132kV TL (65km)</v>
          </cell>
          <cell r="P92" t="str">
            <v>TL EIS</v>
          </cell>
          <cell r="Q92" t="str">
            <v>Northern</v>
          </cell>
          <cell r="R92">
            <v>12</v>
          </cell>
          <cell r="U92">
            <v>0.17230769230769236</v>
          </cell>
          <cell r="V92">
            <v>0.58769230769230796</v>
          </cell>
          <cell r="W92">
            <v>0.872</v>
          </cell>
          <cell r="X92">
            <v>10.133124555160142</v>
          </cell>
          <cell r="Y92">
            <v>0.2348754448398577</v>
          </cell>
        </row>
        <row r="93">
          <cell r="A93">
            <v>33</v>
          </cell>
          <cell r="B93" t="str">
            <v>Glen Innes/Inverell supply</v>
          </cell>
          <cell r="C93">
            <v>1</v>
          </cell>
          <cell r="D93">
            <v>40513</v>
          </cell>
          <cell r="E93">
            <v>20</v>
          </cell>
          <cell r="F93">
            <v>3</v>
          </cell>
          <cell r="G93">
            <v>39793</v>
          </cell>
          <cell r="H93">
            <v>10</v>
          </cell>
          <cell r="I93" t="str">
            <v>132kV Aug</v>
          </cell>
          <cell r="J93">
            <v>24</v>
          </cell>
          <cell r="L93" t="str">
            <v>7.2.11</v>
          </cell>
          <cell r="M93" t="str">
            <v>Future</v>
          </cell>
          <cell r="N93" t="str">
            <v>Planning PT</v>
          </cell>
          <cell r="O93" t="str">
            <v>Inverell 132kV Switchbay</v>
          </cell>
          <cell r="P93" t="str">
            <v>132SS</v>
          </cell>
          <cell r="Q93" t="str">
            <v>Northern</v>
          </cell>
          <cell r="R93">
            <v>1</v>
          </cell>
          <cell r="W93">
            <v>5.8333333333333348E-2</v>
          </cell>
          <cell r="X93">
            <v>0.76032338308457714</v>
          </cell>
          <cell r="Y93">
            <v>0.18134328358208951</v>
          </cell>
        </row>
        <row r="94">
          <cell r="A94">
            <v>34</v>
          </cell>
          <cell r="B94" t="str">
            <v>Lismore area supply</v>
          </cell>
          <cell r="C94">
            <v>1</v>
          </cell>
          <cell r="D94">
            <v>38961</v>
          </cell>
          <cell r="E94">
            <v>27</v>
          </cell>
          <cell r="F94">
            <v>2</v>
          </cell>
          <cell r="G94">
            <v>38241</v>
          </cell>
          <cell r="H94">
            <v>4</v>
          </cell>
          <cell r="I94" t="str">
            <v>TL -REF</v>
          </cell>
          <cell r="J94">
            <v>24</v>
          </cell>
          <cell r="L94" t="str">
            <v>6.5.2</v>
          </cell>
          <cell r="M94" t="str">
            <v>Poss</v>
          </cell>
          <cell r="N94" t="str">
            <v>Proposed</v>
          </cell>
          <cell r="O94" t="str">
            <v>Uprating of 966 Armidale - Koolkhan 132kV TL - Contract</v>
          </cell>
          <cell r="P94" t="str">
            <v>TL REF</v>
          </cell>
          <cell r="Q94" t="str">
            <v>Northern</v>
          </cell>
          <cell r="R94">
            <v>3</v>
          </cell>
          <cell r="S94">
            <v>0.3318965517241379</v>
          </cell>
          <cell r="T94">
            <v>2.6268872320596466</v>
          </cell>
          <cell r="U94">
            <v>4.1216216216216198E-2</v>
          </cell>
        </row>
        <row r="95">
          <cell r="A95">
            <v>35</v>
          </cell>
          <cell r="B95" t="str">
            <v>Mulwala 132 kV Supply</v>
          </cell>
          <cell r="C95">
            <v>1</v>
          </cell>
          <cell r="D95">
            <v>39783</v>
          </cell>
          <cell r="E95">
            <v>36</v>
          </cell>
          <cell r="F95">
            <v>1</v>
          </cell>
          <cell r="G95">
            <v>38343</v>
          </cell>
          <cell r="H95">
            <v>3</v>
          </cell>
          <cell r="I95" t="str">
            <v>TL -EIS</v>
          </cell>
          <cell r="J95">
            <v>48</v>
          </cell>
          <cell r="L95" t="str">
            <v>6.5.31</v>
          </cell>
          <cell r="M95" t="str">
            <v>Poss</v>
          </cell>
          <cell r="N95" t="str">
            <v>Planning</v>
          </cell>
          <cell r="O95" t="str">
            <v>Mulwala - Finley 132kV TL (62Km) Contract</v>
          </cell>
          <cell r="P95" t="str">
            <v>TL EIS</v>
          </cell>
          <cell r="Q95" t="str">
            <v>Southern</v>
          </cell>
          <cell r="R95">
            <v>12</v>
          </cell>
          <cell r="S95">
            <v>0.17230769230769236</v>
          </cell>
          <cell r="T95">
            <v>0.58769230769230796</v>
          </cell>
          <cell r="U95">
            <v>0.872</v>
          </cell>
          <cell r="V95">
            <v>10.133124555160142</v>
          </cell>
          <cell r="W95">
            <v>0.2348754448398577</v>
          </cell>
        </row>
        <row r="96">
          <cell r="A96">
            <v>36</v>
          </cell>
          <cell r="B96" t="str">
            <v>Mulwala 132 kV Supply</v>
          </cell>
          <cell r="C96">
            <v>1</v>
          </cell>
          <cell r="D96">
            <v>39417</v>
          </cell>
          <cell r="E96">
            <v>36</v>
          </cell>
          <cell r="F96">
            <v>3</v>
          </cell>
          <cell r="G96">
            <v>38697</v>
          </cell>
          <cell r="H96">
            <v>10</v>
          </cell>
          <cell r="I96" t="str">
            <v>132kV Aug</v>
          </cell>
          <cell r="J96">
            <v>24</v>
          </cell>
          <cell r="L96" t="str">
            <v>6.5.31</v>
          </cell>
          <cell r="M96" t="str">
            <v>Poss</v>
          </cell>
          <cell r="N96" t="str">
            <v>Planning</v>
          </cell>
          <cell r="O96" t="str">
            <v>Mulwala 132/66kV Substation Augmentation - Contract</v>
          </cell>
          <cell r="P96" t="str">
            <v>132SS</v>
          </cell>
          <cell r="Q96" t="str">
            <v>Southern</v>
          </cell>
          <cell r="R96">
            <v>2</v>
          </cell>
          <cell r="T96">
            <v>0.1166666666666667</v>
          </cell>
          <cell r="U96">
            <v>1.5206467661691543</v>
          </cell>
          <cell r="V96">
            <v>0.36268656716417902</v>
          </cell>
        </row>
        <row r="97">
          <cell r="A97">
            <v>37</v>
          </cell>
          <cell r="B97" t="str">
            <v>Mulwala 132 kV Supply</v>
          </cell>
          <cell r="C97">
            <v>1</v>
          </cell>
          <cell r="D97">
            <v>39417</v>
          </cell>
          <cell r="E97">
            <v>36</v>
          </cell>
          <cell r="F97">
            <v>3</v>
          </cell>
          <cell r="G97">
            <v>38697</v>
          </cell>
          <cell r="H97">
            <v>10</v>
          </cell>
          <cell r="I97" t="str">
            <v>132kV Aug</v>
          </cell>
          <cell r="J97">
            <v>24</v>
          </cell>
          <cell r="L97" t="str">
            <v>6.5.31</v>
          </cell>
          <cell r="M97" t="str">
            <v>Poss</v>
          </cell>
          <cell r="N97" t="str">
            <v>Planning</v>
          </cell>
          <cell r="O97" t="str">
            <v>Finley 132/66kV Substattion Augmentation - Contract</v>
          </cell>
          <cell r="P97" t="str">
            <v>132SS</v>
          </cell>
          <cell r="Q97" t="str">
            <v>Southern</v>
          </cell>
          <cell r="R97">
            <v>5</v>
          </cell>
          <cell r="T97">
            <v>0.29166666666666674</v>
          </cell>
          <cell r="U97">
            <v>3.801616915422886</v>
          </cell>
          <cell r="V97">
            <v>0.90671641791044766</v>
          </cell>
        </row>
        <row r="98">
          <cell r="A98">
            <v>38</v>
          </cell>
          <cell r="B98" t="str">
            <v>Narrandera and Lockhart supply</v>
          </cell>
          <cell r="C98">
            <v>1</v>
          </cell>
          <cell r="D98">
            <v>40513</v>
          </cell>
          <cell r="E98">
            <v>38</v>
          </cell>
          <cell r="F98">
            <v>3</v>
          </cell>
          <cell r="G98">
            <v>39613</v>
          </cell>
          <cell r="H98">
            <v>7</v>
          </cell>
          <cell r="I98" t="str">
            <v>132kV Greenfield</v>
          </cell>
          <cell r="J98">
            <v>30</v>
          </cell>
          <cell r="L98" t="str">
            <v>6.5.29</v>
          </cell>
          <cell r="M98" t="str">
            <v>Poss</v>
          </cell>
          <cell r="N98" t="str">
            <v>Planning</v>
          </cell>
          <cell r="O98" t="str">
            <v>Narrandera Substation Establish - Contract</v>
          </cell>
          <cell r="P98" t="str">
            <v>132SS</v>
          </cell>
          <cell r="Q98" t="str">
            <v>Southern</v>
          </cell>
          <cell r="R98">
            <v>6</v>
          </cell>
          <cell r="V98">
            <v>1.0714285714285714E-2</v>
          </cell>
          <cell r="W98">
            <v>0.51428571428571446</v>
          </cell>
          <cell r="X98">
            <v>4.6761940298507456</v>
          </cell>
          <cell r="Y98">
            <v>0.79880597014925392</v>
          </cell>
        </row>
        <row r="99">
          <cell r="A99">
            <v>39</v>
          </cell>
          <cell r="B99" t="str">
            <v>Orange 132 kV Substation Augmentation</v>
          </cell>
          <cell r="C99">
            <v>1</v>
          </cell>
          <cell r="D99">
            <v>39783</v>
          </cell>
          <cell r="E99">
            <v>41</v>
          </cell>
          <cell r="F99">
            <v>2</v>
          </cell>
          <cell r="G99">
            <v>39063</v>
          </cell>
          <cell r="H99">
            <v>4</v>
          </cell>
          <cell r="I99" t="str">
            <v>TL -REF</v>
          </cell>
          <cell r="J99">
            <v>24</v>
          </cell>
          <cell r="L99" t="str">
            <v>6.5.18</v>
          </cell>
          <cell r="M99" t="str">
            <v>Poss</v>
          </cell>
          <cell r="N99" t="str">
            <v>Proposed</v>
          </cell>
          <cell r="O99" t="str">
            <v>Orange Outlets Line Works - Contract</v>
          </cell>
          <cell r="P99" t="str">
            <v>TL REF</v>
          </cell>
          <cell r="Q99" t="str">
            <v>Central</v>
          </cell>
          <cell r="R99">
            <v>1</v>
          </cell>
          <cell r="U99">
            <v>8.4770114942528757E-2</v>
          </cell>
          <cell r="V99">
            <v>0.73352256798430082</v>
          </cell>
          <cell r="W99">
            <v>0.18170731707317073</v>
          </cell>
        </row>
        <row r="100">
          <cell r="A100">
            <v>40</v>
          </cell>
          <cell r="B100" t="str">
            <v>Parkes, Forbes and Cowra supply</v>
          </cell>
          <cell r="C100">
            <v>1</v>
          </cell>
          <cell r="D100">
            <v>39692</v>
          </cell>
          <cell r="E100">
            <v>43</v>
          </cell>
          <cell r="F100">
            <v>1</v>
          </cell>
          <cell r="G100">
            <v>38252</v>
          </cell>
          <cell r="H100">
            <v>3</v>
          </cell>
          <cell r="I100" t="str">
            <v>TL -EIS</v>
          </cell>
          <cell r="J100">
            <v>48</v>
          </cell>
          <cell r="L100" t="str">
            <v>6.5.20</v>
          </cell>
          <cell r="M100" t="str">
            <v>Poss</v>
          </cell>
          <cell r="N100" t="str">
            <v>Planning</v>
          </cell>
          <cell r="O100" t="str">
            <v>Manildra Parkes 132kV Line - Contract</v>
          </cell>
          <cell r="P100" t="str">
            <v>TL EIS</v>
          </cell>
          <cell r="Q100" t="str">
            <v>Central</v>
          </cell>
          <cell r="R100">
            <v>12</v>
          </cell>
          <cell r="S100">
            <v>0.33846153846153854</v>
          </cell>
          <cell r="T100">
            <v>0.54153846153846186</v>
          </cell>
          <cell r="U100">
            <v>1.1839999999999999</v>
          </cell>
          <cell r="V100">
            <v>9.8980996441281146</v>
          </cell>
          <cell r="W100">
            <v>3.7900355871886171E-2</v>
          </cell>
        </row>
        <row r="101">
          <cell r="A101">
            <v>41</v>
          </cell>
          <cell r="B101" t="str">
            <v>Parkes, Forbes and Cowra supply</v>
          </cell>
          <cell r="C101">
            <v>1</v>
          </cell>
          <cell r="D101">
            <v>39417</v>
          </cell>
          <cell r="E101">
            <v>43</v>
          </cell>
          <cell r="F101">
            <v>3</v>
          </cell>
          <cell r="G101">
            <v>38697</v>
          </cell>
          <cell r="H101">
            <v>10</v>
          </cell>
          <cell r="I101" t="str">
            <v>132kV Aug</v>
          </cell>
          <cell r="J101">
            <v>24</v>
          </cell>
          <cell r="L101" t="str">
            <v>6.5.20</v>
          </cell>
          <cell r="M101" t="str">
            <v>Poss</v>
          </cell>
          <cell r="N101" t="str">
            <v>Planning</v>
          </cell>
          <cell r="O101" t="str">
            <v>Manildra SS Augmentation - Contract</v>
          </cell>
          <cell r="P101" t="str">
            <v>132SS</v>
          </cell>
          <cell r="Q101" t="str">
            <v>Central</v>
          </cell>
          <cell r="R101">
            <v>1</v>
          </cell>
          <cell r="T101">
            <v>5.8333333333333348E-2</v>
          </cell>
          <cell r="U101">
            <v>0.76032338308457714</v>
          </cell>
          <cell r="V101">
            <v>0.18134328358208951</v>
          </cell>
        </row>
        <row r="102">
          <cell r="A102">
            <v>42</v>
          </cell>
          <cell r="B102" t="str">
            <v>Parkes, Forbes and Cowra supply</v>
          </cell>
          <cell r="C102">
            <v>1</v>
          </cell>
          <cell r="D102">
            <v>39417</v>
          </cell>
          <cell r="E102">
            <v>43</v>
          </cell>
          <cell r="F102">
            <v>2</v>
          </cell>
          <cell r="G102">
            <v>38697</v>
          </cell>
          <cell r="H102">
            <v>4</v>
          </cell>
          <cell r="I102" t="str">
            <v>TL -REF</v>
          </cell>
          <cell r="J102">
            <v>24</v>
          </cell>
          <cell r="L102" t="str">
            <v>6.5.20</v>
          </cell>
          <cell r="M102" t="str">
            <v>Poss</v>
          </cell>
          <cell r="N102" t="str">
            <v>Planning</v>
          </cell>
          <cell r="O102" t="str">
            <v>Cowra Line Uprate - Contract</v>
          </cell>
          <cell r="P102" t="str">
            <v>TL REF</v>
          </cell>
          <cell r="Q102" t="str">
            <v>Central</v>
          </cell>
          <cell r="R102">
            <v>4</v>
          </cell>
          <cell r="T102">
            <v>0.33908045977011503</v>
          </cell>
          <cell r="U102">
            <v>2.9340902719372033</v>
          </cell>
          <cell r="V102">
            <v>0.72682926829268291</v>
          </cell>
        </row>
        <row r="103">
          <cell r="A103">
            <v>43</v>
          </cell>
          <cell r="B103" t="str">
            <v>Snowy Assets Rehab - Lines</v>
          </cell>
          <cell r="C103">
            <v>1</v>
          </cell>
          <cell r="D103">
            <v>39417</v>
          </cell>
          <cell r="E103">
            <v>47</v>
          </cell>
          <cell r="F103">
            <v>2</v>
          </cell>
          <cell r="G103">
            <v>38337</v>
          </cell>
          <cell r="H103">
            <v>2</v>
          </cell>
          <cell r="I103" t="str">
            <v>EHV TL -REF</v>
          </cell>
          <cell r="J103">
            <v>36</v>
          </cell>
          <cell r="L103" t="str">
            <v>5.3.7</v>
          </cell>
          <cell r="M103" t="str">
            <v>Poss</v>
          </cell>
          <cell r="N103" t="str">
            <v>Proposed</v>
          </cell>
          <cell r="O103" t="str">
            <v>Snowy Area 330kV TL Uprate (160Km) - Contract</v>
          </cell>
          <cell r="P103" t="str">
            <v>TL EIS</v>
          </cell>
          <cell r="Q103" t="str">
            <v>Southern</v>
          </cell>
          <cell r="R103">
            <v>8</v>
          </cell>
          <cell r="S103">
            <v>0.37333333333333335</v>
          </cell>
          <cell r="T103">
            <v>0.77946902654867267</v>
          </cell>
          <cell r="U103">
            <v>6.560419241607752</v>
          </cell>
          <cell r="V103">
            <v>0.28677839851024212</v>
          </cell>
        </row>
        <row r="104">
          <cell r="A104">
            <v>44</v>
          </cell>
          <cell r="B104" t="str">
            <v>Supply to South &amp; Inner Metro Sydney</v>
          </cell>
          <cell r="C104">
            <v>1</v>
          </cell>
          <cell r="D104">
            <v>39417</v>
          </cell>
          <cell r="E104">
            <v>52</v>
          </cell>
          <cell r="F104">
            <v>3</v>
          </cell>
          <cell r="G104">
            <v>38697</v>
          </cell>
          <cell r="H104">
            <v>10</v>
          </cell>
          <cell r="I104" t="str">
            <v>132kV Aug</v>
          </cell>
          <cell r="J104">
            <v>24</v>
          </cell>
          <cell r="L104" t="str">
            <v>6.5.13</v>
          </cell>
          <cell r="M104" t="str">
            <v>Poss</v>
          </cell>
          <cell r="N104" t="str">
            <v>PT</v>
          </cell>
          <cell r="O104" t="str">
            <v>Sydney South 132kV Augmentations (910/911 &amp; 916/917) Contract</v>
          </cell>
          <cell r="P104" t="str">
            <v>132SS</v>
          </cell>
          <cell r="Q104" t="str">
            <v>Central</v>
          </cell>
          <cell r="R104">
            <v>2</v>
          </cell>
          <cell r="T104">
            <v>0.1166666666666667</v>
          </cell>
          <cell r="U104">
            <v>1.5206467661691543</v>
          </cell>
          <cell r="V104">
            <v>0.36268656716417902</v>
          </cell>
        </row>
        <row r="105">
          <cell r="A105">
            <v>45</v>
          </cell>
          <cell r="B105" t="str">
            <v>Wagga 132 kV line rearrangements</v>
          </cell>
          <cell r="C105">
            <v>1</v>
          </cell>
          <cell r="D105">
            <v>38565</v>
          </cell>
          <cell r="E105">
            <v>61</v>
          </cell>
          <cell r="F105">
            <v>2</v>
          </cell>
          <cell r="G105">
            <v>37845</v>
          </cell>
          <cell r="H105">
            <v>4</v>
          </cell>
          <cell r="I105" t="str">
            <v>TL -REF</v>
          </cell>
          <cell r="J105">
            <v>24</v>
          </cell>
          <cell r="L105" t="str">
            <v>6.3.3</v>
          </cell>
          <cell r="M105" t="str">
            <v>Likely</v>
          </cell>
          <cell r="N105" t="str">
            <v>Future</v>
          </cell>
          <cell r="O105" t="str">
            <v>Wagga North 132kV Line Re-Arrangements - Contract</v>
          </cell>
          <cell r="P105" t="str">
            <v>TL REF</v>
          </cell>
          <cell r="Q105" t="str">
            <v>Southern</v>
          </cell>
          <cell r="R105">
            <v>0.3</v>
          </cell>
          <cell r="S105">
            <v>0.26335274930102526</v>
          </cell>
          <cell r="T105">
            <v>1.2162162162162162E-3</v>
          </cell>
        </row>
        <row r="106">
          <cell r="A106" t="str">
            <v>Small Augmentations - New Substations</v>
          </cell>
        </row>
        <row r="107">
          <cell r="A107">
            <v>46</v>
          </cell>
          <cell r="B107" t="str">
            <v>Boggabri supply</v>
          </cell>
          <cell r="C107">
            <v>1</v>
          </cell>
          <cell r="D107">
            <v>39142</v>
          </cell>
          <cell r="E107">
            <v>5</v>
          </cell>
          <cell r="F107">
            <v>3</v>
          </cell>
          <cell r="G107">
            <v>38242</v>
          </cell>
          <cell r="H107">
            <v>7</v>
          </cell>
          <cell r="I107" t="str">
            <v>132kV Greenfield</v>
          </cell>
          <cell r="J107">
            <v>30</v>
          </cell>
          <cell r="L107" t="str">
            <v>6.5.5</v>
          </cell>
          <cell r="M107" t="str">
            <v>Poss</v>
          </cell>
          <cell r="N107" t="str">
            <v>Planning PT</v>
          </cell>
          <cell r="O107" t="str">
            <v>Boggabri 132/66kV SS  Contract</v>
          </cell>
          <cell r="P107" t="str">
            <v>132SS</v>
          </cell>
          <cell r="Q107" t="str">
            <v>Northern</v>
          </cell>
          <cell r="R107">
            <v>8</v>
          </cell>
          <cell r="S107">
            <v>0.55000000000000004</v>
          </cell>
          <cell r="T107">
            <v>5.45</v>
          </cell>
          <cell r="U107">
            <v>2</v>
          </cell>
        </row>
        <row r="108">
          <cell r="A108">
            <v>47</v>
          </cell>
          <cell r="B108" t="str">
            <v>Bulahdelah area supply</v>
          </cell>
          <cell r="C108">
            <v>1</v>
          </cell>
          <cell r="D108">
            <v>39142</v>
          </cell>
          <cell r="E108">
            <v>6</v>
          </cell>
          <cell r="F108">
            <v>3</v>
          </cell>
          <cell r="G108">
            <v>38242</v>
          </cell>
          <cell r="H108">
            <v>7</v>
          </cell>
          <cell r="I108" t="str">
            <v>132kV Greenfield</v>
          </cell>
          <cell r="J108">
            <v>30</v>
          </cell>
          <cell r="L108" t="str">
            <v>6.5.8</v>
          </cell>
          <cell r="M108" t="str">
            <v>Poss</v>
          </cell>
          <cell r="N108" t="str">
            <v>Planning PT</v>
          </cell>
          <cell r="O108" t="str">
            <v>Bulahdelah 132/66kV SS  installation</v>
          </cell>
          <cell r="P108" t="str">
            <v>132SS</v>
          </cell>
          <cell r="Q108" t="str">
            <v>Northern</v>
          </cell>
          <cell r="R108">
            <v>8</v>
          </cell>
          <cell r="S108">
            <v>0.55000000000000004</v>
          </cell>
          <cell r="T108">
            <v>5.45</v>
          </cell>
          <cell r="U108">
            <v>2</v>
          </cell>
        </row>
        <row r="109">
          <cell r="A109">
            <v>48</v>
          </cell>
          <cell r="B109" t="str">
            <v>Glen Innes supply</v>
          </cell>
          <cell r="C109">
            <v>1</v>
          </cell>
          <cell r="D109">
            <v>39234</v>
          </cell>
          <cell r="E109">
            <v>19</v>
          </cell>
          <cell r="F109">
            <v>0</v>
          </cell>
          <cell r="G109">
            <v>38694</v>
          </cell>
          <cell r="H109">
            <v>30</v>
          </cell>
          <cell r="I109" t="str">
            <v>TL Property Acquistion</v>
          </cell>
          <cell r="J109">
            <v>18</v>
          </cell>
          <cell r="L109" t="str">
            <v>6.5.4</v>
          </cell>
          <cell r="M109" t="str">
            <v>Poss</v>
          </cell>
          <cell r="N109" t="str">
            <v>Future</v>
          </cell>
          <cell r="O109" t="str">
            <v>Glen Innes 132kV Rebuild (PSR 39) - Contract</v>
          </cell>
          <cell r="P109" t="str">
            <v>132SS</v>
          </cell>
          <cell r="Q109" t="str">
            <v>Northern</v>
          </cell>
          <cell r="R109">
            <v>10</v>
          </cell>
          <cell r="T109">
            <v>0.8</v>
          </cell>
          <cell r="U109">
            <v>9.1999999999999993</v>
          </cell>
        </row>
        <row r="110">
          <cell r="A110">
            <v>49</v>
          </cell>
          <cell r="B110" t="str">
            <v>Narrandera and Lockhart supply</v>
          </cell>
          <cell r="C110">
            <v>1</v>
          </cell>
          <cell r="D110">
            <v>40513</v>
          </cell>
          <cell r="E110">
            <v>38</v>
          </cell>
          <cell r="F110">
            <v>2</v>
          </cell>
          <cell r="G110">
            <v>39793</v>
          </cell>
          <cell r="H110">
            <v>4</v>
          </cell>
          <cell r="I110" t="str">
            <v>TL -REF</v>
          </cell>
          <cell r="J110">
            <v>24</v>
          </cell>
          <cell r="L110" t="str">
            <v>6.5.29</v>
          </cell>
          <cell r="M110" t="str">
            <v>Poss</v>
          </cell>
          <cell r="N110" t="str">
            <v>Planning</v>
          </cell>
          <cell r="O110" t="str">
            <v>994-Narrandera 132kV DCSP line (5km) - Contract</v>
          </cell>
          <cell r="P110" t="str">
            <v>TL REF</v>
          </cell>
          <cell r="Q110" t="str">
            <v>Southern</v>
          </cell>
          <cell r="R110">
            <v>2</v>
          </cell>
          <cell r="W110">
            <v>0.16954022988505751</v>
          </cell>
          <cell r="X110">
            <v>1.4670451359686016</v>
          </cell>
          <cell r="Y110">
            <v>0.36341463414634145</v>
          </cell>
        </row>
        <row r="111">
          <cell r="A111">
            <v>50</v>
          </cell>
          <cell r="B111" t="str">
            <v>South West of Greater Sydney supply</v>
          </cell>
          <cell r="C111">
            <v>1</v>
          </cell>
          <cell r="D111">
            <v>39417</v>
          </cell>
          <cell r="E111">
            <v>51</v>
          </cell>
          <cell r="F111">
            <v>3</v>
          </cell>
          <cell r="G111">
            <v>38337</v>
          </cell>
          <cell r="H111">
            <v>6</v>
          </cell>
          <cell r="I111" t="str">
            <v>330/132kV Greenfield</v>
          </cell>
          <cell r="J111">
            <v>36</v>
          </cell>
          <cell r="L111" t="str">
            <v>6.5.17</v>
          </cell>
          <cell r="M111" t="str">
            <v>Poss</v>
          </cell>
          <cell r="N111" t="str">
            <v>Future</v>
          </cell>
          <cell r="O111" t="str">
            <v>Establishment of Mt Annan 330/132/66kV Substn - Contract</v>
          </cell>
          <cell r="P111" t="str">
            <v>330SS</v>
          </cell>
          <cell r="Q111" t="str">
            <v>Central</v>
          </cell>
          <cell r="R111">
            <v>15</v>
          </cell>
          <cell r="S111">
            <v>0.46666666666666667</v>
          </cell>
          <cell r="T111">
            <v>1.36304347826087</v>
          </cell>
          <cell r="U111">
            <v>11.444170452087386</v>
          </cell>
          <cell r="V111">
            <v>1.7261194029850748</v>
          </cell>
        </row>
        <row r="112">
          <cell r="A112">
            <v>51</v>
          </cell>
          <cell r="B112" t="str">
            <v>Wagga 132/66 kV Substation Transformer Rating Limitations</v>
          </cell>
          <cell r="C112">
            <v>1</v>
          </cell>
          <cell r="D112">
            <v>39417</v>
          </cell>
          <cell r="E112">
            <v>62</v>
          </cell>
          <cell r="F112">
            <v>3</v>
          </cell>
          <cell r="G112">
            <v>38517</v>
          </cell>
          <cell r="H112">
            <v>7</v>
          </cell>
          <cell r="I112" t="str">
            <v>132kV Greenfield</v>
          </cell>
          <cell r="J112">
            <v>30</v>
          </cell>
          <cell r="L112" t="str">
            <v>6.5.27</v>
          </cell>
          <cell r="M112" t="str">
            <v>Poss</v>
          </cell>
          <cell r="N112" t="str">
            <v>Future</v>
          </cell>
          <cell r="O112" t="str">
            <v>Wagga Nth 132/66kV Substation - Contract</v>
          </cell>
          <cell r="P112" t="str">
            <v>132SS</v>
          </cell>
          <cell r="Q112" t="str">
            <v>Southern</v>
          </cell>
          <cell r="R112">
            <v>8</v>
          </cell>
          <cell r="S112">
            <v>1.4285714285714287E-2</v>
          </cell>
          <cell r="T112">
            <v>0.68571428571428605</v>
          </cell>
          <cell r="U112">
            <v>6.2349253731343293</v>
          </cell>
          <cell r="V112">
            <v>1.0650746268656719</v>
          </cell>
        </row>
        <row r="113">
          <cell r="A113">
            <v>52</v>
          </cell>
          <cell r="B113" t="str">
            <v>Wollar - Wellington 330 kV Line &amp; Wollar 330 kV Sw Stn</v>
          </cell>
          <cell r="C113">
            <v>1</v>
          </cell>
          <cell r="D113">
            <v>39417</v>
          </cell>
          <cell r="E113">
            <v>65</v>
          </cell>
          <cell r="F113">
            <v>3</v>
          </cell>
          <cell r="G113">
            <v>38337</v>
          </cell>
          <cell r="H113">
            <v>6</v>
          </cell>
          <cell r="I113" t="str">
            <v>330/132kV Greenfield</v>
          </cell>
          <cell r="J113">
            <v>36</v>
          </cell>
          <cell r="L113" t="str">
            <v>5.3.4</v>
          </cell>
          <cell r="M113" t="str">
            <v>Likely</v>
          </cell>
          <cell r="N113" t="str">
            <v>Committed</v>
          </cell>
          <cell r="O113" t="str">
            <v>Wollar 330kV Switching Station - Contract</v>
          </cell>
          <cell r="P113" t="str">
            <v>330SS</v>
          </cell>
          <cell r="Q113" t="str">
            <v>Central</v>
          </cell>
          <cell r="R113">
            <v>15</v>
          </cell>
          <cell r="S113">
            <v>0.46666666666666667</v>
          </cell>
          <cell r="T113">
            <v>1.36304347826087</v>
          </cell>
          <cell r="U113">
            <v>11.444170452087386</v>
          </cell>
          <cell r="V113">
            <v>1.7261194029850748</v>
          </cell>
        </row>
        <row r="114">
          <cell r="A114" t="str">
            <v>Small Augmentations - Reactive Plant</v>
          </cell>
        </row>
        <row r="115">
          <cell r="A115">
            <v>53</v>
          </cell>
          <cell r="B115" t="str">
            <v>Canberra  - capacitor bank</v>
          </cell>
          <cell r="C115">
            <v>1</v>
          </cell>
          <cell r="D115">
            <v>38687</v>
          </cell>
          <cell r="E115">
            <v>7</v>
          </cell>
          <cell r="F115">
            <v>3</v>
          </cell>
          <cell r="G115">
            <v>38267</v>
          </cell>
          <cell r="H115">
            <v>12</v>
          </cell>
          <cell r="I115" t="str">
            <v>Capacitor Replace</v>
          </cell>
          <cell r="J115">
            <v>14</v>
          </cell>
          <cell r="L115" t="str">
            <v>5.3.8</v>
          </cell>
          <cell r="M115" t="str">
            <v>Likely</v>
          </cell>
          <cell r="N115" t="str">
            <v>Proposed</v>
          </cell>
          <cell r="O115" t="str">
            <v xml:space="preserve">Canberra 132kV 1*80MVAr Cap Bank- Contract </v>
          </cell>
          <cell r="P115" t="str">
            <v>132CAP</v>
          </cell>
          <cell r="Q115" t="str">
            <v>Southern</v>
          </cell>
          <cell r="R115">
            <v>1</v>
          </cell>
          <cell r="S115">
            <v>0.43878787878787873</v>
          </cell>
          <cell r="T115">
            <v>0.56121212121212127</v>
          </cell>
        </row>
        <row r="116">
          <cell r="A116">
            <v>54</v>
          </cell>
          <cell r="B116" t="str">
            <v>Cowra, Parkes and Forbes - capacitor banks</v>
          </cell>
          <cell r="C116">
            <v>1</v>
          </cell>
          <cell r="D116">
            <v>38687</v>
          </cell>
          <cell r="E116">
            <v>13</v>
          </cell>
          <cell r="F116">
            <v>3</v>
          </cell>
          <cell r="G116">
            <v>38267</v>
          </cell>
          <cell r="H116">
            <v>12</v>
          </cell>
          <cell r="I116" t="str">
            <v>Capacitor Replace</v>
          </cell>
          <cell r="J116">
            <v>14</v>
          </cell>
          <cell r="L116" t="str">
            <v>6.3.7</v>
          </cell>
          <cell r="M116" t="str">
            <v>Likely</v>
          </cell>
          <cell r="N116" t="str">
            <v>Future</v>
          </cell>
          <cell r="O116" t="str">
            <v>Forbes 1x132kV 12MVAr Cap Bank - Contract</v>
          </cell>
          <cell r="P116" t="str">
            <v>132CAP</v>
          </cell>
          <cell r="Q116" t="str">
            <v>Central</v>
          </cell>
          <cell r="R116">
            <v>0.5</v>
          </cell>
          <cell r="S116">
            <v>0.21939393939393936</v>
          </cell>
          <cell r="T116">
            <v>0.28060606060606064</v>
          </cell>
        </row>
        <row r="117">
          <cell r="A117">
            <v>55</v>
          </cell>
          <cell r="B117" t="str">
            <v>Cowra, Parkes and Forbes - capacitor banks</v>
          </cell>
          <cell r="C117">
            <v>1</v>
          </cell>
          <cell r="D117">
            <v>38687</v>
          </cell>
          <cell r="E117">
            <v>13</v>
          </cell>
          <cell r="F117">
            <v>3</v>
          </cell>
          <cell r="G117">
            <v>38267</v>
          </cell>
          <cell r="H117">
            <v>12</v>
          </cell>
          <cell r="I117" t="str">
            <v>Capacitor Replace</v>
          </cell>
          <cell r="J117">
            <v>14</v>
          </cell>
          <cell r="L117" t="str">
            <v>6.3.7</v>
          </cell>
          <cell r="M117" t="str">
            <v>Likely</v>
          </cell>
          <cell r="N117" t="str">
            <v>Future</v>
          </cell>
          <cell r="O117" t="str">
            <v>Parkes 1x66kV 8MVAr Cap Bank - Contract</v>
          </cell>
          <cell r="P117" t="str">
            <v>66CAP</v>
          </cell>
          <cell r="Q117" t="str">
            <v>Central</v>
          </cell>
          <cell r="R117">
            <v>0.4</v>
          </cell>
          <cell r="S117">
            <v>0.17551515151515151</v>
          </cell>
          <cell r="T117">
            <v>0.22448484848484848</v>
          </cell>
        </row>
        <row r="118">
          <cell r="A118">
            <v>56</v>
          </cell>
          <cell r="B118" t="str">
            <v>Cowra, Parkes and Forbes - capacitor banks</v>
          </cell>
          <cell r="C118">
            <v>1</v>
          </cell>
          <cell r="D118">
            <v>38687</v>
          </cell>
          <cell r="E118">
            <v>13</v>
          </cell>
          <cell r="F118">
            <v>3</v>
          </cell>
          <cell r="G118">
            <v>38267</v>
          </cell>
          <cell r="H118">
            <v>12</v>
          </cell>
          <cell r="I118" t="str">
            <v>Capacitor Replace</v>
          </cell>
          <cell r="J118">
            <v>14</v>
          </cell>
          <cell r="L118" t="str">
            <v>6.3.7</v>
          </cell>
          <cell r="M118" t="str">
            <v>Likely</v>
          </cell>
          <cell r="N118" t="str">
            <v>Future</v>
          </cell>
          <cell r="O118" t="str">
            <v>Cowra 2x6MVAr 66kV Cap Banks - Contract</v>
          </cell>
          <cell r="P118" t="str">
            <v>66CAP</v>
          </cell>
          <cell r="Q118" t="str">
            <v>Central</v>
          </cell>
          <cell r="R118">
            <v>0.8</v>
          </cell>
          <cell r="S118">
            <v>0.35103030303030303</v>
          </cell>
          <cell r="T118">
            <v>0.44896969696969696</v>
          </cell>
        </row>
        <row r="119">
          <cell r="A119">
            <v>57</v>
          </cell>
          <cell r="B119" t="str">
            <v>Dapto Transformer Capacity Limitations</v>
          </cell>
          <cell r="C119">
            <v>1</v>
          </cell>
          <cell r="D119">
            <v>38687</v>
          </cell>
          <cell r="E119">
            <v>15</v>
          </cell>
          <cell r="F119">
            <v>3</v>
          </cell>
          <cell r="G119">
            <v>38267</v>
          </cell>
          <cell r="H119">
            <v>12</v>
          </cell>
          <cell r="I119" t="str">
            <v>Capacitor Replace</v>
          </cell>
          <cell r="J119">
            <v>14</v>
          </cell>
          <cell r="L119" t="str">
            <v>7.2.18</v>
          </cell>
          <cell r="M119" t="str">
            <v>Future</v>
          </cell>
          <cell r="N119" t="str">
            <v>Planning</v>
          </cell>
          <cell r="O119" t="str">
            <v>Dapto 132kV Capacitor Upgrade - Contract</v>
          </cell>
          <cell r="P119" t="str">
            <v>132CAP</v>
          </cell>
          <cell r="Q119" t="str">
            <v>Central</v>
          </cell>
          <cell r="R119">
            <v>2</v>
          </cell>
          <cell r="S119">
            <v>0.87757575757575745</v>
          </cell>
          <cell r="T119">
            <v>1.1224242424242425</v>
          </cell>
        </row>
        <row r="120">
          <cell r="A120">
            <v>58</v>
          </cell>
          <cell r="B120" t="str">
            <v>Darlington Point - capacitor banks</v>
          </cell>
          <cell r="C120">
            <v>1</v>
          </cell>
          <cell r="D120">
            <v>38687</v>
          </cell>
          <cell r="E120">
            <v>16</v>
          </cell>
          <cell r="F120">
            <v>3</v>
          </cell>
          <cell r="G120">
            <v>38267</v>
          </cell>
          <cell r="H120">
            <v>12</v>
          </cell>
          <cell r="I120" t="str">
            <v>Capacitor Replace</v>
          </cell>
          <cell r="J120">
            <v>14</v>
          </cell>
          <cell r="L120" t="str">
            <v>5.3.9</v>
          </cell>
          <cell r="M120" t="str">
            <v>Likely</v>
          </cell>
          <cell r="N120" t="str">
            <v>Proposed</v>
          </cell>
          <cell r="O120" t="str">
            <v>Darlington Pt. 132kV No. 2&amp;3 Capacitor Banks - Contract</v>
          </cell>
          <cell r="P120" t="str">
            <v>132CAP</v>
          </cell>
          <cell r="Q120" t="str">
            <v>Southern</v>
          </cell>
          <cell r="R120">
            <v>1</v>
          </cell>
          <cell r="S120">
            <v>0.43878787878787873</v>
          </cell>
          <cell r="T120">
            <v>0.56121212121212127</v>
          </cell>
        </row>
        <row r="121">
          <cell r="A121">
            <v>59</v>
          </cell>
          <cell r="B121" t="str">
            <v>Deniliquin - capacitor bank</v>
          </cell>
          <cell r="C121">
            <v>1</v>
          </cell>
          <cell r="D121">
            <v>38687</v>
          </cell>
          <cell r="E121">
            <v>17</v>
          </cell>
          <cell r="F121">
            <v>3</v>
          </cell>
          <cell r="G121">
            <v>38267</v>
          </cell>
          <cell r="H121">
            <v>12</v>
          </cell>
          <cell r="I121" t="str">
            <v>Capacitor Replace</v>
          </cell>
          <cell r="J121">
            <v>14</v>
          </cell>
          <cell r="L121" t="str">
            <v>6.3.8</v>
          </cell>
          <cell r="M121" t="str">
            <v>Likely</v>
          </cell>
          <cell r="N121" t="str">
            <v>Proposed</v>
          </cell>
          <cell r="O121" t="str">
            <v>Deniliquin 132kV 10MVAr capacitor bank - contract</v>
          </cell>
          <cell r="P121" t="str">
            <v>132CAP</v>
          </cell>
          <cell r="Q121" t="str">
            <v>Southern</v>
          </cell>
          <cell r="R121">
            <v>0.6</v>
          </cell>
          <cell r="S121">
            <v>0.26327272727272721</v>
          </cell>
          <cell r="T121">
            <v>0.33672727272727271</v>
          </cell>
        </row>
        <row r="122">
          <cell r="A122">
            <v>60</v>
          </cell>
          <cell r="B122" t="str">
            <v>Lismore area supply</v>
          </cell>
          <cell r="C122">
            <v>1</v>
          </cell>
          <cell r="D122">
            <v>38687</v>
          </cell>
          <cell r="E122">
            <v>27</v>
          </cell>
          <cell r="F122">
            <v>3</v>
          </cell>
          <cell r="G122">
            <v>38267</v>
          </cell>
          <cell r="H122">
            <v>12</v>
          </cell>
          <cell r="I122" t="str">
            <v>Capacitor Replace</v>
          </cell>
          <cell r="J122">
            <v>14</v>
          </cell>
          <cell r="L122" t="str">
            <v>6.5.2</v>
          </cell>
          <cell r="M122" t="str">
            <v>Poss</v>
          </cell>
          <cell r="N122" t="str">
            <v>Proposed</v>
          </cell>
          <cell r="O122" t="str">
            <v>Nambucca 2x10MVAr 66kV Cap Banks - Contract</v>
          </cell>
          <cell r="P122" t="str">
            <v>66CAP</v>
          </cell>
          <cell r="Q122" t="str">
            <v>Northern</v>
          </cell>
          <cell r="R122">
            <v>0.8</v>
          </cell>
          <cell r="S122">
            <v>0.35103030303030303</v>
          </cell>
          <cell r="T122">
            <v>0.44896969696969696</v>
          </cell>
        </row>
        <row r="123">
          <cell r="A123">
            <v>61</v>
          </cell>
          <cell r="B123" t="str">
            <v>Lismore area supply</v>
          </cell>
          <cell r="C123">
            <v>1</v>
          </cell>
          <cell r="D123">
            <v>38687</v>
          </cell>
          <cell r="E123">
            <v>27</v>
          </cell>
          <cell r="F123">
            <v>3</v>
          </cell>
          <cell r="G123">
            <v>38267</v>
          </cell>
          <cell r="H123">
            <v>12</v>
          </cell>
          <cell r="I123" t="str">
            <v>Capacitor Replace</v>
          </cell>
          <cell r="J123">
            <v>14</v>
          </cell>
          <cell r="L123" t="str">
            <v>6.5.2</v>
          </cell>
          <cell r="M123" t="str">
            <v>Poss</v>
          </cell>
          <cell r="N123" t="str">
            <v>Proposed</v>
          </cell>
          <cell r="O123" t="str">
            <v>Koolkhan 2x10MVAr 66kV Cap Banks - Contract</v>
          </cell>
          <cell r="P123" t="str">
            <v>66CAP</v>
          </cell>
          <cell r="Q123" t="str">
            <v>Northern</v>
          </cell>
          <cell r="R123">
            <v>0.8</v>
          </cell>
          <cell r="S123">
            <v>0.35103030303030303</v>
          </cell>
          <cell r="T123">
            <v>0.44896969696969696</v>
          </cell>
        </row>
        <row r="124">
          <cell r="A124">
            <v>62</v>
          </cell>
          <cell r="B124" t="str">
            <v>Main Grid Capacitor Banks - Syd West</v>
          </cell>
          <cell r="C124">
            <v>1</v>
          </cell>
          <cell r="D124">
            <v>38687</v>
          </cell>
          <cell r="E124">
            <v>29</v>
          </cell>
          <cell r="F124">
            <v>3</v>
          </cell>
          <cell r="G124">
            <v>38267</v>
          </cell>
          <cell r="H124">
            <v>12</v>
          </cell>
          <cell r="I124" t="str">
            <v>Capacitor Replace</v>
          </cell>
          <cell r="J124">
            <v>14</v>
          </cell>
          <cell r="L124" t="str">
            <v>6.3.5</v>
          </cell>
          <cell r="M124" t="str">
            <v>Likely</v>
          </cell>
          <cell r="N124" t="str">
            <v>Planning</v>
          </cell>
          <cell r="O124" t="str">
            <v>Sydney West 1*200 MVAr 330kV Bank - Contract</v>
          </cell>
          <cell r="P124" t="str">
            <v>330CAP</v>
          </cell>
          <cell r="Q124" t="str">
            <v>Central</v>
          </cell>
          <cell r="R124">
            <v>2</v>
          </cell>
          <cell r="S124">
            <v>0.87757575757575745</v>
          </cell>
          <cell r="T124">
            <v>1.1224242424242425</v>
          </cell>
        </row>
        <row r="125">
          <cell r="A125">
            <v>63</v>
          </cell>
          <cell r="B125" t="str">
            <v>Main Grid Capacitor Banks - Vales Point</v>
          </cell>
          <cell r="C125">
            <v>1</v>
          </cell>
          <cell r="D125">
            <v>38687</v>
          </cell>
          <cell r="E125">
            <v>29</v>
          </cell>
          <cell r="F125">
            <v>3</v>
          </cell>
          <cell r="G125">
            <v>38267</v>
          </cell>
          <cell r="H125">
            <v>12</v>
          </cell>
          <cell r="I125" t="str">
            <v>Capacitor Replace</v>
          </cell>
          <cell r="J125">
            <v>14</v>
          </cell>
          <cell r="L125" t="str">
            <v>6.3.5</v>
          </cell>
          <cell r="M125" t="str">
            <v>Likely</v>
          </cell>
          <cell r="N125" t="str">
            <v>Planning</v>
          </cell>
          <cell r="O125" t="str">
            <v>Liddell 2*200 MVAr 330kV Banks - Contract</v>
          </cell>
          <cell r="P125" t="str">
            <v>330CAP</v>
          </cell>
          <cell r="Q125" t="str">
            <v>Northern</v>
          </cell>
          <cell r="R125">
            <v>4</v>
          </cell>
          <cell r="S125">
            <v>1.7551515151515149</v>
          </cell>
          <cell r="T125">
            <v>2.2448484848484851</v>
          </cell>
        </row>
        <row r="126">
          <cell r="A126">
            <v>64</v>
          </cell>
          <cell r="B126" t="str">
            <v>Narrabri - capacitor bank</v>
          </cell>
          <cell r="C126">
            <v>1</v>
          </cell>
          <cell r="D126">
            <v>38687</v>
          </cell>
          <cell r="E126">
            <v>37</v>
          </cell>
          <cell r="F126">
            <v>3</v>
          </cell>
          <cell r="G126">
            <v>38267</v>
          </cell>
          <cell r="H126">
            <v>12</v>
          </cell>
          <cell r="I126" t="str">
            <v>Capacitor Replace</v>
          </cell>
          <cell r="J126">
            <v>14</v>
          </cell>
          <cell r="L126" t="str">
            <v>6.3.6</v>
          </cell>
          <cell r="M126" t="str">
            <v>Likely</v>
          </cell>
          <cell r="N126" t="str">
            <v>Planning</v>
          </cell>
          <cell r="O126" t="str">
            <v>Narrabri 8MVAr 66kV Capacitor - Contract</v>
          </cell>
          <cell r="P126" t="str">
            <v>132CAP</v>
          </cell>
          <cell r="Q126" t="str">
            <v>Northern</v>
          </cell>
          <cell r="R126">
            <v>0.5</v>
          </cell>
          <cell r="S126">
            <v>0.21939393939393936</v>
          </cell>
          <cell r="T126">
            <v>0.28060606060606064</v>
          </cell>
        </row>
        <row r="127">
          <cell r="A127">
            <v>65</v>
          </cell>
          <cell r="B127" t="str">
            <v>Parkes area supply</v>
          </cell>
          <cell r="C127">
            <v>1</v>
          </cell>
          <cell r="D127">
            <v>38687</v>
          </cell>
          <cell r="E127">
            <v>42</v>
          </cell>
          <cell r="F127">
            <v>3</v>
          </cell>
          <cell r="G127">
            <v>38267</v>
          </cell>
          <cell r="H127">
            <v>12</v>
          </cell>
          <cell r="I127" t="str">
            <v>Capacitor Replace</v>
          </cell>
          <cell r="J127">
            <v>14</v>
          </cell>
          <cell r="L127" t="str">
            <v>6.5.19</v>
          </cell>
          <cell r="M127" t="str">
            <v>Poss</v>
          </cell>
          <cell r="N127" t="str">
            <v>Planning</v>
          </cell>
          <cell r="O127" t="str">
            <v>Parkes 66kV Cap Bank - Contract</v>
          </cell>
          <cell r="P127" t="str">
            <v>132CAP</v>
          </cell>
          <cell r="Q127" t="str">
            <v>Central</v>
          </cell>
          <cell r="R127">
            <v>0.5</v>
          </cell>
          <cell r="S127">
            <v>0.21939393939393936</v>
          </cell>
          <cell r="T127">
            <v>0.28060606060606064</v>
          </cell>
        </row>
        <row r="128">
          <cell r="A128">
            <v>66</v>
          </cell>
          <cell r="B128" t="str">
            <v>System Reactive Plant</v>
          </cell>
          <cell r="C128">
            <v>1</v>
          </cell>
          <cell r="D128">
            <v>39052</v>
          </cell>
          <cell r="E128">
            <v>57</v>
          </cell>
          <cell r="F128">
            <v>3</v>
          </cell>
          <cell r="G128">
            <v>38632</v>
          </cell>
          <cell r="H128">
            <v>12</v>
          </cell>
          <cell r="I128" t="str">
            <v>Capacitor Replace</v>
          </cell>
          <cell r="J128">
            <v>14</v>
          </cell>
          <cell r="L128" t="str">
            <v>6.5.35</v>
          </cell>
          <cell r="M128" t="str">
            <v>Poss</v>
          </cell>
          <cell r="N128" t="str">
            <v>Planning</v>
          </cell>
          <cell r="O128" t="str">
            <v>Mt Piper 1*150MVAr 330kV Cap Bank - Contract</v>
          </cell>
          <cell r="P128" t="str">
            <v>330CAP</v>
          </cell>
          <cell r="Q128" t="str">
            <v>Central</v>
          </cell>
          <cell r="R128">
            <v>2</v>
          </cell>
          <cell r="T128">
            <v>0.87757575757575745</v>
          </cell>
          <cell r="U128">
            <v>1.1224242424242425</v>
          </cell>
        </row>
        <row r="129">
          <cell r="A129">
            <v>67</v>
          </cell>
          <cell r="B129" t="str">
            <v>System Reactive Plant</v>
          </cell>
          <cell r="C129">
            <v>1</v>
          </cell>
          <cell r="D129">
            <v>39052</v>
          </cell>
          <cell r="E129">
            <v>57</v>
          </cell>
          <cell r="F129">
            <v>3</v>
          </cell>
          <cell r="G129">
            <v>38632</v>
          </cell>
          <cell r="H129">
            <v>12</v>
          </cell>
          <cell r="I129" t="str">
            <v>Capacitor Replace</v>
          </cell>
          <cell r="J129">
            <v>14</v>
          </cell>
          <cell r="L129" t="str">
            <v>6.5.35</v>
          </cell>
          <cell r="M129" t="str">
            <v>Poss</v>
          </cell>
          <cell r="N129" t="str">
            <v>Planning</v>
          </cell>
          <cell r="O129" t="str">
            <v>Bayswater / Liddell 2*150 MVAr Cap Banks - Contract</v>
          </cell>
          <cell r="P129" t="str">
            <v>330CAP</v>
          </cell>
          <cell r="Q129" t="str">
            <v>Northern</v>
          </cell>
          <cell r="R129">
            <v>4</v>
          </cell>
          <cell r="T129">
            <v>1.7551515151515149</v>
          </cell>
          <cell r="U129">
            <v>2.2448484848484851</v>
          </cell>
        </row>
        <row r="130">
          <cell r="A130">
            <v>68</v>
          </cell>
          <cell r="B130" t="str">
            <v>System Reactive Plant</v>
          </cell>
          <cell r="C130">
            <v>1</v>
          </cell>
          <cell r="D130">
            <v>39417</v>
          </cell>
          <cell r="E130">
            <v>57</v>
          </cell>
          <cell r="F130">
            <v>3</v>
          </cell>
          <cell r="G130">
            <v>38997</v>
          </cell>
          <cell r="H130">
            <v>12</v>
          </cell>
          <cell r="I130" t="str">
            <v>Capacitor Replace</v>
          </cell>
          <cell r="J130">
            <v>14</v>
          </cell>
          <cell r="L130" t="str">
            <v>6.5.35</v>
          </cell>
          <cell r="M130" t="str">
            <v>Poss</v>
          </cell>
          <cell r="N130" t="str">
            <v>Planning</v>
          </cell>
          <cell r="O130" t="str">
            <v>Locations to be Specified 3*200 MVAr Cap Banks - Contract</v>
          </cell>
          <cell r="P130" t="str">
            <v>330CAP</v>
          </cell>
          <cell r="Q130" t="str">
            <v>All</v>
          </cell>
          <cell r="R130">
            <v>6</v>
          </cell>
          <cell r="U130">
            <v>2.6327272727272728</v>
          </cell>
          <cell r="V130">
            <v>3.3672727272727272</v>
          </cell>
        </row>
        <row r="131">
          <cell r="A131">
            <v>69</v>
          </cell>
          <cell r="B131" t="str">
            <v>System Reactive Plant</v>
          </cell>
          <cell r="C131">
            <v>1</v>
          </cell>
          <cell r="D131">
            <v>39417</v>
          </cell>
          <cell r="E131">
            <v>57</v>
          </cell>
          <cell r="F131">
            <v>3</v>
          </cell>
          <cell r="G131">
            <v>38997</v>
          </cell>
          <cell r="H131">
            <v>12</v>
          </cell>
          <cell r="I131" t="str">
            <v>Capacitor Replace</v>
          </cell>
          <cell r="J131">
            <v>14</v>
          </cell>
          <cell r="L131" t="str">
            <v>6.5.35</v>
          </cell>
          <cell r="M131" t="str">
            <v>Poss</v>
          </cell>
          <cell r="N131" t="str">
            <v>Planning</v>
          </cell>
          <cell r="O131" t="str">
            <v xml:space="preserve">Location to be specified - 1*200 MVAr 330kV Bank - Contract </v>
          </cell>
          <cell r="P131" t="str">
            <v>330CAP</v>
          </cell>
          <cell r="Q131" t="str">
            <v>All</v>
          </cell>
          <cell r="R131">
            <v>2</v>
          </cell>
          <cell r="U131">
            <v>0.87757575757575745</v>
          </cell>
          <cell r="V131">
            <v>1.1224242424242425</v>
          </cell>
        </row>
        <row r="132">
          <cell r="A132">
            <v>70</v>
          </cell>
          <cell r="B132" t="str">
            <v>System Reactive Plant</v>
          </cell>
          <cell r="C132">
            <v>1</v>
          </cell>
          <cell r="D132">
            <v>39417</v>
          </cell>
          <cell r="E132">
            <v>57</v>
          </cell>
          <cell r="F132">
            <v>3</v>
          </cell>
          <cell r="G132">
            <v>38997</v>
          </cell>
          <cell r="H132">
            <v>12</v>
          </cell>
          <cell r="I132" t="str">
            <v>Capacitor Replace</v>
          </cell>
          <cell r="J132">
            <v>14</v>
          </cell>
          <cell r="L132" t="str">
            <v>6.5.35</v>
          </cell>
          <cell r="M132" t="str">
            <v>Poss</v>
          </cell>
          <cell r="N132" t="str">
            <v>Planning</v>
          </cell>
          <cell r="O132" t="str">
            <v>Eraring 2*150MVAr 330kV Cap Banks - Contract</v>
          </cell>
          <cell r="P132" t="str">
            <v>330CAP</v>
          </cell>
          <cell r="Q132" t="str">
            <v>Northern</v>
          </cell>
          <cell r="R132">
            <v>4</v>
          </cell>
          <cell r="U132">
            <v>1.7551515151515149</v>
          </cell>
          <cell r="V132">
            <v>2.2448484848484851</v>
          </cell>
        </row>
        <row r="133">
          <cell r="A133" t="str">
            <v>Small Augmentations - Substations</v>
          </cell>
        </row>
        <row r="134">
          <cell r="A134">
            <v>71</v>
          </cell>
          <cell r="B134" t="str">
            <v>Central Coast 330 kV Rearr'ts: 24 Line Turn in</v>
          </cell>
          <cell r="C134">
            <v>1</v>
          </cell>
          <cell r="D134">
            <v>38930</v>
          </cell>
          <cell r="E134">
            <v>8</v>
          </cell>
          <cell r="F134">
            <v>3</v>
          </cell>
          <cell r="G134">
            <v>38210</v>
          </cell>
          <cell r="H134">
            <v>9</v>
          </cell>
          <cell r="I134" t="str">
            <v>330/132kV Aug</v>
          </cell>
          <cell r="J134">
            <v>24</v>
          </cell>
          <cell r="L134" t="str">
            <v>5.3.5</v>
          </cell>
          <cell r="M134" t="str">
            <v>Likely</v>
          </cell>
          <cell r="N134" t="str">
            <v>Proposed</v>
          </cell>
          <cell r="O134" t="str">
            <v>Eraring Switchbay New Line Bays/ Eraring PS 330kV S</v>
          </cell>
          <cell r="P134" t="str">
            <v>TL REF</v>
          </cell>
          <cell r="Q134" t="str">
            <v>Northern</v>
          </cell>
          <cell r="R134">
            <v>2</v>
          </cell>
          <cell r="S134">
            <v>0.18333333333333335</v>
          </cell>
          <cell r="T134">
            <v>1.7614942528735633</v>
          </cell>
          <cell r="U134">
            <v>5.5172413793103454E-2</v>
          </cell>
        </row>
        <row r="135">
          <cell r="A135">
            <v>72</v>
          </cell>
          <cell r="B135" t="str">
            <v>Central Coast 330 kV Rearr'ts: 24 Line Turn in</v>
          </cell>
          <cell r="C135">
            <v>1</v>
          </cell>
          <cell r="D135">
            <v>39295</v>
          </cell>
          <cell r="E135">
            <v>8</v>
          </cell>
          <cell r="F135">
            <v>2</v>
          </cell>
          <cell r="G135">
            <v>38215</v>
          </cell>
          <cell r="H135">
            <v>2</v>
          </cell>
          <cell r="I135" t="str">
            <v>EHV TL -REF</v>
          </cell>
          <cell r="J135">
            <v>36</v>
          </cell>
          <cell r="L135" t="str">
            <v>5.3.5</v>
          </cell>
          <cell r="M135" t="str">
            <v>Likely</v>
          </cell>
          <cell r="N135" t="str">
            <v>Proposed</v>
          </cell>
          <cell r="O135" t="str">
            <v>Connection of 24 Vales Pt - Newcastle line to Eraring</v>
          </cell>
          <cell r="P135" t="str">
            <v>TL REF</v>
          </cell>
          <cell r="Q135" t="str">
            <v>Northern</v>
          </cell>
          <cell r="R135">
            <v>1</v>
          </cell>
          <cell r="S135">
            <v>8.787878787878789E-2</v>
          </cell>
          <cell r="T135">
            <v>0.23070528291767237</v>
          </cell>
          <cell r="U135">
            <v>0.678901962723093</v>
          </cell>
          <cell r="V135">
            <v>2.5139664804469269E-3</v>
          </cell>
        </row>
        <row r="136">
          <cell r="A136">
            <v>73</v>
          </cell>
          <cell r="B136" t="str">
            <v>Central Coast 330 kV Rearr'ts: Vales Point</v>
          </cell>
          <cell r="C136">
            <v>1</v>
          </cell>
          <cell r="D136">
            <v>38930</v>
          </cell>
          <cell r="E136">
            <v>8</v>
          </cell>
          <cell r="F136">
            <v>3</v>
          </cell>
          <cell r="G136">
            <v>38210</v>
          </cell>
          <cell r="H136">
            <v>9</v>
          </cell>
          <cell r="I136" t="str">
            <v>330/132kV Aug</v>
          </cell>
          <cell r="J136">
            <v>24</v>
          </cell>
          <cell r="L136" t="str">
            <v>5.3.6</v>
          </cell>
          <cell r="M136" t="str">
            <v>Likely</v>
          </cell>
          <cell r="N136" t="str">
            <v>Proposed</v>
          </cell>
          <cell r="O136" t="str">
            <v>Rearrangement of lines near Vales Pt</v>
          </cell>
          <cell r="P136" t="str">
            <v>TL REF</v>
          </cell>
          <cell r="Q136" t="str">
            <v>Northern</v>
          </cell>
          <cell r="R136">
            <v>3</v>
          </cell>
          <cell r="S136">
            <v>0.27500000000000002</v>
          </cell>
          <cell r="T136">
            <v>2.6422413793103448</v>
          </cell>
          <cell r="U136">
            <v>8.2758620689655185E-2</v>
          </cell>
        </row>
        <row r="137">
          <cell r="A137">
            <v>74</v>
          </cell>
          <cell r="B137" t="str">
            <v>Coffs Harbour: 89 Line Connections at Armidale</v>
          </cell>
          <cell r="C137">
            <v>1</v>
          </cell>
          <cell r="D137">
            <v>38961</v>
          </cell>
          <cell r="E137">
            <v>10</v>
          </cell>
          <cell r="F137">
            <v>2</v>
          </cell>
          <cell r="G137">
            <v>37881</v>
          </cell>
          <cell r="H137">
            <v>2</v>
          </cell>
          <cell r="I137" t="str">
            <v>EHV TL -REF</v>
          </cell>
          <cell r="J137">
            <v>36</v>
          </cell>
          <cell r="L137" t="str">
            <v>5.3.1</v>
          </cell>
          <cell r="M137" t="str">
            <v>Likely</v>
          </cell>
          <cell r="N137" t="str">
            <v>Proposed</v>
          </cell>
          <cell r="O137" t="str">
            <v>Armidale 89 Line Rearrangement - Contract</v>
          </cell>
          <cell r="P137" t="str">
            <v>TL REF</v>
          </cell>
          <cell r="Q137" t="str">
            <v>Northern</v>
          </cell>
          <cell r="R137">
            <v>1</v>
          </cell>
          <cell r="S137">
            <v>0.17868508089747034</v>
          </cell>
          <cell r="T137">
            <v>0.7323935828348247</v>
          </cell>
          <cell r="U137">
            <v>7.3556797020484163E-3</v>
          </cell>
        </row>
        <row r="138">
          <cell r="A138">
            <v>75</v>
          </cell>
          <cell r="B138" t="str">
            <v>Coffs Harbour: 89 Line Connections at Armidale</v>
          </cell>
          <cell r="C138">
            <v>1</v>
          </cell>
          <cell r="D138">
            <v>38961</v>
          </cell>
          <cell r="E138">
            <v>10</v>
          </cell>
          <cell r="F138">
            <v>3</v>
          </cell>
          <cell r="G138">
            <v>38241</v>
          </cell>
          <cell r="H138">
            <v>9</v>
          </cell>
          <cell r="I138" t="str">
            <v>330/132kV Aug</v>
          </cell>
          <cell r="J138">
            <v>24</v>
          </cell>
          <cell r="L138" t="str">
            <v>5.3.1</v>
          </cell>
          <cell r="M138" t="str">
            <v>Likely</v>
          </cell>
          <cell r="N138" t="str">
            <v>Proposed</v>
          </cell>
          <cell r="O138" t="str">
            <v>Connection of 89 Line at Armidale - Contract</v>
          </cell>
          <cell r="P138" t="str">
            <v>330SS</v>
          </cell>
          <cell r="Q138" t="str">
            <v>Northern</v>
          </cell>
          <cell r="R138">
            <v>4.5</v>
          </cell>
          <cell r="S138">
            <v>0.375</v>
          </cell>
          <cell r="T138">
            <v>3.8508620689655171</v>
          </cell>
          <cell r="U138">
            <v>0.27413793103448275</v>
          </cell>
        </row>
        <row r="139">
          <cell r="A139">
            <v>76</v>
          </cell>
          <cell r="B139" t="str">
            <v>Dapto 330/132 kV Substation - Fault Levels</v>
          </cell>
          <cell r="C139">
            <v>1</v>
          </cell>
          <cell r="D139">
            <v>40513</v>
          </cell>
          <cell r="E139">
            <v>14</v>
          </cell>
          <cell r="F139">
            <v>3</v>
          </cell>
          <cell r="G139">
            <v>39793</v>
          </cell>
          <cell r="H139">
            <v>9</v>
          </cell>
          <cell r="I139" t="str">
            <v>330/132kV Aug</v>
          </cell>
          <cell r="J139">
            <v>24</v>
          </cell>
          <cell r="L139" t="str">
            <v>7.2.22</v>
          </cell>
          <cell r="M139" t="str">
            <v>Future</v>
          </cell>
          <cell r="N139" t="str">
            <v>Planning</v>
          </cell>
          <cell r="O139" t="str">
            <v>Dapto Fault Rating Upgrade (330kV Switchyard upgrade) Daylabour</v>
          </cell>
          <cell r="P139" t="str">
            <v>330SS</v>
          </cell>
          <cell r="Q139" t="str">
            <v>Central</v>
          </cell>
          <cell r="R139">
            <v>3</v>
          </cell>
          <cell r="W139">
            <v>0.17499999999999999</v>
          </cell>
          <cell r="X139">
            <v>2.2809701492537315</v>
          </cell>
          <cell r="Y139">
            <v>0.54402985074626864</v>
          </cell>
        </row>
        <row r="140">
          <cell r="A140">
            <v>77</v>
          </cell>
          <cell r="B140" t="str">
            <v>Dapto Transformer Capacity Limitations</v>
          </cell>
          <cell r="C140">
            <v>1</v>
          </cell>
          <cell r="D140">
            <v>39783</v>
          </cell>
          <cell r="E140">
            <v>15</v>
          </cell>
          <cell r="F140">
            <v>3</v>
          </cell>
          <cell r="G140">
            <v>39063</v>
          </cell>
          <cell r="H140">
            <v>10</v>
          </cell>
          <cell r="I140" t="str">
            <v>132kV Aug</v>
          </cell>
          <cell r="J140">
            <v>24</v>
          </cell>
          <cell r="L140" t="str">
            <v>7.2.18</v>
          </cell>
          <cell r="M140" t="str">
            <v>Future</v>
          </cell>
          <cell r="N140" t="str">
            <v>Planning</v>
          </cell>
          <cell r="O140" t="str">
            <v>Dapto 2*132kV Line Bay - Contract</v>
          </cell>
          <cell r="P140" t="str">
            <v>132SS</v>
          </cell>
          <cell r="Q140" t="str">
            <v>Central</v>
          </cell>
          <cell r="R140">
            <v>1</v>
          </cell>
          <cell r="U140">
            <v>5.8333333333333348E-2</v>
          </cell>
          <cell r="V140">
            <v>0.76032338308457714</v>
          </cell>
          <cell r="W140">
            <v>0.18134328358208951</v>
          </cell>
        </row>
        <row r="141">
          <cell r="A141">
            <v>78</v>
          </cell>
          <cell r="B141" t="str">
            <v>Line Terminal Upratings</v>
          </cell>
          <cell r="C141">
            <v>1</v>
          </cell>
          <cell r="D141">
            <v>40148</v>
          </cell>
          <cell r="E141">
            <v>26</v>
          </cell>
          <cell r="F141">
            <v>1</v>
          </cell>
          <cell r="G141">
            <v>38708</v>
          </cell>
          <cell r="H141">
            <v>3</v>
          </cell>
          <cell r="I141" t="str">
            <v>TL -EIS</v>
          </cell>
          <cell r="J141">
            <v>48</v>
          </cell>
          <cell r="L141" t="str">
            <v>6.5.36</v>
          </cell>
          <cell r="M141" t="str">
            <v>Poss</v>
          </cell>
          <cell r="N141" t="str">
            <v>Proposed</v>
          </cell>
          <cell r="O141" t="str">
            <v>Project to Replace Terminal Equipment by Daylabour</v>
          </cell>
          <cell r="P141" t="str">
            <v>330SS</v>
          </cell>
          <cell r="Q141" t="str">
            <v>Various</v>
          </cell>
          <cell r="R141">
            <v>12</v>
          </cell>
          <cell r="T141">
            <v>0.17230769230769236</v>
          </cell>
          <cell r="U141">
            <v>0.58769230769230796</v>
          </cell>
          <cell r="V141">
            <v>0.872</v>
          </cell>
          <cell r="W141">
            <v>10.133124555160142</v>
          </cell>
          <cell r="X141">
            <v>0.2348754448398577</v>
          </cell>
        </row>
        <row r="142">
          <cell r="A142">
            <v>79</v>
          </cell>
          <cell r="B142" t="str">
            <v>Orange 132 kV Substation Augmentation</v>
          </cell>
          <cell r="C142">
            <v>1</v>
          </cell>
          <cell r="D142">
            <v>39783</v>
          </cell>
          <cell r="E142">
            <v>41</v>
          </cell>
          <cell r="F142">
            <v>3</v>
          </cell>
          <cell r="G142">
            <v>39063</v>
          </cell>
          <cell r="H142">
            <v>10</v>
          </cell>
          <cell r="I142" t="str">
            <v>132kV Aug</v>
          </cell>
          <cell r="J142">
            <v>24</v>
          </cell>
          <cell r="L142" t="str">
            <v>6.5.18</v>
          </cell>
          <cell r="M142" t="str">
            <v>Poss</v>
          </cell>
          <cell r="N142" t="str">
            <v>Proposed</v>
          </cell>
          <cell r="O142" t="str">
            <v>Uprating of Orange 132kV &amp; Transformers - Contract</v>
          </cell>
          <cell r="P142" t="str">
            <v>132SS</v>
          </cell>
          <cell r="Q142" t="str">
            <v>Central</v>
          </cell>
          <cell r="R142">
            <v>14</v>
          </cell>
          <cell r="U142">
            <v>0.81666666666666687</v>
          </cell>
          <cell r="V142">
            <v>10.644527363184082</v>
          </cell>
          <cell r="W142">
            <v>2.5388059701492534</v>
          </cell>
        </row>
        <row r="143">
          <cell r="A143">
            <v>80</v>
          </cell>
          <cell r="B143" t="str">
            <v>Snowy Assets Rehab - UTSS</v>
          </cell>
          <cell r="C143">
            <v>1</v>
          </cell>
          <cell r="D143">
            <v>39783</v>
          </cell>
          <cell r="E143">
            <v>49</v>
          </cell>
          <cell r="F143">
            <v>3</v>
          </cell>
          <cell r="G143">
            <v>38703</v>
          </cell>
          <cell r="H143">
            <v>6</v>
          </cell>
          <cell r="I143" t="str">
            <v>330/132kV Greenfield</v>
          </cell>
          <cell r="J143">
            <v>36</v>
          </cell>
          <cell r="L143" t="str">
            <v>5.3.7</v>
          </cell>
          <cell r="M143" t="str">
            <v>Const</v>
          </cell>
          <cell r="N143" t="str">
            <v>Proposed</v>
          </cell>
          <cell r="O143" t="str">
            <v>Upper Tumut Switching Station (UTSS) Augmentation - Contract</v>
          </cell>
          <cell r="P143" t="str">
            <v>330SS</v>
          </cell>
          <cell r="Q143" t="str">
            <v>Southern</v>
          </cell>
          <cell r="R143">
            <v>7.5</v>
          </cell>
          <cell r="T143">
            <v>0.23333333333333334</v>
          </cell>
          <cell r="U143">
            <v>0.68152173913043501</v>
          </cell>
          <cell r="V143">
            <v>5.722085226043693</v>
          </cell>
          <cell r="W143">
            <v>0.86305970149253741</v>
          </cell>
        </row>
        <row r="144">
          <cell r="A144">
            <v>81</v>
          </cell>
          <cell r="B144" t="str">
            <v>Sydney North 132 kV Fault Level Limits</v>
          </cell>
          <cell r="C144">
            <v>1</v>
          </cell>
          <cell r="D144">
            <v>39783</v>
          </cell>
          <cell r="E144">
            <v>53</v>
          </cell>
          <cell r="F144">
            <v>3</v>
          </cell>
          <cell r="G144">
            <v>39063</v>
          </cell>
          <cell r="H144">
            <v>10</v>
          </cell>
          <cell r="I144" t="str">
            <v>132kV Aug</v>
          </cell>
          <cell r="J144">
            <v>24</v>
          </cell>
          <cell r="L144" t="str">
            <v>6.5.10</v>
          </cell>
          <cell r="M144" t="str">
            <v>Poss</v>
          </cell>
          <cell r="N144" t="str">
            <v>Proposed</v>
          </cell>
          <cell r="O144" t="str">
            <v>Sydney North Upgrade - Contract</v>
          </cell>
          <cell r="P144" t="str">
            <v>132SS</v>
          </cell>
          <cell r="Q144" t="str">
            <v>Central</v>
          </cell>
          <cell r="R144">
            <v>5</v>
          </cell>
          <cell r="U144">
            <v>0.29166666666666674</v>
          </cell>
          <cell r="V144">
            <v>3.801616915422886</v>
          </cell>
          <cell r="W144">
            <v>0.90671641791044766</v>
          </cell>
        </row>
        <row r="145">
          <cell r="A145">
            <v>82</v>
          </cell>
          <cell r="B145" t="str">
            <v>Sydney North 132 kV Fault Level Limits</v>
          </cell>
          <cell r="C145">
            <v>1</v>
          </cell>
          <cell r="D145">
            <v>39783</v>
          </cell>
          <cell r="E145">
            <v>53</v>
          </cell>
          <cell r="F145">
            <v>3</v>
          </cell>
          <cell r="G145">
            <v>39063</v>
          </cell>
          <cell r="H145">
            <v>10</v>
          </cell>
          <cell r="I145" t="str">
            <v>132kV Aug</v>
          </cell>
          <cell r="J145">
            <v>24</v>
          </cell>
          <cell r="L145" t="str">
            <v>6.5.10</v>
          </cell>
          <cell r="M145" t="str">
            <v>Poss</v>
          </cell>
          <cell r="N145" t="str">
            <v>Proposed</v>
          </cell>
          <cell r="O145" t="str">
            <v>Sydney North Upgrade due to 132kV fault Levels</v>
          </cell>
          <cell r="P145" t="str">
            <v>330SS</v>
          </cell>
          <cell r="Q145" t="str">
            <v>Central</v>
          </cell>
          <cell r="R145">
            <v>3</v>
          </cell>
          <cell r="U145">
            <v>0.17499999999999999</v>
          </cell>
          <cell r="V145">
            <v>2.2809701492537315</v>
          </cell>
          <cell r="W145">
            <v>0.54402985074626864</v>
          </cell>
        </row>
        <row r="146">
          <cell r="A146">
            <v>83</v>
          </cell>
          <cell r="B146" t="str">
            <v>Sydney West 132 kV Switchbays</v>
          </cell>
          <cell r="C146">
            <v>1</v>
          </cell>
          <cell r="D146">
            <v>38687</v>
          </cell>
          <cell r="E146">
            <v>54</v>
          </cell>
          <cell r="F146">
            <v>3</v>
          </cell>
          <cell r="G146">
            <v>37967</v>
          </cell>
          <cell r="H146">
            <v>10</v>
          </cell>
          <cell r="I146" t="str">
            <v>132kV Aug</v>
          </cell>
          <cell r="J146">
            <v>24</v>
          </cell>
          <cell r="L146" t="str">
            <v>6.3.2</v>
          </cell>
          <cell r="M146" t="str">
            <v>Poss</v>
          </cell>
          <cell r="N146" t="str">
            <v>Proposed</v>
          </cell>
          <cell r="O146" t="str">
            <v>Sydney West 132kV Switchbays - Contract</v>
          </cell>
          <cell r="P146" t="str">
            <v>132SS</v>
          </cell>
          <cell r="Q146" t="str">
            <v>Central</v>
          </cell>
          <cell r="R146">
            <v>1</v>
          </cell>
          <cell r="S146">
            <v>0.76032338308457714</v>
          </cell>
          <cell r="T146">
            <v>0.18134328358208951</v>
          </cell>
        </row>
        <row r="147">
          <cell r="A147">
            <v>84</v>
          </cell>
          <cell r="B147" t="str">
            <v>Sydney West Fault Level Upgrade</v>
          </cell>
          <cell r="C147">
            <v>1</v>
          </cell>
          <cell r="D147">
            <v>39783</v>
          </cell>
          <cell r="E147">
            <v>54</v>
          </cell>
          <cell r="F147">
            <v>3</v>
          </cell>
          <cell r="G147">
            <v>39063</v>
          </cell>
          <cell r="H147">
            <v>9</v>
          </cell>
          <cell r="I147" t="str">
            <v>330/132kV Aug</v>
          </cell>
          <cell r="J147">
            <v>24</v>
          </cell>
          <cell r="L147" t="str">
            <v>6.5.11</v>
          </cell>
          <cell r="M147" t="str">
            <v>Poss</v>
          </cell>
          <cell r="N147" t="str">
            <v>Proposed</v>
          </cell>
          <cell r="O147" t="str">
            <v>Sydney West 330kV Fault Level Upgrade - Contract</v>
          </cell>
          <cell r="P147" t="str">
            <v>330SS</v>
          </cell>
          <cell r="Q147" t="str">
            <v>Central</v>
          </cell>
          <cell r="R147">
            <v>3.5</v>
          </cell>
          <cell r="U147">
            <v>0.20416666666666672</v>
          </cell>
          <cell r="V147">
            <v>2.6611318407960205</v>
          </cell>
          <cell r="W147">
            <v>0.63470149253731334</v>
          </cell>
        </row>
        <row r="148">
          <cell r="A148">
            <v>85</v>
          </cell>
          <cell r="B148" t="str">
            <v>Tuggerah supply</v>
          </cell>
          <cell r="C148">
            <v>1</v>
          </cell>
          <cell r="D148">
            <v>39052</v>
          </cell>
          <cell r="E148">
            <v>59</v>
          </cell>
          <cell r="F148">
            <v>3</v>
          </cell>
          <cell r="G148">
            <v>38332</v>
          </cell>
          <cell r="H148">
            <v>10</v>
          </cell>
          <cell r="I148" t="str">
            <v>132kV Aug</v>
          </cell>
          <cell r="J148">
            <v>24</v>
          </cell>
          <cell r="L148" t="str">
            <v>6.5.9</v>
          </cell>
          <cell r="M148" t="str">
            <v>Poss</v>
          </cell>
          <cell r="N148" t="str">
            <v>Planning</v>
          </cell>
          <cell r="O148" t="str">
            <v>Tuggerah Stage 2 - 132kV Augmentations - Contract</v>
          </cell>
          <cell r="P148" t="str">
            <v>132SS</v>
          </cell>
          <cell r="Q148" t="str">
            <v>Northern</v>
          </cell>
          <cell r="R148">
            <v>2</v>
          </cell>
          <cell r="S148">
            <v>0.1166666666666667</v>
          </cell>
          <cell r="T148">
            <v>1.5206467661691543</v>
          </cell>
          <cell r="U148">
            <v>0.36268656716417902</v>
          </cell>
        </row>
        <row r="149">
          <cell r="A149">
            <v>86</v>
          </cell>
          <cell r="B149" t="str">
            <v>Vineyard 330 kV Substation - 132 kV Switchbays</v>
          </cell>
          <cell r="C149">
            <v>1</v>
          </cell>
          <cell r="D149">
            <v>39052</v>
          </cell>
          <cell r="E149">
            <v>60</v>
          </cell>
          <cell r="F149">
            <v>3</v>
          </cell>
          <cell r="G149">
            <v>38332</v>
          </cell>
          <cell r="H149">
            <v>10</v>
          </cell>
          <cell r="I149" t="str">
            <v>132kV Aug</v>
          </cell>
          <cell r="J149">
            <v>24</v>
          </cell>
          <cell r="L149" t="str">
            <v>5.2.5</v>
          </cell>
          <cell r="M149" t="str">
            <v>Const</v>
          </cell>
          <cell r="N149" t="str">
            <v>Proposed</v>
          </cell>
          <cell r="O149" t="str">
            <v>Vineyard 132 kV  Line Bay(s) - Contract</v>
          </cell>
          <cell r="P149" t="str">
            <v>132SS</v>
          </cell>
          <cell r="Q149" t="str">
            <v>Central</v>
          </cell>
          <cell r="R149">
            <v>2</v>
          </cell>
          <cell r="S149">
            <v>0.1166666666666667</v>
          </cell>
          <cell r="T149">
            <v>1.5206467661691543</v>
          </cell>
          <cell r="U149">
            <v>0.36268656716417902</v>
          </cell>
        </row>
        <row r="150">
          <cell r="A150">
            <v>87</v>
          </cell>
          <cell r="B150" t="str">
            <v>Wollar - Wellington 330 kV Line &amp; Wollar 330 kV Sw Stn</v>
          </cell>
          <cell r="C150">
            <v>1</v>
          </cell>
          <cell r="D150">
            <v>39417</v>
          </cell>
          <cell r="E150">
            <v>65</v>
          </cell>
          <cell r="F150">
            <v>3</v>
          </cell>
          <cell r="G150">
            <v>38697</v>
          </cell>
          <cell r="H150">
            <v>9</v>
          </cell>
          <cell r="I150" t="str">
            <v>330/132kV Aug</v>
          </cell>
          <cell r="J150">
            <v>24</v>
          </cell>
          <cell r="L150" t="str">
            <v>5.3.4</v>
          </cell>
          <cell r="M150" t="str">
            <v>Likely</v>
          </cell>
          <cell r="N150" t="str">
            <v>Committed</v>
          </cell>
          <cell r="O150" t="str">
            <v>Wellington Substation- Installation of Shunt Reactors</v>
          </cell>
          <cell r="P150" t="str">
            <v>330CAP</v>
          </cell>
          <cell r="Q150" t="str">
            <v>Central</v>
          </cell>
          <cell r="R150">
            <v>9</v>
          </cell>
          <cell r="T150">
            <v>0.52500000000000002</v>
          </cell>
          <cell r="U150">
            <v>6.8429104477611933</v>
          </cell>
          <cell r="V150">
            <v>1.6320895522388059</v>
          </cell>
        </row>
        <row r="151">
          <cell r="A151" t="str">
            <v>Small Augmentations - Transformers</v>
          </cell>
        </row>
        <row r="152">
          <cell r="A152">
            <v>88</v>
          </cell>
          <cell r="B152" t="str">
            <v>Armidale, Mrln, Vales, Vinyd,Well'ton,&amp; Yass 330 kV Txs</v>
          </cell>
          <cell r="C152">
            <v>1</v>
          </cell>
          <cell r="D152">
            <v>38749</v>
          </cell>
          <cell r="E152">
            <v>3</v>
          </cell>
          <cell r="F152">
            <v>3</v>
          </cell>
          <cell r="G152">
            <v>38209</v>
          </cell>
          <cell r="H152">
            <v>11</v>
          </cell>
          <cell r="I152" t="str">
            <v>Transformer Replace</v>
          </cell>
          <cell r="J152">
            <v>18</v>
          </cell>
          <cell r="L152" t="str">
            <v>6.3.1</v>
          </cell>
          <cell r="M152" t="str">
            <v>Likely</v>
          </cell>
          <cell r="N152" t="str">
            <v>Planning</v>
          </cell>
          <cell r="O152" t="str">
            <v>Wellington Tx Replacement 2x375MVA tx - contract</v>
          </cell>
          <cell r="P152" t="str">
            <v>330TX</v>
          </cell>
          <cell r="Q152" t="str">
            <v>Central</v>
          </cell>
          <cell r="R152">
            <v>6</v>
          </cell>
          <cell r="S152">
            <v>1.8717391304347832</v>
          </cell>
          <cell r="T152">
            <v>4.1282608695652172</v>
          </cell>
        </row>
        <row r="153">
          <cell r="A153">
            <v>89</v>
          </cell>
          <cell r="B153" t="str">
            <v>Armidale, Mrln, Vales, Vinyd,Well'ton,&amp; Yass 330 kV Txs</v>
          </cell>
          <cell r="C153">
            <v>1</v>
          </cell>
          <cell r="D153">
            <v>38749</v>
          </cell>
          <cell r="E153">
            <v>3</v>
          </cell>
          <cell r="F153">
            <v>3</v>
          </cell>
          <cell r="G153">
            <v>38209</v>
          </cell>
          <cell r="H153">
            <v>11</v>
          </cell>
          <cell r="I153" t="str">
            <v>Transformer Replace</v>
          </cell>
          <cell r="J153">
            <v>18</v>
          </cell>
          <cell r="L153" t="str">
            <v>6.3.1</v>
          </cell>
          <cell r="M153" t="str">
            <v>Likely</v>
          </cell>
          <cell r="N153" t="str">
            <v>Proposed</v>
          </cell>
          <cell r="O153" t="str">
            <v>Vineyard 330kV SS No.1 new Tx  - Contract</v>
          </cell>
          <cell r="P153" t="str">
            <v>330TX</v>
          </cell>
          <cell r="Q153" t="str">
            <v>Central</v>
          </cell>
          <cell r="R153">
            <v>5</v>
          </cell>
          <cell r="S153">
            <v>1.5597826086956528</v>
          </cell>
          <cell r="T153">
            <v>3.4402173913043477</v>
          </cell>
        </row>
        <row r="154">
          <cell r="A154">
            <v>90</v>
          </cell>
          <cell r="B154" t="str">
            <v>Armidale, Mrln, Vales, Vinyd,Well'ton,&amp; Yass 330 kV Txs</v>
          </cell>
          <cell r="C154">
            <v>1</v>
          </cell>
          <cell r="D154">
            <v>39417</v>
          </cell>
          <cell r="E154">
            <v>3</v>
          </cell>
          <cell r="F154">
            <v>3</v>
          </cell>
          <cell r="G154">
            <v>38877</v>
          </cell>
          <cell r="H154">
            <v>11</v>
          </cell>
          <cell r="I154" t="str">
            <v>Transformer Replace</v>
          </cell>
          <cell r="J154">
            <v>18</v>
          </cell>
          <cell r="L154" t="str">
            <v>6.3.1</v>
          </cell>
          <cell r="M154" t="str">
            <v>Likely</v>
          </cell>
          <cell r="N154" t="str">
            <v>Planning</v>
          </cell>
          <cell r="O154" t="str">
            <v>Marulan 330/132kV 200MVAr Tx Replacement - contract</v>
          </cell>
          <cell r="P154" t="str">
            <v>330TX</v>
          </cell>
          <cell r="Q154" t="str">
            <v>Central</v>
          </cell>
          <cell r="R154">
            <v>6</v>
          </cell>
          <cell r="T154">
            <v>0.03</v>
          </cell>
          <cell r="U154">
            <v>4.47</v>
          </cell>
          <cell r="V154">
            <v>1.5</v>
          </cell>
        </row>
        <row r="155">
          <cell r="A155">
            <v>91</v>
          </cell>
          <cell r="B155" t="str">
            <v>Cowra 132/66 kV Tx Limitations</v>
          </cell>
          <cell r="C155">
            <v>1</v>
          </cell>
          <cell r="D155">
            <v>39417</v>
          </cell>
          <cell r="E155">
            <v>12</v>
          </cell>
          <cell r="F155">
            <v>3</v>
          </cell>
          <cell r="G155">
            <v>38697</v>
          </cell>
          <cell r="H155">
            <v>10</v>
          </cell>
          <cell r="I155" t="str">
            <v>132kV Aug</v>
          </cell>
          <cell r="J155">
            <v>24</v>
          </cell>
          <cell r="L155" t="str">
            <v>6.5.21</v>
          </cell>
          <cell r="M155" t="str">
            <v>Poss</v>
          </cell>
          <cell r="N155" t="str">
            <v>Future</v>
          </cell>
          <cell r="O155" t="str">
            <v>Replace 2x132/66kV Transformers (60MVA) (refurbishment for ss) Contract</v>
          </cell>
          <cell r="P155" t="str">
            <v>132TX</v>
          </cell>
          <cell r="Q155" t="str">
            <v>Central</v>
          </cell>
          <cell r="R155">
            <v>6</v>
          </cell>
          <cell r="T155">
            <v>0.35</v>
          </cell>
          <cell r="U155">
            <v>4.5619402985074631</v>
          </cell>
          <cell r="V155">
            <v>1.0880597014925373</v>
          </cell>
        </row>
        <row r="156">
          <cell r="A156">
            <v>92</v>
          </cell>
          <cell r="B156" t="str">
            <v>Dapto Transformer Capacity Limitations</v>
          </cell>
          <cell r="C156">
            <v>1</v>
          </cell>
          <cell r="D156">
            <v>39783</v>
          </cell>
          <cell r="E156">
            <v>15</v>
          </cell>
          <cell r="F156">
            <v>3</v>
          </cell>
          <cell r="G156">
            <v>39243</v>
          </cell>
          <cell r="H156">
            <v>11</v>
          </cell>
          <cell r="I156" t="str">
            <v>Transformer Replace</v>
          </cell>
          <cell r="J156">
            <v>18</v>
          </cell>
          <cell r="L156" t="str">
            <v>7.2.18</v>
          </cell>
          <cell r="M156" t="str">
            <v>Future</v>
          </cell>
          <cell r="N156" t="str">
            <v>Planning</v>
          </cell>
          <cell r="O156" t="str">
            <v>Dapto 330/132kV 375MVAr Transformer - Contract</v>
          </cell>
          <cell r="P156" t="str">
            <v>330TX</v>
          </cell>
          <cell r="Q156" t="str">
            <v>Central</v>
          </cell>
          <cell r="R156">
            <v>5</v>
          </cell>
          <cell r="U156">
            <v>2.5000000000000001E-2</v>
          </cell>
          <cell r="V156">
            <v>3.7250000000000001</v>
          </cell>
          <cell r="W156">
            <v>1.25</v>
          </cell>
        </row>
        <row r="157">
          <cell r="A157">
            <v>93</v>
          </cell>
          <cell r="B157" t="str">
            <v>Deniliquin Tx Rating Limits</v>
          </cell>
          <cell r="C157">
            <v>1</v>
          </cell>
          <cell r="D157">
            <v>40148</v>
          </cell>
          <cell r="E157">
            <v>17</v>
          </cell>
          <cell r="F157">
            <v>3</v>
          </cell>
          <cell r="G157">
            <v>39608</v>
          </cell>
          <cell r="H157">
            <v>11</v>
          </cell>
          <cell r="I157" t="str">
            <v>Transformer Replace</v>
          </cell>
          <cell r="J157">
            <v>18</v>
          </cell>
          <cell r="L157" t="str">
            <v>7.2.21</v>
          </cell>
          <cell r="M157" t="str">
            <v>Future</v>
          </cell>
          <cell r="N157" t="str">
            <v>Planning</v>
          </cell>
          <cell r="O157" t="str">
            <v>Deniliquin 132/66 kV Tx replacement - 2x120MVA - Contract</v>
          </cell>
          <cell r="P157" t="str">
            <v>132TX</v>
          </cell>
          <cell r="Q157" t="str">
            <v>Southern</v>
          </cell>
          <cell r="R157">
            <v>2</v>
          </cell>
          <cell r="V157">
            <v>0.01</v>
          </cell>
          <cell r="W157">
            <v>1.49</v>
          </cell>
          <cell r="X157">
            <v>0.5</v>
          </cell>
        </row>
        <row r="158">
          <cell r="A158">
            <v>94</v>
          </cell>
          <cell r="B158" t="str">
            <v>Finley 132/66kV Tx Capacity Limits</v>
          </cell>
          <cell r="C158">
            <v>1</v>
          </cell>
          <cell r="D158">
            <v>39052</v>
          </cell>
          <cell r="E158">
            <v>18</v>
          </cell>
          <cell r="F158">
            <v>3</v>
          </cell>
          <cell r="G158">
            <v>38332</v>
          </cell>
          <cell r="H158">
            <v>10</v>
          </cell>
          <cell r="I158" t="str">
            <v>132kV Aug</v>
          </cell>
          <cell r="J158">
            <v>24</v>
          </cell>
          <cell r="L158" t="str">
            <v>6.5.30</v>
          </cell>
          <cell r="M158" t="str">
            <v>Poss</v>
          </cell>
          <cell r="N158" t="str">
            <v>Planning</v>
          </cell>
          <cell r="O158" t="str">
            <v xml:space="preserve">Finley Substation Augmentation (2nd Tx) Contract </v>
          </cell>
          <cell r="P158" t="str">
            <v>132SS</v>
          </cell>
          <cell r="Q158" t="str">
            <v>Southern</v>
          </cell>
          <cell r="R158">
            <v>5</v>
          </cell>
          <cell r="S158">
            <v>0.29166666666666674</v>
          </cell>
          <cell r="T158">
            <v>3.801616915422886</v>
          </cell>
          <cell r="U158">
            <v>0.90671641791044766</v>
          </cell>
        </row>
        <row r="159">
          <cell r="A159">
            <v>95</v>
          </cell>
          <cell r="B159" t="str">
            <v>Kempsey 132/33 kV Tx Capacity Limitations</v>
          </cell>
          <cell r="C159">
            <v>1</v>
          </cell>
          <cell r="D159">
            <v>39417</v>
          </cell>
          <cell r="E159">
            <v>25</v>
          </cell>
          <cell r="F159">
            <v>3</v>
          </cell>
          <cell r="G159">
            <v>38877</v>
          </cell>
          <cell r="H159">
            <v>11</v>
          </cell>
          <cell r="I159" t="str">
            <v>Transformer Replace</v>
          </cell>
          <cell r="J159">
            <v>18</v>
          </cell>
          <cell r="L159" t="str">
            <v>7.2.14</v>
          </cell>
          <cell r="M159" t="str">
            <v>Future</v>
          </cell>
          <cell r="N159" t="str">
            <v>Planning</v>
          </cell>
          <cell r="O159" t="str">
            <v>Kempsey 2*60MVA 132/33kV Tx Replacement - Contract</v>
          </cell>
          <cell r="P159" t="str">
            <v>132TX</v>
          </cell>
          <cell r="Q159" t="str">
            <v>Northern</v>
          </cell>
          <cell r="R159">
            <v>4.5</v>
          </cell>
          <cell r="T159">
            <v>2.2499999999999999E-2</v>
          </cell>
          <cell r="U159">
            <v>3.3525</v>
          </cell>
          <cell r="V159">
            <v>1.125</v>
          </cell>
        </row>
        <row r="160">
          <cell r="A160">
            <v>96</v>
          </cell>
          <cell r="B160" t="str">
            <v>Parkes area supply</v>
          </cell>
          <cell r="C160">
            <v>1</v>
          </cell>
          <cell r="D160">
            <v>39052</v>
          </cell>
          <cell r="E160">
            <v>42</v>
          </cell>
          <cell r="F160">
            <v>3</v>
          </cell>
          <cell r="G160">
            <v>38512</v>
          </cell>
          <cell r="H160">
            <v>11</v>
          </cell>
          <cell r="I160" t="str">
            <v>Transformer Replace</v>
          </cell>
          <cell r="J160">
            <v>18</v>
          </cell>
          <cell r="L160" t="str">
            <v>6.5.19</v>
          </cell>
          <cell r="M160" t="str">
            <v>Poss</v>
          </cell>
          <cell r="N160" t="str">
            <v>Planning</v>
          </cell>
          <cell r="O160" t="str">
            <v>Parkes 132/66 kV 2nd Tx SS Aug - Contract</v>
          </cell>
          <cell r="P160" t="str">
            <v>132TX</v>
          </cell>
          <cell r="Q160" t="str">
            <v>Central</v>
          </cell>
          <cell r="R160">
            <v>5</v>
          </cell>
          <cell r="S160">
            <v>2.5000000000000001E-2</v>
          </cell>
          <cell r="T160">
            <v>3.7250000000000001</v>
          </cell>
          <cell r="U160">
            <v>1.25</v>
          </cell>
        </row>
        <row r="161">
          <cell r="A161">
            <v>97</v>
          </cell>
          <cell r="B161" t="str">
            <v>Port Macquarie 132/33 kV Transformer Replacement</v>
          </cell>
          <cell r="C161">
            <v>1</v>
          </cell>
          <cell r="D161">
            <v>38991</v>
          </cell>
          <cell r="E161">
            <v>44</v>
          </cell>
          <cell r="F161">
            <v>3</v>
          </cell>
          <cell r="G161">
            <v>38271</v>
          </cell>
          <cell r="H161">
            <v>10</v>
          </cell>
          <cell r="I161" t="str">
            <v>132kV Aug</v>
          </cell>
          <cell r="J161">
            <v>24</v>
          </cell>
          <cell r="L161" t="str">
            <v>5.3.3</v>
          </cell>
          <cell r="M161" t="str">
            <v>Likely</v>
          </cell>
          <cell r="N161" t="str">
            <v>Proposed</v>
          </cell>
          <cell r="O161" t="str">
            <v>Port Macquarie Tx Replacement - Contract</v>
          </cell>
          <cell r="P161" t="str">
            <v>132TX</v>
          </cell>
          <cell r="Q161" t="str">
            <v>Northern</v>
          </cell>
          <cell r="R161">
            <v>2.8333333333333335</v>
          </cell>
          <cell r="S161">
            <v>0.21249999999999999</v>
          </cell>
          <cell r="T161">
            <v>2.3374999999999999</v>
          </cell>
          <cell r="U161">
            <v>0.28333333333333333</v>
          </cell>
        </row>
        <row r="162">
          <cell r="A162">
            <v>98</v>
          </cell>
          <cell r="B162" t="str">
            <v>Replacement of Two 330/132 kV Txs at Sydney South</v>
          </cell>
          <cell r="C162">
            <v>1</v>
          </cell>
          <cell r="D162">
            <v>39417</v>
          </cell>
          <cell r="E162">
            <v>46</v>
          </cell>
          <cell r="F162">
            <v>3</v>
          </cell>
          <cell r="G162">
            <v>38697</v>
          </cell>
          <cell r="H162">
            <v>9</v>
          </cell>
          <cell r="I162" t="str">
            <v>330/132kV Aug</v>
          </cell>
          <cell r="J162">
            <v>24</v>
          </cell>
          <cell r="L162" t="str">
            <v>7.2.17</v>
          </cell>
          <cell r="M162" t="str">
            <v>Future</v>
          </cell>
          <cell r="N162" t="str">
            <v>Planning</v>
          </cell>
          <cell r="O162" t="str">
            <v>Sydney South #3 &amp; #4 Tx Replacement  - Contract</v>
          </cell>
          <cell r="P162" t="str">
            <v>330TX</v>
          </cell>
          <cell r="Q162" t="str">
            <v>Central</v>
          </cell>
          <cell r="R162">
            <v>12</v>
          </cell>
          <cell r="T162">
            <v>0.7</v>
          </cell>
          <cell r="U162">
            <v>9.1238805970149262</v>
          </cell>
          <cell r="V162">
            <v>2.1761194029850746</v>
          </cell>
        </row>
        <row r="163">
          <cell r="A163">
            <v>99</v>
          </cell>
          <cell r="B163" t="str">
            <v>Tuggerah supply</v>
          </cell>
          <cell r="C163">
            <v>1</v>
          </cell>
          <cell r="D163">
            <v>39783</v>
          </cell>
          <cell r="E163">
            <v>59</v>
          </cell>
          <cell r="F163">
            <v>3</v>
          </cell>
          <cell r="G163">
            <v>39063</v>
          </cell>
          <cell r="H163">
            <v>9</v>
          </cell>
          <cell r="I163" t="str">
            <v>330/132kV Aug</v>
          </cell>
          <cell r="J163">
            <v>24</v>
          </cell>
          <cell r="L163" t="str">
            <v>6.5.9</v>
          </cell>
          <cell r="M163" t="str">
            <v>Poss</v>
          </cell>
          <cell r="N163" t="str">
            <v>Planning</v>
          </cell>
          <cell r="O163" t="str">
            <v>Tuggerah Stage 1 - 330kV &amp; Tx - Contract</v>
          </cell>
          <cell r="P163" t="str">
            <v>330SS</v>
          </cell>
          <cell r="Q163" t="str">
            <v>Northern</v>
          </cell>
          <cell r="R163">
            <v>8</v>
          </cell>
          <cell r="U163">
            <v>0.46666666666666679</v>
          </cell>
          <cell r="V163">
            <v>6.0825870646766171</v>
          </cell>
          <cell r="W163">
            <v>1.4507462686567161</v>
          </cell>
        </row>
        <row r="164">
          <cell r="A164">
            <v>100</v>
          </cell>
          <cell r="B164" t="str">
            <v>Yanco 132/66kV Tx Capacity Limits</v>
          </cell>
          <cell r="C164">
            <v>1</v>
          </cell>
          <cell r="D164">
            <v>40148</v>
          </cell>
          <cell r="E164">
            <v>66</v>
          </cell>
          <cell r="F164">
            <v>3</v>
          </cell>
          <cell r="G164">
            <v>39608</v>
          </cell>
          <cell r="H164">
            <v>11</v>
          </cell>
          <cell r="I164" t="str">
            <v>Transformer Replace</v>
          </cell>
          <cell r="J164">
            <v>18</v>
          </cell>
          <cell r="L164" t="str">
            <v>7.2.20</v>
          </cell>
          <cell r="M164" t="str">
            <v>Future</v>
          </cell>
          <cell r="N164" t="str">
            <v>Planning</v>
          </cell>
          <cell r="O164" t="str">
            <v>Yanco 132/33kV SS Tx Upgrade - Contract</v>
          </cell>
          <cell r="P164" t="str">
            <v>132TX</v>
          </cell>
          <cell r="Q164" t="str">
            <v>Southern</v>
          </cell>
          <cell r="R164">
            <v>2</v>
          </cell>
          <cell r="V164">
            <v>0.01</v>
          </cell>
          <cell r="W164">
            <v>1.49</v>
          </cell>
          <cell r="X164">
            <v>0.5</v>
          </cell>
        </row>
        <row r="165">
          <cell r="A165">
            <v>101</v>
          </cell>
          <cell r="B165" t="str">
            <v>Holroyd Complex - Stage 1 Holroyd 132kV SwStn</v>
          </cell>
          <cell r="C165">
            <v>1</v>
          </cell>
          <cell r="D165">
            <v>39783</v>
          </cell>
          <cell r="E165">
            <v>21</v>
          </cell>
          <cell r="F165">
            <v>3</v>
          </cell>
          <cell r="G165">
            <v>38883</v>
          </cell>
          <cell r="H165">
            <v>7</v>
          </cell>
          <cell r="I165" t="str">
            <v>132kV Greenfield</v>
          </cell>
          <cell r="J165">
            <v>30</v>
          </cell>
          <cell r="L165" t="str">
            <v>6.5.15</v>
          </cell>
          <cell r="M165" t="str">
            <v>Poss</v>
          </cell>
          <cell r="N165" t="str">
            <v>Proposed</v>
          </cell>
          <cell r="O165" t="str">
            <v xml:space="preserve"> Establish Holroyd 132kV Switching Station - Contract</v>
          </cell>
          <cell r="P165" t="str">
            <v>132SS</v>
          </cell>
          <cell r="Q165" t="str">
            <v>Central</v>
          </cell>
          <cell r="R165">
            <v>6</v>
          </cell>
          <cell r="T165">
            <v>1.0714285714285714E-2</v>
          </cell>
          <cell r="U165">
            <v>0.51428571428571446</v>
          </cell>
          <cell r="V165">
            <v>4.6761940298507456</v>
          </cell>
          <cell r="W165">
            <v>0.79880597014925392</v>
          </cell>
        </row>
        <row r="166">
          <cell r="A166">
            <v>102</v>
          </cell>
          <cell r="B166" t="str">
            <v>Holroyd Complex - Stage 1 Holroyd 132kV SwStn</v>
          </cell>
          <cell r="C166">
            <v>1</v>
          </cell>
          <cell r="D166">
            <v>39783</v>
          </cell>
          <cell r="E166">
            <v>21</v>
          </cell>
          <cell r="F166">
            <v>2</v>
          </cell>
          <cell r="G166">
            <v>39063</v>
          </cell>
          <cell r="H166">
            <v>4</v>
          </cell>
          <cell r="I166" t="str">
            <v>TL -REF</v>
          </cell>
          <cell r="J166">
            <v>24</v>
          </cell>
          <cell r="L166" t="str">
            <v>6.5.15</v>
          </cell>
          <cell r="M166" t="str">
            <v>Poss</v>
          </cell>
          <cell r="N166" t="str">
            <v>Proposed</v>
          </cell>
          <cell r="O166" t="str">
            <v xml:space="preserve"> Establish Holroyd 132kV Outlets - Contract</v>
          </cell>
          <cell r="P166" t="str">
            <v>TL REF</v>
          </cell>
          <cell r="Q166" t="str">
            <v>Central</v>
          </cell>
          <cell r="R166">
            <v>3</v>
          </cell>
          <cell r="U166">
            <v>0.25431034482758619</v>
          </cell>
          <cell r="V166">
            <v>2.2005677039529021</v>
          </cell>
          <cell r="W166">
            <v>0.54512195121951201</v>
          </cell>
        </row>
        <row r="167">
          <cell r="A167">
            <v>103</v>
          </cell>
          <cell r="B167" t="str">
            <v>Holroyd Complex - Stage 2 330/132kV Substation</v>
          </cell>
          <cell r="C167">
            <v>1</v>
          </cell>
          <cell r="D167">
            <v>40148</v>
          </cell>
          <cell r="E167">
            <v>21</v>
          </cell>
          <cell r="F167">
            <v>2</v>
          </cell>
          <cell r="G167">
            <v>39068</v>
          </cell>
          <cell r="H167">
            <v>2</v>
          </cell>
          <cell r="I167" t="str">
            <v>EHV TL -REF</v>
          </cell>
          <cell r="J167">
            <v>36</v>
          </cell>
          <cell r="L167" t="str">
            <v>6.5.14</v>
          </cell>
          <cell r="M167" t="str">
            <v>Poss</v>
          </cell>
          <cell r="N167" t="str">
            <v>Proposed</v>
          </cell>
          <cell r="O167" t="str">
            <v>Holroyd Stage 2 Line works - Contract</v>
          </cell>
          <cell r="P167" t="str">
            <v>TL EIS</v>
          </cell>
          <cell r="Q167" t="str">
            <v>Central</v>
          </cell>
          <cell r="R167">
            <v>12</v>
          </cell>
          <cell r="U167">
            <v>0.56000000000000005</v>
          </cell>
          <cell r="V167">
            <v>1.1692035398230087</v>
          </cell>
          <cell r="W167">
            <v>9.8406288624116272</v>
          </cell>
          <cell r="X167">
            <v>0.43016759776536317</v>
          </cell>
        </row>
        <row r="168">
          <cell r="A168">
            <v>104</v>
          </cell>
          <cell r="B168" t="str">
            <v>Holroyd Complex - Stage 2 330/132kV Substation</v>
          </cell>
          <cell r="C168">
            <v>1</v>
          </cell>
          <cell r="D168">
            <v>40148</v>
          </cell>
          <cell r="E168">
            <v>21</v>
          </cell>
          <cell r="F168">
            <v>3</v>
          </cell>
          <cell r="G168">
            <v>39428</v>
          </cell>
          <cell r="H168">
            <v>9</v>
          </cell>
          <cell r="I168" t="str">
            <v>330/132kV Aug</v>
          </cell>
          <cell r="J168">
            <v>24</v>
          </cell>
          <cell r="L168" t="str">
            <v>6.5.14</v>
          </cell>
          <cell r="M168" t="str">
            <v>Poss</v>
          </cell>
          <cell r="N168" t="str">
            <v>Proposed</v>
          </cell>
          <cell r="O168" t="str">
            <v>Establish Holroyd 330/132kV Substation - Contract</v>
          </cell>
          <cell r="P168" t="str">
            <v>330SS</v>
          </cell>
          <cell r="Q168" t="str">
            <v>Central</v>
          </cell>
          <cell r="R168">
            <v>18</v>
          </cell>
          <cell r="V168">
            <v>1.05</v>
          </cell>
          <cell r="W168">
            <v>13.685820895522387</v>
          </cell>
          <cell r="X168">
            <v>3.2641791044776118</v>
          </cell>
        </row>
        <row r="169">
          <cell r="A169">
            <v>105</v>
          </cell>
          <cell r="B169" t="str">
            <v>Holroyd Complex - Stage 2 330/132kV Substation</v>
          </cell>
          <cell r="C169">
            <v>1</v>
          </cell>
          <cell r="D169">
            <v>40148</v>
          </cell>
          <cell r="E169">
            <v>21</v>
          </cell>
          <cell r="F169">
            <v>2</v>
          </cell>
          <cell r="G169">
            <v>39428</v>
          </cell>
          <cell r="H169">
            <v>4</v>
          </cell>
          <cell r="I169" t="str">
            <v>TL -REF</v>
          </cell>
          <cell r="J169">
            <v>24</v>
          </cell>
          <cell r="L169" t="str">
            <v>6.5.14</v>
          </cell>
          <cell r="M169" t="str">
            <v>Poss</v>
          </cell>
          <cell r="N169" t="str">
            <v>Proposed</v>
          </cell>
          <cell r="O169" t="str">
            <v>Holroyd Stage 2 - Easement Services Crossing Contract</v>
          </cell>
          <cell r="P169" t="str">
            <v>TL REF</v>
          </cell>
          <cell r="Q169" t="str">
            <v>Central</v>
          </cell>
          <cell r="R169">
            <v>6</v>
          </cell>
          <cell r="V169">
            <v>0.50862068965517238</v>
          </cell>
          <cell r="W169">
            <v>4.4011354079058043</v>
          </cell>
          <cell r="X169">
            <v>1.090243902439024</v>
          </cell>
        </row>
        <row r="170">
          <cell r="A170">
            <v>106</v>
          </cell>
          <cell r="B170" t="str">
            <v>Holroyd Complex - Stage 3 Reinforce 330kV Capacity</v>
          </cell>
          <cell r="C170">
            <v>1</v>
          </cell>
          <cell r="D170">
            <v>40513</v>
          </cell>
          <cell r="E170">
            <v>21</v>
          </cell>
          <cell r="F170">
            <v>1</v>
          </cell>
          <cell r="G170">
            <v>38713</v>
          </cell>
          <cell r="H170">
            <v>1</v>
          </cell>
          <cell r="I170" t="str">
            <v>EHV TL -EIS</v>
          </cell>
          <cell r="J170">
            <v>60</v>
          </cell>
          <cell r="L170" t="str">
            <v>6.5.14</v>
          </cell>
          <cell r="M170" t="str">
            <v>Poss</v>
          </cell>
          <cell r="N170" t="str">
            <v>Proposed</v>
          </cell>
          <cell r="O170" t="str">
            <v>Holroyd - Stage 3 Line Works Contract</v>
          </cell>
          <cell r="P170" t="str">
            <v>TL EIS</v>
          </cell>
          <cell r="Q170" t="str">
            <v>Central</v>
          </cell>
          <cell r="R170">
            <v>20</v>
          </cell>
          <cell r="T170">
            <v>0.1866666666666667</v>
          </cell>
          <cell r="U170">
            <v>0.82666666666666688</v>
          </cell>
          <cell r="V170">
            <v>0.67440860215053788</v>
          </cell>
          <cell r="W170">
            <v>1.8580645161290319</v>
          </cell>
          <cell r="X170">
            <v>16.137954232147781</v>
          </cell>
          <cell r="Y170">
            <v>0.31623931623931634</v>
          </cell>
        </row>
        <row r="171">
          <cell r="A171">
            <v>107</v>
          </cell>
          <cell r="B171" t="str">
            <v>Holroyd Complex - Stage 3 Reinforce 330kV Capacity</v>
          </cell>
          <cell r="C171">
            <v>1</v>
          </cell>
          <cell r="D171">
            <v>40513</v>
          </cell>
          <cell r="E171">
            <v>21</v>
          </cell>
          <cell r="F171">
            <v>1</v>
          </cell>
          <cell r="G171">
            <v>39073</v>
          </cell>
          <cell r="H171">
            <v>3</v>
          </cell>
          <cell r="I171" t="str">
            <v>TL -EIS</v>
          </cell>
          <cell r="J171">
            <v>48</v>
          </cell>
          <cell r="L171" t="str">
            <v>6.5.14</v>
          </cell>
          <cell r="M171" t="str">
            <v>Poss</v>
          </cell>
          <cell r="N171" t="str">
            <v>Proposed</v>
          </cell>
          <cell r="O171" t="str">
            <v>Holroyd - Stage 3 132kV Cable Works Contract</v>
          </cell>
          <cell r="P171" t="str">
            <v>TL REF</v>
          </cell>
          <cell r="Q171" t="str">
            <v>Central</v>
          </cell>
          <cell r="R171">
            <v>8</v>
          </cell>
          <cell r="U171">
            <v>0.11487179487179489</v>
          </cell>
          <cell r="V171">
            <v>0.39179487179487188</v>
          </cell>
          <cell r="W171">
            <v>0.58133333333333326</v>
          </cell>
          <cell r="X171">
            <v>6.7554163701067624</v>
          </cell>
          <cell r="Y171">
            <v>0.15658362989323849</v>
          </cell>
        </row>
        <row r="172">
          <cell r="A172">
            <v>108</v>
          </cell>
          <cell r="B172" t="str">
            <v>Holroyd Complex - Stage 3 Reinforce 330kV Capacity</v>
          </cell>
          <cell r="C172">
            <v>1</v>
          </cell>
          <cell r="D172">
            <v>40513</v>
          </cell>
          <cell r="E172">
            <v>21</v>
          </cell>
          <cell r="F172">
            <v>3</v>
          </cell>
          <cell r="G172">
            <v>39793</v>
          </cell>
          <cell r="H172">
            <v>9</v>
          </cell>
          <cell r="I172" t="str">
            <v>330/132kV Aug</v>
          </cell>
          <cell r="J172">
            <v>24</v>
          </cell>
          <cell r="L172" t="str">
            <v>6.5.14</v>
          </cell>
          <cell r="M172" t="str">
            <v>Poss</v>
          </cell>
          <cell r="N172" t="str">
            <v>Proposed</v>
          </cell>
          <cell r="O172" t="str">
            <v>Holroyd - Stage 3 Substation Augmentation Contract</v>
          </cell>
          <cell r="P172" t="str">
            <v>330SS</v>
          </cell>
          <cell r="Q172" t="str">
            <v>Central</v>
          </cell>
          <cell r="R172">
            <v>8</v>
          </cell>
          <cell r="W172">
            <v>0.46666666666666679</v>
          </cell>
          <cell r="X172">
            <v>6.0825870646766171</v>
          </cell>
          <cell r="Y172">
            <v>1.4507462686567161</v>
          </cell>
        </row>
        <row r="173">
          <cell r="A173">
            <v>109</v>
          </cell>
          <cell r="B173" t="str">
            <v>Holroyd Complex - Stage 4 Aug Holroyd for 330kV Cable</v>
          </cell>
          <cell r="C173">
            <v>1</v>
          </cell>
          <cell r="D173">
            <v>40513</v>
          </cell>
          <cell r="E173">
            <v>21</v>
          </cell>
          <cell r="F173">
            <v>3</v>
          </cell>
          <cell r="G173">
            <v>39793</v>
          </cell>
          <cell r="H173">
            <v>9</v>
          </cell>
          <cell r="I173" t="str">
            <v>330/132kV Aug</v>
          </cell>
          <cell r="J173">
            <v>24</v>
          </cell>
          <cell r="L173" t="str">
            <v>6.5.14</v>
          </cell>
          <cell r="M173" t="str">
            <v>Poss</v>
          </cell>
          <cell r="N173" t="str">
            <v>Proposed</v>
          </cell>
          <cell r="O173" t="str">
            <v>Holroyd - Stage 4 Substation Augmentation Contract</v>
          </cell>
          <cell r="P173" t="str">
            <v>330SS</v>
          </cell>
          <cell r="Q173" t="str">
            <v>Central</v>
          </cell>
          <cell r="R173">
            <v>12</v>
          </cell>
          <cell r="W173">
            <v>0.7</v>
          </cell>
          <cell r="X173">
            <v>9.1238805970149262</v>
          </cell>
          <cell r="Y173">
            <v>2.1761194029850746</v>
          </cell>
        </row>
        <row r="174">
          <cell r="A174">
            <v>110</v>
          </cell>
          <cell r="B174" t="str">
            <v>Holroyd Complex - Stage 5 330kV Cable to Potts Hill</v>
          </cell>
          <cell r="C174">
            <v>1</v>
          </cell>
          <cell r="D174">
            <v>40513</v>
          </cell>
          <cell r="E174">
            <v>21</v>
          </cell>
          <cell r="F174">
            <v>1</v>
          </cell>
          <cell r="G174">
            <v>38713</v>
          </cell>
          <cell r="H174">
            <v>1</v>
          </cell>
          <cell r="I174" t="str">
            <v>EHV TL -EIS</v>
          </cell>
          <cell r="J174">
            <v>60</v>
          </cell>
          <cell r="L174" t="str">
            <v>6.5.14</v>
          </cell>
          <cell r="M174" t="str">
            <v>Poss</v>
          </cell>
          <cell r="N174" t="str">
            <v>Proposed</v>
          </cell>
          <cell r="O174" t="str">
            <v>Holroyd - Stage 5 First 330kV Cable Connection (17Km)</v>
          </cell>
          <cell r="P174" t="str">
            <v>HV Cable</v>
          </cell>
          <cell r="Q174" t="str">
            <v>Central</v>
          </cell>
          <cell r="R174">
            <v>100</v>
          </cell>
          <cell r="T174">
            <v>0.93333333333333346</v>
          </cell>
          <cell r="U174">
            <v>4.1333333333333337</v>
          </cell>
          <cell r="V174">
            <v>3.3720430107526882</v>
          </cell>
          <cell r="W174">
            <v>9.2903225806451619</v>
          </cell>
          <cell r="X174">
            <v>80.6897711607389</v>
          </cell>
          <cell r="Y174">
            <v>1.5811965811965818</v>
          </cell>
        </row>
        <row r="175">
          <cell r="A175">
            <v>111</v>
          </cell>
          <cell r="B175" t="str">
            <v>Kemps  - Sydney South: Kemps - Liverpool</v>
          </cell>
          <cell r="C175">
            <v>1</v>
          </cell>
          <cell r="D175">
            <v>40513</v>
          </cell>
          <cell r="E175">
            <v>22</v>
          </cell>
          <cell r="F175">
            <v>1</v>
          </cell>
          <cell r="G175">
            <v>38713</v>
          </cell>
          <cell r="H175">
            <v>1</v>
          </cell>
          <cell r="I175" t="str">
            <v>EHV TL -EIS</v>
          </cell>
          <cell r="J175">
            <v>60</v>
          </cell>
          <cell r="L175" t="str">
            <v>6.5.12</v>
          </cell>
          <cell r="M175" t="str">
            <v>Poss</v>
          </cell>
          <cell r="N175" t="str">
            <v>Proposed</v>
          </cell>
          <cell r="O175" t="str">
            <v>Kemps Creek to Liverpool Line - Contract</v>
          </cell>
          <cell r="P175" t="str">
            <v>TL EIS</v>
          </cell>
          <cell r="Q175" t="str">
            <v>Central</v>
          </cell>
          <cell r="R175">
            <v>12</v>
          </cell>
          <cell r="T175">
            <v>0.11200000000000003</v>
          </cell>
          <cell r="U175">
            <v>0.49600000000000016</v>
          </cell>
          <cell r="V175">
            <v>0.40464516129032274</v>
          </cell>
          <cell r="W175">
            <v>1.1148387096774193</v>
          </cell>
          <cell r="X175">
            <v>9.6827725392886688</v>
          </cell>
          <cell r="Y175">
            <v>0.18974358974358982</v>
          </cell>
        </row>
        <row r="176">
          <cell r="A176">
            <v>112</v>
          </cell>
          <cell r="B176" t="str">
            <v>Kemps  - Sydney South: Kemps - Liverpool</v>
          </cell>
          <cell r="C176">
            <v>1</v>
          </cell>
          <cell r="D176">
            <v>41244</v>
          </cell>
          <cell r="E176">
            <v>22</v>
          </cell>
          <cell r="F176">
            <v>1</v>
          </cell>
          <cell r="G176">
            <v>39444</v>
          </cell>
          <cell r="H176">
            <v>1</v>
          </cell>
          <cell r="I176" t="str">
            <v>EHV TL -EIS</v>
          </cell>
          <cell r="J176">
            <v>60</v>
          </cell>
          <cell r="L176" t="str">
            <v>6.5.12</v>
          </cell>
          <cell r="M176" t="str">
            <v>Poss</v>
          </cell>
          <cell r="N176" t="str">
            <v>Proposed</v>
          </cell>
          <cell r="O176" t="str">
            <v>Liverpool to Sydney South Line - Contract</v>
          </cell>
          <cell r="P176" t="str">
            <v>TL EIS</v>
          </cell>
          <cell r="Q176" t="str">
            <v>Central</v>
          </cell>
          <cell r="R176">
            <v>20</v>
          </cell>
          <cell r="V176">
            <v>0.1866666666666667</v>
          </cell>
          <cell r="W176">
            <v>0.82666666666666688</v>
          </cell>
          <cell r="X176">
            <v>0.67440860215053788</v>
          </cell>
          <cell r="Y176">
            <v>1.8580645161290319</v>
          </cell>
          <cell r="Z176">
            <v>16.137954232147781</v>
          </cell>
          <cell r="AA176">
            <v>0.31623931623931634</v>
          </cell>
        </row>
        <row r="177">
          <cell r="A177">
            <v>113</v>
          </cell>
          <cell r="B177" t="str">
            <v>Kemps  - Sydney South: Kemps - Liverpool</v>
          </cell>
          <cell r="C177">
            <v>1</v>
          </cell>
          <cell r="D177">
            <v>40513</v>
          </cell>
          <cell r="E177">
            <v>22</v>
          </cell>
          <cell r="F177">
            <v>3</v>
          </cell>
          <cell r="G177">
            <v>39793</v>
          </cell>
          <cell r="H177">
            <v>9</v>
          </cell>
          <cell r="I177" t="str">
            <v>330/132kV Aug</v>
          </cell>
          <cell r="J177">
            <v>24</v>
          </cell>
          <cell r="L177" t="str">
            <v>6.5.12</v>
          </cell>
          <cell r="M177" t="str">
            <v>Poss</v>
          </cell>
          <cell r="N177" t="str">
            <v>Proposed</v>
          </cell>
          <cell r="O177" t="str">
            <v>Liverpool Substation Augmentation - Contract</v>
          </cell>
          <cell r="P177" t="str">
            <v>330SS</v>
          </cell>
          <cell r="Q177" t="str">
            <v>Central</v>
          </cell>
          <cell r="R177">
            <v>5</v>
          </cell>
          <cell r="W177">
            <v>0.29166666666666674</v>
          </cell>
          <cell r="X177">
            <v>3.801616915422886</v>
          </cell>
          <cell r="Y177">
            <v>0.90671641791044766</v>
          </cell>
        </row>
        <row r="178">
          <cell r="A178">
            <v>114</v>
          </cell>
          <cell r="B178" t="str">
            <v>Kemps  - Sydney South: Kemps - Liverpool</v>
          </cell>
          <cell r="C178">
            <v>1</v>
          </cell>
          <cell r="D178">
            <v>40513</v>
          </cell>
          <cell r="E178">
            <v>22</v>
          </cell>
          <cell r="F178">
            <v>3</v>
          </cell>
          <cell r="G178">
            <v>39793</v>
          </cell>
          <cell r="H178">
            <v>9</v>
          </cell>
          <cell r="I178" t="str">
            <v>330/132kV Aug</v>
          </cell>
          <cell r="J178">
            <v>24</v>
          </cell>
          <cell r="L178" t="str">
            <v>6.5.12</v>
          </cell>
          <cell r="M178" t="str">
            <v>Poss</v>
          </cell>
          <cell r="N178" t="str">
            <v>Proposed</v>
          </cell>
          <cell r="O178" t="str">
            <v>Kemps Creek Substation Augmentation - Contract</v>
          </cell>
          <cell r="P178" t="str">
            <v>330SS</v>
          </cell>
          <cell r="Q178" t="str">
            <v>Central</v>
          </cell>
          <cell r="R178">
            <v>2</v>
          </cell>
          <cell r="W178">
            <v>0.1166666666666667</v>
          </cell>
          <cell r="X178">
            <v>1.5206467661691543</v>
          </cell>
          <cell r="Y178">
            <v>0.36268656716417902</v>
          </cell>
        </row>
        <row r="179">
          <cell r="A179">
            <v>115</v>
          </cell>
          <cell r="B179" t="str">
            <v>Kemps  - Sydney South: Kemps - Liverpool</v>
          </cell>
          <cell r="C179">
            <v>1</v>
          </cell>
          <cell r="D179">
            <v>41244</v>
          </cell>
          <cell r="E179">
            <v>22</v>
          </cell>
          <cell r="F179">
            <v>3</v>
          </cell>
          <cell r="G179">
            <v>40524</v>
          </cell>
          <cell r="H179">
            <v>9</v>
          </cell>
          <cell r="I179" t="str">
            <v>330/132kV Aug</v>
          </cell>
          <cell r="J179">
            <v>24</v>
          </cell>
          <cell r="L179" t="str">
            <v>6.5.12</v>
          </cell>
          <cell r="M179" t="str">
            <v>Poss</v>
          </cell>
          <cell r="N179" t="str">
            <v>Proposed</v>
          </cell>
          <cell r="O179" t="str">
            <v>Sydney South Augmentations - Contract</v>
          </cell>
          <cell r="P179" t="str">
            <v>330SS</v>
          </cell>
          <cell r="Q179" t="str">
            <v>Central</v>
          </cell>
          <cell r="R179">
            <v>6</v>
          </cell>
          <cell r="Y179">
            <v>0.35</v>
          </cell>
          <cell r="Z179">
            <v>4.5619402985074631</v>
          </cell>
          <cell r="AA179">
            <v>1.0880597014925373</v>
          </cell>
        </row>
        <row r="180">
          <cell r="A180">
            <v>116</v>
          </cell>
          <cell r="B180" t="str">
            <v>Kemps - Sydney South: Kemps Ck 500 kV Txs</v>
          </cell>
          <cell r="C180">
            <v>1</v>
          </cell>
          <cell r="D180">
            <v>40513</v>
          </cell>
          <cell r="E180">
            <v>23</v>
          </cell>
          <cell r="F180">
            <v>3</v>
          </cell>
          <cell r="G180">
            <v>39673</v>
          </cell>
          <cell r="H180">
            <v>8</v>
          </cell>
          <cell r="I180" t="str">
            <v>500/330kV Aug</v>
          </cell>
          <cell r="J180">
            <v>28</v>
          </cell>
          <cell r="L180" t="str">
            <v>6.5.12</v>
          </cell>
          <cell r="M180" t="str">
            <v>Poss</v>
          </cell>
          <cell r="N180" t="str">
            <v>Planning PT</v>
          </cell>
          <cell r="O180" t="str">
            <v>Kemps Crk 500/330kV Tx  Contract</v>
          </cell>
          <cell r="P180" t="str">
            <v>500SS</v>
          </cell>
          <cell r="Q180" t="str">
            <v>Central</v>
          </cell>
          <cell r="R180">
            <v>28</v>
          </cell>
          <cell r="W180">
            <v>2.2000000000000002</v>
          </cell>
          <cell r="X180">
            <v>21.609459459459455</v>
          </cell>
          <cell r="Y180">
            <v>4.1905405405405398</v>
          </cell>
        </row>
        <row r="181">
          <cell r="A181">
            <v>117</v>
          </cell>
          <cell r="B181" t="str">
            <v>Kempsey - Pt Macquarie 330kV TL</v>
          </cell>
          <cell r="C181">
            <v>1</v>
          </cell>
          <cell r="D181">
            <v>40148</v>
          </cell>
          <cell r="E181">
            <v>24</v>
          </cell>
          <cell r="F181">
            <v>1</v>
          </cell>
          <cell r="G181">
            <v>38348</v>
          </cell>
          <cell r="H181">
            <v>1</v>
          </cell>
          <cell r="I181" t="str">
            <v>EHV TL -EIS</v>
          </cell>
          <cell r="J181">
            <v>60</v>
          </cell>
          <cell r="L181" t="str">
            <v>6.4.1</v>
          </cell>
          <cell r="M181" t="str">
            <v>Likely</v>
          </cell>
          <cell r="N181" t="str">
            <v>Proposed</v>
          </cell>
          <cell r="O181" t="str">
            <v>Kempsey - Pt Macquarie 330kV TL - Contract</v>
          </cell>
          <cell r="P181" t="str">
            <v>TL EIS</v>
          </cell>
          <cell r="Q181" t="str">
            <v>Northern</v>
          </cell>
          <cell r="R181">
            <v>45</v>
          </cell>
          <cell r="S181">
            <v>0.42</v>
          </cell>
          <cell r="T181">
            <v>1.86</v>
          </cell>
          <cell r="U181">
            <v>1.5174193548387103</v>
          </cell>
          <cell r="V181">
            <v>4.1806451612903226</v>
          </cell>
          <cell r="W181">
            <v>36.310397022332509</v>
          </cell>
          <cell r="X181">
            <v>0.71153846153846179</v>
          </cell>
        </row>
        <row r="182">
          <cell r="A182">
            <v>118</v>
          </cell>
          <cell r="B182" t="str">
            <v>Kempsey - Pt Macquarie 330kV TL</v>
          </cell>
          <cell r="C182">
            <v>1</v>
          </cell>
          <cell r="D182">
            <v>39417</v>
          </cell>
          <cell r="E182">
            <v>24</v>
          </cell>
          <cell r="F182">
            <v>3</v>
          </cell>
          <cell r="G182">
            <v>38697</v>
          </cell>
          <cell r="H182">
            <v>10</v>
          </cell>
          <cell r="I182" t="str">
            <v>132kV Aug</v>
          </cell>
          <cell r="J182">
            <v>24</v>
          </cell>
          <cell r="L182" t="str">
            <v>6.4.1</v>
          </cell>
          <cell r="M182" t="str">
            <v>Likely</v>
          </cell>
          <cell r="N182" t="str">
            <v>Proposed</v>
          </cell>
          <cell r="O182" t="str">
            <v>Nambucca 132kV line switchbay - contract</v>
          </cell>
          <cell r="P182" t="str">
            <v>132SS</v>
          </cell>
          <cell r="Q182" t="str">
            <v>Northern</v>
          </cell>
          <cell r="R182">
            <v>0.5</v>
          </cell>
          <cell r="T182">
            <v>2.9166666666666674E-2</v>
          </cell>
          <cell r="U182">
            <v>0.38016169154228857</v>
          </cell>
          <cell r="V182">
            <v>9.0671641791044755E-2</v>
          </cell>
        </row>
        <row r="183">
          <cell r="A183">
            <v>119</v>
          </cell>
          <cell r="B183" t="str">
            <v>Kempsey - Pt Macquarie 330kV TL</v>
          </cell>
          <cell r="C183">
            <v>1</v>
          </cell>
          <cell r="D183">
            <v>39417</v>
          </cell>
          <cell r="E183">
            <v>24</v>
          </cell>
          <cell r="F183">
            <v>2</v>
          </cell>
          <cell r="G183">
            <v>38697</v>
          </cell>
          <cell r="H183">
            <v>4</v>
          </cell>
          <cell r="I183" t="str">
            <v>TL -REF</v>
          </cell>
          <cell r="J183">
            <v>24</v>
          </cell>
          <cell r="L183" t="str">
            <v>6.4.1</v>
          </cell>
          <cell r="M183" t="str">
            <v>Likely</v>
          </cell>
          <cell r="N183" t="str">
            <v>Proposed</v>
          </cell>
          <cell r="O183" t="str">
            <v>Kempsey 132kV Outlets Rearrangements - Contract</v>
          </cell>
          <cell r="P183" t="str">
            <v>TL REF</v>
          </cell>
          <cell r="Q183" t="str">
            <v>Northern</v>
          </cell>
          <cell r="R183">
            <v>1</v>
          </cell>
          <cell r="T183">
            <v>8.4770114942528757E-2</v>
          </cell>
          <cell r="U183">
            <v>0.73352256798430082</v>
          </cell>
          <cell r="V183">
            <v>0.18170731707317073</v>
          </cell>
        </row>
        <row r="184">
          <cell r="A184">
            <v>120</v>
          </cell>
          <cell r="B184" t="str">
            <v>Kempsey - Pt Macquarie 330kV TL</v>
          </cell>
          <cell r="C184">
            <v>1</v>
          </cell>
          <cell r="D184">
            <v>40148</v>
          </cell>
          <cell r="E184">
            <v>24</v>
          </cell>
          <cell r="F184">
            <v>1</v>
          </cell>
          <cell r="G184">
            <v>38708</v>
          </cell>
          <cell r="H184">
            <v>3</v>
          </cell>
          <cell r="I184" t="str">
            <v>TL -EIS</v>
          </cell>
          <cell r="J184">
            <v>48</v>
          </cell>
          <cell r="L184" t="str">
            <v>6.4.1</v>
          </cell>
          <cell r="M184" t="str">
            <v>Likely</v>
          </cell>
          <cell r="N184" t="str">
            <v>Proposed</v>
          </cell>
          <cell r="O184" t="str">
            <v>Port Macquarie 330kV to Port Macquarie 132kV Line (5km DCSP) Contract</v>
          </cell>
          <cell r="P184" t="str">
            <v>TL EIS</v>
          </cell>
          <cell r="Q184" t="str">
            <v>Northern</v>
          </cell>
          <cell r="R184">
            <v>8</v>
          </cell>
          <cell r="T184">
            <v>0.11487179487179489</v>
          </cell>
          <cell r="U184">
            <v>0.39179487179487188</v>
          </cell>
          <cell r="V184">
            <v>0.58133333333333326</v>
          </cell>
          <cell r="W184">
            <v>6.7554163701067624</v>
          </cell>
          <cell r="X184">
            <v>0.15658362989323849</v>
          </cell>
        </row>
        <row r="185">
          <cell r="A185">
            <v>121</v>
          </cell>
          <cell r="B185" t="str">
            <v>Kempsey - Pt Macquarie 330kV TL</v>
          </cell>
          <cell r="C185">
            <v>1</v>
          </cell>
          <cell r="D185">
            <v>40148</v>
          </cell>
          <cell r="E185">
            <v>24</v>
          </cell>
          <cell r="F185">
            <v>3</v>
          </cell>
          <cell r="G185">
            <v>39428</v>
          </cell>
          <cell r="H185">
            <v>10</v>
          </cell>
          <cell r="I185" t="str">
            <v>132kV Aug</v>
          </cell>
          <cell r="J185">
            <v>24</v>
          </cell>
          <cell r="L185" t="str">
            <v>6.4.1</v>
          </cell>
          <cell r="M185" t="str">
            <v>Likely</v>
          </cell>
          <cell r="N185" t="str">
            <v>Proposed</v>
          </cell>
          <cell r="O185" t="str">
            <v>Port Macquarie 132kV- New 132kV Line bay - Contract</v>
          </cell>
          <cell r="P185" t="str">
            <v>132SS</v>
          </cell>
          <cell r="Q185" t="str">
            <v>Northern</v>
          </cell>
          <cell r="R185">
            <v>1</v>
          </cell>
          <cell r="V185">
            <v>5.8333333333333348E-2</v>
          </cell>
          <cell r="W185">
            <v>0.76032338308457714</v>
          </cell>
          <cell r="X185">
            <v>0.18134328358208951</v>
          </cell>
        </row>
        <row r="186">
          <cell r="A186">
            <v>122</v>
          </cell>
          <cell r="B186" t="str">
            <v>Mid North Coast: Armidale - Kempsey 132 kV line</v>
          </cell>
          <cell r="C186">
            <v>1</v>
          </cell>
          <cell r="D186">
            <v>40878</v>
          </cell>
          <cell r="E186">
            <v>32</v>
          </cell>
          <cell r="F186">
            <v>1</v>
          </cell>
          <cell r="G186">
            <v>39078</v>
          </cell>
          <cell r="H186">
            <v>1</v>
          </cell>
          <cell r="I186" t="str">
            <v>EHV TL -EIS</v>
          </cell>
          <cell r="J186">
            <v>60</v>
          </cell>
          <cell r="L186" t="str">
            <v>6.5.3</v>
          </cell>
          <cell r="M186" t="str">
            <v>Poss</v>
          </cell>
          <cell r="N186" t="str">
            <v>Proposed</v>
          </cell>
          <cell r="O186" t="str">
            <v>Armidale - Kempsey TL Rebuild at 330kV (139Km) Contract</v>
          </cell>
          <cell r="P186" t="str">
            <v>TL EIS</v>
          </cell>
          <cell r="Q186" t="str">
            <v>Northern</v>
          </cell>
          <cell r="R186">
            <v>70</v>
          </cell>
          <cell r="U186">
            <v>0.65333333333333354</v>
          </cell>
          <cell r="V186">
            <v>2.8933333333333335</v>
          </cell>
          <cell r="W186">
            <v>2.3604301075268825</v>
          </cell>
          <cell r="X186">
            <v>6.5032258064516117</v>
          </cell>
          <cell r="Y186">
            <v>56.482839812517241</v>
          </cell>
          <cell r="Z186">
            <v>1.1068376068376073</v>
          </cell>
        </row>
        <row r="187">
          <cell r="A187">
            <v>123</v>
          </cell>
          <cell r="B187" t="str">
            <v>Mid North Coast: Coffs - Kempsey 132 kV line</v>
          </cell>
          <cell r="C187">
            <v>1</v>
          </cell>
          <cell r="D187">
            <v>39417</v>
          </cell>
          <cell r="E187">
            <v>33</v>
          </cell>
          <cell r="F187">
            <v>3</v>
          </cell>
          <cell r="G187">
            <v>38517</v>
          </cell>
          <cell r="H187">
            <v>7</v>
          </cell>
          <cell r="I187" t="str">
            <v>132kV Greenfield</v>
          </cell>
          <cell r="J187">
            <v>30</v>
          </cell>
          <cell r="L187" t="str">
            <v>6.5.3</v>
          </cell>
          <cell r="M187" t="str">
            <v>Poss</v>
          </cell>
          <cell r="N187" t="str">
            <v>Proposed</v>
          </cell>
          <cell r="O187" t="str">
            <v>Sawtell 132/66kV SS  - Contract</v>
          </cell>
          <cell r="P187" t="str">
            <v>132SS</v>
          </cell>
          <cell r="Q187" t="str">
            <v>Northern</v>
          </cell>
          <cell r="R187">
            <v>8</v>
          </cell>
          <cell r="S187">
            <v>1.4285714285714287E-2</v>
          </cell>
          <cell r="T187">
            <v>0.68571428571428605</v>
          </cell>
          <cell r="U187">
            <v>6.2349253731343293</v>
          </cell>
          <cell r="V187">
            <v>1.0650746268656719</v>
          </cell>
        </row>
        <row r="188">
          <cell r="A188">
            <v>124</v>
          </cell>
          <cell r="B188" t="str">
            <v>Mid North Coast: Coffs - Kempsey 132 kV line</v>
          </cell>
          <cell r="C188">
            <v>1</v>
          </cell>
          <cell r="D188">
            <v>39417</v>
          </cell>
          <cell r="E188">
            <v>33</v>
          </cell>
          <cell r="F188">
            <v>3</v>
          </cell>
          <cell r="G188">
            <v>38517</v>
          </cell>
          <cell r="H188">
            <v>7</v>
          </cell>
          <cell r="I188" t="str">
            <v>132kV Greenfield</v>
          </cell>
          <cell r="J188">
            <v>30</v>
          </cell>
          <cell r="L188" t="str">
            <v>6.5.3</v>
          </cell>
          <cell r="M188" t="str">
            <v>Poss</v>
          </cell>
          <cell r="N188" t="str">
            <v>Proposed</v>
          </cell>
          <cell r="O188" t="str">
            <v>Raleigh 132/66kV SS  - Contract</v>
          </cell>
          <cell r="P188" t="str">
            <v>132SS</v>
          </cell>
          <cell r="Q188" t="str">
            <v>Northern</v>
          </cell>
          <cell r="R188">
            <v>8</v>
          </cell>
          <cell r="S188">
            <v>1.4285714285714287E-2</v>
          </cell>
          <cell r="T188">
            <v>0.68571428571428605</v>
          </cell>
          <cell r="U188">
            <v>6.2349253731343293</v>
          </cell>
          <cell r="V188">
            <v>1.0650746268656719</v>
          </cell>
        </row>
        <row r="189">
          <cell r="A189">
            <v>125</v>
          </cell>
          <cell r="B189" t="str">
            <v>Mid North Coast: Coffs - Kempsey 132 kV line</v>
          </cell>
          <cell r="C189">
            <v>1</v>
          </cell>
          <cell r="D189">
            <v>39417</v>
          </cell>
          <cell r="E189">
            <v>33</v>
          </cell>
          <cell r="F189">
            <v>3</v>
          </cell>
          <cell r="G189">
            <v>38517</v>
          </cell>
          <cell r="H189">
            <v>7</v>
          </cell>
          <cell r="I189" t="str">
            <v>132kV Greenfield</v>
          </cell>
          <cell r="J189">
            <v>30</v>
          </cell>
          <cell r="L189" t="str">
            <v>6.5.3</v>
          </cell>
          <cell r="M189" t="str">
            <v>Poss</v>
          </cell>
          <cell r="N189" t="str">
            <v>Proposed</v>
          </cell>
          <cell r="O189" t="str">
            <v>Macksville 132/66kV SS  - Contract</v>
          </cell>
          <cell r="P189" t="str">
            <v>132SS</v>
          </cell>
          <cell r="Q189" t="str">
            <v>Northern</v>
          </cell>
          <cell r="R189">
            <v>8</v>
          </cell>
          <cell r="S189">
            <v>1.4285714285714287E-2</v>
          </cell>
          <cell r="T189">
            <v>0.68571428571428605</v>
          </cell>
          <cell r="U189">
            <v>6.2349253731343293</v>
          </cell>
          <cell r="V189">
            <v>1.0650746268656719</v>
          </cell>
        </row>
        <row r="190">
          <cell r="A190">
            <v>126</v>
          </cell>
          <cell r="B190" t="str">
            <v>Mid North Coast: Coffs - Kempsey 132 kV line</v>
          </cell>
          <cell r="C190">
            <v>1</v>
          </cell>
          <cell r="D190">
            <v>39417</v>
          </cell>
          <cell r="E190">
            <v>33</v>
          </cell>
          <cell r="F190">
            <v>3</v>
          </cell>
          <cell r="G190">
            <v>38697</v>
          </cell>
          <cell r="H190">
            <v>10</v>
          </cell>
          <cell r="I190" t="str">
            <v>132kV Aug</v>
          </cell>
          <cell r="J190">
            <v>24</v>
          </cell>
          <cell r="L190" t="str">
            <v>6.5.3</v>
          </cell>
          <cell r="M190" t="str">
            <v>Poss</v>
          </cell>
          <cell r="N190" t="str">
            <v>Proposed</v>
          </cell>
          <cell r="O190" t="str">
            <v>Coffs Harbour 132kV Augmentation - Contract</v>
          </cell>
          <cell r="P190" t="str">
            <v>132SS</v>
          </cell>
          <cell r="Q190" t="str">
            <v>Northern</v>
          </cell>
          <cell r="R190">
            <v>0.5</v>
          </cell>
          <cell r="T190">
            <v>2.9166666666666674E-2</v>
          </cell>
          <cell r="U190">
            <v>0.38016169154228857</v>
          </cell>
          <cell r="V190">
            <v>9.0671641791044755E-2</v>
          </cell>
        </row>
        <row r="191">
          <cell r="A191">
            <v>127</v>
          </cell>
          <cell r="B191" t="str">
            <v>Mid North Coast: Coffs - Kempsey 132 kV line</v>
          </cell>
          <cell r="C191">
            <v>1</v>
          </cell>
          <cell r="D191">
            <v>39417</v>
          </cell>
          <cell r="E191">
            <v>33</v>
          </cell>
          <cell r="F191">
            <v>3</v>
          </cell>
          <cell r="G191">
            <v>38697</v>
          </cell>
          <cell r="H191">
            <v>10</v>
          </cell>
          <cell r="I191" t="str">
            <v>132kV Aug</v>
          </cell>
          <cell r="J191">
            <v>24</v>
          </cell>
          <cell r="L191" t="str">
            <v>6.5.3</v>
          </cell>
          <cell r="M191" t="str">
            <v>Poss</v>
          </cell>
          <cell r="N191" t="str">
            <v>Proposed</v>
          </cell>
          <cell r="O191" t="str">
            <v>Nambucca 2nd 132kV/66kV Tx &amp; line swbays- Contract</v>
          </cell>
          <cell r="P191" t="str">
            <v>132TX</v>
          </cell>
          <cell r="Q191" t="str">
            <v>Northern</v>
          </cell>
          <cell r="R191">
            <v>5</v>
          </cell>
          <cell r="T191">
            <v>0.29166666666666674</v>
          </cell>
          <cell r="U191">
            <v>3.801616915422886</v>
          </cell>
          <cell r="V191">
            <v>0.90671641791044766</v>
          </cell>
        </row>
        <row r="192">
          <cell r="A192">
            <v>128</v>
          </cell>
          <cell r="B192" t="str">
            <v>Mid North Coast: Port Macquarie 330 kV SS</v>
          </cell>
          <cell r="C192">
            <v>1</v>
          </cell>
          <cell r="D192">
            <v>40878</v>
          </cell>
          <cell r="E192">
            <v>34</v>
          </cell>
          <cell r="F192">
            <v>3</v>
          </cell>
          <cell r="G192">
            <v>39798</v>
          </cell>
          <cell r="H192">
            <v>6</v>
          </cell>
          <cell r="I192" t="str">
            <v>330/132kV Greenfield</v>
          </cell>
          <cell r="J192">
            <v>36</v>
          </cell>
          <cell r="L192" t="str">
            <v>6.5.3</v>
          </cell>
          <cell r="M192" t="str">
            <v>Poss</v>
          </cell>
          <cell r="N192" t="str">
            <v>Proposed</v>
          </cell>
          <cell r="O192" t="str">
            <v>Port Macquarie 330/132kV SS - Contract</v>
          </cell>
          <cell r="P192" t="str">
            <v>330SS</v>
          </cell>
          <cell r="Q192" t="str">
            <v>Northern</v>
          </cell>
          <cell r="R192">
            <v>18</v>
          </cell>
          <cell r="W192">
            <v>0.56000000000000005</v>
          </cell>
          <cell r="X192">
            <v>1.6356521739130443</v>
          </cell>
          <cell r="Y192">
            <v>13.733004542504867</v>
          </cell>
          <cell r="Z192">
            <v>2.07134328358209</v>
          </cell>
        </row>
        <row r="193">
          <cell r="A193">
            <v>129</v>
          </cell>
          <cell r="B193" t="str">
            <v>QNI Upgrade proposal</v>
          </cell>
          <cell r="C193">
            <v>1</v>
          </cell>
          <cell r="D193">
            <v>40148</v>
          </cell>
          <cell r="E193">
            <v>45</v>
          </cell>
          <cell r="F193">
            <v>3</v>
          </cell>
          <cell r="G193">
            <v>39068</v>
          </cell>
          <cell r="H193">
            <v>6</v>
          </cell>
          <cell r="I193" t="str">
            <v>330/132kV Greenfield</v>
          </cell>
          <cell r="J193">
            <v>36</v>
          </cell>
          <cell r="L193" t="str">
            <v>6.5.1</v>
          </cell>
          <cell r="M193" t="str">
            <v>Poss</v>
          </cell>
          <cell r="N193" t="str">
            <v>Planning</v>
          </cell>
          <cell r="O193" t="str">
            <v>Series Compensation on QNI - Contract</v>
          </cell>
          <cell r="P193" t="str">
            <v>SVC</v>
          </cell>
          <cell r="Q193" t="str">
            <v>Northern</v>
          </cell>
          <cell r="R193">
            <v>50</v>
          </cell>
          <cell r="U193">
            <v>1.5555555555555558</v>
          </cell>
          <cell r="V193">
            <v>4.5434782608695654</v>
          </cell>
          <cell r="W193">
            <v>38.147234840291297</v>
          </cell>
          <cell r="X193">
            <v>5.753731343283583</v>
          </cell>
        </row>
        <row r="194">
          <cell r="A194">
            <v>130</v>
          </cell>
          <cell r="B194" t="str">
            <v>QNI Upgrade proposal</v>
          </cell>
          <cell r="C194">
            <v>1</v>
          </cell>
          <cell r="D194">
            <v>40878</v>
          </cell>
          <cell r="E194">
            <v>45</v>
          </cell>
          <cell r="F194">
            <v>1</v>
          </cell>
          <cell r="G194">
            <v>39078</v>
          </cell>
          <cell r="H194">
            <v>1</v>
          </cell>
          <cell r="I194" t="str">
            <v>EHV TL -EIS</v>
          </cell>
          <cell r="J194">
            <v>60</v>
          </cell>
          <cell r="L194" t="str">
            <v>6.5.1</v>
          </cell>
          <cell r="M194" t="str">
            <v>Poss</v>
          </cell>
          <cell r="N194" t="str">
            <v>Planning</v>
          </cell>
          <cell r="O194" t="str">
            <v>Replace Tamworth-Armidale 330kV Line - Contract</v>
          </cell>
          <cell r="P194" t="str">
            <v>TL EIS</v>
          </cell>
          <cell r="Q194" t="str">
            <v>Northern</v>
          </cell>
          <cell r="R194">
            <v>75</v>
          </cell>
          <cell r="U194">
            <v>0.7</v>
          </cell>
          <cell r="V194">
            <v>3.1</v>
          </cell>
          <cell r="W194">
            <v>2.5290322580645177</v>
          </cell>
          <cell r="X194">
            <v>6.967741935483871</v>
          </cell>
          <cell r="Y194">
            <v>60.517328370554182</v>
          </cell>
          <cell r="Z194">
            <v>1.1858974358974363</v>
          </cell>
        </row>
        <row r="195">
          <cell r="A195">
            <v>131</v>
          </cell>
          <cell r="B195" t="str">
            <v>QNI Upgrade proposal</v>
          </cell>
          <cell r="C195">
            <v>1</v>
          </cell>
          <cell r="D195">
            <v>40148</v>
          </cell>
          <cell r="E195">
            <v>45</v>
          </cell>
          <cell r="F195">
            <v>3</v>
          </cell>
          <cell r="G195">
            <v>39428</v>
          </cell>
          <cell r="H195">
            <v>10</v>
          </cell>
          <cell r="I195" t="str">
            <v>132kV Aug</v>
          </cell>
          <cell r="J195">
            <v>24</v>
          </cell>
          <cell r="L195" t="str">
            <v>6.5.1</v>
          </cell>
          <cell r="M195" t="str">
            <v>Poss</v>
          </cell>
          <cell r="N195" t="str">
            <v>Planning</v>
          </cell>
          <cell r="O195" t="str">
            <v>Phase Shifting Transformer - Armidale-Kempsey - Contract</v>
          </cell>
          <cell r="P195" t="str">
            <v>132TX</v>
          </cell>
          <cell r="Q195" t="str">
            <v>Northern</v>
          </cell>
          <cell r="R195">
            <v>18</v>
          </cell>
          <cell r="V195">
            <v>1.05</v>
          </cell>
          <cell r="W195">
            <v>13.685820895522387</v>
          </cell>
          <cell r="X195">
            <v>3.2641791044776118</v>
          </cell>
        </row>
        <row r="196">
          <cell r="A196">
            <v>132</v>
          </cell>
          <cell r="B196" t="str">
            <v>QNI Upgrade proposal</v>
          </cell>
          <cell r="C196">
            <v>1</v>
          </cell>
          <cell r="D196">
            <v>40148</v>
          </cell>
          <cell r="E196">
            <v>45</v>
          </cell>
          <cell r="F196">
            <v>3</v>
          </cell>
          <cell r="G196">
            <v>39428</v>
          </cell>
          <cell r="H196">
            <v>9</v>
          </cell>
          <cell r="I196" t="str">
            <v>330/132kV Aug</v>
          </cell>
          <cell r="J196">
            <v>24</v>
          </cell>
          <cell r="L196" t="str">
            <v>6.5.1</v>
          </cell>
          <cell r="M196" t="str">
            <v>Poss</v>
          </cell>
          <cell r="N196" t="str">
            <v>Planning</v>
          </cell>
          <cell r="O196" t="str">
            <v>SVC Control Enhancements - Contract</v>
          </cell>
          <cell r="P196" t="str">
            <v>SVC</v>
          </cell>
          <cell r="Q196" t="str">
            <v>Northern</v>
          </cell>
          <cell r="R196">
            <v>2</v>
          </cell>
          <cell r="V196">
            <v>0.1166666666666667</v>
          </cell>
          <cell r="W196">
            <v>1.5206467661691543</v>
          </cell>
          <cell r="X196">
            <v>0.36268656716417902</v>
          </cell>
        </row>
        <row r="197">
          <cell r="A197">
            <v>133</v>
          </cell>
          <cell r="B197" t="str">
            <v>QNI Upgrade proposal</v>
          </cell>
          <cell r="C197">
            <v>1</v>
          </cell>
          <cell r="D197">
            <v>40148</v>
          </cell>
          <cell r="E197">
            <v>45</v>
          </cell>
          <cell r="F197">
            <v>3</v>
          </cell>
          <cell r="G197">
            <v>39428</v>
          </cell>
          <cell r="H197">
            <v>9</v>
          </cell>
          <cell r="I197" t="str">
            <v>330/132kV Aug</v>
          </cell>
          <cell r="J197">
            <v>24</v>
          </cell>
          <cell r="L197" t="str">
            <v>6.5.1</v>
          </cell>
          <cell r="M197" t="str">
            <v>Poss</v>
          </cell>
          <cell r="N197" t="str">
            <v>Planning</v>
          </cell>
          <cell r="O197" t="str">
            <v>Tamworth 330kV SS Augmentations - Contract</v>
          </cell>
          <cell r="P197" t="str">
            <v>330SS</v>
          </cell>
          <cell r="Q197" t="str">
            <v>Northern</v>
          </cell>
          <cell r="R197">
            <v>2</v>
          </cell>
          <cell r="V197">
            <v>0.1166666666666667</v>
          </cell>
          <cell r="W197">
            <v>1.5206467661691543</v>
          </cell>
          <cell r="X197">
            <v>0.36268656716417902</v>
          </cell>
        </row>
        <row r="198">
          <cell r="A198">
            <v>134</v>
          </cell>
          <cell r="B198" t="str">
            <v>QNI Upgrade proposal</v>
          </cell>
          <cell r="C198">
            <v>1</v>
          </cell>
          <cell r="D198">
            <v>40148</v>
          </cell>
          <cell r="E198">
            <v>45</v>
          </cell>
          <cell r="F198">
            <v>3</v>
          </cell>
          <cell r="G198">
            <v>39428</v>
          </cell>
          <cell r="H198">
            <v>9</v>
          </cell>
          <cell r="I198" t="str">
            <v>330/132kV Aug</v>
          </cell>
          <cell r="J198">
            <v>24</v>
          </cell>
          <cell r="L198" t="str">
            <v>6.5.1</v>
          </cell>
          <cell r="M198" t="str">
            <v>Poss</v>
          </cell>
          <cell r="N198" t="str">
            <v>Planning</v>
          </cell>
          <cell r="O198" t="str">
            <v>Armidale 330kV SS Augmentations - Contract</v>
          </cell>
          <cell r="P198" t="str">
            <v>330SS</v>
          </cell>
          <cell r="Q198" t="str">
            <v>Northern</v>
          </cell>
          <cell r="R198">
            <v>4</v>
          </cell>
          <cell r="V198">
            <v>0.23333333333333339</v>
          </cell>
          <cell r="W198">
            <v>3.0412935323383086</v>
          </cell>
          <cell r="X198">
            <v>0.72537313432835804</v>
          </cell>
        </row>
        <row r="199">
          <cell r="A199">
            <v>135</v>
          </cell>
          <cell r="B199" t="str">
            <v>ACT and Surrounding Areas</v>
          </cell>
          <cell r="C199">
            <v>1</v>
          </cell>
          <cell r="D199">
            <v>40878</v>
          </cell>
          <cell r="E199">
            <v>1</v>
          </cell>
          <cell r="F199">
            <v>1</v>
          </cell>
          <cell r="G199">
            <v>39078</v>
          </cell>
          <cell r="H199">
            <v>1</v>
          </cell>
          <cell r="I199" t="str">
            <v>EHV TL -EIS</v>
          </cell>
          <cell r="J199">
            <v>60</v>
          </cell>
          <cell r="L199" t="str">
            <v>6.5.24</v>
          </cell>
          <cell r="M199" t="str">
            <v>Poss</v>
          </cell>
          <cell r="N199" t="str">
            <v>Future</v>
          </cell>
          <cell r="O199" t="str">
            <v>Construct Bungendore to Royalla 330kV line - contract</v>
          </cell>
          <cell r="P199" t="str">
            <v>TL EIS</v>
          </cell>
          <cell r="Q199" t="str">
            <v>Southern</v>
          </cell>
          <cell r="R199">
            <v>45</v>
          </cell>
          <cell r="U199">
            <v>0.42</v>
          </cell>
          <cell r="V199">
            <v>1.86</v>
          </cell>
          <cell r="W199">
            <v>1.5174193548387103</v>
          </cell>
          <cell r="X199">
            <v>4.1806451612903226</v>
          </cell>
          <cell r="Y199">
            <v>36.310397022332509</v>
          </cell>
          <cell r="Z199">
            <v>0.71153846153846179</v>
          </cell>
        </row>
        <row r="200">
          <cell r="A200">
            <v>136</v>
          </cell>
          <cell r="B200" t="str">
            <v>ACT and Surrounding Areas</v>
          </cell>
          <cell r="C200">
            <v>1</v>
          </cell>
          <cell r="D200">
            <v>40513</v>
          </cell>
          <cell r="E200">
            <v>1</v>
          </cell>
          <cell r="F200">
            <v>3</v>
          </cell>
          <cell r="G200">
            <v>39613</v>
          </cell>
          <cell r="H200">
            <v>7</v>
          </cell>
          <cell r="I200" t="str">
            <v>132kV Greenfield</v>
          </cell>
          <cell r="J200">
            <v>30</v>
          </cell>
          <cell r="L200" t="str">
            <v>6.5.24</v>
          </cell>
          <cell r="M200" t="str">
            <v>Poss</v>
          </cell>
          <cell r="N200" t="str">
            <v>Future</v>
          </cell>
          <cell r="O200" t="str">
            <v>Establish Royalla 132kV switching stn (8 x 132kV switchbays)</v>
          </cell>
          <cell r="P200" t="str">
            <v>132SS</v>
          </cell>
          <cell r="Q200" t="str">
            <v>Southern</v>
          </cell>
          <cell r="R200">
            <v>8</v>
          </cell>
          <cell r="V200">
            <v>1.4285714285714287E-2</v>
          </cell>
          <cell r="W200">
            <v>0.68571428571428605</v>
          </cell>
          <cell r="X200">
            <v>6.2349253731343293</v>
          </cell>
          <cell r="Y200">
            <v>1.0650746268656719</v>
          </cell>
        </row>
        <row r="201">
          <cell r="A201">
            <v>137</v>
          </cell>
          <cell r="B201" t="str">
            <v>ACT and Surrounding Areas</v>
          </cell>
          <cell r="C201">
            <v>1</v>
          </cell>
          <cell r="D201">
            <v>40513</v>
          </cell>
          <cell r="E201">
            <v>1</v>
          </cell>
          <cell r="F201">
            <v>2</v>
          </cell>
          <cell r="G201">
            <v>39793</v>
          </cell>
          <cell r="H201">
            <v>4</v>
          </cell>
          <cell r="I201" t="str">
            <v>TL -REF</v>
          </cell>
          <cell r="J201">
            <v>24</v>
          </cell>
          <cell r="L201" t="str">
            <v>6.5.24</v>
          </cell>
          <cell r="M201" t="str">
            <v>Poss</v>
          </cell>
          <cell r="N201" t="str">
            <v>Future</v>
          </cell>
          <cell r="O201" t="str">
            <v>132kV Line Easements - Royalla Outlets - Contract</v>
          </cell>
          <cell r="P201" t="str">
            <v>TL REF</v>
          </cell>
          <cell r="Q201" t="str">
            <v>Southern</v>
          </cell>
          <cell r="R201">
            <v>4</v>
          </cell>
          <cell r="W201">
            <v>0.33908045977011503</v>
          </cell>
          <cell r="X201">
            <v>2.9340902719372033</v>
          </cell>
          <cell r="Y201">
            <v>0.72682926829268291</v>
          </cell>
        </row>
        <row r="202">
          <cell r="A202">
            <v>138</v>
          </cell>
          <cell r="B202" t="str">
            <v>ACT and Surrounding Areas</v>
          </cell>
          <cell r="C202">
            <v>1</v>
          </cell>
          <cell r="D202">
            <v>40513</v>
          </cell>
          <cell r="E202">
            <v>1</v>
          </cell>
          <cell r="F202">
            <v>2</v>
          </cell>
          <cell r="G202">
            <v>39793</v>
          </cell>
          <cell r="H202">
            <v>4</v>
          </cell>
          <cell r="I202" t="str">
            <v>TL -REF</v>
          </cell>
          <cell r="J202">
            <v>24</v>
          </cell>
          <cell r="L202" t="str">
            <v>6.5.24</v>
          </cell>
          <cell r="M202" t="str">
            <v>Poss</v>
          </cell>
          <cell r="N202" t="str">
            <v>Future</v>
          </cell>
          <cell r="O202" t="str">
            <v>2x132kV lines from Royalla to ACTEW Gilmore Substation - contract</v>
          </cell>
          <cell r="P202" t="str">
            <v>TL REF</v>
          </cell>
          <cell r="Q202" t="str">
            <v>Southern</v>
          </cell>
          <cell r="R202">
            <v>10</v>
          </cell>
          <cell r="W202">
            <v>0.84770114942528751</v>
          </cell>
          <cell r="X202">
            <v>7.335225679843008</v>
          </cell>
          <cell r="Y202">
            <v>1.8170731707317072</v>
          </cell>
        </row>
        <row r="203">
          <cell r="A203">
            <v>139</v>
          </cell>
          <cell r="B203" t="str">
            <v>ACT and Surrounding Areas</v>
          </cell>
          <cell r="C203">
            <v>1</v>
          </cell>
          <cell r="D203">
            <v>40878</v>
          </cell>
          <cell r="E203">
            <v>1</v>
          </cell>
          <cell r="F203">
            <v>3</v>
          </cell>
          <cell r="G203">
            <v>39798</v>
          </cell>
          <cell r="H203">
            <v>6</v>
          </cell>
          <cell r="I203" t="str">
            <v>330/132kV Greenfield</v>
          </cell>
          <cell r="J203">
            <v>36</v>
          </cell>
          <cell r="L203" t="str">
            <v>6.5.24</v>
          </cell>
          <cell r="M203" t="str">
            <v>Poss</v>
          </cell>
          <cell r="N203" t="str">
            <v>Future</v>
          </cell>
          <cell r="O203" t="str">
            <v>Establish Royalla 330/132kV substation</v>
          </cell>
          <cell r="P203" t="str">
            <v>330SS</v>
          </cell>
          <cell r="Q203" t="str">
            <v>Southern</v>
          </cell>
          <cell r="R203">
            <v>18</v>
          </cell>
          <cell r="W203">
            <v>0.56000000000000005</v>
          </cell>
          <cell r="X203">
            <v>1.6356521739130443</v>
          </cell>
          <cell r="Y203">
            <v>13.733004542504867</v>
          </cell>
          <cell r="Z203">
            <v>2.07134328358209</v>
          </cell>
        </row>
        <row r="204">
          <cell r="A204">
            <v>140</v>
          </cell>
          <cell r="B204" t="str">
            <v>ACT and Surrounding Areas</v>
          </cell>
          <cell r="C204">
            <v>1</v>
          </cell>
          <cell r="D204">
            <v>40878</v>
          </cell>
          <cell r="E204">
            <v>1</v>
          </cell>
          <cell r="F204">
            <v>3</v>
          </cell>
          <cell r="G204">
            <v>39798</v>
          </cell>
          <cell r="H204">
            <v>6</v>
          </cell>
          <cell r="I204" t="str">
            <v>330/132kV Greenfield</v>
          </cell>
          <cell r="J204">
            <v>36</v>
          </cell>
          <cell r="L204" t="str">
            <v>6.5.24</v>
          </cell>
          <cell r="M204" t="str">
            <v>Poss</v>
          </cell>
          <cell r="N204" t="str">
            <v>Future</v>
          </cell>
          <cell r="O204" t="str">
            <v>Establish Bungendore 330kV Switching Station (3 breaker mesh)</v>
          </cell>
          <cell r="P204" t="str">
            <v>330SS</v>
          </cell>
          <cell r="Q204" t="str">
            <v>Southern</v>
          </cell>
          <cell r="R204">
            <v>14</v>
          </cell>
          <cell r="W204">
            <v>0.43555555555555558</v>
          </cell>
          <cell r="X204">
            <v>1.2721739130434788</v>
          </cell>
          <cell r="Y204">
            <v>10.681225755281563</v>
          </cell>
          <cell r="Z204">
            <v>1.6110447761194036</v>
          </cell>
        </row>
        <row r="205">
          <cell r="A205">
            <v>141</v>
          </cell>
          <cell r="B205" t="str">
            <v>Cooma and Bega supply</v>
          </cell>
          <cell r="C205">
            <v>1</v>
          </cell>
          <cell r="D205">
            <v>40878</v>
          </cell>
          <cell r="E205">
            <v>11</v>
          </cell>
          <cell r="F205">
            <v>1</v>
          </cell>
          <cell r="G205">
            <v>39078</v>
          </cell>
          <cell r="H205">
            <v>1</v>
          </cell>
          <cell r="I205" t="str">
            <v>EHV TL -EIS</v>
          </cell>
          <cell r="J205">
            <v>60</v>
          </cell>
          <cell r="L205" t="str">
            <v>6.5.25</v>
          </cell>
          <cell r="M205" t="str">
            <v>Poss</v>
          </cell>
          <cell r="N205" t="str">
            <v>Future</v>
          </cell>
          <cell r="O205" t="str">
            <v>Royalla- Cooma 330kV TL- Contract</v>
          </cell>
          <cell r="P205" t="str">
            <v>TL EIS</v>
          </cell>
          <cell r="Q205" t="str">
            <v>Southern</v>
          </cell>
          <cell r="R205">
            <v>60</v>
          </cell>
          <cell r="U205">
            <v>0.56000000000000005</v>
          </cell>
          <cell r="V205">
            <v>2.48</v>
          </cell>
          <cell r="W205">
            <v>2.023225806451614</v>
          </cell>
          <cell r="X205">
            <v>5.5741935483870959</v>
          </cell>
          <cell r="Y205">
            <v>48.41386269644336</v>
          </cell>
          <cell r="Z205">
            <v>0.94871794871794912</v>
          </cell>
        </row>
        <row r="206">
          <cell r="A206">
            <v>142</v>
          </cell>
          <cell r="B206" t="str">
            <v>Cooma and Bega supply</v>
          </cell>
          <cell r="C206">
            <v>1</v>
          </cell>
          <cell r="D206">
            <v>40148</v>
          </cell>
          <cell r="E206">
            <v>11</v>
          </cell>
          <cell r="F206">
            <v>3</v>
          </cell>
          <cell r="G206">
            <v>39248</v>
          </cell>
          <cell r="H206">
            <v>7</v>
          </cell>
          <cell r="I206" t="str">
            <v>132kV Greenfield</v>
          </cell>
          <cell r="J206">
            <v>30</v>
          </cell>
          <cell r="L206" t="str">
            <v>6.5.25-6</v>
          </cell>
          <cell r="M206" t="str">
            <v>Poss</v>
          </cell>
          <cell r="N206" t="str">
            <v>Future</v>
          </cell>
          <cell r="O206" t="str">
            <v>Establish North Cooma 132kV S.Stn - Contract</v>
          </cell>
          <cell r="P206" t="str">
            <v>132SS</v>
          </cell>
          <cell r="Q206" t="str">
            <v>Southern</v>
          </cell>
          <cell r="R206">
            <v>6</v>
          </cell>
          <cell r="U206">
            <v>1.0714285714285714E-2</v>
          </cell>
          <cell r="V206">
            <v>0.51428571428571446</v>
          </cell>
          <cell r="W206">
            <v>4.6761940298507456</v>
          </cell>
          <cell r="X206">
            <v>0.79880597014925392</v>
          </cell>
        </row>
        <row r="207">
          <cell r="A207">
            <v>143</v>
          </cell>
          <cell r="B207" t="str">
            <v>Cooma and Bega supply</v>
          </cell>
          <cell r="C207">
            <v>1</v>
          </cell>
          <cell r="D207">
            <v>40148</v>
          </cell>
          <cell r="E207">
            <v>11</v>
          </cell>
          <cell r="F207">
            <v>2</v>
          </cell>
          <cell r="G207">
            <v>39428</v>
          </cell>
          <cell r="H207">
            <v>4</v>
          </cell>
          <cell r="I207" t="str">
            <v>TL -REF</v>
          </cell>
          <cell r="J207">
            <v>24</v>
          </cell>
          <cell r="L207" t="str">
            <v>6.5.25</v>
          </cell>
          <cell r="M207" t="str">
            <v>Poss</v>
          </cell>
          <cell r="N207" t="str">
            <v>Future</v>
          </cell>
          <cell r="O207" t="str">
            <v>North Cooma 330/132kV Substation Outlets - Contracts</v>
          </cell>
          <cell r="P207" t="str">
            <v>TL REF</v>
          </cell>
          <cell r="Q207" t="str">
            <v>Southern</v>
          </cell>
          <cell r="R207">
            <v>3</v>
          </cell>
          <cell r="V207">
            <v>0.25431034482758619</v>
          </cell>
          <cell r="W207">
            <v>2.2005677039529021</v>
          </cell>
          <cell r="X207">
            <v>0.54512195121951201</v>
          </cell>
        </row>
        <row r="208">
          <cell r="A208">
            <v>144</v>
          </cell>
          <cell r="B208" t="str">
            <v>Cooma and Bega supply</v>
          </cell>
          <cell r="C208">
            <v>1</v>
          </cell>
          <cell r="D208">
            <v>42705</v>
          </cell>
          <cell r="E208">
            <v>11</v>
          </cell>
          <cell r="F208">
            <v>3</v>
          </cell>
          <cell r="G208">
            <v>41625</v>
          </cell>
          <cell r="H208">
            <v>6</v>
          </cell>
          <cell r="I208" t="str">
            <v>330/132kV Greenfield</v>
          </cell>
          <cell r="J208">
            <v>36</v>
          </cell>
          <cell r="L208" t="str">
            <v>6.5.25</v>
          </cell>
          <cell r="M208" t="str">
            <v>Poss</v>
          </cell>
          <cell r="N208" t="str">
            <v>Future</v>
          </cell>
          <cell r="O208" t="str">
            <v>Establish North Cooma 330/132kV - Contract</v>
          </cell>
          <cell r="P208" t="str">
            <v>132SS</v>
          </cell>
          <cell r="Q208" t="str">
            <v>Southern</v>
          </cell>
          <cell r="R208">
            <v>18</v>
          </cell>
          <cell r="AB208">
            <v>0.56000000000000005</v>
          </cell>
          <cell r="AC208">
            <v>1.6356521739130443</v>
          </cell>
          <cell r="AD208">
            <v>13.733004542504867</v>
          </cell>
          <cell r="AE208">
            <v>2.07134328358209</v>
          </cell>
        </row>
        <row r="209">
          <cell r="A209">
            <v>145</v>
          </cell>
          <cell r="B209" t="str">
            <v>Bayswater - Mount Piper 500 kV</v>
          </cell>
          <cell r="C209">
            <v>1</v>
          </cell>
          <cell r="D209">
            <v>39783</v>
          </cell>
          <cell r="E209">
            <v>4</v>
          </cell>
          <cell r="F209">
            <v>3</v>
          </cell>
          <cell r="G209">
            <v>38583</v>
          </cell>
          <cell r="H209">
            <v>5</v>
          </cell>
          <cell r="I209" t="str">
            <v>500/330kV Greenfield</v>
          </cell>
          <cell r="J209">
            <v>40</v>
          </cell>
          <cell r="L209" t="str">
            <v>6.5.6,34</v>
          </cell>
          <cell r="M209" t="str">
            <v>Poss</v>
          </cell>
          <cell r="N209" t="str">
            <v>Future</v>
          </cell>
          <cell r="O209" t="str">
            <v>Mt Piper 330kV Aug Stage 1 - Contract</v>
          </cell>
          <cell r="P209" t="str">
            <v>330SS</v>
          </cell>
          <cell r="Q209" t="str">
            <v>Central</v>
          </cell>
          <cell r="R209">
            <v>2</v>
          </cell>
          <cell r="T209">
            <v>0.11</v>
          </cell>
          <cell r="U209">
            <v>0.26447368421052642</v>
          </cell>
          <cell r="V209">
            <v>1.4045960832313347</v>
          </cell>
          <cell r="W209">
            <v>0.22093023255813962</v>
          </cell>
        </row>
        <row r="210">
          <cell r="A210">
            <v>146</v>
          </cell>
          <cell r="B210" t="str">
            <v>Bayswater - Mount Piper 500 kV</v>
          </cell>
          <cell r="C210">
            <v>1</v>
          </cell>
          <cell r="D210">
            <v>39783</v>
          </cell>
          <cell r="E210">
            <v>4</v>
          </cell>
          <cell r="F210">
            <v>3</v>
          </cell>
          <cell r="G210">
            <v>38583</v>
          </cell>
          <cell r="H210">
            <v>5</v>
          </cell>
          <cell r="I210" t="str">
            <v>500/330kV Greenfield</v>
          </cell>
          <cell r="J210">
            <v>40</v>
          </cell>
          <cell r="L210" t="str">
            <v>6.5.6,34</v>
          </cell>
          <cell r="M210" t="str">
            <v>Poss</v>
          </cell>
          <cell r="N210" t="str">
            <v>Future</v>
          </cell>
          <cell r="O210" t="str">
            <v>Wollar SS 500kV Upgrade - Contract</v>
          </cell>
          <cell r="P210" t="str">
            <v>500SS</v>
          </cell>
          <cell r="Q210" t="str">
            <v>Northern</v>
          </cell>
          <cell r="R210">
            <v>15</v>
          </cell>
          <cell r="T210">
            <v>0.82499999999999996</v>
          </cell>
          <cell r="U210">
            <v>1.9835526315789482</v>
          </cell>
          <cell r="V210">
            <v>10.534470624235011</v>
          </cell>
          <cell r="W210">
            <v>1.6569767441860472</v>
          </cell>
        </row>
        <row r="211">
          <cell r="A211">
            <v>147</v>
          </cell>
          <cell r="B211" t="str">
            <v>Bayswater - Mount Piper 500 kV</v>
          </cell>
          <cell r="C211">
            <v>1</v>
          </cell>
          <cell r="D211">
            <v>39783</v>
          </cell>
          <cell r="E211">
            <v>4</v>
          </cell>
          <cell r="F211">
            <v>3</v>
          </cell>
          <cell r="G211">
            <v>38583</v>
          </cell>
          <cell r="H211">
            <v>5</v>
          </cell>
          <cell r="I211" t="str">
            <v>500/330kV Greenfield</v>
          </cell>
          <cell r="J211">
            <v>40</v>
          </cell>
          <cell r="L211" t="str">
            <v>6.5.6,34</v>
          </cell>
          <cell r="M211" t="str">
            <v>Poss</v>
          </cell>
          <cell r="N211" t="str">
            <v>Future</v>
          </cell>
          <cell r="O211" t="str">
            <v>500/330kV substn Stage 1 at Mt Piper- Contract</v>
          </cell>
          <cell r="P211" t="str">
            <v>500SS</v>
          </cell>
          <cell r="Q211" t="str">
            <v>Northern</v>
          </cell>
          <cell r="R211">
            <v>75</v>
          </cell>
          <cell r="T211">
            <v>4.125</v>
          </cell>
          <cell r="U211">
            <v>9.9177631578947398</v>
          </cell>
          <cell r="V211">
            <v>52.672353121175043</v>
          </cell>
          <cell r="W211">
            <v>8.2848837209302353</v>
          </cell>
        </row>
        <row r="212">
          <cell r="A212">
            <v>148</v>
          </cell>
          <cell r="B212" t="str">
            <v>Bayswater - Mount Piper 500 kV</v>
          </cell>
          <cell r="C212">
            <v>1</v>
          </cell>
          <cell r="D212">
            <v>39783</v>
          </cell>
          <cell r="E212">
            <v>4</v>
          </cell>
          <cell r="F212">
            <v>3</v>
          </cell>
          <cell r="G212">
            <v>38583</v>
          </cell>
          <cell r="H212">
            <v>5</v>
          </cell>
          <cell r="I212" t="str">
            <v>500/330kV Greenfield</v>
          </cell>
          <cell r="J212">
            <v>40</v>
          </cell>
          <cell r="L212" t="str">
            <v>6.5.6,34</v>
          </cell>
          <cell r="M212" t="str">
            <v>Poss</v>
          </cell>
          <cell r="N212" t="str">
            <v>Future</v>
          </cell>
          <cell r="O212" t="str">
            <v>500/300kV substn at Bayswater - contract</v>
          </cell>
          <cell r="P212" t="str">
            <v>500SS</v>
          </cell>
          <cell r="Q212" t="str">
            <v>Northern</v>
          </cell>
          <cell r="R212">
            <v>65</v>
          </cell>
          <cell r="T212">
            <v>3.5750000000000002</v>
          </cell>
          <cell r="U212">
            <v>8.595394736842108</v>
          </cell>
          <cell r="V212">
            <v>45.649372705018372</v>
          </cell>
          <cell r="W212">
            <v>7.1802325581395374</v>
          </cell>
        </row>
        <row r="213">
          <cell r="A213">
            <v>149</v>
          </cell>
          <cell r="B213" t="str">
            <v>Bayswater - Mount Piper 500 kV</v>
          </cell>
          <cell r="C213">
            <v>1</v>
          </cell>
          <cell r="D213">
            <v>39783</v>
          </cell>
          <cell r="E213">
            <v>4</v>
          </cell>
          <cell r="F213">
            <v>2</v>
          </cell>
          <cell r="G213">
            <v>38703</v>
          </cell>
          <cell r="H213">
            <v>2</v>
          </cell>
          <cell r="I213" t="str">
            <v>EHV TL -REF</v>
          </cell>
          <cell r="J213">
            <v>36</v>
          </cell>
          <cell r="L213" t="str">
            <v>6.5.6,34</v>
          </cell>
          <cell r="M213" t="str">
            <v>Poss</v>
          </cell>
          <cell r="N213" t="str">
            <v>Future</v>
          </cell>
          <cell r="O213" t="str">
            <v>Mt Piper - Wang Line Works - Contract</v>
          </cell>
          <cell r="P213" t="str">
            <v>TL REF</v>
          </cell>
          <cell r="Q213" t="str">
            <v>Central</v>
          </cell>
          <cell r="R213">
            <v>5</v>
          </cell>
          <cell r="T213">
            <v>0.23333333333333331</v>
          </cell>
          <cell r="U213">
            <v>0.48716814159292038</v>
          </cell>
          <cell r="V213">
            <v>4.1002620260048452</v>
          </cell>
          <cell r="W213">
            <v>0.17923649906890135</v>
          </cell>
        </row>
        <row r="214">
          <cell r="A214">
            <v>150</v>
          </cell>
          <cell r="B214" t="str">
            <v>Bayswater - Mount Piper 500 kV</v>
          </cell>
          <cell r="C214">
            <v>1</v>
          </cell>
          <cell r="D214">
            <v>39783</v>
          </cell>
          <cell r="E214">
            <v>4</v>
          </cell>
          <cell r="F214">
            <v>2</v>
          </cell>
          <cell r="G214">
            <v>38703</v>
          </cell>
          <cell r="H214">
            <v>2</v>
          </cell>
          <cell r="I214" t="str">
            <v>EHV TL -REF</v>
          </cell>
          <cell r="J214">
            <v>36</v>
          </cell>
          <cell r="L214" t="str">
            <v>6.5.6,34</v>
          </cell>
          <cell r="M214" t="str">
            <v>Poss</v>
          </cell>
          <cell r="N214" t="str">
            <v>Future</v>
          </cell>
          <cell r="O214" t="str">
            <v>Bayswater - Mt Piper Line reconnections - contract</v>
          </cell>
          <cell r="P214" t="str">
            <v>TL REF</v>
          </cell>
          <cell r="Q214" t="str">
            <v>Northern</v>
          </cell>
          <cell r="R214">
            <v>5</v>
          </cell>
          <cell r="T214">
            <v>0.23333333333333331</v>
          </cell>
          <cell r="U214">
            <v>0.48716814159292038</v>
          </cell>
          <cell r="V214">
            <v>4.1002620260048452</v>
          </cell>
          <cell r="W214">
            <v>0.17923649906890135</v>
          </cell>
        </row>
        <row r="215">
          <cell r="A215">
            <v>151</v>
          </cell>
          <cell r="B215" t="str">
            <v>Marulan - Bannaby 500 kV</v>
          </cell>
          <cell r="C215">
            <v>0</v>
          </cell>
          <cell r="D215">
            <v>40148</v>
          </cell>
          <cell r="E215">
            <v>30</v>
          </cell>
          <cell r="F215">
            <v>3</v>
          </cell>
          <cell r="G215">
            <v>38948</v>
          </cell>
          <cell r="H215">
            <v>5</v>
          </cell>
          <cell r="I215" t="str">
            <v>500/330kV Greenfield</v>
          </cell>
          <cell r="J215">
            <v>40</v>
          </cell>
          <cell r="L215" t="str">
            <v>6.5.6,34</v>
          </cell>
          <cell r="M215" t="str">
            <v>Poss</v>
          </cell>
          <cell r="N215" t="str">
            <v>Future</v>
          </cell>
          <cell r="O215" t="str">
            <v>Marulan 500/330kV Stage 1 Development - Contract</v>
          </cell>
          <cell r="P215" t="str">
            <v>500SS</v>
          </cell>
          <cell r="Q215" t="str">
            <v>Southern</v>
          </cell>
          <cell r="R215">
            <v>25</v>
          </cell>
          <cell r="U215">
            <v>1.375</v>
          </cell>
          <cell r="V215">
            <v>3.3059210526315796</v>
          </cell>
          <cell r="W215">
            <v>17.55745104039168</v>
          </cell>
          <cell r="X215">
            <v>2.7616279069767455</v>
          </cell>
        </row>
        <row r="216">
          <cell r="A216">
            <v>152</v>
          </cell>
          <cell r="B216" t="str">
            <v>Marulan - Bannaby 500 kV</v>
          </cell>
          <cell r="C216">
            <v>1</v>
          </cell>
          <cell r="D216">
            <v>40148</v>
          </cell>
          <cell r="E216">
            <v>30</v>
          </cell>
          <cell r="F216">
            <v>3</v>
          </cell>
          <cell r="G216">
            <v>38948</v>
          </cell>
          <cell r="H216">
            <v>5</v>
          </cell>
          <cell r="I216" t="str">
            <v>500/330kV Greenfield</v>
          </cell>
          <cell r="J216">
            <v>40</v>
          </cell>
          <cell r="L216" t="str">
            <v>6.5.6,34</v>
          </cell>
          <cell r="M216" t="str">
            <v>Poss</v>
          </cell>
          <cell r="N216" t="str">
            <v>Future</v>
          </cell>
          <cell r="O216" t="str">
            <v>Bannaby 500/330kV Stage 1 Development - Contract</v>
          </cell>
          <cell r="P216" t="str">
            <v>500SS</v>
          </cell>
          <cell r="Q216" t="str">
            <v>Southern</v>
          </cell>
          <cell r="R216">
            <v>75</v>
          </cell>
          <cell r="U216">
            <v>4.125</v>
          </cell>
          <cell r="V216">
            <v>9.9177631578947398</v>
          </cell>
          <cell r="W216">
            <v>52.672353121175043</v>
          </cell>
          <cell r="X216">
            <v>8.2848837209302353</v>
          </cell>
        </row>
        <row r="217">
          <cell r="A217">
            <v>153</v>
          </cell>
          <cell r="B217" t="str">
            <v>Marulan - Bannaby 500 kV</v>
          </cell>
          <cell r="C217">
            <v>0</v>
          </cell>
          <cell r="D217">
            <v>40148</v>
          </cell>
          <cell r="E217">
            <v>30</v>
          </cell>
          <cell r="F217">
            <v>3</v>
          </cell>
          <cell r="G217">
            <v>38948</v>
          </cell>
          <cell r="H217">
            <v>5</v>
          </cell>
          <cell r="I217" t="str">
            <v>500/330kV Greenfield</v>
          </cell>
          <cell r="J217">
            <v>40</v>
          </cell>
          <cell r="L217" t="str">
            <v>6.5.6,34</v>
          </cell>
          <cell r="M217" t="str">
            <v>Poss</v>
          </cell>
          <cell r="N217" t="str">
            <v>Future</v>
          </cell>
          <cell r="O217" t="str">
            <v>Maraulan 500kV Outlets Redevelopment - Contract</v>
          </cell>
          <cell r="P217" t="str">
            <v>TL REF</v>
          </cell>
          <cell r="Q217" t="str">
            <v>Southern</v>
          </cell>
          <cell r="R217">
            <v>5</v>
          </cell>
          <cell r="U217">
            <v>0.27500000000000002</v>
          </cell>
          <cell r="V217">
            <v>0.66118421052631615</v>
          </cell>
          <cell r="W217">
            <v>3.5114902080783366</v>
          </cell>
          <cell r="X217">
            <v>0.55232558139534904</v>
          </cell>
        </row>
        <row r="218">
          <cell r="A218">
            <v>154</v>
          </cell>
          <cell r="B218" t="str">
            <v>Marulan - Bannaby 500 kV</v>
          </cell>
          <cell r="C218">
            <v>1</v>
          </cell>
          <cell r="D218">
            <v>40148</v>
          </cell>
          <cell r="E218">
            <v>30</v>
          </cell>
          <cell r="F218">
            <v>3</v>
          </cell>
          <cell r="G218">
            <v>38948</v>
          </cell>
          <cell r="H218">
            <v>5</v>
          </cell>
          <cell r="I218" t="str">
            <v>500/330kV Greenfield</v>
          </cell>
          <cell r="J218">
            <v>40</v>
          </cell>
          <cell r="L218" t="str">
            <v>6.5.6,34</v>
          </cell>
          <cell r="M218" t="str">
            <v>Poss</v>
          </cell>
          <cell r="N218" t="str">
            <v>Future</v>
          </cell>
          <cell r="O218" t="str">
            <v>Bannaby 500kV Outlets Redevelopment - Contract</v>
          </cell>
          <cell r="P218" t="str">
            <v>TL REF</v>
          </cell>
          <cell r="Q218" t="str">
            <v>Southern</v>
          </cell>
          <cell r="R218">
            <v>2</v>
          </cell>
          <cell r="U218">
            <v>0.11</v>
          </cell>
          <cell r="V218">
            <v>0.26447368421052642</v>
          </cell>
          <cell r="W218">
            <v>1.4045960832313347</v>
          </cell>
          <cell r="X218">
            <v>0.22093023255813962</v>
          </cell>
        </row>
        <row r="219">
          <cell r="A219">
            <v>155</v>
          </cell>
          <cell r="B219" t="str">
            <v>Marulan - South Coast Reinforcement</v>
          </cell>
          <cell r="C219">
            <v>1</v>
          </cell>
          <cell r="D219">
            <v>39783</v>
          </cell>
          <cell r="E219">
            <v>31</v>
          </cell>
          <cell r="F219">
            <v>2</v>
          </cell>
          <cell r="G219">
            <v>38703</v>
          </cell>
          <cell r="H219">
            <v>2</v>
          </cell>
          <cell r="I219" t="str">
            <v>EHV TL -REF</v>
          </cell>
          <cell r="J219">
            <v>36</v>
          </cell>
          <cell r="L219" t="str">
            <v>6.5.23</v>
          </cell>
          <cell r="M219" t="str">
            <v>Poss</v>
          </cell>
          <cell r="N219" t="str">
            <v>Future</v>
          </cell>
          <cell r="O219" t="str">
            <v>Uprating 8 &amp; 16 Lines - Contract</v>
          </cell>
          <cell r="P219" t="str">
            <v>TL REF</v>
          </cell>
          <cell r="Q219" t="str">
            <v>Southern</v>
          </cell>
          <cell r="R219">
            <v>8</v>
          </cell>
          <cell r="T219">
            <v>0.37333333333333335</v>
          </cell>
          <cell r="U219">
            <v>0.77946902654867267</v>
          </cell>
          <cell r="V219">
            <v>6.560419241607752</v>
          </cell>
          <cell r="W219">
            <v>0.28677839851024212</v>
          </cell>
        </row>
        <row r="220">
          <cell r="A220">
            <v>156</v>
          </cell>
          <cell r="B220" t="str">
            <v>Marulan - South Coast Reinforcement</v>
          </cell>
          <cell r="C220">
            <v>1</v>
          </cell>
          <cell r="D220">
            <v>39783</v>
          </cell>
          <cell r="E220">
            <v>31</v>
          </cell>
          <cell r="F220">
            <v>3</v>
          </cell>
          <cell r="G220">
            <v>39063</v>
          </cell>
          <cell r="H220">
            <v>9</v>
          </cell>
          <cell r="I220" t="str">
            <v>330/132kV Aug</v>
          </cell>
          <cell r="J220">
            <v>24</v>
          </cell>
          <cell r="L220" t="str">
            <v>6.5.23</v>
          </cell>
          <cell r="M220" t="str">
            <v>Poss</v>
          </cell>
          <cell r="N220" t="str">
            <v>Future</v>
          </cell>
          <cell r="O220" t="str">
            <v>Marulan 330kV Terminal Equipment- Contract</v>
          </cell>
          <cell r="P220" t="str">
            <v>330SS</v>
          </cell>
          <cell r="Q220" t="str">
            <v>Southern</v>
          </cell>
          <cell r="R220">
            <v>2</v>
          </cell>
          <cell r="U220">
            <v>0.1166666666666667</v>
          </cell>
          <cell r="V220">
            <v>1.5206467661691543</v>
          </cell>
          <cell r="W220">
            <v>0.36268656716417902</v>
          </cell>
        </row>
        <row r="221">
          <cell r="A221">
            <v>157</v>
          </cell>
          <cell r="B221" t="str">
            <v>Marulan - South Coast Reinforcement</v>
          </cell>
          <cell r="C221">
            <v>1</v>
          </cell>
          <cell r="D221">
            <v>39783</v>
          </cell>
          <cell r="E221">
            <v>31</v>
          </cell>
          <cell r="F221">
            <v>3</v>
          </cell>
          <cell r="G221">
            <v>39063</v>
          </cell>
          <cell r="H221">
            <v>9</v>
          </cell>
          <cell r="I221" t="str">
            <v>330/132kV Aug</v>
          </cell>
          <cell r="J221">
            <v>24</v>
          </cell>
          <cell r="L221" t="str">
            <v>6.5.23</v>
          </cell>
          <cell r="M221" t="str">
            <v>Poss</v>
          </cell>
          <cell r="N221" t="str">
            <v>Future</v>
          </cell>
          <cell r="O221" t="str">
            <v>Dapto 330kV Terminal Equipment- Contract</v>
          </cell>
          <cell r="P221" t="str">
            <v>330SS</v>
          </cell>
          <cell r="Q221" t="str">
            <v>Southern</v>
          </cell>
          <cell r="R221">
            <v>1</v>
          </cell>
          <cell r="U221">
            <v>5.8333333333333348E-2</v>
          </cell>
          <cell r="V221">
            <v>0.76032338308457714</v>
          </cell>
          <cell r="W221">
            <v>0.18134328358208951</v>
          </cell>
        </row>
        <row r="222">
          <cell r="A222">
            <v>158</v>
          </cell>
          <cell r="B222" t="str">
            <v>Marulan - South Coast Reinforcement</v>
          </cell>
          <cell r="C222">
            <v>1</v>
          </cell>
          <cell r="D222">
            <v>39783</v>
          </cell>
          <cell r="E222">
            <v>31</v>
          </cell>
          <cell r="F222">
            <v>3</v>
          </cell>
          <cell r="G222">
            <v>39063</v>
          </cell>
          <cell r="H222">
            <v>9</v>
          </cell>
          <cell r="I222" t="str">
            <v>330/132kV Aug</v>
          </cell>
          <cell r="J222">
            <v>24</v>
          </cell>
          <cell r="L222" t="str">
            <v>6.5.23</v>
          </cell>
          <cell r="M222" t="str">
            <v>Poss</v>
          </cell>
          <cell r="N222" t="str">
            <v>Future</v>
          </cell>
          <cell r="O222" t="str">
            <v>Avon 330kV Terminal Equipment - Contract</v>
          </cell>
          <cell r="P222" t="str">
            <v>330SS</v>
          </cell>
          <cell r="Q222" t="str">
            <v>Southern</v>
          </cell>
          <cell r="R222">
            <v>1</v>
          </cell>
          <cell r="U222">
            <v>5.8333333333333348E-2</v>
          </cell>
          <cell r="V222">
            <v>0.76032338308457714</v>
          </cell>
          <cell r="W222">
            <v>0.18134328358208951</v>
          </cell>
        </row>
        <row r="223">
          <cell r="A223">
            <v>159</v>
          </cell>
          <cell r="B223" t="str">
            <v>Marulan - Yass/Canberra Reinforcement</v>
          </cell>
          <cell r="C223">
            <v>1</v>
          </cell>
          <cell r="D223">
            <v>39783</v>
          </cell>
          <cell r="E223">
            <v>31</v>
          </cell>
          <cell r="F223">
            <v>2</v>
          </cell>
          <cell r="G223">
            <v>38703</v>
          </cell>
          <cell r="H223">
            <v>2</v>
          </cell>
          <cell r="I223" t="str">
            <v>EHV TL -REF</v>
          </cell>
          <cell r="J223">
            <v>36</v>
          </cell>
          <cell r="L223" t="str">
            <v>6.5.22</v>
          </cell>
          <cell r="M223" t="str">
            <v>Poss</v>
          </cell>
          <cell r="N223" t="str">
            <v>Future</v>
          </cell>
          <cell r="O223" t="str">
            <v>Uprating 4 &amp; 5 Lines - Contract</v>
          </cell>
          <cell r="P223" t="str">
            <v>TL REF</v>
          </cell>
          <cell r="Q223" t="str">
            <v>Southern</v>
          </cell>
          <cell r="R223">
            <v>8</v>
          </cell>
          <cell r="T223">
            <v>0.37333333333333335</v>
          </cell>
          <cell r="U223">
            <v>0.77946902654867267</v>
          </cell>
          <cell r="V223">
            <v>6.560419241607752</v>
          </cell>
          <cell r="W223">
            <v>0.28677839851024212</v>
          </cell>
        </row>
        <row r="224">
          <cell r="A224">
            <v>160</v>
          </cell>
          <cell r="B224" t="str">
            <v>Marulan - Yass/Canberra Reinforcement</v>
          </cell>
          <cell r="C224">
            <v>0</v>
          </cell>
          <cell r="D224">
            <v>40513</v>
          </cell>
          <cell r="E224">
            <v>31</v>
          </cell>
          <cell r="F224">
            <v>1</v>
          </cell>
          <cell r="G224">
            <v>38713</v>
          </cell>
          <cell r="H224">
            <v>1</v>
          </cell>
          <cell r="I224" t="str">
            <v>EHV TL -EIS</v>
          </cell>
          <cell r="J224">
            <v>60</v>
          </cell>
          <cell r="L224" t="str">
            <v>6.5.22</v>
          </cell>
          <cell r="M224" t="str">
            <v>Poss</v>
          </cell>
          <cell r="N224" t="str">
            <v>Future</v>
          </cell>
          <cell r="O224" t="str">
            <v>Turn 39 Line into Marulan - Line Contract</v>
          </cell>
          <cell r="P224" t="str">
            <v>TL REF</v>
          </cell>
          <cell r="Q224" t="str">
            <v>Southern</v>
          </cell>
          <cell r="R224">
            <v>25</v>
          </cell>
          <cell r="T224">
            <v>0.23333333333333336</v>
          </cell>
          <cell r="U224">
            <v>1.0333333333333334</v>
          </cell>
          <cell r="V224">
            <v>0.84301075268817205</v>
          </cell>
          <cell r="W224">
            <v>2.3225806451612905</v>
          </cell>
          <cell r="X224">
            <v>20.172442790184725</v>
          </cell>
          <cell r="Y224">
            <v>0.39529914529914545</v>
          </cell>
        </row>
        <row r="225">
          <cell r="A225">
            <v>161</v>
          </cell>
          <cell r="B225" t="str">
            <v>Marulan - Yass/Canberra Reinforcement</v>
          </cell>
          <cell r="C225">
            <v>1</v>
          </cell>
          <cell r="D225">
            <v>39783</v>
          </cell>
          <cell r="E225">
            <v>31</v>
          </cell>
          <cell r="F225">
            <v>3</v>
          </cell>
          <cell r="G225">
            <v>39063</v>
          </cell>
          <cell r="H225">
            <v>9</v>
          </cell>
          <cell r="I225" t="str">
            <v>330/132kV Aug</v>
          </cell>
          <cell r="J225">
            <v>24</v>
          </cell>
          <cell r="L225" t="str">
            <v>6.5.22</v>
          </cell>
          <cell r="M225" t="str">
            <v>Poss</v>
          </cell>
          <cell r="N225" t="str">
            <v>Future</v>
          </cell>
          <cell r="O225" t="str">
            <v>Marulan 330kV Augmentation - Contract</v>
          </cell>
          <cell r="P225" t="str">
            <v>330SS</v>
          </cell>
          <cell r="Q225" t="str">
            <v>Southern</v>
          </cell>
          <cell r="R225">
            <v>2</v>
          </cell>
          <cell r="U225">
            <v>0.1166666666666667</v>
          </cell>
          <cell r="V225">
            <v>1.5206467661691543</v>
          </cell>
          <cell r="W225">
            <v>0.36268656716417902</v>
          </cell>
        </row>
        <row r="226">
          <cell r="A226">
            <v>162</v>
          </cell>
          <cell r="B226" t="str">
            <v>Mt Piper - Marulan 500 kV</v>
          </cell>
          <cell r="C226">
            <v>1</v>
          </cell>
          <cell r="D226">
            <v>40148</v>
          </cell>
          <cell r="E226">
            <v>35</v>
          </cell>
          <cell r="F226">
            <v>3</v>
          </cell>
          <cell r="G226">
            <v>38948</v>
          </cell>
          <cell r="H226">
            <v>5</v>
          </cell>
          <cell r="I226" t="str">
            <v>500/330kV Greenfield</v>
          </cell>
          <cell r="J226">
            <v>40</v>
          </cell>
          <cell r="L226" t="str">
            <v>6.5.6,34</v>
          </cell>
          <cell r="M226" t="str">
            <v>Poss</v>
          </cell>
          <cell r="N226" t="str">
            <v>Future</v>
          </cell>
          <cell r="O226" t="str">
            <v>Mt Piper 330kV Aug Stage 2 - Contract</v>
          </cell>
          <cell r="P226" t="str">
            <v>330SS</v>
          </cell>
          <cell r="Q226" t="str">
            <v>Central</v>
          </cell>
          <cell r="R226">
            <v>10</v>
          </cell>
          <cell r="U226">
            <v>0.55000000000000004</v>
          </cell>
          <cell r="V226">
            <v>1.3223684210526323</v>
          </cell>
          <cell r="W226">
            <v>7.0229804161566731</v>
          </cell>
          <cell r="X226">
            <v>1.1046511627906981</v>
          </cell>
        </row>
        <row r="227">
          <cell r="A227">
            <v>163</v>
          </cell>
          <cell r="B227" t="str">
            <v>Mt Piper - Marulan 500 kV</v>
          </cell>
          <cell r="C227">
            <v>1</v>
          </cell>
          <cell r="D227">
            <v>40148</v>
          </cell>
          <cell r="E227">
            <v>35</v>
          </cell>
          <cell r="F227">
            <v>3</v>
          </cell>
          <cell r="G227">
            <v>38948</v>
          </cell>
          <cell r="H227">
            <v>5</v>
          </cell>
          <cell r="I227" t="str">
            <v>500/330kV Greenfield</v>
          </cell>
          <cell r="J227">
            <v>40</v>
          </cell>
          <cell r="L227" t="str">
            <v>6.5.6,34</v>
          </cell>
          <cell r="M227" t="str">
            <v>Poss</v>
          </cell>
          <cell r="N227" t="str">
            <v>Future</v>
          </cell>
          <cell r="O227" t="str">
            <v>Mt Piper 500kV Switchyard Stage 2- Contract</v>
          </cell>
          <cell r="P227" t="str">
            <v>500SS</v>
          </cell>
          <cell r="Q227" t="str">
            <v>Central</v>
          </cell>
          <cell r="R227">
            <v>15</v>
          </cell>
          <cell r="U227">
            <v>0.82499999999999996</v>
          </cell>
          <cell r="V227">
            <v>1.9835526315789482</v>
          </cell>
          <cell r="W227">
            <v>10.534470624235011</v>
          </cell>
          <cell r="X227">
            <v>1.6569767441860472</v>
          </cell>
        </row>
        <row r="228">
          <cell r="A228">
            <v>164</v>
          </cell>
          <cell r="B228" t="str">
            <v>Mt Piper - Marulan 500 kV</v>
          </cell>
          <cell r="C228">
            <v>1</v>
          </cell>
          <cell r="D228">
            <v>40148</v>
          </cell>
          <cell r="E228">
            <v>35</v>
          </cell>
          <cell r="F228">
            <v>3</v>
          </cell>
          <cell r="G228">
            <v>38948</v>
          </cell>
          <cell r="H228">
            <v>5</v>
          </cell>
          <cell r="I228" t="str">
            <v>500/330kV Greenfield</v>
          </cell>
          <cell r="J228">
            <v>40</v>
          </cell>
          <cell r="L228" t="str">
            <v>6.5.6,34</v>
          </cell>
          <cell r="M228" t="str">
            <v>Poss</v>
          </cell>
          <cell r="N228" t="str">
            <v>Future</v>
          </cell>
          <cell r="O228" t="str">
            <v>Mt Piper- Marulan line works - Contact</v>
          </cell>
          <cell r="P228" t="str">
            <v>TL REF</v>
          </cell>
          <cell r="Q228" t="str">
            <v>Central</v>
          </cell>
          <cell r="R228">
            <v>2</v>
          </cell>
          <cell r="U228">
            <v>0.11</v>
          </cell>
          <cell r="V228">
            <v>0.26447368421052642</v>
          </cell>
          <cell r="W228">
            <v>1.4045960832313347</v>
          </cell>
          <cell r="X228">
            <v>0.22093023255813962</v>
          </cell>
        </row>
        <row r="229">
          <cell r="A229">
            <v>165</v>
          </cell>
          <cell r="B229" t="str">
            <v>Newcastle and Lower North Coast Supply - Possible</v>
          </cell>
          <cell r="C229">
            <v>1</v>
          </cell>
          <cell r="D229">
            <v>42339</v>
          </cell>
          <cell r="E229">
            <v>39</v>
          </cell>
          <cell r="F229">
            <v>1</v>
          </cell>
          <cell r="G229">
            <v>40539</v>
          </cell>
          <cell r="H229">
            <v>1</v>
          </cell>
          <cell r="I229" t="str">
            <v>EHV TL -EIS</v>
          </cell>
          <cell r="J229">
            <v>60</v>
          </cell>
          <cell r="L229" t="str">
            <v>6.5.7</v>
          </cell>
          <cell r="M229" t="str">
            <v>Poss</v>
          </cell>
          <cell r="N229" t="str">
            <v>Planning</v>
          </cell>
          <cell r="O229" t="str">
            <v>Richmond Vale-Bayswater 500kV Line - Contract</v>
          </cell>
          <cell r="P229" t="str">
            <v>TL EIS</v>
          </cell>
          <cell r="Q229" t="str">
            <v>Northern</v>
          </cell>
          <cell r="R229">
            <v>120</v>
          </cell>
          <cell r="Y229">
            <v>1.1200000000000001</v>
          </cell>
          <cell r="Z229">
            <v>4.96</v>
          </cell>
          <cell r="AA229">
            <v>4.046451612903228</v>
          </cell>
          <cell r="AB229">
            <v>11.148387096774192</v>
          </cell>
          <cell r="AC229">
            <v>96.82772539288672</v>
          </cell>
          <cell r="AD229">
            <v>1.8974358974358982</v>
          </cell>
        </row>
        <row r="230">
          <cell r="A230">
            <v>166</v>
          </cell>
          <cell r="B230" t="str">
            <v>Newcastle and Lower North Coast Supply - Possible</v>
          </cell>
          <cell r="C230">
            <v>1</v>
          </cell>
          <cell r="D230">
            <v>42339</v>
          </cell>
          <cell r="E230">
            <v>39</v>
          </cell>
          <cell r="F230">
            <v>1</v>
          </cell>
          <cell r="G230">
            <v>40539</v>
          </cell>
          <cell r="H230">
            <v>1</v>
          </cell>
          <cell r="I230" t="str">
            <v>EHV TL -EIS</v>
          </cell>
          <cell r="J230">
            <v>60</v>
          </cell>
          <cell r="L230" t="str">
            <v>6.5.7</v>
          </cell>
          <cell r="M230" t="str">
            <v>Poss</v>
          </cell>
          <cell r="N230" t="str">
            <v>Planning</v>
          </cell>
          <cell r="O230" t="str">
            <v>Richmond Vale 330kV Line Alterations - Contract</v>
          </cell>
          <cell r="P230" t="str">
            <v>TL REF</v>
          </cell>
          <cell r="Q230" t="str">
            <v>Northern</v>
          </cell>
          <cell r="R230">
            <v>20</v>
          </cell>
          <cell r="Y230">
            <v>0.1866666666666667</v>
          </cell>
          <cell r="Z230">
            <v>0.82666666666666688</v>
          </cell>
          <cell r="AA230">
            <v>0.67440860215053788</v>
          </cell>
          <cell r="AB230">
            <v>1.8580645161290319</v>
          </cell>
          <cell r="AC230">
            <v>16.137954232147781</v>
          </cell>
          <cell r="AD230">
            <v>0.31623931623931634</v>
          </cell>
        </row>
        <row r="231">
          <cell r="A231">
            <v>167</v>
          </cell>
          <cell r="B231" t="str">
            <v>Newcastle and Lower North Coast Supply - Possible</v>
          </cell>
          <cell r="C231">
            <v>1</v>
          </cell>
          <cell r="D231">
            <v>42339</v>
          </cell>
          <cell r="E231">
            <v>39</v>
          </cell>
          <cell r="F231">
            <v>3</v>
          </cell>
          <cell r="G231">
            <v>41259</v>
          </cell>
          <cell r="H231">
            <v>6</v>
          </cell>
          <cell r="I231" t="str">
            <v>330/132kV Greenfield</v>
          </cell>
          <cell r="J231">
            <v>36</v>
          </cell>
          <cell r="L231" t="str">
            <v>6.5.7</v>
          </cell>
          <cell r="M231" t="str">
            <v>Poss</v>
          </cell>
          <cell r="N231" t="str">
            <v>Planning</v>
          </cell>
          <cell r="O231" t="str">
            <v>Richmond Vale 330kV SS - Contract</v>
          </cell>
          <cell r="P231" t="str">
            <v>330SS</v>
          </cell>
          <cell r="Q231" t="str">
            <v>Northern</v>
          </cell>
          <cell r="R231">
            <v>28</v>
          </cell>
          <cell r="AA231">
            <v>0.87111111111111117</v>
          </cell>
          <cell r="AB231">
            <v>2.5443478260869576</v>
          </cell>
          <cell r="AC231">
            <v>21.362451510563126</v>
          </cell>
          <cell r="AD231">
            <v>3.2220895522388071</v>
          </cell>
        </row>
        <row r="232">
          <cell r="A232">
            <v>168</v>
          </cell>
          <cell r="B232" t="str">
            <v>Newcastle and Lower North Coast Supply - Possible</v>
          </cell>
          <cell r="C232">
            <v>1</v>
          </cell>
          <cell r="D232">
            <v>42339</v>
          </cell>
          <cell r="E232">
            <v>39</v>
          </cell>
          <cell r="F232">
            <v>3</v>
          </cell>
          <cell r="G232">
            <v>41619</v>
          </cell>
          <cell r="H232">
            <v>9</v>
          </cell>
          <cell r="I232" t="str">
            <v>330/132kV Aug</v>
          </cell>
          <cell r="J232">
            <v>24</v>
          </cell>
          <cell r="L232" t="str">
            <v>6.5.7</v>
          </cell>
          <cell r="M232" t="str">
            <v>Poss</v>
          </cell>
          <cell r="N232" t="str">
            <v>Planning</v>
          </cell>
          <cell r="O232" t="str">
            <v>Bayswater 330kV SS Augmentations - Contract</v>
          </cell>
          <cell r="P232" t="str">
            <v>330SS</v>
          </cell>
          <cell r="Q232" t="str">
            <v>Northern</v>
          </cell>
          <cell r="R232">
            <v>4</v>
          </cell>
          <cell r="AB232">
            <v>0.23333333333333339</v>
          </cell>
          <cell r="AC232">
            <v>3.0412935323383086</v>
          </cell>
          <cell r="AD232">
            <v>0.72537313432835804</v>
          </cell>
        </row>
        <row r="233">
          <cell r="A233">
            <v>169</v>
          </cell>
          <cell r="B233" t="str">
            <v>NSW - Victoria Interconnection - Series Capacitors</v>
          </cell>
          <cell r="C233">
            <v>1</v>
          </cell>
          <cell r="D233">
            <v>41061</v>
          </cell>
          <cell r="E233">
            <v>40</v>
          </cell>
          <cell r="F233">
            <v>3</v>
          </cell>
          <cell r="G233">
            <v>39981</v>
          </cell>
          <cell r="H233">
            <v>6</v>
          </cell>
          <cell r="I233" t="str">
            <v>330/132kV Greenfield</v>
          </cell>
          <cell r="J233">
            <v>36</v>
          </cell>
          <cell r="L233" t="str">
            <v>6.5.32</v>
          </cell>
          <cell r="M233" t="str">
            <v>Poss</v>
          </cell>
          <cell r="N233" t="str">
            <v>Planning</v>
          </cell>
          <cell r="O233" t="str">
            <v>Series Capacitors at Wagga 330kV - Contract</v>
          </cell>
          <cell r="P233" t="str">
            <v>330CAP</v>
          </cell>
          <cell r="Q233" t="str">
            <v>Southern</v>
          </cell>
          <cell r="R233">
            <v>18</v>
          </cell>
          <cell r="W233">
            <v>0.02</v>
          </cell>
          <cell r="X233">
            <v>1.28</v>
          </cell>
          <cell r="Y233">
            <v>8.0173913043478251</v>
          </cell>
          <cell r="Z233">
            <v>8.6826086956521724</v>
          </cell>
        </row>
        <row r="234">
          <cell r="A234">
            <v>170</v>
          </cell>
          <cell r="B234" t="str">
            <v>NSW - Victoria Interconnection - Series Capacitors</v>
          </cell>
          <cell r="C234">
            <v>1</v>
          </cell>
          <cell r="D234">
            <v>41061</v>
          </cell>
          <cell r="E234">
            <v>40</v>
          </cell>
          <cell r="F234">
            <v>3</v>
          </cell>
          <cell r="G234">
            <v>39981</v>
          </cell>
          <cell r="H234">
            <v>6</v>
          </cell>
          <cell r="I234" t="str">
            <v>330/132kV Greenfield</v>
          </cell>
          <cell r="J234">
            <v>36</v>
          </cell>
          <cell r="L234" t="str">
            <v>6.5.32</v>
          </cell>
          <cell r="M234" t="str">
            <v>Poss</v>
          </cell>
          <cell r="N234" t="str">
            <v>Planning</v>
          </cell>
          <cell r="O234" t="str">
            <v>Series Capacitors at Jindera 330kV - Contract</v>
          </cell>
          <cell r="P234" t="str">
            <v>330CAP</v>
          </cell>
          <cell r="Q234" t="str">
            <v>Southern</v>
          </cell>
          <cell r="R234">
            <v>18</v>
          </cell>
          <cell r="W234">
            <v>0.02</v>
          </cell>
          <cell r="X234">
            <v>1.28</v>
          </cell>
          <cell r="Y234">
            <v>8.0173913043478251</v>
          </cell>
          <cell r="Z234">
            <v>8.6826086956521724</v>
          </cell>
        </row>
        <row r="235">
          <cell r="A235">
            <v>171</v>
          </cell>
          <cell r="B235" t="str">
            <v>NSW - Victoria Interconnection - Series Capacitors</v>
          </cell>
          <cell r="C235">
            <v>1</v>
          </cell>
          <cell r="D235">
            <v>41061</v>
          </cell>
          <cell r="E235">
            <v>40</v>
          </cell>
          <cell r="F235">
            <v>3</v>
          </cell>
          <cell r="G235">
            <v>40341</v>
          </cell>
          <cell r="H235">
            <v>9</v>
          </cell>
          <cell r="I235" t="str">
            <v>330/132kV Aug</v>
          </cell>
          <cell r="J235">
            <v>24</v>
          </cell>
          <cell r="L235" t="str">
            <v>6.5.32</v>
          </cell>
          <cell r="M235" t="str">
            <v>Poss</v>
          </cell>
          <cell r="N235" t="str">
            <v>Planning</v>
          </cell>
          <cell r="O235" t="str">
            <v>Wagga 330kV S/S Augmentations - Contract</v>
          </cell>
          <cell r="P235" t="str">
            <v>330SS</v>
          </cell>
          <cell r="Q235" t="str">
            <v>Southern</v>
          </cell>
          <cell r="R235">
            <v>2</v>
          </cell>
          <cell r="X235">
            <v>4.7619047619047623E-3</v>
          </cell>
          <cell r="Y235">
            <v>0.2764880952380952</v>
          </cell>
          <cell r="Z235">
            <v>1.71875</v>
          </cell>
        </row>
        <row r="236">
          <cell r="A236">
            <v>172</v>
          </cell>
          <cell r="B236" t="str">
            <v>NSW - Victoria Interconnection - Series Capacitors</v>
          </cell>
          <cell r="C236">
            <v>1</v>
          </cell>
          <cell r="D236">
            <v>41061</v>
          </cell>
          <cell r="E236">
            <v>40</v>
          </cell>
          <cell r="F236">
            <v>3</v>
          </cell>
          <cell r="G236">
            <v>40341</v>
          </cell>
          <cell r="H236">
            <v>9</v>
          </cell>
          <cell r="I236" t="str">
            <v>330/132kV Aug</v>
          </cell>
          <cell r="J236">
            <v>24</v>
          </cell>
          <cell r="L236" t="str">
            <v>6.5.32</v>
          </cell>
          <cell r="M236" t="str">
            <v>Poss</v>
          </cell>
          <cell r="N236" t="str">
            <v>Planning</v>
          </cell>
          <cell r="O236" t="str">
            <v>Jindera 330kV SS Augmentations - Contract</v>
          </cell>
          <cell r="P236" t="str">
            <v>330SS</v>
          </cell>
          <cell r="Q236" t="str">
            <v>Southern</v>
          </cell>
          <cell r="R236">
            <v>2</v>
          </cell>
          <cell r="X236">
            <v>4.7619047619047623E-3</v>
          </cell>
          <cell r="Y236">
            <v>0.2764880952380952</v>
          </cell>
          <cell r="Z236">
            <v>1.71875</v>
          </cell>
        </row>
        <row r="237">
          <cell r="A237">
            <v>173</v>
          </cell>
          <cell r="B237" t="str">
            <v>South West NSW &amp; Possible VIC I/C - 330 kV Line</v>
          </cell>
          <cell r="C237">
            <v>1</v>
          </cell>
          <cell r="D237">
            <v>41244</v>
          </cell>
          <cell r="E237">
            <v>50</v>
          </cell>
          <cell r="F237">
            <v>1</v>
          </cell>
          <cell r="G237">
            <v>39444</v>
          </cell>
          <cell r="H237">
            <v>1</v>
          </cell>
          <cell r="I237" t="str">
            <v>EHV TL -EIS</v>
          </cell>
          <cell r="J237">
            <v>60</v>
          </cell>
          <cell r="L237" t="str">
            <v>6.5.28</v>
          </cell>
          <cell r="M237" t="str">
            <v>Poss</v>
          </cell>
          <cell r="N237" t="str">
            <v>Future</v>
          </cell>
          <cell r="O237" t="str">
            <v>Wagga - Finley 330kV TL (184km) - Contract</v>
          </cell>
          <cell r="P237" t="str">
            <v>TL EIS</v>
          </cell>
          <cell r="Q237" t="str">
            <v>Southern</v>
          </cell>
          <cell r="R237">
            <v>125</v>
          </cell>
          <cell r="V237">
            <v>1.1666666666666667</v>
          </cell>
          <cell r="W237">
            <v>5.1666666666666661</v>
          </cell>
          <cell r="X237">
            <v>4.2150537634408618</v>
          </cell>
          <cell r="Y237">
            <v>11.61290322580645</v>
          </cell>
          <cell r="Z237">
            <v>100.86221395092365</v>
          </cell>
          <cell r="AA237">
            <v>1.9764957264957275</v>
          </cell>
        </row>
        <row r="238">
          <cell r="A238">
            <v>174</v>
          </cell>
          <cell r="B238" t="str">
            <v>South West NSW &amp; Possible VIC I/C - 330 kV Line</v>
          </cell>
          <cell r="C238">
            <v>1</v>
          </cell>
          <cell r="D238">
            <v>40878</v>
          </cell>
          <cell r="E238">
            <v>50</v>
          </cell>
          <cell r="F238">
            <v>3</v>
          </cell>
          <cell r="G238">
            <v>39798</v>
          </cell>
          <cell r="H238">
            <v>6</v>
          </cell>
          <cell r="I238" t="str">
            <v>330/132kV Greenfield</v>
          </cell>
          <cell r="J238">
            <v>36</v>
          </cell>
          <cell r="L238" t="str">
            <v>6.5.28</v>
          </cell>
          <cell r="M238" t="str">
            <v>Poss</v>
          </cell>
          <cell r="N238" t="str">
            <v>Future</v>
          </cell>
          <cell r="O238" t="str">
            <v>Finley 330/132kV Substation - Contract</v>
          </cell>
          <cell r="P238" t="str">
            <v>330SS</v>
          </cell>
          <cell r="Q238" t="str">
            <v>Southern</v>
          </cell>
          <cell r="R238">
            <v>18</v>
          </cell>
          <cell r="W238">
            <v>0.56000000000000005</v>
          </cell>
          <cell r="X238">
            <v>1.6356521739130443</v>
          </cell>
          <cell r="Y238">
            <v>13.733004542504867</v>
          </cell>
          <cell r="Z238">
            <v>2.07134328358209</v>
          </cell>
        </row>
        <row r="239">
          <cell r="A239">
            <v>175</v>
          </cell>
          <cell r="B239" t="str">
            <v>South West NSW &amp; Possible VIC I/C - 330 kV Line</v>
          </cell>
          <cell r="C239">
            <v>1</v>
          </cell>
          <cell r="D239">
            <v>40878</v>
          </cell>
          <cell r="E239">
            <v>50</v>
          </cell>
          <cell r="F239">
            <v>3</v>
          </cell>
          <cell r="G239">
            <v>40158</v>
          </cell>
          <cell r="H239">
            <v>9</v>
          </cell>
          <cell r="I239" t="str">
            <v>330/132kV Aug</v>
          </cell>
          <cell r="J239">
            <v>24</v>
          </cell>
          <cell r="L239" t="str">
            <v>6.5.28</v>
          </cell>
          <cell r="M239" t="str">
            <v>Poss</v>
          </cell>
          <cell r="N239" t="str">
            <v>Future</v>
          </cell>
          <cell r="O239" t="str">
            <v>Wagga 330kV Switchbay - Contract</v>
          </cell>
          <cell r="P239" t="str">
            <v>330SS</v>
          </cell>
          <cell r="Q239" t="str">
            <v>Southern</v>
          </cell>
          <cell r="R239">
            <v>1</v>
          </cell>
          <cell r="X239">
            <v>5.8333333333333348E-2</v>
          </cell>
          <cell r="Y239">
            <v>0.76032338308457714</v>
          </cell>
          <cell r="Z239">
            <v>0.18134328358208951</v>
          </cell>
        </row>
        <row r="240">
          <cell r="A240">
            <v>176</v>
          </cell>
          <cell r="B240" t="str">
            <v>Yass - Wagga 330 kV DC Line Development</v>
          </cell>
          <cell r="C240">
            <v>1</v>
          </cell>
          <cell r="D240">
            <v>41244</v>
          </cell>
          <cell r="E240">
            <v>67</v>
          </cell>
          <cell r="F240">
            <v>1</v>
          </cell>
          <cell r="G240">
            <v>39444</v>
          </cell>
          <cell r="H240">
            <v>1</v>
          </cell>
          <cell r="I240" t="str">
            <v>EHV TL -EIS</v>
          </cell>
          <cell r="J240">
            <v>60</v>
          </cell>
          <cell r="L240" t="str">
            <v>6.4.2</v>
          </cell>
          <cell r="M240" t="str">
            <v>Poss</v>
          </cell>
          <cell r="N240" t="str">
            <v>Proposed</v>
          </cell>
          <cell r="O240" t="str">
            <v>Yass Wagga 330kVTL (Double Circuit ) - Contract</v>
          </cell>
          <cell r="P240" t="str">
            <v>TL EIS</v>
          </cell>
          <cell r="Q240" t="str">
            <v>Southern</v>
          </cell>
          <cell r="R240">
            <v>120</v>
          </cell>
          <cell r="V240">
            <v>1.1200000000000001</v>
          </cell>
          <cell r="W240">
            <v>4.96</v>
          </cell>
          <cell r="X240">
            <v>4.046451612903228</v>
          </cell>
          <cell r="Y240">
            <v>11.148387096774192</v>
          </cell>
          <cell r="Z240">
            <v>96.82772539288672</v>
          </cell>
          <cell r="AA240">
            <v>1.8974358974358982</v>
          </cell>
        </row>
        <row r="241">
          <cell r="A241">
            <v>177</v>
          </cell>
          <cell r="B241" t="str">
            <v>Yass - Wagga 330 kV DC Line Development</v>
          </cell>
          <cell r="C241">
            <v>1</v>
          </cell>
          <cell r="D241">
            <v>41244</v>
          </cell>
          <cell r="E241">
            <v>67</v>
          </cell>
          <cell r="F241">
            <v>3</v>
          </cell>
          <cell r="G241">
            <v>40524</v>
          </cell>
          <cell r="H241">
            <v>9</v>
          </cell>
          <cell r="I241" t="str">
            <v>330/132kV Aug</v>
          </cell>
          <cell r="J241">
            <v>24</v>
          </cell>
          <cell r="L241" t="str">
            <v>6.4.2</v>
          </cell>
          <cell r="M241" t="str">
            <v>Poss</v>
          </cell>
          <cell r="N241" t="str">
            <v>Proposed</v>
          </cell>
          <cell r="O241" t="str">
            <v>Yass 330kV Substation Aug - Contract</v>
          </cell>
          <cell r="P241" t="str">
            <v>330SS</v>
          </cell>
          <cell r="Q241" t="str">
            <v>Southern</v>
          </cell>
          <cell r="R241">
            <v>3</v>
          </cell>
          <cell r="Y241">
            <v>0.17499999999999999</v>
          </cell>
          <cell r="Z241">
            <v>2.2809701492537315</v>
          </cell>
          <cell r="AA241">
            <v>0.54402985074626864</v>
          </cell>
        </row>
        <row r="242">
          <cell r="A242">
            <v>178</v>
          </cell>
          <cell r="B242" t="str">
            <v>Yass - Wagga 330 kV DC Line Development</v>
          </cell>
          <cell r="C242">
            <v>1</v>
          </cell>
          <cell r="D242">
            <v>41244</v>
          </cell>
          <cell r="E242">
            <v>67</v>
          </cell>
          <cell r="F242">
            <v>3</v>
          </cell>
          <cell r="G242">
            <v>40524</v>
          </cell>
          <cell r="H242">
            <v>9</v>
          </cell>
          <cell r="I242" t="str">
            <v>330/132kV Aug</v>
          </cell>
          <cell r="J242">
            <v>24</v>
          </cell>
          <cell r="L242" t="str">
            <v>6.4.2</v>
          </cell>
          <cell r="M242" t="str">
            <v>Poss</v>
          </cell>
          <cell r="N242" t="str">
            <v>Proposed</v>
          </cell>
          <cell r="O242" t="str">
            <v>Wagga 330kV Substation Aug - Contract</v>
          </cell>
          <cell r="P242" t="str">
            <v>330SS</v>
          </cell>
          <cell r="Q242" t="str">
            <v>Southern</v>
          </cell>
          <cell r="R242">
            <v>3</v>
          </cell>
          <cell r="Y242">
            <v>0.17499999999999999</v>
          </cell>
          <cell r="Z242">
            <v>2.2809701492537315</v>
          </cell>
          <cell r="AA242">
            <v>0.54402985074626864</v>
          </cell>
        </row>
        <row r="243">
          <cell r="A243">
            <v>179</v>
          </cell>
          <cell r="B243" t="str">
            <v>Yass - Wagga 330 kV SC Line Development</v>
          </cell>
          <cell r="C243">
            <v>1</v>
          </cell>
          <cell r="D243">
            <v>41244</v>
          </cell>
          <cell r="E243">
            <v>67</v>
          </cell>
          <cell r="F243">
            <v>1</v>
          </cell>
          <cell r="G243">
            <v>39444</v>
          </cell>
          <cell r="H243">
            <v>1</v>
          </cell>
          <cell r="I243" t="str">
            <v>EHV TL -EIS</v>
          </cell>
          <cell r="J243">
            <v>60</v>
          </cell>
          <cell r="L243" t="str">
            <v>6.4.2</v>
          </cell>
          <cell r="M243" t="str">
            <v>Poss</v>
          </cell>
          <cell r="N243" t="str">
            <v>Proposed</v>
          </cell>
          <cell r="O243" t="str">
            <v>Yass Wagga 330kVTL (Single Circuit ) - Contract</v>
          </cell>
          <cell r="P243" t="str">
            <v>TL EIS</v>
          </cell>
          <cell r="Q243" t="str">
            <v>Southern</v>
          </cell>
          <cell r="R243">
            <v>85</v>
          </cell>
          <cell r="V243">
            <v>0.79333333333333345</v>
          </cell>
          <cell r="W243">
            <v>3.5133333333333336</v>
          </cell>
          <cell r="X243">
            <v>2.8662365591397858</v>
          </cell>
          <cell r="Y243">
            <v>7.8967741935483859</v>
          </cell>
          <cell r="Z243">
            <v>68.586305486628078</v>
          </cell>
          <cell r="AA243">
            <v>1.3440170940170943</v>
          </cell>
        </row>
        <row r="244">
          <cell r="A244">
            <v>180</v>
          </cell>
          <cell r="B244" t="str">
            <v>Yass - Wagga 330 kV SC Line Development</v>
          </cell>
          <cell r="C244">
            <v>1</v>
          </cell>
          <cell r="D244">
            <v>41244</v>
          </cell>
          <cell r="E244">
            <v>67</v>
          </cell>
          <cell r="F244">
            <v>3</v>
          </cell>
          <cell r="G244">
            <v>40524</v>
          </cell>
          <cell r="H244">
            <v>9</v>
          </cell>
          <cell r="I244" t="str">
            <v>330/132kV Aug</v>
          </cell>
          <cell r="J244">
            <v>24</v>
          </cell>
          <cell r="L244" t="str">
            <v>6.4.2</v>
          </cell>
          <cell r="M244" t="str">
            <v>Poss</v>
          </cell>
          <cell r="N244" t="str">
            <v>Proposed</v>
          </cell>
          <cell r="O244" t="str">
            <v>Yass 330kV Substation Aug - Contract</v>
          </cell>
          <cell r="P244" t="str">
            <v>330SS</v>
          </cell>
          <cell r="Q244" t="str">
            <v>Southern</v>
          </cell>
          <cell r="R244">
            <v>3</v>
          </cell>
          <cell r="Y244">
            <v>0.17499999999999999</v>
          </cell>
          <cell r="Z244">
            <v>2.2809701492537315</v>
          </cell>
          <cell r="AA244">
            <v>0.54402985074626864</v>
          </cell>
        </row>
        <row r="245">
          <cell r="A245">
            <v>181</v>
          </cell>
          <cell r="B245" t="str">
            <v>Yass - Wagga 330 kV SC Line Development</v>
          </cell>
          <cell r="C245">
            <v>1</v>
          </cell>
          <cell r="D245">
            <v>41244</v>
          </cell>
          <cell r="E245">
            <v>67</v>
          </cell>
          <cell r="F245">
            <v>3</v>
          </cell>
          <cell r="G245">
            <v>40524</v>
          </cell>
          <cell r="H245">
            <v>9</v>
          </cell>
          <cell r="I245" t="str">
            <v>330/132kV Aug</v>
          </cell>
          <cell r="J245">
            <v>24</v>
          </cell>
          <cell r="L245" t="str">
            <v>6.4.2</v>
          </cell>
          <cell r="M245" t="str">
            <v>Poss</v>
          </cell>
          <cell r="N245" t="str">
            <v>Proposed</v>
          </cell>
          <cell r="O245" t="str">
            <v>Wagga 330kV Substation Aug - Contract</v>
          </cell>
          <cell r="P245" t="str">
            <v>330SS</v>
          </cell>
          <cell r="Q245" t="str">
            <v>Southern</v>
          </cell>
          <cell r="R245">
            <v>3</v>
          </cell>
          <cell r="Y245">
            <v>0.17499999999999999</v>
          </cell>
          <cell r="Z245">
            <v>2.2809701492537315</v>
          </cell>
          <cell r="AA245">
            <v>0.54402985074626864</v>
          </cell>
        </row>
        <row r="246">
          <cell r="A246">
            <v>182</v>
          </cell>
          <cell r="B246" t="str">
            <v>Southern Close of 500kV Ring</v>
          </cell>
          <cell r="C246">
            <v>1</v>
          </cell>
          <cell r="D246">
            <v>41974</v>
          </cell>
          <cell r="E246">
            <v>68</v>
          </cell>
          <cell r="F246">
            <v>1</v>
          </cell>
          <cell r="G246">
            <v>40174</v>
          </cell>
          <cell r="H246">
            <v>1</v>
          </cell>
          <cell r="I246" t="str">
            <v>EHV TL -EIS</v>
          </cell>
          <cell r="J246">
            <v>60</v>
          </cell>
          <cell r="N246" t="str">
            <v>Proposed</v>
          </cell>
          <cell r="O246" t="str">
            <v>Marulan to Kemps Creek 500kV (ex 39 &amp; 14 lines) (xxkm)</v>
          </cell>
          <cell r="P246" t="str">
            <v>TL EIS</v>
          </cell>
          <cell r="Q246" t="str">
            <v>Southern</v>
          </cell>
          <cell r="R246">
            <v>150</v>
          </cell>
          <cell r="X246">
            <v>1.4</v>
          </cell>
          <cell r="Y246">
            <v>6.2</v>
          </cell>
          <cell r="Z246">
            <v>5.0580645161290354</v>
          </cell>
          <cell r="AA246">
            <v>13.935483870967742</v>
          </cell>
          <cell r="AB246">
            <v>121.03465674110836</v>
          </cell>
          <cell r="AC246">
            <v>2.3717948717948727</v>
          </cell>
        </row>
        <row r="247">
          <cell r="A247">
            <v>183</v>
          </cell>
          <cell r="B247" t="str">
            <v>Southern Close of 500kV Ring</v>
          </cell>
          <cell r="C247">
            <v>1</v>
          </cell>
          <cell r="D247">
            <v>41609</v>
          </cell>
          <cell r="E247">
            <v>68</v>
          </cell>
          <cell r="F247">
            <v>3</v>
          </cell>
          <cell r="G247">
            <v>40769</v>
          </cell>
          <cell r="H247">
            <v>8</v>
          </cell>
          <cell r="I247" t="str">
            <v>500/330kV Aug</v>
          </cell>
          <cell r="J247">
            <v>28</v>
          </cell>
          <cell r="N247" t="str">
            <v>Proposed</v>
          </cell>
          <cell r="O247" t="str">
            <v>Kemps Creek 500kV Augmentation</v>
          </cell>
          <cell r="P247" t="str">
            <v>500SS</v>
          </cell>
          <cell r="Q247" t="str">
            <v>Central</v>
          </cell>
          <cell r="R247">
            <v>25</v>
          </cell>
          <cell r="Z247">
            <v>1.9642857142857142</v>
          </cell>
          <cell r="AA247">
            <v>19.294160231660232</v>
          </cell>
          <cell r="AB247">
            <v>3.7415540540540544</v>
          </cell>
        </row>
        <row r="248">
          <cell r="A248">
            <v>184</v>
          </cell>
          <cell r="B248" t="str">
            <v>Southern Close of 500kV Ring</v>
          </cell>
          <cell r="C248">
            <v>1</v>
          </cell>
          <cell r="D248">
            <v>41609</v>
          </cell>
          <cell r="E248">
            <v>68</v>
          </cell>
          <cell r="F248">
            <v>3</v>
          </cell>
          <cell r="G248">
            <v>40769</v>
          </cell>
          <cell r="H248">
            <v>8</v>
          </cell>
          <cell r="I248" t="str">
            <v>500/330kV Aug</v>
          </cell>
          <cell r="J248">
            <v>28</v>
          </cell>
          <cell r="N248" t="str">
            <v>Proposed</v>
          </cell>
          <cell r="O248" t="str">
            <v>Bannaby 500kV Augmentation</v>
          </cell>
          <cell r="P248" t="str">
            <v>500SS</v>
          </cell>
          <cell r="Q248" t="str">
            <v>Southern</v>
          </cell>
          <cell r="R248">
            <v>25</v>
          </cell>
          <cell r="Z248">
            <v>1.9642857142857142</v>
          </cell>
          <cell r="AA248">
            <v>19.294160231660232</v>
          </cell>
          <cell r="AB248">
            <v>3.7415540540540544</v>
          </cell>
        </row>
        <row r="249">
          <cell r="A249">
            <v>185</v>
          </cell>
          <cell r="B249" t="str">
            <v>Northern Close of 500kV Ring</v>
          </cell>
          <cell r="C249">
            <v>1</v>
          </cell>
          <cell r="D249">
            <v>43435</v>
          </cell>
          <cell r="E249">
            <v>69</v>
          </cell>
          <cell r="F249">
            <v>1</v>
          </cell>
          <cell r="G249">
            <v>41635</v>
          </cell>
          <cell r="H249">
            <v>1</v>
          </cell>
          <cell r="I249" t="str">
            <v>EHV TL -EIS</v>
          </cell>
          <cell r="J249">
            <v>60</v>
          </cell>
          <cell r="N249" t="str">
            <v>Proposed</v>
          </cell>
          <cell r="O249" t="str">
            <v>Richmond Vale-Eraring 500kV Line</v>
          </cell>
          <cell r="P249" t="str">
            <v>TL EIS</v>
          </cell>
          <cell r="Q249" t="str">
            <v>Northern</v>
          </cell>
          <cell r="R249">
            <v>60</v>
          </cell>
          <cell r="AB249">
            <v>0.56000000000000005</v>
          </cell>
          <cell r="AC249">
            <v>2.48</v>
          </cell>
          <cell r="AD249">
            <v>2.023225806451614</v>
          </cell>
          <cell r="AE249">
            <v>5.5741935483870959</v>
          </cell>
          <cell r="AF249">
            <v>48.41386269644336</v>
          </cell>
          <cell r="AG249">
            <v>0.94871794871794912</v>
          </cell>
        </row>
        <row r="250">
          <cell r="A250">
            <v>186</v>
          </cell>
          <cell r="B250" t="str">
            <v>Northern Close of 500kV Ring</v>
          </cell>
          <cell r="C250">
            <v>1</v>
          </cell>
          <cell r="D250">
            <v>43435</v>
          </cell>
          <cell r="E250">
            <v>69</v>
          </cell>
          <cell r="F250">
            <v>3</v>
          </cell>
          <cell r="G250">
            <v>42595</v>
          </cell>
          <cell r="H250">
            <v>8</v>
          </cell>
          <cell r="I250" t="str">
            <v>500/330kV Aug</v>
          </cell>
          <cell r="J250">
            <v>28</v>
          </cell>
          <cell r="N250" t="str">
            <v>Proposed</v>
          </cell>
          <cell r="O250" t="str">
            <v>Eraring 500kV Augmentation</v>
          </cell>
          <cell r="P250" t="str">
            <v>500SS</v>
          </cell>
          <cell r="Q250" t="str">
            <v>Northern</v>
          </cell>
          <cell r="R250">
            <v>25</v>
          </cell>
          <cell r="AE250">
            <v>1.9642857142857142</v>
          </cell>
          <cell r="AF250">
            <v>19.294160231660232</v>
          </cell>
          <cell r="AG250">
            <v>3.7415540540540544</v>
          </cell>
        </row>
        <row r="251">
          <cell r="A251">
            <v>187</v>
          </cell>
          <cell r="B251" t="str">
            <v>Northern Close of 500kV Ring</v>
          </cell>
          <cell r="C251">
            <v>1</v>
          </cell>
          <cell r="D251">
            <v>43435</v>
          </cell>
          <cell r="E251">
            <v>69</v>
          </cell>
          <cell r="F251">
            <v>3</v>
          </cell>
          <cell r="G251">
            <v>42595</v>
          </cell>
          <cell r="H251">
            <v>8</v>
          </cell>
          <cell r="I251" t="str">
            <v>500/330kV Aug</v>
          </cell>
          <cell r="J251">
            <v>28</v>
          </cell>
          <cell r="N251" t="str">
            <v>Proposed</v>
          </cell>
          <cell r="O251" t="str">
            <v>Eraring 500/330kV Tx Augmentation</v>
          </cell>
          <cell r="P251" t="str">
            <v>500SS</v>
          </cell>
          <cell r="Q251" t="str">
            <v>Northern</v>
          </cell>
          <cell r="R251">
            <v>25</v>
          </cell>
          <cell r="AE251">
            <v>1.9642857142857142</v>
          </cell>
          <cell r="AF251">
            <v>19.294160231660232</v>
          </cell>
          <cell r="AG251">
            <v>3.7415540540540544</v>
          </cell>
        </row>
        <row r="252">
          <cell r="A252">
            <v>188</v>
          </cell>
          <cell r="B252" t="str">
            <v>Northern Close of 500kV Ring</v>
          </cell>
          <cell r="C252">
            <v>1</v>
          </cell>
          <cell r="D252">
            <v>43435</v>
          </cell>
          <cell r="E252">
            <v>69</v>
          </cell>
          <cell r="F252">
            <v>3</v>
          </cell>
          <cell r="G252">
            <v>42595</v>
          </cell>
          <cell r="H252">
            <v>8</v>
          </cell>
          <cell r="I252" t="str">
            <v>500/330kV Aug</v>
          </cell>
          <cell r="J252">
            <v>28</v>
          </cell>
          <cell r="N252" t="str">
            <v>Proposed</v>
          </cell>
          <cell r="O252" t="str">
            <v>Richmond Vale 500kV Augmentation</v>
          </cell>
          <cell r="P252" t="str">
            <v>500SS</v>
          </cell>
          <cell r="Q252" t="str">
            <v>Northern</v>
          </cell>
          <cell r="R252">
            <v>25</v>
          </cell>
          <cell r="AE252">
            <v>1.9642857142857142</v>
          </cell>
          <cell r="AF252">
            <v>19.294160231660232</v>
          </cell>
          <cell r="AG252">
            <v>3.7415540540540544</v>
          </cell>
        </row>
        <row r="253">
          <cell r="A253">
            <v>189</v>
          </cell>
          <cell r="B253" t="str">
            <v>Flow control of NW System</v>
          </cell>
          <cell r="C253">
            <v>1</v>
          </cell>
          <cell r="D253">
            <v>41974</v>
          </cell>
          <cell r="E253">
            <v>70</v>
          </cell>
          <cell r="F253">
            <v>3</v>
          </cell>
          <cell r="G253">
            <v>40894</v>
          </cell>
          <cell r="H253">
            <v>6</v>
          </cell>
          <cell r="I253" t="str">
            <v>330/132kV Greenfield</v>
          </cell>
          <cell r="J253">
            <v>36</v>
          </cell>
          <cell r="N253" t="str">
            <v>Proposed</v>
          </cell>
          <cell r="O253" t="str">
            <v>Baywater-Sydney West 330kV Series Caps (2 off)</v>
          </cell>
          <cell r="P253" t="str">
            <v>SVC</v>
          </cell>
          <cell r="Q253" t="str">
            <v>Northern</v>
          </cell>
          <cell r="R253">
            <v>50</v>
          </cell>
          <cell r="Z253">
            <v>1.5555555555555558</v>
          </cell>
          <cell r="AA253">
            <v>4.5434782608695654</v>
          </cell>
          <cell r="AB253">
            <v>38.147234840291297</v>
          </cell>
          <cell r="AC253">
            <v>5.753731343283583</v>
          </cell>
        </row>
        <row r="254">
          <cell r="A254">
            <v>190</v>
          </cell>
          <cell r="B254" t="str">
            <v>Establish Mason Park SS</v>
          </cell>
          <cell r="C254">
            <v>1</v>
          </cell>
          <cell r="D254">
            <v>40513</v>
          </cell>
          <cell r="E254">
            <v>71</v>
          </cell>
          <cell r="F254">
            <v>3</v>
          </cell>
          <cell r="G254">
            <v>39433</v>
          </cell>
          <cell r="H254">
            <v>6</v>
          </cell>
          <cell r="I254" t="str">
            <v>330/132kV Greenfield</v>
          </cell>
          <cell r="J254">
            <v>36</v>
          </cell>
          <cell r="N254" t="str">
            <v>Proposed</v>
          </cell>
          <cell r="O254" t="str">
            <v>Establish Mason Park 330/132kV Substation</v>
          </cell>
          <cell r="P254" t="str">
            <v>330SS</v>
          </cell>
          <cell r="Q254" t="str">
            <v>Central</v>
          </cell>
          <cell r="R254">
            <v>60</v>
          </cell>
          <cell r="V254">
            <v>1.8666666666666667</v>
          </cell>
          <cell r="W254">
            <v>5.4521739130434801</v>
          </cell>
          <cell r="X254">
            <v>45.776681808349544</v>
          </cell>
          <cell r="Y254">
            <v>6.9044776119402993</v>
          </cell>
        </row>
        <row r="255">
          <cell r="A255">
            <v>191</v>
          </cell>
          <cell r="B255" t="str">
            <v>Establish Mason Park SS</v>
          </cell>
          <cell r="C255">
            <v>1</v>
          </cell>
          <cell r="D255">
            <v>40513</v>
          </cell>
          <cell r="E255">
            <v>71</v>
          </cell>
          <cell r="F255">
            <v>1</v>
          </cell>
          <cell r="G255">
            <v>38713</v>
          </cell>
          <cell r="H255">
            <v>1</v>
          </cell>
          <cell r="I255" t="str">
            <v>EHV TL -EIS</v>
          </cell>
          <cell r="J255">
            <v>60</v>
          </cell>
          <cell r="N255" t="str">
            <v>Proposed</v>
          </cell>
          <cell r="O255" t="str">
            <v>Second Holroyd-Mason Park 330kV Cable</v>
          </cell>
          <cell r="P255" t="str">
            <v>TL EIS</v>
          </cell>
          <cell r="Q255" t="str">
            <v>Central</v>
          </cell>
          <cell r="R255">
            <v>120</v>
          </cell>
          <cell r="T255">
            <v>1.1200000000000001</v>
          </cell>
          <cell r="U255">
            <v>4.96</v>
          </cell>
          <cell r="V255">
            <v>4.046451612903228</v>
          </cell>
          <cell r="W255">
            <v>11.148387096774192</v>
          </cell>
          <cell r="X255">
            <v>96.82772539288672</v>
          </cell>
          <cell r="Y255">
            <v>1.8974358974358982</v>
          </cell>
        </row>
        <row r="256">
          <cell r="A256">
            <v>192</v>
          </cell>
          <cell r="B256" t="str">
            <v>Establish Mason Park SS</v>
          </cell>
          <cell r="C256">
            <v>1</v>
          </cell>
          <cell r="D256">
            <v>40513</v>
          </cell>
          <cell r="E256">
            <v>71</v>
          </cell>
          <cell r="F256">
            <v>3</v>
          </cell>
          <cell r="G256">
            <v>39793</v>
          </cell>
          <cell r="H256">
            <v>9</v>
          </cell>
          <cell r="I256" t="str">
            <v>330/132kV Aug</v>
          </cell>
          <cell r="J256">
            <v>24</v>
          </cell>
          <cell r="N256" t="str">
            <v>Proposed</v>
          </cell>
          <cell r="O256" t="str">
            <v>Holroyd 330kV Augmentation</v>
          </cell>
          <cell r="P256" t="str">
            <v>330SS</v>
          </cell>
          <cell r="Q256" t="str">
            <v>Central</v>
          </cell>
          <cell r="R256">
            <v>20</v>
          </cell>
          <cell r="W256">
            <v>1.166666666666667</v>
          </cell>
          <cell r="X256">
            <v>15.206467661691544</v>
          </cell>
          <cell r="Y256">
            <v>3.6268656716417906</v>
          </cell>
        </row>
        <row r="257">
          <cell r="A257">
            <v>193</v>
          </cell>
          <cell r="B257" t="str">
            <v>Sydney Park 330/132kV Substation</v>
          </cell>
          <cell r="C257">
            <v>1</v>
          </cell>
          <cell r="D257">
            <v>42705</v>
          </cell>
          <cell r="E257">
            <v>72</v>
          </cell>
          <cell r="F257">
            <v>3</v>
          </cell>
          <cell r="G257">
            <v>41625</v>
          </cell>
          <cell r="H257">
            <v>6</v>
          </cell>
          <cell r="I257" t="str">
            <v>330/132kV Greenfield</v>
          </cell>
          <cell r="J257">
            <v>36</v>
          </cell>
          <cell r="N257" t="str">
            <v>Proposed</v>
          </cell>
          <cell r="O257" t="str">
            <v>Establish Sydney Park 330/132kV Substation</v>
          </cell>
          <cell r="P257" t="str">
            <v>330SS</v>
          </cell>
          <cell r="Q257" t="str">
            <v>Central</v>
          </cell>
          <cell r="R257">
            <v>60</v>
          </cell>
          <cell r="AB257">
            <v>1.8666666666666667</v>
          </cell>
          <cell r="AC257">
            <v>5.4521739130434801</v>
          </cell>
          <cell r="AD257">
            <v>45.776681808349544</v>
          </cell>
          <cell r="AE257">
            <v>6.9044776119402993</v>
          </cell>
        </row>
        <row r="258">
          <cell r="A258">
            <v>194</v>
          </cell>
          <cell r="B258" t="str">
            <v>Sydney Park 330/132kV Substation</v>
          </cell>
          <cell r="C258">
            <v>1</v>
          </cell>
          <cell r="D258">
            <v>42705</v>
          </cell>
          <cell r="E258">
            <v>72</v>
          </cell>
          <cell r="F258">
            <v>1</v>
          </cell>
          <cell r="G258">
            <v>40905</v>
          </cell>
          <cell r="H258">
            <v>1</v>
          </cell>
          <cell r="I258" t="str">
            <v>EHV TL -EIS</v>
          </cell>
          <cell r="J258">
            <v>60</v>
          </cell>
          <cell r="N258" t="str">
            <v>Proposed</v>
          </cell>
          <cell r="O258" t="str">
            <v>Mason Park-Sydney Park 330kV Cable</v>
          </cell>
          <cell r="P258" t="str">
            <v>TL EIS</v>
          </cell>
          <cell r="Q258" t="str">
            <v>Central</v>
          </cell>
          <cell r="R258">
            <v>120</v>
          </cell>
          <cell r="Z258">
            <v>1.1200000000000001</v>
          </cell>
          <cell r="AA258">
            <v>4.96</v>
          </cell>
          <cell r="AB258">
            <v>4.046451612903228</v>
          </cell>
          <cell r="AC258">
            <v>11.148387096774192</v>
          </cell>
          <cell r="AD258">
            <v>96.82772539288672</v>
          </cell>
          <cell r="AE258">
            <v>1.8974358974358982</v>
          </cell>
        </row>
        <row r="259">
          <cell r="A259">
            <v>195</v>
          </cell>
          <cell r="B259" t="str">
            <v>Sydney Park 330/132kV Substation</v>
          </cell>
          <cell r="C259">
            <v>1</v>
          </cell>
          <cell r="D259">
            <v>42705</v>
          </cell>
          <cell r="E259">
            <v>72</v>
          </cell>
          <cell r="F259">
            <v>1</v>
          </cell>
          <cell r="G259">
            <v>40905</v>
          </cell>
          <cell r="H259">
            <v>1</v>
          </cell>
          <cell r="I259" t="str">
            <v>EHV TL -EIS</v>
          </cell>
          <cell r="J259">
            <v>60</v>
          </cell>
          <cell r="N259" t="str">
            <v>Proposed</v>
          </cell>
          <cell r="O259" t="str">
            <v>Lane Cove to Mason Park 330kV Cable</v>
          </cell>
          <cell r="P259" t="str">
            <v>TL EIS</v>
          </cell>
          <cell r="Q259" t="str">
            <v>Central</v>
          </cell>
          <cell r="R259">
            <v>100</v>
          </cell>
          <cell r="Z259">
            <v>0.93333333333333346</v>
          </cell>
          <cell r="AA259">
            <v>4.1333333333333337</v>
          </cell>
          <cell r="AB259">
            <v>3.3720430107526882</v>
          </cell>
          <cell r="AC259">
            <v>9.2903225806451619</v>
          </cell>
          <cell r="AD259">
            <v>80.6897711607389</v>
          </cell>
          <cell r="AE259">
            <v>1.5811965811965818</v>
          </cell>
        </row>
        <row r="260">
          <cell r="A260">
            <v>196</v>
          </cell>
          <cell r="B260" t="str">
            <v>Sydney Park 330/132kV Substation</v>
          </cell>
          <cell r="C260">
            <v>1</v>
          </cell>
          <cell r="D260">
            <v>42705</v>
          </cell>
          <cell r="E260">
            <v>72</v>
          </cell>
          <cell r="F260">
            <v>1</v>
          </cell>
          <cell r="G260">
            <v>40905</v>
          </cell>
          <cell r="H260">
            <v>1</v>
          </cell>
          <cell r="I260" t="str">
            <v>EHV TL -EIS</v>
          </cell>
          <cell r="J260">
            <v>60</v>
          </cell>
          <cell r="N260" t="str">
            <v>Proposed</v>
          </cell>
          <cell r="O260" t="str">
            <v>Upgrade of Sydney North - Lane Cover to 330kV</v>
          </cell>
          <cell r="P260" t="str">
            <v>330SS</v>
          </cell>
          <cell r="Q260" t="str">
            <v>Central</v>
          </cell>
          <cell r="R260">
            <v>170</v>
          </cell>
          <cell r="Z260">
            <v>1.5866666666666669</v>
          </cell>
          <cell r="AA260">
            <v>7.0266666666666673</v>
          </cell>
          <cell r="AB260">
            <v>5.7324731182795716</v>
          </cell>
          <cell r="AC260">
            <v>15.793548387096772</v>
          </cell>
          <cell r="AD260">
            <v>137.17261097325616</v>
          </cell>
          <cell r="AE260">
            <v>2.6880341880341887</v>
          </cell>
        </row>
        <row r="261">
          <cell r="A261">
            <v>197</v>
          </cell>
          <cell r="B261" t="str">
            <v>Prymont 330/132kV Substation</v>
          </cell>
          <cell r="C261">
            <v>1</v>
          </cell>
          <cell r="D261">
            <v>43800</v>
          </cell>
          <cell r="E261">
            <v>73</v>
          </cell>
          <cell r="F261">
            <v>3</v>
          </cell>
          <cell r="G261">
            <v>42720</v>
          </cell>
          <cell r="H261">
            <v>6</v>
          </cell>
          <cell r="I261" t="str">
            <v>330/132kV Greenfield</v>
          </cell>
          <cell r="J261">
            <v>36</v>
          </cell>
          <cell r="N261" t="str">
            <v>Proposed</v>
          </cell>
          <cell r="O261" t="str">
            <v>Establish Lane Cove 330kV SS</v>
          </cell>
          <cell r="P261" t="str">
            <v>330SS</v>
          </cell>
          <cell r="Q261" t="str">
            <v>Central</v>
          </cell>
          <cell r="R261">
            <v>40</v>
          </cell>
          <cell r="AE261">
            <v>1.2444444444444445</v>
          </cell>
          <cell r="AF261">
            <v>3.6347826086956534</v>
          </cell>
          <cell r="AG261">
            <v>30.517787872233036</v>
          </cell>
        </row>
        <row r="262">
          <cell r="A262">
            <v>198</v>
          </cell>
          <cell r="B262" t="str">
            <v>Prymont 330/132kV Substation</v>
          </cell>
          <cell r="C262">
            <v>1</v>
          </cell>
          <cell r="D262">
            <v>43800</v>
          </cell>
          <cell r="E262">
            <v>73</v>
          </cell>
          <cell r="F262">
            <v>3</v>
          </cell>
          <cell r="G262">
            <v>42720</v>
          </cell>
          <cell r="H262">
            <v>6</v>
          </cell>
          <cell r="I262" t="str">
            <v>330/132kV Greenfield</v>
          </cell>
          <cell r="J262">
            <v>36</v>
          </cell>
          <cell r="N262" t="str">
            <v>Proposed</v>
          </cell>
          <cell r="O262" t="str">
            <v>Establish Prymont 330/132kV Substation</v>
          </cell>
          <cell r="P262" t="str">
            <v>330SS</v>
          </cell>
          <cell r="Q262" t="str">
            <v>Central</v>
          </cell>
          <cell r="R262">
            <v>80</v>
          </cell>
          <cell r="AE262">
            <v>2.4888888888888889</v>
          </cell>
          <cell r="AF262">
            <v>7.2695652173913068</v>
          </cell>
          <cell r="AG262">
            <v>61.035575744466072</v>
          </cell>
        </row>
        <row r="263">
          <cell r="A263">
            <v>199</v>
          </cell>
          <cell r="B263" t="str">
            <v>Prymont 330/132kV Substation</v>
          </cell>
          <cell r="C263">
            <v>1</v>
          </cell>
          <cell r="D263">
            <v>43800</v>
          </cell>
          <cell r="E263">
            <v>73</v>
          </cell>
          <cell r="F263">
            <v>1</v>
          </cell>
          <cell r="G263">
            <v>42000</v>
          </cell>
          <cell r="H263">
            <v>1</v>
          </cell>
          <cell r="I263" t="str">
            <v>EHV TL -EIS</v>
          </cell>
          <cell r="J263">
            <v>60</v>
          </cell>
          <cell r="N263" t="str">
            <v>Proposed</v>
          </cell>
          <cell r="O263" t="str">
            <v>Lane Cove to Prymont 330kV Cable &amp; Tunnel</v>
          </cell>
          <cell r="P263" t="str">
            <v>330SS</v>
          </cell>
          <cell r="Q263" t="str">
            <v>Central</v>
          </cell>
          <cell r="R263">
            <v>200</v>
          </cell>
          <cell r="AC263">
            <v>1.8666666666666669</v>
          </cell>
          <cell r="AD263">
            <v>8.2666666666666675</v>
          </cell>
          <cell r="AE263">
            <v>6.7440860215053764</v>
          </cell>
          <cell r="AF263">
            <v>18.580645161290324</v>
          </cell>
          <cell r="AG263">
            <v>161.3795423214778</v>
          </cell>
        </row>
        <row r="264">
          <cell r="A264">
            <v>200</v>
          </cell>
          <cell r="B264" t="str">
            <v>Hawkesbury 500/330kV Substation</v>
          </cell>
          <cell r="C264">
            <v>1</v>
          </cell>
          <cell r="D264">
            <v>41974</v>
          </cell>
          <cell r="E264">
            <v>74</v>
          </cell>
          <cell r="F264">
            <v>3</v>
          </cell>
          <cell r="G264">
            <v>40774</v>
          </cell>
          <cell r="H264">
            <v>5</v>
          </cell>
          <cell r="I264" t="str">
            <v>500/330kV Greenfield</v>
          </cell>
          <cell r="J264">
            <v>40</v>
          </cell>
          <cell r="N264" t="str">
            <v>Proposed</v>
          </cell>
          <cell r="O264" t="str">
            <v>Establish Hawkesbury 500/330kV Substation</v>
          </cell>
          <cell r="P264" t="str">
            <v>500SS</v>
          </cell>
          <cell r="Q264" t="str">
            <v>Central</v>
          </cell>
          <cell r="R264">
            <v>50</v>
          </cell>
          <cell r="Z264">
            <v>2.75</v>
          </cell>
          <cell r="AA264">
            <v>6.6118421052631593</v>
          </cell>
          <cell r="AB264">
            <v>35.114902080783359</v>
          </cell>
          <cell r="AC264">
            <v>5.5232558139534911</v>
          </cell>
        </row>
        <row r="265">
          <cell r="A265">
            <v>201</v>
          </cell>
          <cell r="B265" t="str">
            <v>Hawkesbury 500/330kV Substation</v>
          </cell>
          <cell r="C265">
            <v>1</v>
          </cell>
          <cell r="D265">
            <v>41974</v>
          </cell>
          <cell r="E265">
            <v>74</v>
          </cell>
          <cell r="F265">
            <v>2</v>
          </cell>
          <cell r="G265">
            <v>40894</v>
          </cell>
          <cell r="H265">
            <v>2</v>
          </cell>
          <cell r="I265" t="str">
            <v>EHV TL -REF</v>
          </cell>
          <cell r="J265">
            <v>36</v>
          </cell>
          <cell r="N265" t="str">
            <v>Proposed</v>
          </cell>
          <cell r="O265" t="str">
            <v>330kV Connections Hawkesbury to Vineyard 330kV</v>
          </cell>
          <cell r="P265" t="str">
            <v>TL EIS</v>
          </cell>
          <cell r="Q265" t="str">
            <v>Central</v>
          </cell>
          <cell r="R265">
            <v>20</v>
          </cell>
          <cell r="Z265">
            <v>0.93333333333333324</v>
          </cell>
          <cell r="AA265">
            <v>1.9486725663716815</v>
          </cell>
          <cell r="AB265">
            <v>16.401048104019381</v>
          </cell>
          <cell r="AC265">
            <v>0.7169459962756054</v>
          </cell>
        </row>
        <row r="266">
          <cell r="A266">
            <v>202</v>
          </cell>
          <cell r="B266" t="str">
            <v>Hawkesbury 500/330kV Substation</v>
          </cell>
          <cell r="C266">
            <v>1</v>
          </cell>
          <cell r="D266">
            <v>41974</v>
          </cell>
          <cell r="E266">
            <v>74</v>
          </cell>
          <cell r="F266">
            <v>1</v>
          </cell>
          <cell r="G266">
            <v>40174</v>
          </cell>
          <cell r="H266">
            <v>1</v>
          </cell>
          <cell r="I266" t="str">
            <v>EHV TL -EIS</v>
          </cell>
          <cell r="J266">
            <v>60</v>
          </cell>
          <cell r="N266" t="str">
            <v>Proposed</v>
          </cell>
          <cell r="O266" t="str">
            <v>Augment 20 cct to double circuit between Vineyard and Syd N</v>
          </cell>
          <cell r="P266" t="str">
            <v>TL EIS</v>
          </cell>
          <cell r="Q266" t="str">
            <v>Central</v>
          </cell>
          <cell r="R266">
            <v>40</v>
          </cell>
          <cell r="X266">
            <v>0.37333333333333341</v>
          </cell>
          <cell r="Y266">
            <v>1.6533333333333338</v>
          </cell>
          <cell r="Z266">
            <v>1.3488172043010758</v>
          </cell>
          <cell r="AA266">
            <v>3.7161290322580638</v>
          </cell>
          <cell r="AB266">
            <v>32.275908464295561</v>
          </cell>
          <cell r="AC266">
            <v>0.63247863247863267</v>
          </cell>
        </row>
        <row r="267">
          <cell r="A267">
            <v>203</v>
          </cell>
          <cell r="B267" t="str">
            <v>330/132kV transformers(2010-2014)</v>
          </cell>
          <cell r="C267">
            <v>1</v>
          </cell>
          <cell r="D267">
            <v>40695</v>
          </cell>
          <cell r="E267">
            <v>75</v>
          </cell>
          <cell r="F267">
            <v>3</v>
          </cell>
          <cell r="G267">
            <v>39975</v>
          </cell>
          <cell r="H267">
            <v>9</v>
          </cell>
          <cell r="I267" t="str">
            <v>330/132kV Aug</v>
          </cell>
          <cell r="J267">
            <v>24</v>
          </cell>
          <cell r="N267" t="str">
            <v>Proposed</v>
          </cell>
          <cell r="O267" t="str">
            <v>Installation of 2x375MVA transformers (location TBA)</v>
          </cell>
          <cell r="P267" t="str">
            <v>330TX</v>
          </cell>
          <cell r="Q267" t="str">
            <v>Various</v>
          </cell>
          <cell r="R267">
            <v>15</v>
          </cell>
          <cell r="W267">
            <v>3.5714285714285719E-2</v>
          </cell>
          <cell r="X267">
            <v>2.073660714285714</v>
          </cell>
          <cell r="Y267">
            <v>12.890625</v>
          </cell>
        </row>
        <row r="268">
          <cell r="A268">
            <v>204</v>
          </cell>
          <cell r="B268" t="str">
            <v>330/132kV transformers(2010-2014)</v>
          </cell>
          <cell r="C268">
            <v>1</v>
          </cell>
          <cell r="D268">
            <v>41426</v>
          </cell>
          <cell r="E268">
            <v>75</v>
          </cell>
          <cell r="F268">
            <v>3</v>
          </cell>
          <cell r="G268">
            <v>40706</v>
          </cell>
          <cell r="H268">
            <v>9</v>
          </cell>
          <cell r="I268" t="str">
            <v>330/132kV Aug</v>
          </cell>
          <cell r="J268">
            <v>24</v>
          </cell>
          <cell r="N268" t="str">
            <v>Proposed</v>
          </cell>
          <cell r="O268" t="str">
            <v>Installation of 2x375MVA transformers (location TBA)</v>
          </cell>
          <cell r="P268" t="str">
            <v>330TX</v>
          </cell>
          <cell r="Q268" t="str">
            <v>Various</v>
          </cell>
          <cell r="R268">
            <v>22.5</v>
          </cell>
          <cell r="Y268">
            <v>5.3571428571428575E-2</v>
          </cell>
          <cell r="Z268">
            <v>3.1104910714285712</v>
          </cell>
          <cell r="AA268">
            <v>19.3359375</v>
          </cell>
        </row>
        <row r="269">
          <cell r="A269">
            <v>205</v>
          </cell>
          <cell r="B269" t="str">
            <v>330/132kV transformers(2010-2014)</v>
          </cell>
          <cell r="C269">
            <v>1</v>
          </cell>
          <cell r="D269">
            <v>42156</v>
          </cell>
          <cell r="E269">
            <v>75</v>
          </cell>
          <cell r="F269">
            <v>3</v>
          </cell>
          <cell r="G269">
            <v>41436</v>
          </cell>
          <cell r="H269">
            <v>9</v>
          </cell>
          <cell r="I269" t="str">
            <v>330/132kV Aug</v>
          </cell>
          <cell r="J269">
            <v>24</v>
          </cell>
          <cell r="N269" t="str">
            <v>Proposed</v>
          </cell>
          <cell r="O269" t="str">
            <v>Installation of 2x375MVA transformers (location TBA)</v>
          </cell>
          <cell r="P269" t="str">
            <v>330TX</v>
          </cell>
          <cell r="Q269" t="str">
            <v>Various</v>
          </cell>
          <cell r="R269">
            <v>15</v>
          </cell>
          <cell r="AA269">
            <v>3.5714285714285719E-2</v>
          </cell>
          <cell r="AB269">
            <v>2.073660714285714</v>
          </cell>
          <cell r="AC269">
            <v>12.890625</v>
          </cell>
        </row>
        <row r="270">
          <cell r="A270">
            <v>206</v>
          </cell>
          <cell r="B270" t="str">
            <v>330/132kV transformers(2010-2014)</v>
          </cell>
          <cell r="C270">
            <v>1</v>
          </cell>
          <cell r="D270">
            <v>42887</v>
          </cell>
          <cell r="E270">
            <v>75</v>
          </cell>
          <cell r="F270">
            <v>3</v>
          </cell>
          <cell r="G270">
            <v>42167</v>
          </cell>
          <cell r="H270">
            <v>9</v>
          </cell>
          <cell r="I270" t="str">
            <v>330/132kV Aug</v>
          </cell>
          <cell r="J270">
            <v>24</v>
          </cell>
          <cell r="N270" t="str">
            <v>Proposed</v>
          </cell>
          <cell r="O270" t="str">
            <v>Installation of 2x375MVA transformers (location TBA)</v>
          </cell>
          <cell r="P270" t="str">
            <v>330TX</v>
          </cell>
          <cell r="Q270" t="str">
            <v>Various</v>
          </cell>
          <cell r="R270">
            <v>22.5</v>
          </cell>
          <cell r="AC270">
            <v>5.3571428571428575E-2</v>
          </cell>
          <cell r="AD270">
            <v>3.1104910714285712</v>
          </cell>
          <cell r="AE270">
            <v>19.3359375</v>
          </cell>
        </row>
        <row r="271">
          <cell r="A271">
            <v>207</v>
          </cell>
          <cell r="B271" t="str">
            <v>330/132kV transformers(2010-2014)</v>
          </cell>
          <cell r="C271">
            <v>1</v>
          </cell>
          <cell r="D271">
            <v>43617</v>
          </cell>
          <cell r="E271">
            <v>75</v>
          </cell>
          <cell r="F271">
            <v>3</v>
          </cell>
          <cell r="G271">
            <v>42897</v>
          </cell>
          <cell r="H271">
            <v>9</v>
          </cell>
          <cell r="I271" t="str">
            <v>330/132kV Aug</v>
          </cell>
          <cell r="J271">
            <v>24</v>
          </cell>
          <cell r="N271" t="str">
            <v>Proposed</v>
          </cell>
          <cell r="O271" t="str">
            <v>Installation of 2x375MVA transformers (location TBA)</v>
          </cell>
          <cell r="P271" t="str">
            <v>330TX</v>
          </cell>
          <cell r="Q271" t="str">
            <v>Various</v>
          </cell>
          <cell r="R271">
            <v>15</v>
          </cell>
          <cell r="AE271">
            <v>3.5714285714285719E-2</v>
          </cell>
          <cell r="AF271">
            <v>2.073660714285714</v>
          </cell>
          <cell r="AG271">
            <v>12.890625</v>
          </cell>
        </row>
        <row r="272">
          <cell r="A272">
            <v>208</v>
          </cell>
          <cell r="B272" t="str">
            <v>Reactive Power Support -330kV</v>
          </cell>
          <cell r="C272">
            <v>1</v>
          </cell>
          <cell r="D272">
            <v>40695</v>
          </cell>
          <cell r="E272">
            <v>76</v>
          </cell>
          <cell r="F272">
            <v>3</v>
          </cell>
          <cell r="G272">
            <v>40275</v>
          </cell>
          <cell r="H272">
            <v>12</v>
          </cell>
          <cell r="I272" t="str">
            <v>Capacitor Replace</v>
          </cell>
          <cell r="J272">
            <v>14</v>
          </cell>
          <cell r="N272" t="str">
            <v>Proposed</v>
          </cell>
          <cell r="O272" t="str">
            <v>2x330kV 200MVAr cap banks</v>
          </cell>
          <cell r="P272" t="str">
            <v>330CAP</v>
          </cell>
          <cell r="Q272" t="str">
            <v>Various</v>
          </cell>
          <cell r="R272">
            <v>5</v>
          </cell>
          <cell r="X272">
            <v>0.25</v>
          </cell>
          <cell r="Y272">
            <v>4.75</v>
          </cell>
        </row>
        <row r="273">
          <cell r="A273">
            <v>209</v>
          </cell>
          <cell r="B273" t="str">
            <v>Reactive Power Support -330kV</v>
          </cell>
          <cell r="C273">
            <v>1</v>
          </cell>
          <cell r="D273">
            <v>41426</v>
          </cell>
          <cell r="E273">
            <v>76</v>
          </cell>
          <cell r="F273">
            <v>3</v>
          </cell>
          <cell r="G273">
            <v>41006</v>
          </cell>
          <cell r="H273">
            <v>12</v>
          </cell>
          <cell r="I273" t="str">
            <v>Capacitor Replace</v>
          </cell>
          <cell r="J273">
            <v>14</v>
          </cell>
          <cell r="N273" t="str">
            <v>Proposed</v>
          </cell>
          <cell r="O273" t="str">
            <v>2x330kV 200MVAr cap banks</v>
          </cell>
          <cell r="P273" t="str">
            <v>330CAP</v>
          </cell>
          <cell r="Q273" t="str">
            <v>Various</v>
          </cell>
          <cell r="R273">
            <v>10</v>
          </cell>
          <cell r="Z273">
            <v>0.5</v>
          </cell>
          <cell r="AA273">
            <v>9.5</v>
          </cell>
        </row>
        <row r="274">
          <cell r="A274">
            <v>210</v>
          </cell>
          <cell r="B274" t="str">
            <v>Reactive Power Support -330kV</v>
          </cell>
          <cell r="C274">
            <v>1</v>
          </cell>
          <cell r="D274">
            <v>42156</v>
          </cell>
          <cell r="E274">
            <v>76</v>
          </cell>
          <cell r="F274">
            <v>3</v>
          </cell>
          <cell r="G274">
            <v>41736</v>
          </cell>
          <cell r="H274">
            <v>12</v>
          </cell>
          <cell r="I274" t="str">
            <v>Capacitor Replace</v>
          </cell>
          <cell r="J274">
            <v>14</v>
          </cell>
          <cell r="N274" t="str">
            <v>Proposed</v>
          </cell>
          <cell r="O274" t="str">
            <v>2x330kV 200MVAr cap banks</v>
          </cell>
          <cell r="P274" t="str">
            <v>330CAP</v>
          </cell>
          <cell r="Q274" t="str">
            <v>Various</v>
          </cell>
          <cell r="R274">
            <v>5</v>
          </cell>
          <cell r="AB274">
            <v>0.25</v>
          </cell>
          <cell r="AC274">
            <v>4.75</v>
          </cell>
        </row>
        <row r="275">
          <cell r="A275">
            <v>211</v>
          </cell>
          <cell r="B275" t="str">
            <v>Reactive Power Support -330kV</v>
          </cell>
          <cell r="C275">
            <v>1</v>
          </cell>
          <cell r="D275">
            <v>42887</v>
          </cell>
          <cell r="E275">
            <v>76</v>
          </cell>
          <cell r="F275">
            <v>3</v>
          </cell>
          <cell r="G275">
            <v>42467</v>
          </cell>
          <cell r="H275">
            <v>12</v>
          </cell>
          <cell r="I275" t="str">
            <v>Capacitor Replace</v>
          </cell>
          <cell r="J275">
            <v>14</v>
          </cell>
          <cell r="N275" t="str">
            <v>Proposed</v>
          </cell>
          <cell r="O275" t="str">
            <v>2x330kV 200MVAr cap banks</v>
          </cell>
          <cell r="P275" t="str">
            <v>330CAP</v>
          </cell>
          <cell r="Q275" t="str">
            <v>Various</v>
          </cell>
          <cell r="R275">
            <v>10</v>
          </cell>
          <cell r="AD275">
            <v>0.5</v>
          </cell>
          <cell r="AE275">
            <v>9.5</v>
          </cell>
        </row>
        <row r="276">
          <cell r="A276">
            <v>212</v>
          </cell>
          <cell r="B276" t="str">
            <v>Reactive Power Support -330kV</v>
          </cell>
          <cell r="C276">
            <v>1</v>
          </cell>
          <cell r="D276">
            <v>43617</v>
          </cell>
          <cell r="E276">
            <v>76</v>
          </cell>
          <cell r="F276">
            <v>3</v>
          </cell>
          <cell r="G276">
            <v>43197</v>
          </cell>
          <cell r="H276">
            <v>12</v>
          </cell>
          <cell r="I276" t="str">
            <v>Capacitor Replace</v>
          </cell>
          <cell r="J276">
            <v>14</v>
          </cell>
          <cell r="N276" t="str">
            <v>Proposed</v>
          </cell>
          <cell r="O276" t="str">
            <v>2x330kV 200MVAr cap banks</v>
          </cell>
          <cell r="P276" t="str">
            <v>330CAP</v>
          </cell>
          <cell r="Q276" t="str">
            <v>Various</v>
          </cell>
          <cell r="R276">
            <v>5</v>
          </cell>
          <cell r="AF276">
            <v>0.25</v>
          </cell>
          <cell r="AG276">
            <v>4.75</v>
          </cell>
        </row>
        <row r="277">
          <cell r="A277">
            <v>213</v>
          </cell>
          <cell r="B277" t="str">
            <v>Reactive Power Support -132kV</v>
          </cell>
          <cell r="C277">
            <v>1</v>
          </cell>
          <cell r="D277">
            <v>40695</v>
          </cell>
          <cell r="E277">
            <v>77</v>
          </cell>
          <cell r="F277">
            <v>3</v>
          </cell>
          <cell r="G277">
            <v>40275</v>
          </cell>
          <cell r="H277">
            <v>12</v>
          </cell>
          <cell r="I277" t="str">
            <v>Capacitor Replace</v>
          </cell>
          <cell r="J277">
            <v>14</v>
          </cell>
          <cell r="N277" t="str">
            <v>Proposed</v>
          </cell>
          <cell r="O277" t="str">
            <v>132kV Cap Banks as required for two years</v>
          </cell>
          <cell r="P277" t="str">
            <v>132CAP</v>
          </cell>
          <cell r="Q277" t="str">
            <v>Various</v>
          </cell>
          <cell r="R277">
            <v>4</v>
          </cell>
          <cell r="X277">
            <v>0.2</v>
          </cell>
          <cell r="Y277">
            <v>3.8</v>
          </cell>
        </row>
        <row r="278">
          <cell r="A278">
            <v>214</v>
          </cell>
          <cell r="B278" t="str">
            <v>Reactive Power Support -132kV</v>
          </cell>
          <cell r="C278">
            <v>1</v>
          </cell>
          <cell r="D278">
            <v>41426</v>
          </cell>
          <cell r="E278">
            <v>77</v>
          </cell>
          <cell r="F278">
            <v>3</v>
          </cell>
          <cell r="G278">
            <v>41006</v>
          </cell>
          <cell r="H278">
            <v>12</v>
          </cell>
          <cell r="I278" t="str">
            <v>Capacitor Replace</v>
          </cell>
          <cell r="J278">
            <v>14</v>
          </cell>
          <cell r="N278" t="str">
            <v>Proposed</v>
          </cell>
          <cell r="O278" t="str">
            <v>132kV Cap Banks as required for two years</v>
          </cell>
          <cell r="P278" t="str">
            <v>132CAP</v>
          </cell>
          <cell r="Q278" t="str">
            <v>Various</v>
          </cell>
          <cell r="R278">
            <v>8</v>
          </cell>
          <cell r="Z278">
            <v>0.4</v>
          </cell>
          <cell r="AA278">
            <v>7.6</v>
          </cell>
        </row>
        <row r="279">
          <cell r="A279">
            <v>215</v>
          </cell>
          <cell r="B279" t="str">
            <v>Reactive Power Support -132kV</v>
          </cell>
          <cell r="C279">
            <v>1</v>
          </cell>
          <cell r="D279">
            <v>42156</v>
          </cell>
          <cell r="E279">
            <v>77</v>
          </cell>
          <cell r="F279">
            <v>3</v>
          </cell>
          <cell r="G279">
            <v>41736</v>
          </cell>
          <cell r="H279">
            <v>12</v>
          </cell>
          <cell r="I279" t="str">
            <v>Capacitor Replace</v>
          </cell>
          <cell r="J279">
            <v>14</v>
          </cell>
          <cell r="N279" t="str">
            <v>Proposed</v>
          </cell>
          <cell r="O279" t="str">
            <v>132kV Cap Banks as required for two years</v>
          </cell>
          <cell r="P279" t="str">
            <v>132CAP</v>
          </cell>
          <cell r="Q279" t="str">
            <v>Various</v>
          </cell>
          <cell r="R279">
            <v>4</v>
          </cell>
          <cell r="AB279">
            <v>0.2</v>
          </cell>
          <cell r="AC279">
            <v>3.8</v>
          </cell>
        </row>
        <row r="280">
          <cell r="A280">
            <v>216</v>
          </cell>
          <cell r="B280" t="str">
            <v>Reactive Power Support -132kV</v>
          </cell>
          <cell r="C280">
            <v>1</v>
          </cell>
          <cell r="D280">
            <v>42887</v>
          </cell>
          <cell r="E280">
            <v>77</v>
          </cell>
          <cell r="F280">
            <v>3</v>
          </cell>
          <cell r="G280">
            <v>42467</v>
          </cell>
          <cell r="H280">
            <v>12</v>
          </cell>
          <cell r="I280" t="str">
            <v>Capacitor Replace</v>
          </cell>
          <cell r="J280">
            <v>14</v>
          </cell>
          <cell r="N280" t="str">
            <v>Proposed</v>
          </cell>
          <cell r="O280" t="str">
            <v>132kV Cap Banks as required for two years</v>
          </cell>
          <cell r="P280" t="str">
            <v>132CAP</v>
          </cell>
          <cell r="Q280" t="str">
            <v>Various</v>
          </cell>
          <cell r="R280">
            <v>8</v>
          </cell>
          <cell r="AD280">
            <v>0.4</v>
          </cell>
          <cell r="AE280">
            <v>7.6</v>
          </cell>
        </row>
        <row r="281">
          <cell r="A281">
            <v>217</v>
          </cell>
          <cell r="B281" t="str">
            <v>Reactive Power Support -132kV</v>
          </cell>
          <cell r="C281">
            <v>1</v>
          </cell>
          <cell r="D281">
            <v>43617</v>
          </cell>
          <cell r="E281">
            <v>77</v>
          </cell>
          <cell r="F281">
            <v>3</v>
          </cell>
          <cell r="G281">
            <v>43197</v>
          </cell>
          <cell r="H281">
            <v>12</v>
          </cell>
          <cell r="I281" t="str">
            <v>Capacitor Replace</v>
          </cell>
          <cell r="J281">
            <v>14</v>
          </cell>
          <cell r="N281" t="str">
            <v>Proposed</v>
          </cell>
          <cell r="O281" t="str">
            <v>132kV Cap Banks as required for two years</v>
          </cell>
          <cell r="P281" t="str">
            <v>132CAP</v>
          </cell>
          <cell r="Q281" t="str">
            <v>Various</v>
          </cell>
          <cell r="R281">
            <v>4</v>
          </cell>
          <cell r="AF281">
            <v>0.2</v>
          </cell>
          <cell r="AG281">
            <v>3.8</v>
          </cell>
        </row>
        <row r="282">
          <cell r="A282">
            <v>218</v>
          </cell>
          <cell r="B282" t="str">
            <v>Terminal Pt Tx Upgrades 132kV - 2 years</v>
          </cell>
          <cell r="C282">
            <v>1</v>
          </cell>
          <cell r="D282">
            <v>40695</v>
          </cell>
          <cell r="E282">
            <v>78</v>
          </cell>
          <cell r="F282">
            <v>3</v>
          </cell>
          <cell r="G282">
            <v>40155</v>
          </cell>
          <cell r="H282">
            <v>11</v>
          </cell>
          <cell r="I282" t="str">
            <v>Transformer Replace</v>
          </cell>
          <cell r="J282">
            <v>18</v>
          </cell>
          <cell r="N282" t="str">
            <v>Proposed</v>
          </cell>
          <cell r="O282" t="str">
            <v>132kV Transformer Replacements - 2 years</v>
          </cell>
          <cell r="P282" t="str">
            <v>132TX</v>
          </cell>
          <cell r="Q282" t="str">
            <v>Various</v>
          </cell>
          <cell r="R282">
            <v>10</v>
          </cell>
          <cell r="X282">
            <v>0.8</v>
          </cell>
          <cell r="Y282">
            <v>9.1999999999999993</v>
          </cell>
        </row>
        <row r="283">
          <cell r="A283">
            <v>219</v>
          </cell>
          <cell r="B283" t="str">
            <v>Terminal Pt Tx Upgrades 132kV - 2 years</v>
          </cell>
          <cell r="C283">
            <v>1</v>
          </cell>
          <cell r="D283">
            <v>41426</v>
          </cell>
          <cell r="E283">
            <v>78</v>
          </cell>
          <cell r="F283">
            <v>3</v>
          </cell>
          <cell r="G283">
            <v>40886</v>
          </cell>
          <cell r="H283">
            <v>11</v>
          </cell>
          <cell r="I283" t="str">
            <v>Transformer Replace</v>
          </cell>
          <cell r="J283">
            <v>18</v>
          </cell>
          <cell r="N283" t="str">
            <v>Proposed</v>
          </cell>
          <cell r="O283" t="str">
            <v>132kV Transformer Replacements - 2 years</v>
          </cell>
          <cell r="P283" t="str">
            <v>132TX</v>
          </cell>
          <cell r="Q283" t="str">
            <v>Various</v>
          </cell>
          <cell r="R283">
            <v>20</v>
          </cell>
          <cell r="Z283">
            <v>1.6</v>
          </cell>
          <cell r="AA283">
            <v>18.399999999999999</v>
          </cell>
        </row>
        <row r="284">
          <cell r="A284">
            <v>220</v>
          </cell>
          <cell r="B284" t="str">
            <v>Terminal Pt Tx Upgrades 132kV - 2 years</v>
          </cell>
          <cell r="C284">
            <v>1</v>
          </cell>
          <cell r="D284">
            <v>42156</v>
          </cell>
          <cell r="E284">
            <v>78</v>
          </cell>
          <cell r="F284">
            <v>3</v>
          </cell>
          <cell r="G284">
            <v>41616</v>
          </cell>
          <cell r="H284">
            <v>11</v>
          </cell>
          <cell r="I284" t="str">
            <v>Transformer Replace</v>
          </cell>
          <cell r="J284">
            <v>18</v>
          </cell>
          <cell r="N284" t="str">
            <v>Proposed</v>
          </cell>
          <cell r="O284" t="str">
            <v>132kV Transformer Replacements - 2 years</v>
          </cell>
          <cell r="P284" t="str">
            <v>132TX</v>
          </cell>
          <cell r="Q284" t="str">
            <v>Various</v>
          </cell>
          <cell r="R284">
            <v>10</v>
          </cell>
          <cell r="AB284">
            <v>0.8</v>
          </cell>
          <cell r="AC284">
            <v>9.1999999999999993</v>
          </cell>
        </row>
        <row r="285">
          <cell r="A285">
            <v>221</v>
          </cell>
          <cell r="B285" t="str">
            <v>Terminal Pt Tx Upgrades 132kV - 2 years</v>
          </cell>
          <cell r="C285">
            <v>1</v>
          </cell>
          <cell r="D285">
            <v>42887</v>
          </cell>
          <cell r="E285">
            <v>78</v>
          </cell>
          <cell r="F285">
            <v>3</v>
          </cell>
          <cell r="G285">
            <v>42347</v>
          </cell>
          <cell r="H285">
            <v>11</v>
          </cell>
          <cell r="I285" t="str">
            <v>Transformer Replace</v>
          </cell>
          <cell r="J285">
            <v>18</v>
          </cell>
          <cell r="N285" t="str">
            <v>Proposed</v>
          </cell>
          <cell r="O285" t="str">
            <v>132kV Transformer Replacements - 2 years</v>
          </cell>
          <cell r="P285" t="str">
            <v>132TX</v>
          </cell>
          <cell r="Q285" t="str">
            <v>Various</v>
          </cell>
          <cell r="R285">
            <v>20</v>
          </cell>
          <cell r="AD285">
            <v>1.6</v>
          </cell>
          <cell r="AE285">
            <v>18.399999999999999</v>
          </cell>
        </row>
        <row r="286">
          <cell r="A286">
            <v>222</v>
          </cell>
          <cell r="B286" t="str">
            <v>Terminal Pt Tx Upgrades 132kV - 2 years</v>
          </cell>
          <cell r="C286">
            <v>1</v>
          </cell>
          <cell r="D286">
            <v>43617</v>
          </cell>
          <cell r="E286">
            <v>78</v>
          </cell>
          <cell r="F286">
            <v>3</v>
          </cell>
          <cell r="G286">
            <v>43077</v>
          </cell>
          <cell r="H286">
            <v>11</v>
          </cell>
          <cell r="I286" t="str">
            <v>Transformer Replace</v>
          </cell>
          <cell r="J286">
            <v>18</v>
          </cell>
          <cell r="N286" t="str">
            <v>Proposed</v>
          </cell>
          <cell r="O286" t="str">
            <v>132kV Transformer Replacements - 2 years</v>
          </cell>
          <cell r="P286" t="str">
            <v>132TX</v>
          </cell>
          <cell r="Q286" t="str">
            <v>Various</v>
          </cell>
          <cell r="R286">
            <v>10</v>
          </cell>
          <cell r="AF286">
            <v>0.8</v>
          </cell>
          <cell r="AG286">
            <v>9.1999999999999993</v>
          </cell>
        </row>
        <row r="287">
          <cell r="A287">
            <v>223</v>
          </cell>
          <cell r="B287" t="str">
            <v>Establish 132kV Susbtations - 2 years</v>
          </cell>
          <cell r="C287">
            <v>1</v>
          </cell>
          <cell r="D287">
            <v>40695</v>
          </cell>
          <cell r="E287">
            <v>100</v>
          </cell>
          <cell r="F287">
            <v>3</v>
          </cell>
          <cell r="G287">
            <v>39795</v>
          </cell>
          <cell r="H287">
            <v>7</v>
          </cell>
          <cell r="I287" t="str">
            <v>132kV Greenfield</v>
          </cell>
          <cell r="J287">
            <v>30</v>
          </cell>
          <cell r="N287" t="str">
            <v>Proposed</v>
          </cell>
          <cell r="O287" t="str">
            <v>132kV Substations Established - 2 years</v>
          </cell>
          <cell r="P287" t="str">
            <v>132SS</v>
          </cell>
          <cell r="Q287" t="str">
            <v>Various</v>
          </cell>
          <cell r="R287">
            <v>10</v>
          </cell>
          <cell r="W287">
            <v>0.5</v>
          </cell>
          <cell r="X287">
            <v>3.0096525096525104</v>
          </cell>
          <cell r="Y287">
            <v>6.4903474903474905</v>
          </cell>
        </row>
        <row r="288">
          <cell r="A288">
            <v>224</v>
          </cell>
          <cell r="B288" t="str">
            <v>Establish 132kV Susbtations - 2 years</v>
          </cell>
          <cell r="C288">
            <v>1</v>
          </cell>
          <cell r="D288">
            <v>41426</v>
          </cell>
          <cell r="E288">
            <v>100</v>
          </cell>
          <cell r="F288">
            <v>3</v>
          </cell>
          <cell r="G288">
            <v>40526</v>
          </cell>
          <cell r="H288">
            <v>7</v>
          </cell>
          <cell r="I288" t="str">
            <v>132kV Greenfield</v>
          </cell>
          <cell r="J288">
            <v>30</v>
          </cell>
          <cell r="N288" t="str">
            <v>Proposed</v>
          </cell>
          <cell r="O288" t="str">
            <v>132kV Substations Established - 2 years</v>
          </cell>
          <cell r="P288" t="str">
            <v>132SS</v>
          </cell>
          <cell r="Q288" t="str">
            <v>Various</v>
          </cell>
          <cell r="R288">
            <v>20</v>
          </cell>
          <cell r="Y288">
            <v>1</v>
          </cell>
          <cell r="Z288">
            <v>6.0193050193050208</v>
          </cell>
          <cell r="AA288">
            <v>12.980694980694981</v>
          </cell>
        </row>
        <row r="289">
          <cell r="A289">
            <v>225</v>
          </cell>
          <cell r="B289" t="str">
            <v>Establish 132kV Susbtations - 2 years</v>
          </cell>
          <cell r="C289">
            <v>1</v>
          </cell>
          <cell r="D289">
            <v>42156</v>
          </cell>
          <cell r="E289">
            <v>100</v>
          </cell>
          <cell r="F289">
            <v>3</v>
          </cell>
          <cell r="G289">
            <v>41256</v>
          </cell>
          <cell r="H289">
            <v>7</v>
          </cell>
          <cell r="I289" t="str">
            <v>132kV Greenfield</v>
          </cell>
          <cell r="J289">
            <v>30</v>
          </cell>
          <cell r="N289" t="str">
            <v>Proposed</v>
          </cell>
          <cell r="O289" t="str">
            <v>132kV Substations Established - 2 years</v>
          </cell>
          <cell r="P289" t="str">
            <v>132SS</v>
          </cell>
          <cell r="Q289" t="str">
            <v>Various</v>
          </cell>
          <cell r="R289">
            <v>10</v>
          </cell>
          <cell r="AA289">
            <v>0.5</v>
          </cell>
          <cell r="AB289">
            <v>3.0096525096525104</v>
          </cell>
          <cell r="AC289">
            <v>6.4903474903474905</v>
          </cell>
        </row>
        <row r="290">
          <cell r="A290">
            <v>226</v>
          </cell>
          <cell r="B290" t="str">
            <v>Establish 132kV Susbtations - 2 years</v>
          </cell>
          <cell r="C290">
            <v>1</v>
          </cell>
          <cell r="D290">
            <v>42887</v>
          </cell>
          <cell r="E290">
            <v>100</v>
          </cell>
          <cell r="F290">
            <v>3</v>
          </cell>
          <cell r="G290">
            <v>41987</v>
          </cell>
          <cell r="H290">
            <v>7</v>
          </cell>
          <cell r="I290" t="str">
            <v>132kV Greenfield</v>
          </cell>
          <cell r="J290">
            <v>30</v>
          </cell>
          <cell r="N290" t="str">
            <v>Proposed</v>
          </cell>
          <cell r="O290" t="str">
            <v>132kV Substations Established - 2 years</v>
          </cell>
          <cell r="P290" t="str">
            <v>132SS</v>
          </cell>
          <cell r="Q290" t="str">
            <v>Various</v>
          </cell>
          <cell r="R290">
            <v>20</v>
          </cell>
          <cell r="AC290">
            <v>1</v>
          </cell>
          <cell r="AD290">
            <v>6.0193050193050208</v>
          </cell>
          <cell r="AE290">
            <v>12.980694980694981</v>
          </cell>
        </row>
        <row r="291">
          <cell r="A291">
            <v>227</v>
          </cell>
          <cell r="B291" t="str">
            <v>Establish 132kV Susbtations - 2 years</v>
          </cell>
          <cell r="C291">
            <v>1</v>
          </cell>
          <cell r="D291">
            <v>43617</v>
          </cell>
          <cell r="E291">
            <v>100</v>
          </cell>
          <cell r="F291">
            <v>3</v>
          </cell>
          <cell r="G291">
            <v>42717</v>
          </cell>
          <cell r="H291">
            <v>7</v>
          </cell>
          <cell r="I291" t="str">
            <v>132kV Greenfield</v>
          </cell>
          <cell r="J291">
            <v>30</v>
          </cell>
          <cell r="N291" t="str">
            <v>Proposed</v>
          </cell>
          <cell r="O291" t="str">
            <v>132kV Transformer Replacements - 2 years</v>
          </cell>
          <cell r="P291" t="str">
            <v>132SS</v>
          </cell>
          <cell r="Q291" t="str">
            <v>Various</v>
          </cell>
          <cell r="R291">
            <v>10</v>
          </cell>
          <cell r="AE291">
            <v>0.5</v>
          </cell>
          <cell r="AF291">
            <v>3.0096525096525104</v>
          </cell>
          <cell r="AG291">
            <v>6.4903474903474905</v>
          </cell>
        </row>
        <row r="292">
          <cell r="A292">
            <v>228</v>
          </cell>
          <cell r="B292" t="str">
            <v>Rural 132kV Lines - 2 years</v>
          </cell>
          <cell r="C292">
            <v>1</v>
          </cell>
          <cell r="D292">
            <v>40695</v>
          </cell>
          <cell r="E292">
            <v>101</v>
          </cell>
          <cell r="F292">
            <v>1</v>
          </cell>
          <cell r="G292">
            <v>39255</v>
          </cell>
          <cell r="H292">
            <v>3</v>
          </cell>
          <cell r="I292" t="str">
            <v>TL -EIS</v>
          </cell>
          <cell r="J292">
            <v>48</v>
          </cell>
          <cell r="N292" t="str">
            <v>Proposed</v>
          </cell>
          <cell r="O292" t="str">
            <v>Rural 132kV Lines over 2 years</v>
          </cell>
          <cell r="P292" t="str">
            <v>TL EIS</v>
          </cell>
          <cell r="Q292" t="str">
            <v>Various</v>
          </cell>
          <cell r="R292">
            <v>50</v>
          </cell>
          <cell r="U292">
            <v>2.5641025641025647E-2</v>
          </cell>
          <cell r="V292">
            <v>2.1410256410256414</v>
          </cell>
          <cell r="W292">
            <v>2.1133333333333342</v>
          </cell>
          <cell r="X292">
            <v>10.976276150627619</v>
          </cell>
          <cell r="Y292">
            <v>34.74372384937238</v>
          </cell>
        </row>
        <row r="293">
          <cell r="A293">
            <v>229</v>
          </cell>
          <cell r="B293" t="str">
            <v>Rural 132kV Lines - 2 years</v>
          </cell>
          <cell r="C293">
            <v>1</v>
          </cell>
          <cell r="D293">
            <v>41426</v>
          </cell>
          <cell r="E293">
            <v>101</v>
          </cell>
          <cell r="F293">
            <v>1</v>
          </cell>
          <cell r="G293">
            <v>39986</v>
          </cell>
          <cell r="H293">
            <v>3</v>
          </cell>
          <cell r="I293" t="str">
            <v>TL -EIS</v>
          </cell>
          <cell r="J293">
            <v>48</v>
          </cell>
          <cell r="N293" t="str">
            <v>Proposed</v>
          </cell>
          <cell r="O293" t="str">
            <v>Rural 132kV Lines over 2 years</v>
          </cell>
          <cell r="P293" t="str">
            <v>TL EIS</v>
          </cell>
          <cell r="Q293" t="str">
            <v>Various</v>
          </cell>
          <cell r="R293">
            <v>75</v>
          </cell>
          <cell r="W293">
            <v>3.8461538461538471E-2</v>
          </cell>
          <cell r="X293">
            <v>3.2115384615384626</v>
          </cell>
          <cell r="Y293">
            <v>3.17</v>
          </cell>
          <cell r="Z293">
            <v>16.464414225941425</v>
          </cell>
          <cell r="AA293">
            <v>52.115585774058566</v>
          </cell>
        </row>
        <row r="294">
          <cell r="A294">
            <v>230</v>
          </cell>
          <cell r="B294" t="str">
            <v>Rural 132kV Lines - 2 years</v>
          </cell>
          <cell r="C294">
            <v>1</v>
          </cell>
          <cell r="D294">
            <v>42156</v>
          </cell>
          <cell r="E294">
            <v>101</v>
          </cell>
          <cell r="F294">
            <v>1</v>
          </cell>
          <cell r="G294">
            <v>40716</v>
          </cell>
          <cell r="H294">
            <v>3</v>
          </cell>
          <cell r="I294" t="str">
            <v>TL -EIS</v>
          </cell>
          <cell r="J294">
            <v>48</v>
          </cell>
          <cell r="N294" t="str">
            <v>Proposed</v>
          </cell>
          <cell r="O294" t="str">
            <v>Rural 132kV Lines over 2 years</v>
          </cell>
          <cell r="P294" t="str">
            <v>TL EIS</v>
          </cell>
          <cell r="Q294" t="str">
            <v>Various</v>
          </cell>
          <cell r="R294">
            <v>50</v>
          </cell>
          <cell r="Y294">
            <v>2.5641025641025647E-2</v>
          </cell>
          <cell r="Z294">
            <v>2.1410256410256414</v>
          </cell>
          <cell r="AA294">
            <v>2.1133333333333342</v>
          </cell>
          <cell r="AB294">
            <v>10.976276150627619</v>
          </cell>
          <cell r="AC294">
            <v>34.74372384937238</v>
          </cell>
        </row>
        <row r="295">
          <cell r="A295">
            <v>231</v>
          </cell>
          <cell r="B295" t="str">
            <v>Rural 132kV Lines - 2 years</v>
          </cell>
          <cell r="C295">
            <v>1</v>
          </cell>
          <cell r="D295">
            <v>42887</v>
          </cell>
          <cell r="E295">
            <v>101</v>
          </cell>
          <cell r="F295">
            <v>1</v>
          </cell>
          <cell r="G295">
            <v>41447</v>
          </cell>
          <cell r="H295">
            <v>3</v>
          </cell>
          <cell r="I295" t="str">
            <v>TL -EIS</v>
          </cell>
          <cell r="J295">
            <v>48</v>
          </cell>
          <cell r="N295" t="str">
            <v>Proposed</v>
          </cell>
          <cell r="O295" t="str">
            <v>Rural 132kV Lines over 2 years</v>
          </cell>
          <cell r="P295" t="str">
            <v>TL EIS</v>
          </cell>
          <cell r="Q295" t="str">
            <v>Various</v>
          </cell>
          <cell r="R295">
            <v>75</v>
          </cell>
          <cell r="AA295">
            <v>3.8461538461538471E-2</v>
          </cell>
          <cell r="AB295">
            <v>3.2115384615384626</v>
          </cell>
          <cell r="AC295">
            <v>3.17</v>
          </cell>
          <cell r="AD295">
            <v>16.464414225941425</v>
          </cell>
          <cell r="AE295">
            <v>52.115585774058566</v>
          </cell>
        </row>
        <row r="296">
          <cell r="A296">
            <v>232</v>
          </cell>
          <cell r="B296" t="str">
            <v>Rural 132kV Lines - 2 years</v>
          </cell>
          <cell r="C296">
            <v>1</v>
          </cell>
          <cell r="D296">
            <v>43617</v>
          </cell>
          <cell r="E296">
            <v>101</v>
          </cell>
          <cell r="F296">
            <v>1</v>
          </cell>
          <cell r="G296">
            <v>42177</v>
          </cell>
          <cell r="H296">
            <v>3</v>
          </cell>
          <cell r="I296" t="str">
            <v>TL -EIS</v>
          </cell>
          <cell r="J296">
            <v>48</v>
          </cell>
          <cell r="N296" t="str">
            <v>Proposed</v>
          </cell>
          <cell r="O296" t="str">
            <v>Rural 132kV Lines over 2 years</v>
          </cell>
          <cell r="P296" t="str">
            <v>TL EIS</v>
          </cell>
          <cell r="Q296" t="str">
            <v>Various</v>
          </cell>
          <cell r="R296">
            <v>50</v>
          </cell>
          <cell r="AC296">
            <v>2.5641025641025647E-2</v>
          </cell>
          <cell r="AD296">
            <v>2.1410256410256414</v>
          </cell>
          <cell r="AE296">
            <v>2.1133333333333342</v>
          </cell>
          <cell r="AF296">
            <v>10.976276150627619</v>
          </cell>
          <cell r="AG296">
            <v>34.74372384937238</v>
          </cell>
        </row>
        <row r="297">
          <cell r="A297">
            <v>233</v>
          </cell>
          <cell r="B297" t="str">
            <v>Miscellaneous Projects (2010-2019)</v>
          </cell>
          <cell r="C297">
            <v>1</v>
          </cell>
          <cell r="D297">
            <v>40695</v>
          </cell>
          <cell r="E297">
            <v>102</v>
          </cell>
          <cell r="F297">
            <v>3</v>
          </cell>
          <cell r="G297">
            <v>39975</v>
          </cell>
          <cell r="H297">
            <v>9</v>
          </cell>
          <cell r="I297" t="str">
            <v>330/132kV Aug</v>
          </cell>
          <cell r="J297">
            <v>24</v>
          </cell>
          <cell r="N297" t="str">
            <v>Proposed</v>
          </cell>
          <cell r="O297" t="str">
            <v>Miscellaneous Projects</v>
          </cell>
          <cell r="P297" t="str">
            <v>330TX</v>
          </cell>
          <cell r="Q297" t="str">
            <v>Various</v>
          </cell>
          <cell r="R297">
            <v>80</v>
          </cell>
          <cell r="W297">
            <v>0.19047619047619049</v>
          </cell>
          <cell r="X297">
            <v>11.05952380952381</v>
          </cell>
          <cell r="Y297">
            <v>68.75</v>
          </cell>
        </row>
        <row r="298">
          <cell r="A298">
            <v>234</v>
          </cell>
          <cell r="B298" t="str">
            <v>Miscellaneous Projects (2010-2019)</v>
          </cell>
          <cell r="C298">
            <v>1</v>
          </cell>
          <cell r="D298">
            <v>41426</v>
          </cell>
          <cell r="E298">
            <v>102</v>
          </cell>
          <cell r="F298">
            <v>3</v>
          </cell>
          <cell r="G298">
            <v>40706</v>
          </cell>
          <cell r="H298">
            <v>9</v>
          </cell>
          <cell r="I298" t="str">
            <v>330/132kV Aug</v>
          </cell>
          <cell r="J298">
            <v>24</v>
          </cell>
          <cell r="N298" t="str">
            <v>Proposed</v>
          </cell>
          <cell r="O298" t="str">
            <v>Miscellaneous Projects</v>
          </cell>
          <cell r="P298" t="str">
            <v>330TX</v>
          </cell>
          <cell r="Q298" t="str">
            <v>Various</v>
          </cell>
          <cell r="R298">
            <v>80</v>
          </cell>
          <cell r="Y298">
            <v>0.19047619047619049</v>
          </cell>
          <cell r="Z298">
            <v>11.05952380952381</v>
          </cell>
          <cell r="AA298">
            <v>68.75</v>
          </cell>
        </row>
        <row r="299">
          <cell r="A299">
            <v>235</v>
          </cell>
          <cell r="B299" t="str">
            <v>Miscellaneous Projects (2010-2019)</v>
          </cell>
          <cell r="C299">
            <v>1</v>
          </cell>
          <cell r="D299">
            <v>42156</v>
          </cell>
          <cell r="E299">
            <v>102</v>
          </cell>
          <cell r="F299">
            <v>3</v>
          </cell>
          <cell r="G299">
            <v>41436</v>
          </cell>
          <cell r="H299">
            <v>9</v>
          </cell>
          <cell r="I299" t="str">
            <v>330/132kV Aug</v>
          </cell>
          <cell r="J299">
            <v>24</v>
          </cell>
          <cell r="N299" t="str">
            <v>Proposed</v>
          </cell>
          <cell r="O299" t="str">
            <v>Miscellaneous Projects</v>
          </cell>
          <cell r="P299" t="str">
            <v>330TX</v>
          </cell>
          <cell r="Q299" t="str">
            <v>Various</v>
          </cell>
          <cell r="R299">
            <v>80</v>
          </cell>
          <cell r="AA299">
            <v>0.19047619047619049</v>
          </cell>
          <cell r="AB299">
            <v>11.05952380952381</v>
          </cell>
          <cell r="AC299">
            <v>68.75</v>
          </cell>
        </row>
        <row r="300">
          <cell r="A300">
            <v>236</v>
          </cell>
          <cell r="B300" t="str">
            <v>Miscellaneous Projects (2010-2019)</v>
          </cell>
          <cell r="C300">
            <v>1</v>
          </cell>
          <cell r="D300">
            <v>42887</v>
          </cell>
          <cell r="E300">
            <v>102</v>
          </cell>
          <cell r="F300">
            <v>3</v>
          </cell>
          <cell r="G300">
            <v>42167</v>
          </cell>
          <cell r="H300">
            <v>9</v>
          </cell>
          <cell r="I300" t="str">
            <v>330/132kV Aug</v>
          </cell>
          <cell r="J300">
            <v>24</v>
          </cell>
          <cell r="N300" t="str">
            <v>Proposed</v>
          </cell>
          <cell r="O300" t="str">
            <v>Miscellaneous Projects</v>
          </cell>
          <cell r="P300" t="str">
            <v>330TX</v>
          </cell>
          <cell r="Q300" t="str">
            <v>Various</v>
          </cell>
          <cell r="R300">
            <v>80</v>
          </cell>
          <cell r="AC300">
            <v>0.19047619047619049</v>
          </cell>
          <cell r="AD300">
            <v>11.05952380952381</v>
          </cell>
          <cell r="AE300">
            <v>68.75</v>
          </cell>
        </row>
        <row r="301">
          <cell r="A301">
            <v>237</v>
          </cell>
          <cell r="B301" t="str">
            <v>Miscellaneous Projects (2010-2019)</v>
          </cell>
          <cell r="C301">
            <v>1</v>
          </cell>
          <cell r="D301">
            <v>43617</v>
          </cell>
          <cell r="E301">
            <v>102</v>
          </cell>
          <cell r="F301">
            <v>3</v>
          </cell>
          <cell r="G301">
            <v>42897</v>
          </cell>
          <cell r="H301">
            <v>9</v>
          </cell>
          <cell r="I301" t="str">
            <v>330/132kV Aug</v>
          </cell>
          <cell r="J301">
            <v>24</v>
          </cell>
          <cell r="N301" t="str">
            <v>Proposed</v>
          </cell>
          <cell r="O301" t="str">
            <v>Miscellaneous Projects</v>
          </cell>
          <cell r="P301" t="str">
            <v>330TX</v>
          </cell>
          <cell r="Q301" t="str">
            <v>Various</v>
          </cell>
          <cell r="R301">
            <v>80</v>
          </cell>
          <cell r="AE301">
            <v>0.19047619047619049</v>
          </cell>
          <cell r="AF301">
            <v>11.05952380952381</v>
          </cell>
          <cell r="AG301">
            <v>68.75</v>
          </cell>
        </row>
        <row r="303">
          <cell r="A303" t="str">
            <v>Asset Replacement Projects</v>
          </cell>
        </row>
        <row r="304">
          <cell r="B304" t="str">
            <v>Cooma Area</v>
          </cell>
          <cell r="O304" t="str">
            <v>Replacement of 11kV Regulators (3 off)</v>
          </cell>
        </row>
        <row r="305">
          <cell r="B305" t="str">
            <v>Orange Substation</v>
          </cell>
          <cell r="O305" t="str">
            <v>Replacement of Orange 132/66kV Transformers</v>
          </cell>
        </row>
        <row r="306">
          <cell r="B306" t="str">
            <v>Queanbeyan Substation Refurbishment</v>
          </cell>
          <cell r="O306" t="str">
            <v>Replacement of the Queanbeyan Transformers</v>
          </cell>
        </row>
        <row r="307">
          <cell r="B307" t="str">
            <v>Queanbeyan Substation Refurbishment</v>
          </cell>
          <cell r="O307" t="str">
            <v>Replacement of the Queanbeyan 132kV &amp; 66kV switchyards</v>
          </cell>
        </row>
        <row r="308">
          <cell r="B308" t="str">
            <v>Queanbeyan Substation Refurbishment</v>
          </cell>
          <cell r="O308" t="str">
            <v>Replacement of the Queanbeyan Secondary Systems</v>
          </cell>
        </row>
        <row r="309">
          <cell r="B309" t="str">
            <v>Canberra Substation - Secondary Systems</v>
          </cell>
          <cell r="O309" t="str">
            <v>Replacement of the Canberra Tunnel Board</v>
          </cell>
        </row>
        <row r="310">
          <cell r="B310" t="str">
            <v xml:space="preserve">Yass-Wagga 132kV Line Refurbishment </v>
          </cell>
          <cell r="O310" t="str">
            <v>Replacement of 132kV structures</v>
          </cell>
        </row>
        <row r="311">
          <cell r="B311" t="str">
            <v xml:space="preserve">Yass-Wagga 132kV Line Refurbishment </v>
          </cell>
          <cell r="O311" t="str">
            <v>Replacement of 132kV structures and conductor</v>
          </cell>
        </row>
        <row r="312">
          <cell r="B312" t="str">
            <v>Darlington Pt to Coleambally 132kV Line</v>
          </cell>
          <cell r="O312" t="str">
            <v>Second Darlington Point to Coleambally 132kV Line</v>
          </cell>
        </row>
        <row r="313">
          <cell r="B313" t="str">
            <v>Darlington Pt to Coleambally 132kV Line</v>
          </cell>
          <cell r="O313" t="str">
            <v>Coleambally SS Augmentation</v>
          </cell>
        </row>
        <row r="314">
          <cell r="B314" t="str">
            <v>Darlington Pt to Coleambally 132kV Line</v>
          </cell>
          <cell r="O314" t="str">
            <v>Darlington Point 132kV Augmentations</v>
          </cell>
        </row>
        <row r="315">
          <cell r="B315" t="str">
            <v>Dapto 330/132kV Transformer</v>
          </cell>
          <cell r="O315" t="str">
            <v>Dapto 330/132kV Transformer (4th unit in No.2 Position)</v>
          </cell>
        </row>
        <row r="316">
          <cell r="B316" t="str">
            <v>Sydney West 330kV Upgrade</v>
          </cell>
          <cell r="O316" t="str">
            <v>Double Breaker on 30 Liverpol circuit at Sydney West</v>
          </cell>
        </row>
        <row r="317">
          <cell r="B317" t="str">
            <v>Power Station Connections</v>
          </cell>
          <cell r="O317" t="str">
            <v>Ulan 2x500MW units (30km to Wollar)</v>
          </cell>
        </row>
        <row r="318">
          <cell r="B318" t="str">
            <v>Power Station Connections</v>
          </cell>
          <cell r="O318" t="str">
            <v>Mt Piper 3 &amp; 4 units connected to 500kV switchyard</v>
          </cell>
        </row>
        <row r="319">
          <cell r="B319" t="str">
            <v>Power Station Connections</v>
          </cell>
          <cell r="O319" t="str">
            <v>GT plant connected at Uranquinity</v>
          </cell>
        </row>
        <row r="320">
          <cell r="B320" t="str">
            <v>Power Station Connections</v>
          </cell>
          <cell r="O320" t="str">
            <v>GT plant connected at Tomago</v>
          </cell>
        </row>
        <row r="321">
          <cell r="B321" t="str">
            <v>Power Station Connections</v>
          </cell>
          <cell r="O321" t="str">
            <v>GT plant connected at Eraring</v>
          </cell>
        </row>
        <row r="322">
          <cell r="B322" t="str">
            <v>Power Station Connections</v>
          </cell>
          <cell r="O322" t="str">
            <v>GT plant connected at Munmorah</v>
          </cell>
        </row>
        <row r="323">
          <cell r="B323" t="str">
            <v>Power Station Connections</v>
          </cell>
          <cell r="O323" t="str">
            <v>GT plant connected at Tallawarra</v>
          </cell>
        </row>
        <row r="324">
          <cell r="B324" t="str">
            <v>Power Station Connections</v>
          </cell>
          <cell r="O324" t="str">
            <v>GT plant connected at Marulan</v>
          </cell>
        </row>
        <row r="335">
          <cell r="A335" t="str">
            <v>Previous Committed List</v>
          </cell>
        </row>
        <row r="336">
          <cell r="A336">
            <v>1</v>
          </cell>
          <cell r="B336" t="str">
            <v>Newcastle and Lower North Coast Supply - Committed</v>
          </cell>
          <cell r="C336">
            <v>1</v>
          </cell>
          <cell r="D336">
            <v>38322</v>
          </cell>
          <cell r="E336">
            <v>39</v>
          </cell>
          <cell r="F336">
            <v>3</v>
          </cell>
          <cell r="G336">
            <v>38292</v>
          </cell>
          <cell r="H336">
            <v>6</v>
          </cell>
          <cell r="I336" t="str">
            <v>330/132kV Greenfield</v>
          </cell>
          <cell r="J336">
            <v>1</v>
          </cell>
          <cell r="L336" t="str">
            <v>6.5.7</v>
          </cell>
          <cell r="M336" t="str">
            <v>Comm</v>
          </cell>
          <cell r="N336" t="str">
            <v>Committed</v>
          </cell>
          <cell r="O336" t="str">
            <v>Establishment of Waratah West 330/132kV Sub - Contract</v>
          </cell>
          <cell r="P336" t="str">
            <v>330SS</v>
          </cell>
          <cell r="Q336" t="str">
            <v>Northern</v>
          </cell>
          <cell r="R336">
            <v>14</v>
          </cell>
        </row>
        <row r="337">
          <cell r="A337">
            <v>2</v>
          </cell>
          <cell r="B337" t="str">
            <v>Sydney West SVC</v>
          </cell>
          <cell r="C337">
            <v>1</v>
          </cell>
          <cell r="D337">
            <v>38322</v>
          </cell>
          <cell r="E337">
            <v>55</v>
          </cell>
          <cell r="F337">
            <v>3</v>
          </cell>
          <cell r="G337">
            <v>38292</v>
          </cell>
          <cell r="H337">
            <v>6</v>
          </cell>
          <cell r="I337" t="str">
            <v>330/132kV Greenfield</v>
          </cell>
          <cell r="J337">
            <v>1</v>
          </cell>
          <cell r="L337" t="str">
            <v>5.2.2</v>
          </cell>
          <cell r="M337" t="str">
            <v>Const</v>
          </cell>
          <cell r="N337" t="str">
            <v>Committed</v>
          </cell>
          <cell r="O337" t="str">
            <v>Sydney West SVC - Contract</v>
          </cell>
          <cell r="P337" t="str">
            <v>SVC</v>
          </cell>
          <cell r="Q337" t="str">
            <v>Central</v>
          </cell>
          <cell r="R337">
            <v>20</v>
          </cell>
        </row>
        <row r="338">
          <cell r="A338">
            <v>3</v>
          </cell>
          <cell r="B338" t="str">
            <v>Waratah West - 330 kV Transformation</v>
          </cell>
          <cell r="C338">
            <v>1</v>
          </cell>
          <cell r="D338">
            <v>38322</v>
          </cell>
          <cell r="E338">
            <v>63</v>
          </cell>
          <cell r="F338">
            <v>3</v>
          </cell>
          <cell r="G338">
            <v>38292</v>
          </cell>
          <cell r="H338">
            <v>6</v>
          </cell>
          <cell r="I338" t="str">
            <v>330/132kV Greenfield</v>
          </cell>
          <cell r="J338">
            <v>1</v>
          </cell>
          <cell r="L338" t="str">
            <v>5.2.1</v>
          </cell>
          <cell r="M338" t="str">
            <v>Const</v>
          </cell>
          <cell r="N338" t="str">
            <v>Committed</v>
          </cell>
          <cell r="O338" t="str">
            <v>Waratah West- 330kV Tx1 for PDR T2059 Tomago Smelter Upgrade</v>
          </cell>
          <cell r="P338" t="str">
            <v>330SS</v>
          </cell>
          <cell r="Q338" t="str">
            <v>Northern</v>
          </cell>
        </row>
        <row r="339">
          <cell r="A339">
            <v>4</v>
          </cell>
          <cell r="B339" t="str">
            <v>Yass 330 kV Substation Equipment Replacement</v>
          </cell>
          <cell r="C339">
            <v>1</v>
          </cell>
          <cell r="D339">
            <v>38534</v>
          </cell>
          <cell r="E339">
            <v>68</v>
          </cell>
          <cell r="F339">
            <v>3</v>
          </cell>
          <cell r="G339">
            <v>38292</v>
          </cell>
          <cell r="H339">
            <v>6</v>
          </cell>
          <cell r="I339" t="str">
            <v>330/132kV Greenfield</v>
          </cell>
          <cell r="J339">
            <v>8.0666666666666664</v>
          </cell>
          <cell r="L339" t="str">
            <v>5.2.7</v>
          </cell>
          <cell r="M339" t="str">
            <v>Const</v>
          </cell>
          <cell r="N339" t="str">
            <v>Committed</v>
          </cell>
          <cell r="O339" t="str">
            <v>Yass 330kV Substation Refurbishment - Contract</v>
          </cell>
          <cell r="P339" t="str">
            <v>330SS</v>
          </cell>
          <cell r="Q339" t="str">
            <v>Southern</v>
          </cell>
          <cell r="R339">
            <v>32</v>
          </cell>
        </row>
        <row r="340">
          <cell r="A340">
            <v>5</v>
          </cell>
          <cell r="B340" t="str">
            <v>Yass 330 kV Substation Equipment Replacement</v>
          </cell>
          <cell r="C340">
            <v>1</v>
          </cell>
          <cell r="D340">
            <v>38534</v>
          </cell>
          <cell r="E340">
            <v>68</v>
          </cell>
          <cell r="F340">
            <v>2</v>
          </cell>
          <cell r="G340">
            <v>38292</v>
          </cell>
          <cell r="H340">
            <v>2</v>
          </cell>
          <cell r="I340" t="str">
            <v>EHV TL -REF</v>
          </cell>
          <cell r="J340">
            <v>8.0666666666666664</v>
          </cell>
          <cell r="L340" t="str">
            <v>5.2.7</v>
          </cell>
          <cell r="M340" t="str">
            <v>Const</v>
          </cell>
          <cell r="N340" t="str">
            <v>Committed</v>
          </cell>
          <cell r="O340" t="str">
            <v>Yass TL Re-arrangements associated with Sub - Contract</v>
          </cell>
          <cell r="P340" t="str">
            <v>TL REF</v>
          </cell>
          <cell r="Q340" t="str">
            <v>Southern</v>
          </cell>
          <cell r="R340">
            <v>6</v>
          </cell>
        </row>
        <row r="341">
          <cell r="A341">
            <v>6</v>
          </cell>
          <cell r="B341" t="str">
            <v>Newcastle and Lower North Coast Supply - Committed</v>
          </cell>
          <cell r="C341">
            <v>1</v>
          </cell>
          <cell r="D341">
            <v>38322</v>
          </cell>
          <cell r="E341">
            <v>39</v>
          </cell>
          <cell r="F341">
            <v>3</v>
          </cell>
          <cell r="G341">
            <v>38292</v>
          </cell>
          <cell r="H341">
            <v>9</v>
          </cell>
          <cell r="I341" t="str">
            <v>330/132kV Aug</v>
          </cell>
          <cell r="J341">
            <v>1</v>
          </cell>
          <cell r="L341" t="str">
            <v>6.5.7</v>
          </cell>
          <cell r="M341" t="str">
            <v>Comm</v>
          </cell>
          <cell r="N341" t="str">
            <v>Committed</v>
          </cell>
          <cell r="O341" t="str">
            <v>Tomago 330kV SS Augmentations - Contract</v>
          </cell>
          <cell r="P341" t="str">
            <v>330SS</v>
          </cell>
          <cell r="Q341" t="str">
            <v>Northern</v>
          </cell>
          <cell r="R341">
            <v>4</v>
          </cell>
        </row>
        <row r="342">
          <cell r="A342">
            <v>7</v>
          </cell>
          <cell r="B342" t="str">
            <v>Newcastle and Lower North Coast Supply - Committed</v>
          </cell>
          <cell r="C342">
            <v>1</v>
          </cell>
          <cell r="D342">
            <v>38322</v>
          </cell>
          <cell r="E342">
            <v>39</v>
          </cell>
          <cell r="F342">
            <v>3</v>
          </cell>
          <cell r="G342">
            <v>38292</v>
          </cell>
          <cell r="H342">
            <v>9</v>
          </cell>
          <cell r="I342" t="str">
            <v>330/132kV Aug</v>
          </cell>
          <cell r="J342">
            <v>1</v>
          </cell>
          <cell r="L342" t="str">
            <v>6.5.7</v>
          </cell>
          <cell r="M342" t="str">
            <v>Comm</v>
          </cell>
          <cell r="N342" t="str">
            <v>Committed</v>
          </cell>
          <cell r="O342" t="str">
            <v>Newcastle 330/132kV Substation Augmentations - Contract</v>
          </cell>
          <cell r="P342" t="str">
            <v>330SS</v>
          </cell>
          <cell r="Q342" t="str">
            <v>Northern</v>
          </cell>
          <cell r="R342">
            <v>1</v>
          </cell>
        </row>
        <row r="343">
          <cell r="A343">
            <v>8</v>
          </cell>
          <cell r="B343" t="str">
            <v>Newcastle and Lower North Coast Supply - Committed</v>
          </cell>
          <cell r="C343">
            <v>1</v>
          </cell>
          <cell r="D343">
            <v>38322</v>
          </cell>
          <cell r="E343">
            <v>39</v>
          </cell>
          <cell r="F343">
            <v>2</v>
          </cell>
          <cell r="G343">
            <v>38292</v>
          </cell>
          <cell r="H343">
            <v>4</v>
          </cell>
          <cell r="I343" t="str">
            <v>TL -REF</v>
          </cell>
          <cell r="J343">
            <v>1</v>
          </cell>
          <cell r="L343" t="str">
            <v>6.5.7</v>
          </cell>
          <cell r="M343" t="str">
            <v>Comm</v>
          </cell>
          <cell r="N343" t="str">
            <v>Committed</v>
          </cell>
          <cell r="O343" t="str">
            <v>Tomago/Waratah West minor line alterations - Contract</v>
          </cell>
          <cell r="P343" t="str">
            <v>TL REF</v>
          </cell>
          <cell r="Q343" t="str">
            <v>Northern</v>
          </cell>
          <cell r="R343">
            <v>1</v>
          </cell>
        </row>
        <row r="344">
          <cell r="A344">
            <v>9</v>
          </cell>
          <cell r="B344" t="str">
            <v>Waratah West - 330 kV Transformation</v>
          </cell>
          <cell r="C344">
            <v>1</v>
          </cell>
          <cell r="D344">
            <v>38322</v>
          </cell>
          <cell r="E344">
            <v>64</v>
          </cell>
          <cell r="F344">
            <v>3</v>
          </cell>
          <cell r="G344">
            <v>38292</v>
          </cell>
          <cell r="H344">
            <v>9</v>
          </cell>
          <cell r="I344" t="str">
            <v>330/132kV Aug</v>
          </cell>
          <cell r="J344">
            <v>1</v>
          </cell>
          <cell r="L344" t="str">
            <v>5.2.1</v>
          </cell>
          <cell r="M344" t="str">
            <v>Const</v>
          </cell>
          <cell r="N344" t="str">
            <v>Committed</v>
          </cell>
          <cell r="O344" t="str">
            <v>Tomago SS Augmentation for PDR T2059 Tomago Smelter Upgrade</v>
          </cell>
          <cell r="P344" t="str">
            <v>330SS</v>
          </cell>
          <cell r="Q344" t="str">
            <v>Northern</v>
          </cell>
        </row>
        <row r="345">
          <cell r="A345">
            <v>10</v>
          </cell>
          <cell r="B345" t="str">
            <v>Waratah West - 330 kV Transformation</v>
          </cell>
          <cell r="C345">
            <v>1</v>
          </cell>
          <cell r="D345">
            <v>38322</v>
          </cell>
          <cell r="E345">
            <v>64</v>
          </cell>
          <cell r="F345">
            <v>3</v>
          </cell>
          <cell r="G345">
            <v>38292</v>
          </cell>
          <cell r="H345">
            <v>9</v>
          </cell>
          <cell r="I345" t="str">
            <v>330/132kV Aug</v>
          </cell>
          <cell r="J345">
            <v>1</v>
          </cell>
          <cell r="L345" t="str">
            <v>5.2.1</v>
          </cell>
          <cell r="M345" t="str">
            <v>Const</v>
          </cell>
          <cell r="N345" t="str">
            <v>Committed</v>
          </cell>
          <cell r="O345" t="str">
            <v>Newcastle SS Augmentation for PDR T2059 Tomago Smelter Upgrade</v>
          </cell>
          <cell r="P345" t="str">
            <v>330SS</v>
          </cell>
          <cell r="Q345" t="str">
            <v>Northern</v>
          </cell>
        </row>
        <row r="346">
          <cell r="A346">
            <v>11</v>
          </cell>
          <cell r="B346" t="str">
            <v>Waratah West - 330 kV Transformation</v>
          </cell>
          <cell r="C346">
            <v>1</v>
          </cell>
          <cell r="D346">
            <v>38322</v>
          </cell>
          <cell r="E346">
            <v>46</v>
          </cell>
          <cell r="F346">
            <v>2</v>
          </cell>
          <cell r="G346">
            <v>38292</v>
          </cell>
          <cell r="H346">
            <v>4</v>
          </cell>
          <cell r="I346" t="str">
            <v>TL -REF</v>
          </cell>
          <cell r="J346">
            <v>1</v>
          </cell>
          <cell r="L346" t="str">
            <v>5.2.1</v>
          </cell>
          <cell r="M346" t="str">
            <v>Const</v>
          </cell>
          <cell r="N346" t="str">
            <v>Committed</v>
          </cell>
          <cell r="O346" t="str">
            <v>95W TL for PDR T2059 Tomago Smelter Upgrade</v>
          </cell>
          <cell r="P346" t="str">
            <v>TL REF</v>
          </cell>
          <cell r="Q346" t="str">
            <v>Northern</v>
          </cell>
        </row>
        <row r="347">
          <cell r="A347">
            <v>12</v>
          </cell>
          <cell r="B347" t="str">
            <v>Waratah West - 330 kV Transformation</v>
          </cell>
          <cell r="C347">
            <v>1</v>
          </cell>
          <cell r="D347">
            <v>38322</v>
          </cell>
          <cell r="E347">
            <v>64</v>
          </cell>
          <cell r="F347">
            <v>2</v>
          </cell>
          <cell r="G347">
            <v>38292</v>
          </cell>
          <cell r="H347">
            <v>4</v>
          </cell>
          <cell r="I347" t="str">
            <v>TL -REF</v>
          </cell>
          <cell r="J347">
            <v>1</v>
          </cell>
          <cell r="L347" t="str">
            <v>5.2.1</v>
          </cell>
          <cell r="M347" t="str">
            <v>Const</v>
          </cell>
          <cell r="N347" t="str">
            <v>Committed</v>
          </cell>
          <cell r="O347" t="str">
            <v>95N TL Uprating for PDR T2059 Tomago Smelter Upgrade</v>
          </cell>
          <cell r="P347" t="str">
            <v>TL REF</v>
          </cell>
          <cell r="Q347" t="str">
            <v>Northern</v>
          </cell>
        </row>
        <row r="348">
          <cell r="A348">
            <v>13</v>
          </cell>
          <cell r="B348" t="str">
            <v>Wollar - Wellington 330 kV Line &amp; Wollar 330 kV Sw Stn</v>
          </cell>
          <cell r="C348">
            <v>1</v>
          </cell>
          <cell r="D348">
            <v>39417</v>
          </cell>
          <cell r="E348">
            <v>65</v>
          </cell>
          <cell r="F348">
            <v>1</v>
          </cell>
          <cell r="G348">
            <v>38292</v>
          </cell>
          <cell r="H348">
            <v>1</v>
          </cell>
          <cell r="I348" t="str">
            <v>EHV TL -EIS</v>
          </cell>
          <cell r="J348">
            <v>37.5</v>
          </cell>
          <cell r="L348" t="str">
            <v>5.3.4</v>
          </cell>
          <cell r="M348" t="str">
            <v>Likely</v>
          </cell>
          <cell r="N348" t="str">
            <v>Committed</v>
          </cell>
          <cell r="O348" t="str">
            <v>Wollar to Wellington 330kV TL - Contract</v>
          </cell>
          <cell r="P348" t="str">
            <v>TL EIS</v>
          </cell>
          <cell r="Q348" t="str">
            <v>Central</v>
          </cell>
          <cell r="R348">
            <v>65</v>
          </cell>
        </row>
        <row r="349">
          <cell r="A349">
            <v>14</v>
          </cell>
          <cell r="B349" t="str">
            <v>Armidale, Mrln, Vales, Vinyd,Well'ton,&amp; Yass 330 kV Txs</v>
          </cell>
          <cell r="C349">
            <v>1</v>
          </cell>
          <cell r="D349">
            <v>38292</v>
          </cell>
          <cell r="E349">
            <v>3</v>
          </cell>
          <cell r="F349">
            <v>3</v>
          </cell>
          <cell r="G349">
            <v>38292</v>
          </cell>
          <cell r="H349">
            <v>11</v>
          </cell>
          <cell r="I349" t="str">
            <v>Transformer Replace</v>
          </cell>
          <cell r="J349">
            <v>0</v>
          </cell>
          <cell r="L349" t="str">
            <v>6.3.1</v>
          </cell>
          <cell r="M349" t="str">
            <v>Likely</v>
          </cell>
          <cell r="N349" t="str">
            <v>Committed</v>
          </cell>
          <cell r="O349" t="str">
            <v>Vineyard 330kV SS- Replacement of No.2 Tx - Contract</v>
          </cell>
          <cell r="P349" t="str">
            <v>330TX</v>
          </cell>
          <cell r="Q349" t="str">
            <v>Central</v>
          </cell>
          <cell r="R349">
            <v>5</v>
          </cell>
        </row>
        <row r="350">
          <cell r="A350">
            <v>15</v>
          </cell>
          <cell r="B350" t="str">
            <v>Liverpool Third 330/132 kV Transformer</v>
          </cell>
          <cell r="C350">
            <v>1</v>
          </cell>
          <cell r="D350">
            <v>38322</v>
          </cell>
          <cell r="E350">
            <v>28</v>
          </cell>
          <cell r="F350">
            <v>3</v>
          </cell>
          <cell r="G350">
            <v>38292</v>
          </cell>
          <cell r="H350">
            <v>11</v>
          </cell>
          <cell r="I350" t="str">
            <v>Transformer Replace</v>
          </cell>
          <cell r="J350">
            <v>1</v>
          </cell>
          <cell r="L350" t="str">
            <v>5.2.3</v>
          </cell>
          <cell r="M350" t="str">
            <v>Const</v>
          </cell>
          <cell r="N350" t="str">
            <v>Committed</v>
          </cell>
          <cell r="O350" t="str">
            <v>Liverpool Third Transformer - Contract</v>
          </cell>
          <cell r="P350" t="str">
            <v>330SS</v>
          </cell>
          <cell r="Q350" t="str">
            <v>Central</v>
          </cell>
          <cell r="R350">
            <v>9</v>
          </cell>
        </row>
        <row r="351">
          <cell r="A351">
            <v>16</v>
          </cell>
          <cell r="B351" t="str">
            <v>Coffs Harbour: 330/132 kV Substation</v>
          </cell>
          <cell r="C351">
            <v>1</v>
          </cell>
          <cell r="D351">
            <v>38961</v>
          </cell>
          <cell r="E351">
            <v>9</v>
          </cell>
          <cell r="F351">
            <v>3</v>
          </cell>
          <cell r="G351">
            <v>38292</v>
          </cell>
          <cell r="H351">
            <v>6</v>
          </cell>
          <cell r="I351" t="str">
            <v>330/132kV Greenfield</v>
          </cell>
          <cell r="J351">
            <v>22.3</v>
          </cell>
          <cell r="L351" t="str">
            <v>5.3.1</v>
          </cell>
          <cell r="M351" t="str">
            <v>Likely</v>
          </cell>
          <cell r="N351" t="str">
            <v>Committed</v>
          </cell>
          <cell r="O351" t="str">
            <v>Coffs Harbour 330/132kV Substation - Contract</v>
          </cell>
          <cell r="P351" t="str">
            <v>330SS</v>
          </cell>
          <cell r="Q351" t="str">
            <v>Northern</v>
          </cell>
          <cell r="R351">
            <v>18</v>
          </cell>
        </row>
        <row r="352">
          <cell r="A352">
            <v>17</v>
          </cell>
          <cell r="B352" t="str">
            <v>Coffs Harbour: 330/132 kV Substation</v>
          </cell>
          <cell r="C352">
            <v>1</v>
          </cell>
          <cell r="D352">
            <v>38961</v>
          </cell>
          <cell r="E352">
            <v>9</v>
          </cell>
          <cell r="F352">
            <v>2</v>
          </cell>
          <cell r="G352">
            <v>38292</v>
          </cell>
          <cell r="H352">
            <v>2</v>
          </cell>
          <cell r="I352" t="str">
            <v>EHV TL -REF</v>
          </cell>
          <cell r="J352">
            <v>22.3</v>
          </cell>
          <cell r="L352" t="str">
            <v>5.3.1</v>
          </cell>
          <cell r="M352" t="str">
            <v>Likely</v>
          </cell>
          <cell r="N352" t="str">
            <v>Committed</v>
          </cell>
          <cell r="O352" t="str">
            <v>Coffs Harbour TL Rearrangement - Contract</v>
          </cell>
          <cell r="P352" t="str">
            <v>TL REF</v>
          </cell>
          <cell r="Q352" t="str">
            <v>Northern</v>
          </cell>
          <cell r="R352">
            <v>2</v>
          </cell>
        </row>
        <row r="353">
          <cell r="A353">
            <v>18</v>
          </cell>
          <cell r="B353" t="str">
            <v>Central Coast 330 kV Rearr'ts: Vales Point</v>
          </cell>
          <cell r="C353">
            <v>1</v>
          </cell>
          <cell r="D353">
            <v>38687</v>
          </cell>
          <cell r="E353">
            <v>8</v>
          </cell>
          <cell r="F353">
            <v>3</v>
          </cell>
          <cell r="G353">
            <v>38292</v>
          </cell>
          <cell r="H353">
            <v>9</v>
          </cell>
          <cell r="I353" t="str">
            <v>330/132kV Aug</v>
          </cell>
          <cell r="J353">
            <v>13.166666666666666</v>
          </cell>
          <cell r="L353" t="str">
            <v>5.3.6</v>
          </cell>
          <cell r="M353" t="str">
            <v>Likely</v>
          </cell>
          <cell r="N353" t="str">
            <v>Committed</v>
          </cell>
          <cell r="O353" t="str">
            <v>Vales Point 330 kV Switchyard Rationalisation (PDR 2054)</v>
          </cell>
          <cell r="P353" t="str">
            <v>330SS</v>
          </cell>
          <cell r="Q353" t="str">
            <v>Northern</v>
          </cell>
          <cell r="R353">
            <v>0.25</v>
          </cell>
        </row>
        <row r="354">
          <cell r="A354">
            <v>19</v>
          </cell>
          <cell r="B354" t="str">
            <v>Central Coast 330 kV Rearr'ts: Vales Point</v>
          </cell>
          <cell r="C354">
            <v>1</v>
          </cell>
          <cell r="D354">
            <v>38687</v>
          </cell>
          <cell r="E354">
            <v>8</v>
          </cell>
          <cell r="F354">
            <v>3</v>
          </cell>
          <cell r="G354">
            <v>38292</v>
          </cell>
          <cell r="H354">
            <v>9</v>
          </cell>
          <cell r="I354" t="str">
            <v>330/132kV Aug</v>
          </cell>
          <cell r="J354">
            <v>13.166666666666666</v>
          </cell>
          <cell r="L354" t="str">
            <v>5.3.6</v>
          </cell>
          <cell r="M354" t="str">
            <v>Likely</v>
          </cell>
          <cell r="N354" t="str">
            <v>Committed</v>
          </cell>
          <cell r="O354" t="str">
            <v>Munmorah 330 kV Switchyard Rationalisation (PDR 2054)</v>
          </cell>
          <cell r="P354" t="str">
            <v>330SS</v>
          </cell>
          <cell r="Q354" t="str">
            <v>Northern</v>
          </cell>
          <cell r="R354">
            <v>0.25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Assumptions_SC"/>
      <sheetName val="GA"/>
      <sheetName val="SPAND_SSC"/>
      <sheetName val="SPAND_GL_BA"/>
      <sheetName val="SPAND_PA_BA"/>
      <sheetName val="SPAND_Other_BA"/>
      <sheetName val="SPAND_Asset_BA"/>
      <sheetName val="SPANT_SSC"/>
      <sheetName val="SPANT_GL_BA"/>
      <sheetName val="SPANT_PA_BA"/>
      <sheetName val="SPANT_Other_BA"/>
      <sheetName val="SPANT_Asset_BA"/>
      <sheetName val="Output_SC"/>
      <sheetName val="SPAND_Output_SSC"/>
      <sheetName val="SPAND_Labour_BO"/>
      <sheetName val="SPAND_NonLabour_BO"/>
      <sheetName val="SPAND_Other_Co_BO"/>
      <sheetName val="SPANT_Output_SSC"/>
      <sheetName val="SPANT_Labour_BO"/>
      <sheetName val="SPANT_NonLabour_BO"/>
      <sheetName val="SPANT_Other_Co_BO"/>
      <sheetName val="Summary_SC"/>
      <sheetName val="SPAND_Summary_BO"/>
      <sheetName val="SPANT_Summary_BO"/>
      <sheetName val="Lookup_SC"/>
      <sheetName val="Lookup_BL"/>
      <sheetName val="SPAN_Result_BL"/>
      <sheetName val="SPAND_LU_SSC"/>
      <sheetName val="SPAND_LU_BL"/>
      <sheetName val="SPAND_CostCentre_BL"/>
      <sheetName val="SPAND_CorpFunction_BL"/>
      <sheetName val="SPAND_WC_BL"/>
      <sheetName val="SPANT_LU_SSC"/>
      <sheetName val="SPANT_LU_BL"/>
      <sheetName val="SPANT_CostCentre_BL"/>
      <sheetName val="SPANT_CorpFunction_BL"/>
      <sheetName val="SPANT_WC_BL"/>
      <sheetName val="Misc_SC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8">
          <cell r="K28">
            <v>32164142.402051263</v>
          </cell>
          <cell r="M28">
            <v>6392952.7079487434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8">
          <cell r="G8" t="str">
            <v>Cost Centre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Reg Accts 2007 alloc"/>
      <sheetName val="Summary for Reg Accts"/>
      <sheetName val="SPIMS"/>
      <sheetName val="Distribution OHD "/>
      <sheetName val="SPAND_TOTAL"/>
      <sheetName val="SPAND_Labour_BO"/>
      <sheetName val="SPAND_NonLabour_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heck These"/>
      <sheetName val="Summary by Location"/>
      <sheetName val="Summary by Strategy"/>
      <sheetName val="Projects"/>
      <sheetName val="Strategies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">
          <cell r="B7">
            <v>0</v>
          </cell>
          <cell r="C7" t="str">
            <v>Transformers</v>
          </cell>
          <cell r="D7" t="str">
            <v>Condition Assessment</v>
          </cell>
          <cell r="E7" t="str">
            <v>Other</v>
          </cell>
          <cell r="F7" t="str">
            <v>Life Assessment</v>
          </cell>
          <cell r="G7" t="str">
            <v>O</v>
          </cell>
          <cell r="H7" t="str">
            <v>I</v>
          </cell>
          <cell r="I7">
            <v>1994</v>
          </cell>
          <cell r="J7" t="str">
            <v>Asset Managers</v>
          </cell>
          <cell r="K7" t="str">
            <v>Recurrent</v>
          </cell>
          <cell r="M7" t="str">
            <v>RM</v>
          </cell>
          <cell r="Q7">
            <v>3</v>
          </cell>
        </row>
        <row r="8">
          <cell r="B8">
            <v>0.1</v>
          </cell>
          <cell r="C8" t="str">
            <v>Transformers</v>
          </cell>
          <cell r="D8" t="str">
            <v>Transformer/Reactor Refurbishment</v>
          </cell>
          <cell r="E8" t="str">
            <v>Life Extension</v>
          </cell>
          <cell r="F8" t="str">
            <v>Refurbish Transformers</v>
          </cell>
          <cell r="G8" t="str">
            <v>M</v>
          </cell>
          <cell r="H8" t="str">
            <v>C</v>
          </cell>
          <cell r="I8">
            <v>1994</v>
          </cell>
          <cell r="J8" t="str">
            <v>Asset Managers</v>
          </cell>
          <cell r="K8" t="str">
            <v>Recurrent</v>
          </cell>
          <cell r="L8" t="str">
            <v>Need to separate oil leaks and oil treatment and also to include all txs in Attach A</v>
          </cell>
          <cell r="M8" t="str">
            <v>Assess indivually</v>
          </cell>
          <cell r="Q8" t="str">
            <v>3i</v>
          </cell>
        </row>
        <row r="9">
          <cell r="B9">
            <v>1</v>
          </cell>
          <cell r="C9" t="str">
            <v>Transformers</v>
          </cell>
          <cell r="D9" t="str">
            <v>Transformer/Reactor Life Extension</v>
          </cell>
          <cell r="E9" t="str">
            <v>Life Extension</v>
          </cell>
          <cell r="F9" t="str">
            <v>Life Extension Works</v>
          </cell>
          <cell r="G9" t="str">
            <v>C</v>
          </cell>
        </row>
        <row r="10">
          <cell r="B10">
            <v>1.1000000000000001</v>
          </cell>
          <cell r="C10" t="str">
            <v>Transformers</v>
          </cell>
          <cell r="D10" t="str">
            <v>Transformer/Reactor Replacement</v>
          </cell>
          <cell r="E10" t="str">
            <v>Replacement</v>
          </cell>
          <cell r="F10" t="str">
            <v>Replace Transformers (planned)</v>
          </cell>
          <cell r="G10" t="str">
            <v>C</v>
          </cell>
          <cell r="H10" t="str">
            <v>C</v>
          </cell>
          <cell r="I10">
            <v>2002</v>
          </cell>
          <cell r="J10" t="str">
            <v>Asset Managers</v>
          </cell>
          <cell r="K10" t="str">
            <v>Recurrent</v>
          </cell>
          <cell r="M10" t="str">
            <v>Assess indivually</v>
          </cell>
          <cell r="Q10" t="str">
            <v>2i</v>
          </cell>
        </row>
        <row r="11">
          <cell r="B11">
            <v>2</v>
          </cell>
          <cell r="C11" t="str">
            <v>Transformers</v>
          </cell>
          <cell r="D11" t="str">
            <v>Transformer/Reactor Failure</v>
          </cell>
          <cell r="E11" t="str">
            <v>Replacement</v>
          </cell>
          <cell r="F11" t="str">
            <v>Replace Transformers (unplanned)</v>
          </cell>
          <cell r="G11" t="str">
            <v>C</v>
          </cell>
          <cell r="H11" t="str">
            <v>C</v>
          </cell>
          <cell r="I11">
            <v>2002</v>
          </cell>
          <cell r="J11" t="str">
            <v>SSE</v>
          </cell>
          <cell r="K11" t="str">
            <v>Recurrent</v>
          </cell>
          <cell r="M11">
            <v>0</v>
          </cell>
          <cell r="N11">
            <v>0</v>
          </cell>
          <cell r="O11">
            <v>10</v>
          </cell>
          <cell r="P11">
            <v>0</v>
          </cell>
          <cell r="Q11">
            <v>1</v>
          </cell>
        </row>
        <row r="12">
          <cell r="B12">
            <v>3</v>
          </cell>
          <cell r="C12" t="str">
            <v>Transformers</v>
          </cell>
          <cell r="D12" t="str">
            <v>Conservator Bags</v>
          </cell>
          <cell r="E12" t="str">
            <v>Conservator Bags</v>
          </cell>
          <cell r="F12" t="str">
            <v>Install bags on Txs manufactured &gt;1975</v>
          </cell>
          <cell r="G12" t="str">
            <v>C</v>
          </cell>
          <cell r="H12" t="str">
            <v>R</v>
          </cell>
          <cell r="I12">
            <v>1994</v>
          </cell>
          <cell r="J12" t="str">
            <v>Asset Managers</v>
          </cell>
          <cell r="K12" t="str">
            <v>Deferred (no date)</v>
          </cell>
          <cell r="L12" t="str">
            <v>Need to split Strategy a1 into pre 1975 and post1975</v>
          </cell>
          <cell r="M12">
            <v>0</v>
          </cell>
          <cell r="N12">
            <v>0</v>
          </cell>
          <cell r="O12">
            <v>0</v>
          </cell>
          <cell r="P12">
            <v>10</v>
          </cell>
          <cell r="Q12">
            <v>3</v>
          </cell>
        </row>
        <row r="13">
          <cell r="B13">
            <v>3</v>
          </cell>
          <cell r="C13" t="str">
            <v>Transformers</v>
          </cell>
          <cell r="D13" t="str">
            <v>Conservator Bags</v>
          </cell>
          <cell r="E13" t="str">
            <v>Conservator Bags</v>
          </cell>
          <cell r="F13" t="str">
            <v>Install bags on Txs manufactured &lt;1975</v>
          </cell>
          <cell r="G13" t="str">
            <v>C</v>
          </cell>
          <cell r="H13" t="str">
            <v>R</v>
          </cell>
          <cell r="I13">
            <v>1994</v>
          </cell>
          <cell r="J13" t="str">
            <v>Asset Managers</v>
          </cell>
          <cell r="K13" t="str">
            <v>Deferred (2003)</v>
          </cell>
          <cell r="L13" t="str">
            <v>Reason for difference between pre 1975 and post 1975 not clear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>
            <v>3</v>
          </cell>
        </row>
        <row r="14">
          <cell r="B14">
            <v>3</v>
          </cell>
          <cell r="C14" t="str">
            <v>Transformers</v>
          </cell>
          <cell r="D14" t="str">
            <v>Conservator Bags</v>
          </cell>
          <cell r="E14" t="str">
            <v>Conservator Bags</v>
          </cell>
          <cell r="F14" t="str">
            <v>Review effectiveness of air/oil separation systems and investigate alternative methods</v>
          </cell>
          <cell r="G14" t="str">
            <v>O</v>
          </cell>
          <cell r="H14" t="str">
            <v>I</v>
          </cell>
          <cell r="I14">
            <v>2002</v>
          </cell>
          <cell r="J14" t="str">
            <v>AM/Central</v>
          </cell>
          <cell r="K14">
            <v>38352</v>
          </cell>
          <cell r="M14">
            <v>0</v>
          </cell>
          <cell r="N14">
            <v>0</v>
          </cell>
          <cell r="O14">
            <v>0</v>
          </cell>
          <cell r="P14">
            <v>8</v>
          </cell>
          <cell r="Q14">
            <v>3</v>
          </cell>
        </row>
        <row r="15">
          <cell r="B15">
            <v>4</v>
          </cell>
          <cell r="C15" t="str">
            <v>Transformers</v>
          </cell>
          <cell r="D15" t="str">
            <v>Sealing of On Load Tapchanger Diverter Compartments</v>
          </cell>
          <cell r="E15" t="str">
            <v>Other</v>
          </cell>
          <cell r="F15" t="str">
            <v>Review effectiveness of existing condition monitoring where oil leaks from diverter into the main tank and examine alternative techniques</v>
          </cell>
          <cell r="G15" t="str">
            <v>O</v>
          </cell>
          <cell r="H15" t="str">
            <v>I</v>
          </cell>
          <cell r="I15">
            <v>2002</v>
          </cell>
          <cell r="J15" t="str">
            <v>SSE</v>
          </cell>
          <cell r="K15">
            <v>38504</v>
          </cell>
          <cell r="L15" t="str">
            <v>Target dates required</v>
          </cell>
          <cell r="M15">
            <v>0</v>
          </cell>
          <cell r="N15">
            <v>0</v>
          </cell>
          <cell r="O15">
            <v>0</v>
          </cell>
          <cell r="P15">
            <v>8</v>
          </cell>
          <cell r="Q15">
            <v>3</v>
          </cell>
        </row>
        <row r="16">
          <cell r="B16">
            <v>5</v>
          </cell>
          <cell r="C16" t="str">
            <v>Transformers</v>
          </cell>
          <cell r="D16" t="str">
            <v>Ageing of On Load Tapchangers</v>
          </cell>
          <cell r="E16" t="str">
            <v>Other</v>
          </cell>
          <cell r="F16" t="str">
            <v>Review all tapchangers that operate more than 15,000 times per year and assess suitability for an on-line filter unit to be installed, or other methods of controlling diverter switch wear</v>
          </cell>
          <cell r="G16" t="str">
            <v>O</v>
          </cell>
          <cell r="H16" t="str">
            <v>I</v>
          </cell>
          <cell r="I16">
            <v>1998</v>
          </cell>
          <cell r="J16" t="str">
            <v>Asset Managers</v>
          </cell>
          <cell r="K16">
            <v>38504</v>
          </cell>
          <cell r="L16" t="str">
            <v>Target dates required</v>
          </cell>
          <cell r="M16">
            <v>2</v>
          </cell>
          <cell r="N16">
            <v>2</v>
          </cell>
          <cell r="O16">
            <v>10</v>
          </cell>
          <cell r="P16">
            <v>8</v>
          </cell>
          <cell r="Q16">
            <v>3</v>
          </cell>
        </row>
        <row r="17">
          <cell r="B17">
            <v>5</v>
          </cell>
          <cell r="C17" t="str">
            <v>Transformers</v>
          </cell>
          <cell r="D17" t="str">
            <v>Ageing of On Load Tapchangers</v>
          </cell>
          <cell r="E17" t="str">
            <v>Other</v>
          </cell>
          <cell r="F17" t="str">
            <v>Install on-line oil filter units as determined by the investigation</v>
          </cell>
          <cell r="G17" t="str">
            <v>C</v>
          </cell>
          <cell r="H17" t="str">
            <v>C</v>
          </cell>
          <cell r="I17">
            <v>1998</v>
          </cell>
          <cell r="J17" t="str">
            <v>Asset Managers</v>
          </cell>
          <cell r="K17" t="str">
            <v>To be determined by investigation</v>
          </cell>
          <cell r="M17">
            <v>2</v>
          </cell>
          <cell r="N17">
            <v>2</v>
          </cell>
          <cell r="O17">
            <v>10</v>
          </cell>
          <cell r="P17">
            <v>8</v>
          </cell>
          <cell r="Q17">
            <v>3</v>
          </cell>
        </row>
        <row r="18">
          <cell r="B18">
            <v>6</v>
          </cell>
          <cell r="C18" t="str">
            <v>Transformers</v>
          </cell>
          <cell r="D18" t="str">
            <v>Ageing of On Load Tapchangers</v>
          </cell>
          <cell r="E18" t="str">
            <v>Other</v>
          </cell>
          <cell r="F18" t="str">
            <v>Develop a schedule for the inspection of all Reinhausen tapchangers with greater than 300,000 operations (500,000 operations for transformers loaded between 30%  and 50% of rating)</v>
          </cell>
          <cell r="G18" t="str">
            <v>O</v>
          </cell>
          <cell r="H18" t="str">
            <v>I</v>
          </cell>
          <cell r="I18">
            <v>2002</v>
          </cell>
          <cell r="J18" t="str">
            <v>SSE</v>
          </cell>
          <cell r="K18">
            <v>38322</v>
          </cell>
          <cell r="L18" t="str">
            <v>If it hasn't been done need to renew target date.  Also need to split strategy it List and Maintenance Actions</v>
          </cell>
          <cell r="M18">
            <v>2</v>
          </cell>
          <cell r="N18">
            <v>2</v>
          </cell>
          <cell r="O18">
            <v>10</v>
          </cell>
          <cell r="P18">
            <v>10</v>
          </cell>
          <cell r="Q18">
            <v>3</v>
          </cell>
        </row>
        <row r="19">
          <cell r="B19">
            <v>6</v>
          </cell>
          <cell r="C19" t="str">
            <v>Transformers</v>
          </cell>
          <cell r="D19" t="str">
            <v>Ageing of On Load Tapchangers</v>
          </cell>
          <cell r="E19" t="str">
            <v>Other</v>
          </cell>
          <cell r="F19" t="str">
            <v>Inspect Reinhausen type diverters in conjunction with suitably trained persons as per operational schedule</v>
          </cell>
          <cell r="G19" t="str">
            <v>O</v>
          </cell>
          <cell r="H19" t="str">
            <v>I</v>
          </cell>
          <cell r="I19">
            <v>2002</v>
          </cell>
          <cell r="J19" t="str">
            <v>Asset Managers</v>
          </cell>
          <cell r="K19">
            <v>38533</v>
          </cell>
          <cell r="M19">
            <v>2</v>
          </cell>
          <cell r="N19">
            <v>2</v>
          </cell>
          <cell r="O19">
            <v>10</v>
          </cell>
          <cell r="P19">
            <v>10</v>
          </cell>
          <cell r="Q19">
            <v>3</v>
          </cell>
        </row>
        <row r="20">
          <cell r="B20">
            <v>6</v>
          </cell>
          <cell r="C20" t="str">
            <v>Transformers</v>
          </cell>
          <cell r="D20" t="str">
            <v>Ageing of On Load Tapchangers</v>
          </cell>
          <cell r="E20" t="str">
            <v>Replacement</v>
          </cell>
          <cell r="F20" t="str">
            <v>Replace Reinhausen diverter switches dependent on assessment</v>
          </cell>
          <cell r="G20" t="str">
            <v>C</v>
          </cell>
          <cell r="H20" t="str">
            <v>C</v>
          </cell>
          <cell r="I20">
            <v>1998</v>
          </cell>
          <cell r="J20" t="str">
            <v>Asset Managers</v>
          </cell>
          <cell r="K20" t="str">
            <v>To be determined by investigation</v>
          </cell>
          <cell r="L20" t="str">
            <v>This strategy will need to be defined better so it can be costed.</v>
          </cell>
          <cell r="M20">
            <v>2</v>
          </cell>
          <cell r="N20">
            <v>2</v>
          </cell>
          <cell r="O20">
            <v>10</v>
          </cell>
          <cell r="P20">
            <v>10</v>
          </cell>
          <cell r="Q20">
            <v>3</v>
          </cell>
        </row>
        <row r="21">
          <cell r="B21">
            <v>7</v>
          </cell>
          <cell r="C21" t="str">
            <v>Transformers</v>
          </cell>
          <cell r="D21" t="str">
            <v>Ageing of On Load Tapchangers</v>
          </cell>
          <cell r="E21" t="str">
            <v>Other</v>
          </cell>
          <cell r="F21" t="str">
            <v>Identify F&amp;D Type diverters where there is no mechanical stop</v>
          </cell>
          <cell r="G21" t="str">
            <v>O</v>
          </cell>
          <cell r="H21" t="str">
            <v>I</v>
          </cell>
          <cell r="I21">
            <v>2003</v>
          </cell>
          <cell r="J21" t="str">
            <v>Asset Managers</v>
          </cell>
          <cell r="L21" t="str">
            <v xml:space="preserve">This strategy needs to be split into I &amp; M and target date added to I </v>
          </cell>
          <cell r="M21">
            <v>2</v>
          </cell>
          <cell r="N21">
            <v>2</v>
          </cell>
          <cell r="O21">
            <v>10</v>
          </cell>
          <cell r="P21">
            <v>10</v>
          </cell>
          <cell r="Q21">
            <v>3</v>
          </cell>
        </row>
        <row r="22">
          <cell r="B22">
            <v>7.1</v>
          </cell>
          <cell r="C22" t="str">
            <v>Transformers</v>
          </cell>
          <cell r="D22" t="str">
            <v>Ageing of On Load Tapchangers</v>
          </cell>
          <cell r="E22" t="str">
            <v>Other</v>
          </cell>
          <cell r="F22" t="str">
            <v>Fit new end stops to F &amp; D types</v>
          </cell>
          <cell r="G22" t="str">
            <v>O</v>
          </cell>
          <cell r="H22" t="str">
            <v>M</v>
          </cell>
          <cell r="I22">
            <v>2003</v>
          </cell>
          <cell r="J22" t="str">
            <v>Asset Managers</v>
          </cell>
          <cell r="K22">
            <v>38168</v>
          </cell>
          <cell r="L22" t="str">
            <v>If not done renew target dates.</v>
          </cell>
          <cell r="M22">
            <v>2</v>
          </cell>
          <cell r="N22">
            <v>2</v>
          </cell>
          <cell r="O22">
            <v>10</v>
          </cell>
          <cell r="P22">
            <v>10</v>
          </cell>
          <cell r="Q22">
            <v>3</v>
          </cell>
        </row>
        <row r="23">
          <cell r="B23">
            <v>8</v>
          </cell>
          <cell r="C23" t="str">
            <v>Transformers</v>
          </cell>
          <cell r="D23" t="str">
            <v>Ageing of On Load Tapchangers</v>
          </cell>
          <cell r="E23" t="str">
            <v>Other</v>
          </cell>
          <cell r="F23" t="str">
            <v>Investigate comparison methods to verify alignment in tapchangers</v>
          </cell>
          <cell r="G23" t="str">
            <v>O</v>
          </cell>
          <cell r="H23" t="str">
            <v>I</v>
          </cell>
          <cell r="I23">
            <v>2003</v>
          </cell>
          <cell r="J23" t="str">
            <v>SSE</v>
          </cell>
          <cell r="K23">
            <v>38533</v>
          </cell>
          <cell r="M23">
            <v>2</v>
          </cell>
          <cell r="N23">
            <v>2</v>
          </cell>
          <cell r="O23">
            <v>10</v>
          </cell>
          <cell r="P23">
            <v>10</v>
          </cell>
          <cell r="Q23">
            <v>3</v>
          </cell>
        </row>
        <row r="24">
          <cell r="B24">
            <v>9</v>
          </cell>
          <cell r="C24" t="str">
            <v>Transformers</v>
          </cell>
          <cell r="D24" t="str">
            <v>Ageing of On Load Tapchangers</v>
          </cell>
          <cell r="E24" t="str">
            <v>Other</v>
          </cell>
          <cell r="F24" t="str">
            <v>Set up program of inspection and life assessment of at risk and aged tapchangers</v>
          </cell>
          <cell r="G24" t="str">
            <v>O</v>
          </cell>
          <cell r="H24" t="str">
            <v>I</v>
          </cell>
          <cell r="I24">
            <v>2003</v>
          </cell>
          <cell r="J24" t="str">
            <v>SSE</v>
          </cell>
          <cell r="K24">
            <v>37741</v>
          </cell>
          <cell r="L24" t="str">
            <v>Needs to be split into I &amp; M strategies and really needs more specific targets clarifying types of tapchangers referred to</v>
          </cell>
          <cell r="M24">
            <v>2</v>
          </cell>
          <cell r="N24">
            <v>2</v>
          </cell>
          <cell r="O24">
            <v>10</v>
          </cell>
          <cell r="P24">
            <v>10</v>
          </cell>
          <cell r="Q24">
            <v>3</v>
          </cell>
        </row>
        <row r="25">
          <cell r="B25">
            <v>9</v>
          </cell>
          <cell r="C25" t="str">
            <v>Transformers</v>
          </cell>
          <cell r="D25" t="str">
            <v>Ageing of On Load Tapchangers</v>
          </cell>
          <cell r="E25" t="str">
            <v>Other</v>
          </cell>
          <cell r="F25" t="str">
            <v>Suitably trained staff to Inspect tapchangers determine life assessment</v>
          </cell>
          <cell r="G25" t="str">
            <v>O</v>
          </cell>
          <cell r="H25" t="str">
            <v>I</v>
          </cell>
          <cell r="I25">
            <v>2003</v>
          </cell>
          <cell r="J25" t="str">
            <v>Asset Managers</v>
          </cell>
          <cell r="K25">
            <v>39263</v>
          </cell>
          <cell r="M25">
            <v>2</v>
          </cell>
          <cell r="N25">
            <v>2</v>
          </cell>
          <cell r="O25">
            <v>10</v>
          </cell>
          <cell r="P25">
            <v>10</v>
          </cell>
          <cell r="Q25">
            <v>3</v>
          </cell>
        </row>
        <row r="26">
          <cell r="B26">
            <v>10</v>
          </cell>
          <cell r="C26" t="str">
            <v>Transformers</v>
          </cell>
          <cell r="D26" t="str">
            <v>Ageing of On Load Tapchangers</v>
          </cell>
          <cell r="E26" t="str">
            <v>Other</v>
          </cell>
          <cell r="F26" t="str">
            <v>Report and investigate AVR to reduce no. taps/day</v>
          </cell>
          <cell r="G26" t="str">
            <v>O</v>
          </cell>
          <cell r="H26" t="str">
            <v>I</v>
          </cell>
          <cell r="I26">
            <v>2003</v>
          </cell>
          <cell r="J26" t="str">
            <v>Asset Managers</v>
          </cell>
          <cell r="K26">
            <v>38168</v>
          </cell>
          <cell r="M26">
            <v>2</v>
          </cell>
          <cell r="N26">
            <v>2</v>
          </cell>
          <cell r="O26">
            <v>10</v>
          </cell>
          <cell r="P26">
            <v>8</v>
          </cell>
          <cell r="Q26">
            <v>3</v>
          </cell>
        </row>
        <row r="27">
          <cell r="B27">
            <v>11</v>
          </cell>
          <cell r="C27" t="str">
            <v>Transformers</v>
          </cell>
          <cell r="D27" t="str">
            <v>Bushings</v>
          </cell>
          <cell r="E27" t="str">
            <v>Replacement</v>
          </cell>
          <cell r="F27" t="str">
            <v>Replace all condenser bushings with no DDF point</v>
          </cell>
          <cell r="G27" t="str">
            <v>M</v>
          </cell>
          <cell r="H27" t="str">
            <v>R</v>
          </cell>
          <cell r="I27">
            <v>2000</v>
          </cell>
          <cell r="J27" t="str">
            <v>Asset Managers</v>
          </cell>
          <cell r="K27" t="str">
            <v xml:space="preserve"> Dec 2004</v>
          </cell>
          <cell r="L27" t="str">
            <v>Need to identify which transformers have condenser bushings with no DDF point</v>
          </cell>
          <cell r="M27">
            <v>10</v>
          </cell>
          <cell r="N27">
            <v>5</v>
          </cell>
          <cell r="O27">
            <v>10</v>
          </cell>
          <cell r="P27">
            <v>10</v>
          </cell>
          <cell r="Q27">
            <v>3</v>
          </cell>
        </row>
        <row r="28">
          <cell r="B28">
            <v>12</v>
          </cell>
          <cell r="C28" t="str">
            <v>Transformers</v>
          </cell>
          <cell r="D28" t="str">
            <v>Bushings</v>
          </cell>
          <cell r="E28" t="str">
            <v>Replacement</v>
          </cell>
          <cell r="F28" t="str">
            <v>Replace all condenser type SRBP bushings</v>
          </cell>
          <cell r="G28" t="str">
            <v>M</v>
          </cell>
          <cell r="H28" t="str">
            <v>R</v>
          </cell>
          <cell r="I28">
            <v>2003</v>
          </cell>
          <cell r="J28" t="str">
            <v>Asset Managers</v>
          </cell>
          <cell r="K28">
            <v>39629</v>
          </cell>
          <cell r="L28" t="str">
            <v>Identify bushings</v>
          </cell>
          <cell r="M28">
            <v>10</v>
          </cell>
          <cell r="N28">
            <v>5</v>
          </cell>
          <cell r="O28">
            <v>10</v>
          </cell>
          <cell r="P28">
            <v>10</v>
          </cell>
          <cell r="Q28">
            <v>3</v>
          </cell>
        </row>
        <row r="29">
          <cell r="B29">
            <v>13</v>
          </cell>
          <cell r="C29" t="str">
            <v>Transformers</v>
          </cell>
          <cell r="D29" t="str">
            <v>DGA Techniques</v>
          </cell>
          <cell r="E29" t="str">
            <v>Other</v>
          </cell>
          <cell r="F29" t="str">
            <v>Provide Specialist Training in DGA assessment techniques for selected staff</v>
          </cell>
          <cell r="G29" t="str">
            <v>O</v>
          </cell>
          <cell r="H29" t="str">
            <v>I</v>
          </cell>
          <cell r="I29">
            <v>2003</v>
          </cell>
          <cell r="J29" t="str">
            <v>SSE</v>
          </cell>
          <cell r="K29">
            <v>38322</v>
          </cell>
          <cell r="M29">
            <v>0</v>
          </cell>
          <cell r="N29">
            <v>0</v>
          </cell>
          <cell r="O29">
            <v>0</v>
          </cell>
          <cell r="P29">
            <v>8</v>
          </cell>
          <cell r="Q29">
            <v>3</v>
          </cell>
        </row>
        <row r="30">
          <cell r="B30">
            <v>13</v>
          </cell>
          <cell r="C30" t="str">
            <v>Transformers</v>
          </cell>
          <cell r="D30" t="str">
            <v>DGA Techniques</v>
          </cell>
          <cell r="E30" t="str">
            <v>Other</v>
          </cell>
          <cell r="F30" t="str">
            <v>Acquire DGA Assessment tools and implement supporting processes</v>
          </cell>
          <cell r="G30" t="str">
            <v>O</v>
          </cell>
          <cell r="H30" t="str">
            <v>I</v>
          </cell>
          <cell r="I30">
            <v>2003</v>
          </cell>
          <cell r="J30" t="str">
            <v>SSE</v>
          </cell>
          <cell r="K30">
            <v>38504</v>
          </cell>
          <cell r="M30">
            <v>0</v>
          </cell>
          <cell r="N30">
            <v>0</v>
          </cell>
          <cell r="O30">
            <v>0</v>
          </cell>
          <cell r="P30">
            <v>8</v>
          </cell>
          <cell r="Q30">
            <v>3</v>
          </cell>
        </row>
        <row r="31">
          <cell r="B31">
            <v>14</v>
          </cell>
          <cell r="C31" t="str">
            <v>Transformers</v>
          </cell>
          <cell r="D31" t="str">
            <v>Aged Transformers</v>
          </cell>
          <cell r="E31" t="str">
            <v>Other</v>
          </cell>
          <cell r="F31" t="str">
            <v>Review available DGA Data to identify transformers of concern</v>
          </cell>
          <cell r="G31" t="str">
            <v>O</v>
          </cell>
          <cell r="H31" t="str">
            <v>I</v>
          </cell>
          <cell r="I31">
            <v>2003</v>
          </cell>
          <cell r="J31" t="str">
            <v>Asset Managers</v>
          </cell>
          <cell r="K31">
            <v>38322</v>
          </cell>
          <cell r="M31">
            <v>0</v>
          </cell>
          <cell r="N31">
            <v>0</v>
          </cell>
          <cell r="O31">
            <v>0</v>
          </cell>
          <cell r="P31">
            <v>8</v>
          </cell>
          <cell r="Q31">
            <v>3</v>
          </cell>
        </row>
        <row r="32">
          <cell r="B32">
            <v>14</v>
          </cell>
          <cell r="C32" t="str">
            <v>Transformers</v>
          </cell>
          <cell r="D32" t="str">
            <v>Aged Transformers</v>
          </cell>
          <cell r="E32" t="str">
            <v>Other</v>
          </cell>
          <cell r="F32" t="str">
            <v>Develop an Aged transformer management policy supported by a decision making model</v>
          </cell>
          <cell r="G32" t="str">
            <v>O</v>
          </cell>
          <cell r="H32" t="str">
            <v>I</v>
          </cell>
          <cell r="I32">
            <v>2003</v>
          </cell>
          <cell r="J32" t="str">
            <v>SSE</v>
          </cell>
          <cell r="K32">
            <v>38322</v>
          </cell>
          <cell r="M32">
            <v>0</v>
          </cell>
          <cell r="N32">
            <v>0</v>
          </cell>
          <cell r="O32">
            <v>0</v>
          </cell>
          <cell r="P32">
            <v>8</v>
          </cell>
          <cell r="Q32">
            <v>3</v>
          </cell>
        </row>
        <row r="33">
          <cell r="B33">
            <v>14</v>
          </cell>
          <cell r="C33" t="str">
            <v>Transformers</v>
          </cell>
          <cell r="D33" t="str">
            <v>Aged Transformers</v>
          </cell>
          <cell r="E33" t="str">
            <v>Other</v>
          </cell>
          <cell r="F33" t="str">
            <v>Apply the Aged Transformer model to all transformers to prioritise at risk transformers for replacement or refurbishment</v>
          </cell>
          <cell r="G33" t="str">
            <v>O</v>
          </cell>
          <cell r="H33" t="str">
            <v>I</v>
          </cell>
          <cell r="I33">
            <v>2003</v>
          </cell>
          <cell r="J33" t="str">
            <v>Asset Managers</v>
          </cell>
          <cell r="K33">
            <v>38504</v>
          </cell>
          <cell r="M33">
            <v>0</v>
          </cell>
          <cell r="N33">
            <v>0</v>
          </cell>
          <cell r="O33">
            <v>0</v>
          </cell>
          <cell r="P33">
            <v>8</v>
          </cell>
          <cell r="Q33">
            <v>3</v>
          </cell>
        </row>
        <row r="34">
          <cell r="B34">
            <v>15</v>
          </cell>
          <cell r="C34" t="str">
            <v>Transformers</v>
          </cell>
          <cell r="D34" t="str">
            <v>Operational Recommendations</v>
          </cell>
          <cell r="E34" t="str">
            <v>Other</v>
          </cell>
          <cell r="F34" t="str">
            <v>Implement operating procedures to minimise risk of loss of supply when taking tapchangers out of service by taking transformers to new tap before switching</v>
          </cell>
          <cell r="G34" t="str">
            <v>O</v>
          </cell>
          <cell r="H34" t="str">
            <v>I</v>
          </cell>
          <cell r="I34">
            <v>2003</v>
          </cell>
          <cell r="J34" t="str">
            <v>SSE</v>
          </cell>
          <cell r="K34">
            <v>38322</v>
          </cell>
          <cell r="M34">
            <v>2</v>
          </cell>
          <cell r="N34">
            <v>2</v>
          </cell>
          <cell r="O34">
            <v>10</v>
          </cell>
          <cell r="P34">
            <v>8</v>
          </cell>
          <cell r="Q34">
            <v>3</v>
          </cell>
        </row>
        <row r="35">
          <cell r="B35">
            <v>16</v>
          </cell>
          <cell r="C35" t="str">
            <v>Circuit Breakers</v>
          </cell>
          <cell r="D35" t="str">
            <v>AEI GA 11 W8 CBs</v>
          </cell>
          <cell r="E35" t="str">
            <v>Replacement</v>
          </cell>
          <cell r="F35" t="str">
            <v>Replace all of this type</v>
          </cell>
          <cell r="G35" t="str">
            <v>C</v>
          </cell>
          <cell r="H35" t="str">
            <v>R</v>
          </cell>
          <cell r="I35">
            <v>1995</v>
          </cell>
          <cell r="J35" t="str">
            <v>Asset Managers</v>
          </cell>
          <cell r="K35" t="str">
            <v>June, 2008</v>
          </cell>
          <cell r="L35" t="str">
            <v>Strategy shouldn't identify rate of change</v>
          </cell>
          <cell r="M35">
            <v>8</v>
          </cell>
          <cell r="N35">
            <v>0</v>
          </cell>
          <cell r="O35">
            <v>10</v>
          </cell>
          <cell r="P35">
            <v>10</v>
          </cell>
          <cell r="Q35">
            <v>2</v>
          </cell>
        </row>
        <row r="36">
          <cell r="B36">
            <v>17</v>
          </cell>
          <cell r="C36" t="str">
            <v>Circuit Breakers</v>
          </cell>
          <cell r="D36" t="str">
            <v>132 kV (OBR30) Reyrolle CBs</v>
          </cell>
          <cell r="E36" t="str">
            <v>Replacement</v>
          </cell>
          <cell r="F36" t="str">
            <v>Replace all of this type</v>
          </cell>
          <cell r="G36" t="str">
            <v>C</v>
          </cell>
          <cell r="H36" t="str">
            <v>R</v>
          </cell>
          <cell r="I36">
            <v>1995</v>
          </cell>
          <cell r="J36" t="str">
            <v>Asset Managers</v>
          </cell>
          <cell r="K36" t="str">
            <v>June, 2004</v>
          </cell>
          <cell r="M36">
            <v>5</v>
          </cell>
          <cell r="N36">
            <v>0</v>
          </cell>
          <cell r="O36">
            <v>10</v>
          </cell>
          <cell r="P36">
            <v>10</v>
          </cell>
          <cell r="Q36">
            <v>3</v>
          </cell>
        </row>
        <row r="37">
          <cell r="B37">
            <v>18</v>
          </cell>
          <cell r="C37" t="str">
            <v>Circuit Breakers</v>
          </cell>
          <cell r="D37" t="str">
            <v>132 kV AEG WM5077</v>
          </cell>
          <cell r="E37" t="str">
            <v>Replacement</v>
          </cell>
          <cell r="F37" t="str">
            <v>Replace all of this type</v>
          </cell>
          <cell r="G37" t="str">
            <v>C</v>
          </cell>
          <cell r="H37" t="str">
            <v>R</v>
          </cell>
          <cell r="I37">
            <v>1995</v>
          </cell>
          <cell r="J37" t="str">
            <v>Asset Managers</v>
          </cell>
          <cell r="K37" t="str">
            <v>June, 2005</v>
          </cell>
          <cell r="M37">
            <v>0</v>
          </cell>
          <cell r="N37">
            <v>0</v>
          </cell>
          <cell r="O37">
            <v>8</v>
          </cell>
          <cell r="P37">
            <v>8</v>
          </cell>
          <cell r="Q37">
            <v>3</v>
          </cell>
        </row>
        <row r="38">
          <cell r="B38">
            <v>19</v>
          </cell>
          <cell r="C38" t="str">
            <v>Circuit Breakers</v>
          </cell>
          <cell r="D38" t="str">
            <v>66kV Oerlikon TOF60.6</v>
          </cell>
          <cell r="E38" t="str">
            <v>Replacement</v>
          </cell>
          <cell r="F38" t="str">
            <v>Replace all of this type</v>
          </cell>
          <cell r="G38" t="str">
            <v>C</v>
          </cell>
          <cell r="H38" t="str">
            <v>R</v>
          </cell>
          <cell r="I38">
            <v>1995</v>
          </cell>
          <cell r="J38" t="str">
            <v>Asset Managers</v>
          </cell>
          <cell r="K38">
            <v>38139</v>
          </cell>
          <cell r="M38">
            <v>0</v>
          </cell>
          <cell r="N38">
            <v>0</v>
          </cell>
          <cell r="O38">
            <v>8</v>
          </cell>
          <cell r="P38">
            <v>8</v>
          </cell>
          <cell r="Q38">
            <v>3</v>
          </cell>
        </row>
        <row r="39">
          <cell r="B39">
            <v>20</v>
          </cell>
          <cell r="C39" t="str">
            <v>Circuit Breakers</v>
          </cell>
          <cell r="D39" t="str">
            <v xml:space="preserve">33kV Westinghouse GC </v>
          </cell>
          <cell r="E39" t="str">
            <v>Replacement</v>
          </cell>
          <cell r="F39" t="str">
            <v>Replace if no DDF Point</v>
          </cell>
          <cell r="G39" t="str">
            <v>C</v>
          </cell>
          <cell r="H39" t="str">
            <v>R</v>
          </cell>
          <cell r="I39">
            <v>2001</v>
          </cell>
          <cell r="J39" t="str">
            <v>Asset Managers</v>
          </cell>
          <cell r="K39">
            <v>38504</v>
          </cell>
          <cell r="L39" t="str">
            <v>No completion date</v>
          </cell>
          <cell r="M39">
            <v>8</v>
          </cell>
          <cell r="N39">
            <v>2</v>
          </cell>
          <cell r="O39">
            <v>8</v>
          </cell>
          <cell r="P39">
            <v>5</v>
          </cell>
          <cell r="Q39">
            <v>2</v>
          </cell>
        </row>
        <row r="40">
          <cell r="B40">
            <v>20.100000000000001</v>
          </cell>
          <cell r="C40" t="str">
            <v>Circuit Breakers</v>
          </cell>
          <cell r="D40" t="str">
            <v xml:space="preserve">33kV Westinghouse GC </v>
          </cell>
          <cell r="E40" t="str">
            <v>Replacement</v>
          </cell>
          <cell r="F40" t="str">
            <v>Replace all of this type</v>
          </cell>
          <cell r="G40" t="str">
            <v>C</v>
          </cell>
          <cell r="H40" t="str">
            <v>R</v>
          </cell>
          <cell r="I40">
            <v>2004</v>
          </cell>
          <cell r="J40" t="str">
            <v>Asset Managers</v>
          </cell>
          <cell r="K40" t="str">
            <v>June, 2007</v>
          </cell>
          <cell r="M40">
            <v>5</v>
          </cell>
          <cell r="N40">
            <v>2</v>
          </cell>
          <cell r="O40">
            <v>8</v>
          </cell>
          <cell r="P40">
            <v>5</v>
          </cell>
          <cell r="Q40">
            <v>2</v>
          </cell>
        </row>
        <row r="41">
          <cell r="B41">
            <v>21</v>
          </cell>
          <cell r="C41" t="str">
            <v>Circuit Breakers</v>
          </cell>
          <cell r="D41" t="str">
            <v>22kv Sace</v>
          </cell>
          <cell r="E41" t="str">
            <v>Replacement</v>
          </cell>
          <cell r="F41" t="str">
            <v>Replace all of this type</v>
          </cell>
          <cell r="G41" t="str">
            <v>C</v>
          </cell>
          <cell r="H41" t="str">
            <v>R</v>
          </cell>
          <cell r="I41">
            <v>1998</v>
          </cell>
          <cell r="J41" t="str">
            <v>Asset Managers</v>
          </cell>
          <cell r="K41" t="str">
            <v>June, 2005</v>
          </cell>
          <cell r="M41">
            <v>0</v>
          </cell>
          <cell r="N41">
            <v>0</v>
          </cell>
          <cell r="O41">
            <v>8</v>
          </cell>
          <cell r="P41">
            <v>8</v>
          </cell>
          <cell r="Q41">
            <v>3</v>
          </cell>
        </row>
        <row r="42">
          <cell r="B42">
            <v>22</v>
          </cell>
          <cell r="C42" t="str">
            <v>Circuit Breakers</v>
          </cell>
          <cell r="D42" t="str">
            <v>132kV Galileo OCERD 150</v>
          </cell>
          <cell r="E42" t="str">
            <v>Replacement</v>
          </cell>
          <cell r="F42" t="str">
            <v>Replace all of this type</v>
          </cell>
          <cell r="G42" t="str">
            <v>C</v>
          </cell>
          <cell r="H42" t="str">
            <v>R</v>
          </cell>
          <cell r="I42">
            <v>1998</v>
          </cell>
          <cell r="J42" t="str">
            <v>Asset Managers</v>
          </cell>
          <cell r="K42" t="str">
            <v>June, 2005</v>
          </cell>
          <cell r="M42">
            <v>0</v>
          </cell>
          <cell r="N42">
            <v>10</v>
          </cell>
          <cell r="O42">
            <v>5</v>
          </cell>
          <cell r="P42">
            <v>5</v>
          </cell>
          <cell r="Q42">
            <v>3</v>
          </cell>
        </row>
        <row r="43">
          <cell r="B43">
            <v>23</v>
          </cell>
          <cell r="C43" t="str">
            <v>Circuit Breakers</v>
          </cell>
          <cell r="D43" t="str">
            <v>Oerlikon FS13C3.1 &amp; FR</v>
          </cell>
          <cell r="E43" t="str">
            <v>Replacement</v>
          </cell>
          <cell r="F43" t="str">
            <v>Replace all of this type</v>
          </cell>
          <cell r="G43" t="str">
            <v>C</v>
          </cell>
          <cell r="H43" t="str">
            <v>R</v>
          </cell>
          <cell r="I43">
            <v>1995</v>
          </cell>
          <cell r="J43" t="str">
            <v>Asset Managers</v>
          </cell>
          <cell r="K43" t="str">
            <v>June, 2005</v>
          </cell>
          <cell r="M43">
            <v>0</v>
          </cell>
          <cell r="N43">
            <v>0</v>
          </cell>
          <cell r="O43">
            <v>8</v>
          </cell>
          <cell r="P43">
            <v>8</v>
          </cell>
          <cell r="Q43">
            <v>3</v>
          </cell>
        </row>
        <row r="44">
          <cell r="B44">
            <v>24</v>
          </cell>
          <cell r="C44" t="str">
            <v>Circuit Breakers</v>
          </cell>
          <cell r="D44" t="str">
            <v xml:space="preserve">BTH 66kV </v>
          </cell>
          <cell r="E44" t="str">
            <v>Replacement</v>
          </cell>
          <cell r="F44" t="str">
            <v>Replace all of this type</v>
          </cell>
          <cell r="G44" t="str">
            <v>C</v>
          </cell>
          <cell r="H44" t="str">
            <v>R</v>
          </cell>
          <cell r="I44">
            <v>2000</v>
          </cell>
          <cell r="J44" t="str">
            <v>Asset Managers</v>
          </cell>
          <cell r="K44" t="str">
            <v>June, 2005</v>
          </cell>
          <cell r="M44">
            <v>5</v>
          </cell>
          <cell r="N44">
            <v>2</v>
          </cell>
          <cell r="O44">
            <v>8</v>
          </cell>
          <cell r="P44">
            <v>5</v>
          </cell>
          <cell r="Q44">
            <v>3</v>
          </cell>
        </row>
        <row r="45">
          <cell r="B45">
            <v>25</v>
          </cell>
          <cell r="C45" t="str">
            <v>Circuit Breakers</v>
          </cell>
          <cell r="D45" t="str">
            <v>Reyrolle 132kV OS</v>
          </cell>
          <cell r="E45" t="str">
            <v>Replacement</v>
          </cell>
          <cell r="F45" t="str">
            <v>Replace all of this type</v>
          </cell>
          <cell r="G45" t="str">
            <v>C</v>
          </cell>
          <cell r="H45" t="str">
            <v>R</v>
          </cell>
          <cell r="I45">
            <v>2000</v>
          </cell>
          <cell r="J45" t="str">
            <v>Asset Managers</v>
          </cell>
          <cell r="K45" t="str">
            <v>June,2005</v>
          </cell>
          <cell r="M45">
            <v>0</v>
          </cell>
          <cell r="N45">
            <v>0</v>
          </cell>
          <cell r="O45">
            <v>8</v>
          </cell>
          <cell r="P45">
            <v>8</v>
          </cell>
          <cell r="Q45">
            <v>2</v>
          </cell>
        </row>
        <row r="46">
          <cell r="B46">
            <v>26</v>
          </cell>
          <cell r="C46" t="str">
            <v>Circuit Breakers</v>
          </cell>
          <cell r="D46" t="str">
            <v>ASEA 132kV HKEY</v>
          </cell>
          <cell r="E46" t="str">
            <v>Replacement</v>
          </cell>
          <cell r="F46" t="str">
            <v>Replace all of this type</v>
          </cell>
          <cell r="G46" t="str">
            <v>C</v>
          </cell>
          <cell r="H46" t="str">
            <v>R</v>
          </cell>
          <cell r="I46">
            <v>2000</v>
          </cell>
          <cell r="J46" t="str">
            <v>Asset Managers</v>
          </cell>
          <cell r="K46" t="str">
            <v>June, 2011</v>
          </cell>
          <cell r="M46">
            <v>0</v>
          </cell>
          <cell r="N46">
            <v>0</v>
          </cell>
          <cell r="O46">
            <v>8</v>
          </cell>
          <cell r="P46">
            <v>8</v>
          </cell>
          <cell r="Q46">
            <v>2</v>
          </cell>
        </row>
        <row r="47">
          <cell r="B47">
            <v>27</v>
          </cell>
          <cell r="C47" t="str">
            <v>Circuit Breakers</v>
          </cell>
          <cell r="D47" t="str">
            <v>ASEA 66kV HKEY</v>
          </cell>
          <cell r="E47" t="str">
            <v>Replacement</v>
          </cell>
          <cell r="F47" t="str">
            <v>Replace all of this type</v>
          </cell>
          <cell r="G47" t="str">
            <v>C</v>
          </cell>
          <cell r="H47" t="str">
            <v>R</v>
          </cell>
          <cell r="I47">
            <v>2000</v>
          </cell>
          <cell r="J47" t="str">
            <v>Asset Managers</v>
          </cell>
          <cell r="K47" t="str">
            <v>June, 2007</v>
          </cell>
          <cell r="M47">
            <v>0</v>
          </cell>
          <cell r="N47">
            <v>0</v>
          </cell>
          <cell r="O47">
            <v>8</v>
          </cell>
          <cell r="P47">
            <v>8</v>
          </cell>
          <cell r="Q47">
            <v>1</v>
          </cell>
        </row>
        <row r="48">
          <cell r="B48">
            <v>28</v>
          </cell>
          <cell r="C48" t="str">
            <v>Circuit Breakers</v>
          </cell>
          <cell r="D48" t="str">
            <v>Brown Boveri 66kV ELF</v>
          </cell>
          <cell r="E48" t="str">
            <v>Replacement</v>
          </cell>
          <cell r="F48" t="str">
            <v>Replace all of this type</v>
          </cell>
          <cell r="G48" t="str">
            <v>C</v>
          </cell>
          <cell r="H48" t="str">
            <v>R</v>
          </cell>
          <cell r="I48">
            <v>2000</v>
          </cell>
          <cell r="J48" t="str">
            <v>Asset Managers</v>
          </cell>
          <cell r="K48" t="str">
            <v>June, 2013</v>
          </cell>
          <cell r="M48">
            <v>0</v>
          </cell>
          <cell r="N48">
            <v>0</v>
          </cell>
          <cell r="O48">
            <v>8</v>
          </cell>
          <cell r="P48">
            <v>8</v>
          </cell>
          <cell r="Q48">
            <v>3</v>
          </cell>
        </row>
        <row r="49">
          <cell r="B49">
            <v>29</v>
          </cell>
          <cell r="C49" t="str">
            <v>Circuit Breakers</v>
          </cell>
          <cell r="D49" t="str">
            <v>SF6 CBs</v>
          </cell>
          <cell r="E49" t="str">
            <v>Other</v>
          </cell>
          <cell r="F49" t="str">
            <v>Inspection of Nominated CBs</v>
          </cell>
          <cell r="G49" t="str">
            <v>O</v>
          </cell>
          <cell r="H49" t="str">
            <v>I</v>
          </cell>
          <cell r="I49">
            <v>2000</v>
          </cell>
          <cell r="J49" t="str">
            <v>SSE</v>
          </cell>
          <cell r="K49" t="str">
            <v>Recurrent Each April</v>
          </cell>
          <cell r="M49">
            <v>0</v>
          </cell>
          <cell r="N49">
            <v>0</v>
          </cell>
          <cell r="O49">
            <v>8</v>
          </cell>
          <cell r="P49">
            <v>0</v>
          </cell>
          <cell r="Q49">
            <v>3</v>
          </cell>
        </row>
        <row r="50">
          <cell r="B50">
            <v>30</v>
          </cell>
          <cell r="C50" t="str">
            <v>Circuit Breakers</v>
          </cell>
          <cell r="D50" t="str">
            <v>AEI 33kV Bulk Oil</v>
          </cell>
          <cell r="E50" t="str">
            <v>Replacement</v>
          </cell>
          <cell r="F50" t="str">
            <v>Replace all of this type</v>
          </cell>
          <cell r="G50" t="str">
            <v>C</v>
          </cell>
          <cell r="H50" t="str">
            <v>R</v>
          </cell>
          <cell r="I50">
            <v>2001</v>
          </cell>
          <cell r="J50" t="str">
            <v>Asset Managers</v>
          </cell>
          <cell r="K50">
            <v>39417</v>
          </cell>
          <cell r="M50">
            <v>5</v>
          </cell>
          <cell r="N50">
            <v>2</v>
          </cell>
          <cell r="O50">
            <v>8</v>
          </cell>
          <cell r="P50">
            <v>5</v>
          </cell>
          <cell r="Q50">
            <v>2</v>
          </cell>
        </row>
        <row r="51">
          <cell r="B51">
            <v>31</v>
          </cell>
          <cell r="C51" t="str">
            <v>Circuit Breakers</v>
          </cell>
          <cell r="D51" t="str">
            <v>ABB 132kV HLD</v>
          </cell>
          <cell r="E51" t="str">
            <v>Replacement</v>
          </cell>
          <cell r="F51" t="str">
            <v>Replace all of this type</v>
          </cell>
          <cell r="G51" t="str">
            <v>C</v>
          </cell>
          <cell r="H51" t="str">
            <v>R</v>
          </cell>
          <cell r="I51">
            <v>2004</v>
          </cell>
          <cell r="J51" t="str">
            <v>Asset Managers</v>
          </cell>
          <cell r="K51">
            <v>42887</v>
          </cell>
          <cell r="M51">
            <v>0</v>
          </cell>
          <cell r="N51">
            <v>0</v>
          </cell>
          <cell r="O51">
            <v>8</v>
          </cell>
          <cell r="P51">
            <v>8</v>
          </cell>
          <cell r="Q51">
            <v>1</v>
          </cell>
        </row>
        <row r="52">
          <cell r="B52">
            <v>32</v>
          </cell>
          <cell r="C52" t="str">
            <v>Circuit Breakers</v>
          </cell>
          <cell r="D52" t="str">
            <v>DELLE 66kV HPGE</v>
          </cell>
          <cell r="E52" t="str">
            <v>Replacement</v>
          </cell>
          <cell r="F52" t="str">
            <v>Replace all of this type</v>
          </cell>
          <cell r="G52" t="str">
            <v>C</v>
          </cell>
          <cell r="H52" t="str">
            <v>R</v>
          </cell>
          <cell r="I52">
            <v>2004</v>
          </cell>
          <cell r="J52" t="str">
            <v>Asset Managers</v>
          </cell>
          <cell r="K52">
            <v>42887</v>
          </cell>
          <cell r="M52">
            <v>0</v>
          </cell>
          <cell r="N52">
            <v>0</v>
          </cell>
          <cell r="O52">
            <v>8</v>
          </cell>
          <cell r="P52">
            <v>8</v>
          </cell>
          <cell r="Q52">
            <v>1</v>
          </cell>
        </row>
        <row r="53">
          <cell r="B53">
            <v>33</v>
          </cell>
          <cell r="C53" t="str">
            <v>Circuit Breakers</v>
          </cell>
          <cell r="D53" t="str">
            <v>Merlin Gerin FA1</v>
          </cell>
          <cell r="E53" t="str">
            <v>Replacement</v>
          </cell>
          <cell r="F53" t="str">
            <v>Assess for Replacement Strategy</v>
          </cell>
          <cell r="G53" t="str">
            <v>O</v>
          </cell>
          <cell r="H53" t="str">
            <v>I</v>
          </cell>
          <cell r="I53">
            <v>2002</v>
          </cell>
          <cell r="J53" t="str">
            <v>SSE</v>
          </cell>
          <cell r="K53">
            <v>39052</v>
          </cell>
          <cell r="M53">
            <v>0</v>
          </cell>
          <cell r="N53">
            <v>0</v>
          </cell>
          <cell r="O53">
            <v>8</v>
          </cell>
          <cell r="P53">
            <v>8</v>
          </cell>
          <cell r="Q53">
            <v>3</v>
          </cell>
        </row>
        <row r="54">
          <cell r="B54">
            <v>34</v>
          </cell>
          <cell r="C54" t="str">
            <v>Circuit Breakers</v>
          </cell>
          <cell r="D54" t="str">
            <v>Merlin Gerin FA2</v>
          </cell>
          <cell r="E54" t="str">
            <v>Replacement</v>
          </cell>
          <cell r="F54" t="str">
            <v>Assess for Replacement Strategy</v>
          </cell>
          <cell r="G54" t="str">
            <v>O</v>
          </cell>
          <cell r="H54" t="str">
            <v>I</v>
          </cell>
          <cell r="I54">
            <v>2002</v>
          </cell>
          <cell r="J54" t="str">
            <v>SSE</v>
          </cell>
          <cell r="K54">
            <v>38687</v>
          </cell>
          <cell r="M54">
            <v>0</v>
          </cell>
          <cell r="N54">
            <v>0</v>
          </cell>
          <cell r="O54">
            <v>8</v>
          </cell>
          <cell r="P54">
            <v>8</v>
          </cell>
          <cell r="Q54">
            <v>3</v>
          </cell>
        </row>
        <row r="55">
          <cell r="B55">
            <v>35</v>
          </cell>
          <cell r="C55" t="str">
            <v>Circuit Breakers</v>
          </cell>
          <cell r="D55" t="str">
            <v>Merlin Gerin FA4</v>
          </cell>
          <cell r="E55" t="str">
            <v>Replacement</v>
          </cell>
          <cell r="F55" t="str">
            <v>Assess for Replacement Strategy</v>
          </cell>
          <cell r="G55" t="str">
            <v>O</v>
          </cell>
          <cell r="H55" t="str">
            <v>I</v>
          </cell>
          <cell r="I55">
            <v>2002</v>
          </cell>
          <cell r="J55" t="str">
            <v>SSE</v>
          </cell>
          <cell r="K55">
            <v>38687</v>
          </cell>
          <cell r="M55">
            <v>0</v>
          </cell>
          <cell r="N55">
            <v>0</v>
          </cell>
          <cell r="O55">
            <v>8</v>
          </cell>
          <cell r="P55">
            <v>8</v>
          </cell>
          <cell r="Q55">
            <v>3</v>
          </cell>
        </row>
        <row r="56">
          <cell r="B56">
            <v>36</v>
          </cell>
          <cell r="C56" t="str">
            <v>Circuit Breakers</v>
          </cell>
          <cell r="D56" t="str">
            <v>Merlin Gerin PFA</v>
          </cell>
          <cell r="E56" t="str">
            <v>Replacement</v>
          </cell>
          <cell r="F56" t="str">
            <v>Assess for Replacement Strategy</v>
          </cell>
          <cell r="G56" t="str">
            <v>O</v>
          </cell>
          <cell r="H56" t="str">
            <v>I</v>
          </cell>
          <cell r="I56">
            <v>2002</v>
          </cell>
          <cell r="J56" t="str">
            <v>SSE</v>
          </cell>
          <cell r="K56">
            <v>39052</v>
          </cell>
          <cell r="M56">
            <v>0</v>
          </cell>
          <cell r="N56">
            <v>0</v>
          </cell>
          <cell r="O56">
            <v>8</v>
          </cell>
          <cell r="P56">
            <v>8</v>
          </cell>
          <cell r="Q56">
            <v>3</v>
          </cell>
        </row>
        <row r="57">
          <cell r="B57">
            <v>37</v>
          </cell>
          <cell r="C57" t="str">
            <v>Circuit Breakers</v>
          </cell>
          <cell r="D57" t="str">
            <v>330kv Sprecher HPF515Q6</v>
          </cell>
          <cell r="E57" t="str">
            <v>Replacement</v>
          </cell>
          <cell r="F57" t="str">
            <v>Assess for Replacement Strategy</v>
          </cell>
          <cell r="G57" t="str">
            <v>O</v>
          </cell>
          <cell r="H57" t="str">
            <v>I</v>
          </cell>
          <cell r="I57">
            <v>2002</v>
          </cell>
          <cell r="J57" t="str">
            <v>SSE</v>
          </cell>
          <cell r="K57">
            <v>38687</v>
          </cell>
          <cell r="M57">
            <v>0</v>
          </cell>
          <cell r="N57">
            <v>0</v>
          </cell>
          <cell r="O57">
            <v>8</v>
          </cell>
          <cell r="P57">
            <v>8</v>
          </cell>
          <cell r="Q57">
            <v>3</v>
          </cell>
        </row>
        <row r="58">
          <cell r="B58">
            <v>38</v>
          </cell>
          <cell r="C58" t="str">
            <v>Instrument Transformers</v>
          </cell>
          <cell r="D58" t="str">
            <v>Its that cannot be sampled</v>
          </cell>
          <cell r="E58" t="str">
            <v>Replacement</v>
          </cell>
          <cell r="F58" t="str">
            <v>Replace all instrument transformers that cannot be sampled to meet the requirements of the maintenance policy</v>
          </cell>
          <cell r="G58" t="str">
            <v>C</v>
          </cell>
          <cell r="H58" t="str">
            <v>R</v>
          </cell>
          <cell r="I58">
            <v>1994</v>
          </cell>
          <cell r="J58" t="str">
            <v>Asset Managers</v>
          </cell>
          <cell r="K58" t="str">
            <v xml:space="preserve"> dec2008</v>
          </cell>
          <cell r="M58">
            <v>8</v>
          </cell>
          <cell r="N58">
            <v>5</v>
          </cell>
          <cell r="O58">
            <v>8</v>
          </cell>
          <cell r="P58">
            <v>5</v>
          </cell>
          <cell r="Q58">
            <v>3</v>
          </cell>
        </row>
        <row r="59">
          <cell r="B59">
            <v>39</v>
          </cell>
          <cell r="C59" t="str">
            <v>Instrument Transformers</v>
          </cell>
          <cell r="D59" t="str">
            <v>High DGA ITs - 220kV and above</v>
          </cell>
          <cell r="E59" t="str">
            <v>Replacement</v>
          </cell>
          <cell r="F59" t="str">
            <v>Assess and Replace as required</v>
          </cell>
          <cell r="G59" t="str">
            <v>C</v>
          </cell>
          <cell r="H59" t="str">
            <v>C</v>
          </cell>
          <cell r="I59">
            <v>1994</v>
          </cell>
          <cell r="J59" t="str">
            <v>Asset Managers</v>
          </cell>
          <cell r="K59" t="str">
            <v>Recurrent</v>
          </cell>
          <cell r="M59">
            <v>10</v>
          </cell>
          <cell r="N59">
            <v>5</v>
          </cell>
          <cell r="O59">
            <v>8</v>
          </cell>
          <cell r="P59">
            <v>5</v>
          </cell>
          <cell r="Q59" t="str">
            <v>1           (one business case for these strategies)</v>
          </cell>
        </row>
        <row r="60">
          <cell r="B60">
            <v>39</v>
          </cell>
          <cell r="C60" t="str">
            <v>Instrument Transformers</v>
          </cell>
          <cell r="D60" t="str">
            <v>High DGA ITs - 220kV and above</v>
          </cell>
          <cell r="E60" t="str">
            <v>Replacement</v>
          </cell>
          <cell r="F60" t="str">
            <v>Make budget provision for unidentified replacements based on historical replacement rates</v>
          </cell>
          <cell r="G60" t="str">
            <v>C</v>
          </cell>
          <cell r="H60" t="str">
            <v>C</v>
          </cell>
          <cell r="J60" t="str">
            <v>SSE</v>
          </cell>
          <cell r="K60" t="str">
            <v>Recurrent</v>
          </cell>
          <cell r="M60">
            <v>10</v>
          </cell>
          <cell r="N60">
            <v>5</v>
          </cell>
          <cell r="O60">
            <v>8</v>
          </cell>
          <cell r="P60">
            <v>5</v>
          </cell>
          <cell r="Q60" t="str">
            <v>2           (one business case for these strategies)</v>
          </cell>
        </row>
        <row r="61">
          <cell r="B61">
            <v>40</v>
          </cell>
          <cell r="C61" t="str">
            <v>Instrument Transformers</v>
          </cell>
          <cell r="D61" t="str">
            <v xml:space="preserve">High DGA ITs - 132kV </v>
          </cell>
          <cell r="E61" t="str">
            <v>Replacement</v>
          </cell>
          <cell r="F61" t="str">
            <v>Assess and Replace as required</v>
          </cell>
          <cell r="G61" t="str">
            <v>C</v>
          </cell>
          <cell r="H61" t="str">
            <v>C</v>
          </cell>
          <cell r="I61">
            <v>1994</v>
          </cell>
          <cell r="J61" t="str">
            <v>Asset Managers</v>
          </cell>
          <cell r="K61" t="str">
            <v>Recurrent</v>
          </cell>
          <cell r="M61">
            <v>10</v>
          </cell>
          <cell r="N61">
            <v>5</v>
          </cell>
          <cell r="O61">
            <v>8</v>
          </cell>
          <cell r="P61">
            <v>5</v>
          </cell>
          <cell r="Q61" t="str">
            <v>3           (one business case for these strategies)</v>
          </cell>
        </row>
        <row r="62">
          <cell r="B62">
            <v>40</v>
          </cell>
          <cell r="C62" t="str">
            <v>Instrument Transformers</v>
          </cell>
          <cell r="D62" t="str">
            <v xml:space="preserve">High DGA ITs - 132kV </v>
          </cell>
          <cell r="E62" t="str">
            <v>Replacement</v>
          </cell>
          <cell r="F62" t="str">
            <v>Make budget provision for unidentified replacements based on historical replacement rates</v>
          </cell>
          <cell r="G62" t="str">
            <v>C</v>
          </cell>
          <cell r="H62" t="str">
            <v>C</v>
          </cell>
          <cell r="J62" t="str">
            <v>SSE</v>
          </cell>
          <cell r="K62" t="str">
            <v>Recurrent</v>
          </cell>
          <cell r="M62">
            <v>10</v>
          </cell>
          <cell r="N62">
            <v>5</v>
          </cell>
          <cell r="O62">
            <v>8</v>
          </cell>
          <cell r="P62">
            <v>5</v>
          </cell>
          <cell r="Q62" t="str">
            <v>4           (one business case for these strategies)</v>
          </cell>
        </row>
        <row r="63">
          <cell r="B63">
            <v>41</v>
          </cell>
          <cell r="C63" t="str">
            <v>Instrument Transformers</v>
          </cell>
          <cell r="D63" t="str">
            <v>High DGA ITs - 66kV and below</v>
          </cell>
          <cell r="E63" t="str">
            <v>Replacement</v>
          </cell>
          <cell r="F63" t="str">
            <v>Assess and Replace as required</v>
          </cell>
          <cell r="G63" t="str">
            <v>C</v>
          </cell>
          <cell r="H63" t="str">
            <v>C</v>
          </cell>
          <cell r="I63">
            <v>1994</v>
          </cell>
          <cell r="J63" t="str">
            <v>Asset Managers</v>
          </cell>
          <cell r="K63" t="str">
            <v>Recurrent</v>
          </cell>
          <cell r="M63">
            <v>10</v>
          </cell>
          <cell r="N63">
            <v>5</v>
          </cell>
          <cell r="O63">
            <v>8</v>
          </cell>
          <cell r="P63">
            <v>5</v>
          </cell>
          <cell r="Q63" t="str">
            <v>5           (one business case for these strategies)</v>
          </cell>
        </row>
        <row r="64">
          <cell r="B64">
            <v>41</v>
          </cell>
          <cell r="C64" t="str">
            <v>Instrument Transformers</v>
          </cell>
          <cell r="D64" t="str">
            <v>High DGA ITs - 66kV and below</v>
          </cell>
          <cell r="E64" t="str">
            <v>Replacement</v>
          </cell>
          <cell r="F64" t="str">
            <v>Make budget provision for unidentified replacements based on historical replacement rates</v>
          </cell>
          <cell r="G64" t="str">
            <v>C</v>
          </cell>
          <cell r="H64" t="str">
            <v>C</v>
          </cell>
          <cell r="J64" t="str">
            <v>SSE</v>
          </cell>
          <cell r="K64" t="str">
            <v>Recurrent</v>
          </cell>
          <cell r="M64">
            <v>10</v>
          </cell>
          <cell r="N64">
            <v>5</v>
          </cell>
          <cell r="O64">
            <v>8</v>
          </cell>
          <cell r="P64">
            <v>5</v>
          </cell>
          <cell r="Q64" t="str">
            <v>6           (one business case for these strategies)</v>
          </cell>
        </row>
        <row r="65">
          <cell r="B65">
            <v>42</v>
          </cell>
          <cell r="C65" t="str">
            <v>Instrument Transformers</v>
          </cell>
          <cell r="D65" t="str">
            <v>Tyree Contract 2794 (with on-line monitoring)</v>
          </cell>
          <cell r="E65" t="str">
            <v>Other</v>
          </cell>
          <cell r="F65" t="str">
            <v>Assess effectiveness and reliability of OLM</v>
          </cell>
          <cell r="G65" t="str">
            <v>C</v>
          </cell>
          <cell r="H65" t="str">
            <v>I</v>
          </cell>
          <cell r="I65">
            <v>2000</v>
          </cell>
          <cell r="J65" t="str">
            <v>AM/Central, AM/Northern</v>
          </cell>
          <cell r="K65" t="str">
            <v>Recurrent</v>
          </cell>
          <cell r="M65">
            <v>8</v>
          </cell>
          <cell r="N65">
            <v>5</v>
          </cell>
          <cell r="O65">
            <v>8</v>
          </cell>
          <cell r="P65">
            <v>5</v>
          </cell>
          <cell r="Q65" t="str">
            <v>NB</v>
          </cell>
        </row>
        <row r="66">
          <cell r="B66">
            <v>42</v>
          </cell>
          <cell r="C66" t="str">
            <v>Instrument Transformers</v>
          </cell>
          <cell r="D66" t="str">
            <v>Tyree Contract 2794 (without on-line monitoring)</v>
          </cell>
          <cell r="E66" t="str">
            <v>Replacement</v>
          </cell>
          <cell r="F66" t="str">
            <v>Replace all of this type without on-line monitoring</v>
          </cell>
          <cell r="G66" t="str">
            <v>C</v>
          </cell>
          <cell r="H66" t="str">
            <v>R</v>
          </cell>
          <cell r="I66">
            <v>2000</v>
          </cell>
          <cell r="J66" t="str">
            <v>Asset Managers</v>
          </cell>
          <cell r="M66">
            <v>8</v>
          </cell>
          <cell r="N66">
            <v>5</v>
          </cell>
          <cell r="O66">
            <v>8</v>
          </cell>
          <cell r="P66">
            <v>5</v>
          </cell>
          <cell r="Q66" t="str">
            <v>NB</v>
          </cell>
        </row>
        <row r="67">
          <cell r="B67">
            <v>43</v>
          </cell>
          <cell r="C67" t="str">
            <v>Instrument Transformers</v>
          </cell>
          <cell r="D67" t="str">
            <v>Tyree Contract 3113 (without OLM)</v>
          </cell>
          <cell r="E67" t="str">
            <v>Other</v>
          </cell>
          <cell r="F67" t="str">
            <v>Carry out 6-monthly oil sampling</v>
          </cell>
          <cell r="G67" t="str">
            <v>C</v>
          </cell>
          <cell r="H67" t="str">
            <v>M</v>
          </cell>
          <cell r="I67">
            <v>2000</v>
          </cell>
          <cell r="J67" t="str">
            <v>Asset Managers</v>
          </cell>
          <cell r="K67" t="str">
            <v>Ongoing</v>
          </cell>
          <cell r="M67">
            <v>8</v>
          </cell>
          <cell r="N67">
            <v>5</v>
          </cell>
          <cell r="O67">
            <v>8</v>
          </cell>
          <cell r="P67">
            <v>5</v>
          </cell>
          <cell r="Q67" t="str">
            <v>NB</v>
          </cell>
        </row>
        <row r="68">
          <cell r="B68">
            <v>43</v>
          </cell>
          <cell r="C68" t="str">
            <v>Instrument Transformers</v>
          </cell>
          <cell r="D68" t="str">
            <v>Tyree Contract 3113 (without OLM)</v>
          </cell>
          <cell r="E68" t="str">
            <v>Replacement</v>
          </cell>
          <cell r="F68" t="str">
            <v>Replace</v>
          </cell>
          <cell r="G68" t="str">
            <v>C</v>
          </cell>
          <cell r="H68" t="str">
            <v>R</v>
          </cell>
          <cell r="I68">
            <v>2000</v>
          </cell>
          <cell r="J68" t="str">
            <v>Asset Managers</v>
          </cell>
          <cell r="K68">
            <v>38139</v>
          </cell>
          <cell r="M68">
            <v>8</v>
          </cell>
          <cell r="N68">
            <v>5</v>
          </cell>
          <cell r="O68">
            <v>8</v>
          </cell>
          <cell r="P68">
            <v>5</v>
          </cell>
          <cell r="Q68" t="str">
            <v>NB</v>
          </cell>
        </row>
        <row r="69">
          <cell r="B69">
            <v>43</v>
          </cell>
          <cell r="C69" t="str">
            <v>Instrument Transformers</v>
          </cell>
          <cell r="D69" t="str">
            <v>Tyree Contract 3113 (with OLM)</v>
          </cell>
          <cell r="E69" t="str">
            <v>Other</v>
          </cell>
          <cell r="F69" t="str">
            <v>Assess effectiveness and reliability of OLM</v>
          </cell>
          <cell r="G69" t="str">
            <v>C</v>
          </cell>
          <cell r="H69" t="str">
            <v>I</v>
          </cell>
          <cell r="I69">
            <v>2000</v>
          </cell>
          <cell r="J69" t="str">
            <v>AM/Central</v>
          </cell>
          <cell r="M69">
            <v>8</v>
          </cell>
          <cell r="N69">
            <v>5</v>
          </cell>
          <cell r="O69">
            <v>8</v>
          </cell>
          <cell r="P69">
            <v>5</v>
          </cell>
          <cell r="Q69" t="str">
            <v>NB</v>
          </cell>
        </row>
        <row r="70">
          <cell r="B70">
            <v>43</v>
          </cell>
          <cell r="C70" t="str">
            <v>Instrument Transformers</v>
          </cell>
          <cell r="D70" t="str">
            <v>Tyree Contract 3113 (with OLM)</v>
          </cell>
          <cell r="E70" t="str">
            <v>Other</v>
          </cell>
          <cell r="F70" t="str">
            <v>Annual DGA testing?</v>
          </cell>
          <cell r="G70" t="str">
            <v>C</v>
          </cell>
          <cell r="H70" t="str">
            <v>I</v>
          </cell>
          <cell r="I70">
            <v>2000</v>
          </cell>
          <cell r="J70" t="str">
            <v>AM/Central</v>
          </cell>
          <cell r="M70">
            <v>8</v>
          </cell>
          <cell r="N70">
            <v>5</v>
          </cell>
          <cell r="O70">
            <v>8</v>
          </cell>
          <cell r="P70">
            <v>5</v>
          </cell>
          <cell r="Q70" t="str">
            <v>NB</v>
          </cell>
        </row>
        <row r="71">
          <cell r="B71">
            <v>44</v>
          </cell>
          <cell r="C71" t="str">
            <v>Instrument Transformers</v>
          </cell>
          <cell r="D71" t="str">
            <v>Tyree Contract 2909 (without OLM)</v>
          </cell>
          <cell r="E71" t="str">
            <v>Other</v>
          </cell>
          <cell r="F71" t="str">
            <v>Assess effectiveness and reliability of OLM</v>
          </cell>
          <cell r="G71" t="str">
            <v>C</v>
          </cell>
          <cell r="M71">
            <v>8</v>
          </cell>
          <cell r="N71">
            <v>5</v>
          </cell>
          <cell r="O71">
            <v>8</v>
          </cell>
          <cell r="P71">
            <v>5</v>
          </cell>
          <cell r="Q71" t="str">
            <v>NB</v>
          </cell>
        </row>
        <row r="72">
          <cell r="B72">
            <v>44.1</v>
          </cell>
          <cell r="C72" t="str">
            <v>Instrument Transformers</v>
          </cell>
          <cell r="D72" t="str">
            <v>Tyree Contract 2909 (without OLM)</v>
          </cell>
          <cell r="E72" t="str">
            <v>Replacement</v>
          </cell>
          <cell r="F72" t="str">
            <v>Replace all of this type without on-line monitoring</v>
          </cell>
          <cell r="G72" t="str">
            <v>C</v>
          </cell>
          <cell r="H72" t="str">
            <v>R</v>
          </cell>
          <cell r="I72">
            <v>2001</v>
          </cell>
          <cell r="J72" t="str">
            <v>Asset Managers</v>
          </cell>
          <cell r="K72" t="str">
            <v>June, 2006</v>
          </cell>
          <cell r="M72">
            <v>8</v>
          </cell>
          <cell r="N72">
            <v>5</v>
          </cell>
          <cell r="O72">
            <v>8</v>
          </cell>
          <cell r="P72">
            <v>5</v>
          </cell>
          <cell r="Q72" t="str">
            <v>NB</v>
          </cell>
        </row>
        <row r="73">
          <cell r="B73">
            <v>45</v>
          </cell>
          <cell r="C73" t="str">
            <v>Instrument Transformers</v>
          </cell>
          <cell r="D73" t="str">
            <v>ASEA CUEA (X-mas Tree) CVT</v>
          </cell>
          <cell r="E73" t="str">
            <v>Replacement</v>
          </cell>
          <cell r="F73" t="str">
            <v>Replace all of this type</v>
          </cell>
          <cell r="G73" t="str">
            <v>C</v>
          </cell>
          <cell r="H73" t="str">
            <v>R</v>
          </cell>
          <cell r="I73">
            <v>1995</v>
          </cell>
          <cell r="J73" t="str">
            <v>Asset Managers</v>
          </cell>
          <cell r="K73">
            <v>38504</v>
          </cell>
          <cell r="M73">
            <v>8</v>
          </cell>
          <cell r="N73">
            <v>5</v>
          </cell>
          <cell r="O73">
            <v>8</v>
          </cell>
          <cell r="P73">
            <v>8</v>
          </cell>
          <cell r="Q73">
            <v>3</v>
          </cell>
        </row>
        <row r="74">
          <cell r="B74">
            <v>45</v>
          </cell>
          <cell r="C74" t="str">
            <v>Instrument Transformers</v>
          </cell>
          <cell r="D74" t="str">
            <v>Coupling Capacitors for X-mas Tress CVTs</v>
          </cell>
          <cell r="E74" t="str">
            <v>Replacement</v>
          </cell>
          <cell r="F74" t="str">
            <v>Replace all of this type</v>
          </cell>
          <cell r="G74" t="str">
            <v>C</v>
          </cell>
          <cell r="H74" t="str">
            <v>R</v>
          </cell>
          <cell r="I74">
            <v>1998</v>
          </cell>
          <cell r="J74" t="str">
            <v>Asset Managers</v>
          </cell>
          <cell r="K74" t="str">
            <v>June, 2005</v>
          </cell>
          <cell r="M74">
            <v>8</v>
          </cell>
          <cell r="N74">
            <v>5</v>
          </cell>
          <cell r="O74">
            <v>8</v>
          </cell>
          <cell r="P74">
            <v>8</v>
          </cell>
          <cell r="Q74">
            <v>3</v>
          </cell>
        </row>
        <row r="75">
          <cell r="B75">
            <v>46</v>
          </cell>
          <cell r="C75" t="str">
            <v>Instrument Transformers</v>
          </cell>
          <cell r="D75" t="str">
            <v>Under rated NUB CTs for in capacitor banks</v>
          </cell>
          <cell r="E75" t="str">
            <v>Replacement</v>
          </cell>
          <cell r="F75" t="str">
            <v>Replace with fully rated CT</v>
          </cell>
          <cell r="G75" t="str">
            <v>C</v>
          </cell>
          <cell r="H75" t="str">
            <v>R</v>
          </cell>
          <cell r="I75">
            <v>1995</v>
          </cell>
          <cell r="J75" t="str">
            <v>Asset Managers</v>
          </cell>
          <cell r="K75">
            <v>38504</v>
          </cell>
          <cell r="L75" t="str">
            <v>Not defined</v>
          </cell>
          <cell r="M75">
            <v>8</v>
          </cell>
          <cell r="N75">
            <v>2</v>
          </cell>
          <cell r="O75">
            <v>8</v>
          </cell>
          <cell r="P75">
            <v>0</v>
          </cell>
          <cell r="Q75">
            <v>3</v>
          </cell>
        </row>
        <row r="76">
          <cell r="B76">
            <v>47</v>
          </cell>
          <cell r="C76" t="str">
            <v>Other Equipment</v>
          </cell>
          <cell r="D76" t="str">
            <v>Provide alternate auxiliary supply to Avon SS</v>
          </cell>
          <cell r="E76" t="str">
            <v>Replacement</v>
          </cell>
          <cell r="F76" t="str">
            <v>Install power rated MVTs at Avon to Provide auxiliary supply</v>
          </cell>
          <cell r="G76" t="str">
            <v>C</v>
          </cell>
          <cell r="H76" t="str">
            <v>R</v>
          </cell>
          <cell r="I76">
            <v>2003</v>
          </cell>
          <cell r="J76" t="str">
            <v>AM/Central</v>
          </cell>
          <cell r="K76">
            <v>38504</v>
          </cell>
          <cell r="M76">
            <v>0</v>
          </cell>
          <cell r="N76">
            <v>0</v>
          </cell>
          <cell r="O76">
            <v>10</v>
          </cell>
          <cell r="P76">
            <v>8</v>
          </cell>
          <cell r="Q76" t="str">
            <v>CD</v>
          </cell>
        </row>
        <row r="77">
          <cell r="B77">
            <v>48</v>
          </cell>
          <cell r="C77" t="str">
            <v>Ancillary Systems</v>
          </cell>
          <cell r="D77" t="str">
            <v xml:space="preserve">VT Secondary Boxes </v>
          </cell>
          <cell r="E77" t="str">
            <v>Replacement</v>
          </cell>
          <cell r="F77" t="str">
            <v>Replace De-ion CBs</v>
          </cell>
          <cell r="G77" t="str">
            <v>M</v>
          </cell>
          <cell r="H77" t="str">
            <v>R</v>
          </cell>
          <cell r="I77">
            <v>2004</v>
          </cell>
          <cell r="J77" t="str">
            <v>Asset Managers</v>
          </cell>
          <cell r="K77">
            <v>38504</v>
          </cell>
          <cell r="M77">
            <v>0</v>
          </cell>
          <cell r="N77">
            <v>0</v>
          </cell>
          <cell r="O77">
            <v>5</v>
          </cell>
          <cell r="P77">
            <v>8</v>
          </cell>
          <cell r="Q77">
            <v>3</v>
          </cell>
        </row>
        <row r="78">
          <cell r="B78">
            <v>49</v>
          </cell>
          <cell r="C78" t="str">
            <v>Instrument Transformers</v>
          </cell>
          <cell r="D78" t="str">
            <v>Non-Standard CTs</v>
          </cell>
          <cell r="E78" t="str">
            <v>Replacement</v>
          </cell>
          <cell r="F78" t="str">
            <v>Where non-standard CTs are in service, replace if there is no reasonable contingency available</v>
          </cell>
          <cell r="G78" t="str">
            <v>C</v>
          </cell>
          <cell r="H78" t="str">
            <v>R</v>
          </cell>
          <cell r="I78">
            <v>1994</v>
          </cell>
          <cell r="J78" t="str">
            <v>Asset Managers</v>
          </cell>
          <cell r="K78">
            <v>38869</v>
          </cell>
          <cell r="L78" t="str">
            <v>Not defined, split</v>
          </cell>
          <cell r="M78">
            <v>0</v>
          </cell>
          <cell r="N78">
            <v>0</v>
          </cell>
          <cell r="O78">
            <v>8</v>
          </cell>
          <cell r="P78">
            <v>5</v>
          </cell>
          <cell r="Q78">
            <v>3</v>
          </cell>
        </row>
        <row r="79">
          <cell r="B79">
            <v>50</v>
          </cell>
          <cell r="C79" t="str">
            <v>DC Systems</v>
          </cell>
          <cell r="D79" t="str">
            <v>Substation Batteries - 50V</v>
          </cell>
          <cell r="E79" t="str">
            <v>Replacement</v>
          </cell>
          <cell r="F79" t="str">
            <v>Monitor and replace as required</v>
          </cell>
          <cell r="G79" t="str">
            <v>C</v>
          </cell>
          <cell r="H79" t="str">
            <v>C</v>
          </cell>
          <cell r="I79">
            <v>1994</v>
          </cell>
          <cell r="J79" t="str">
            <v>Asset Managers</v>
          </cell>
          <cell r="K79" t="str">
            <v>Recurrent</v>
          </cell>
          <cell r="M79">
            <v>0</v>
          </cell>
          <cell r="N79">
            <v>0</v>
          </cell>
          <cell r="O79">
            <v>10</v>
          </cell>
          <cell r="P79">
            <v>2</v>
          </cell>
          <cell r="Q79" t="str">
            <v>2 (one business case for these strategies</v>
          </cell>
        </row>
        <row r="80">
          <cell r="B80">
            <v>51</v>
          </cell>
          <cell r="C80" t="str">
            <v>DC Systems</v>
          </cell>
          <cell r="D80" t="str">
            <v>Substation Batteries - 110V</v>
          </cell>
          <cell r="E80" t="str">
            <v>Replacement</v>
          </cell>
          <cell r="F80" t="str">
            <v>Monitor and replace as required</v>
          </cell>
          <cell r="G80" t="str">
            <v>C</v>
          </cell>
          <cell r="H80" t="str">
            <v>C</v>
          </cell>
          <cell r="I80">
            <v>1994</v>
          </cell>
          <cell r="J80" t="str">
            <v>Asset Managers</v>
          </cell>
          <cell r="K80" t="str">
            <v>Recurrent</v>
          </cell>
          <cell r="M80">
            <v>0</v>
          </cell>
          <cell r="N80">
            <v>0</v>
          </cell>
          <cell r="O80">
            <v>8</v>
          </cell>
          <cell r="P80">
            <v>2</v>
          </cell>
        </row>
        <row r="81">
          <cell r="B81">
            <v>52</v>
          </cell>
          <cell r="C81" t="str">
            <v>DC Systems</v>
          </cell>
          <cell r="D81" t="str">
            <v>Substation Batteries - 240V</v>
          </cell>
          <cell r="E81" t="str">
            <v>Replacement</v>
          </cell>
          <cell r="F81" t="str">
            <v>Monitor and replace as required</v>
          </cell>
          <cell r="G81" t="str">
            <v>C</v>
          </cell>
          <cell r="H81" t="str">
            <v>C</v>
          </cell>
          <cell r="J81" t="str">
            <v>Asset Managers</v>
          </cell>
          <cell r="K81" t="str">
            <v>Recurrent</v>
          </cell>
          <cell r="M81">
            <v>0</v>
          </cell>
          <cell r="N81">
            <v>0</v>
          </cell>
          <cell r="O81">
            <v>8</v>
          </cell>
          <cell r="P81">
            <v>2</v>
          </cell>
        </row>
        <row r="82">
          <cell r="B82">
            <v>53</v>
          </cell>
          <cell r="C82" t="str">
            <v>DC Systems</v>
          </cell>
          <cell r="D82" t="str">
            <v>Substation Battery chargers - 50V</v>
          </cell>
          <cell r="E82" t="str">
            <v>Replacement</v>
          </cell>
          <cell r="F82" t="str">
            <v>Monitor and replace as required</v>
          </cell>
          <cell r="G82" t="str">
            <v>C</v>
          </cell>
          <cell r="H82" t="str">
            <v>C</v>
          </cell>
          <cell r="I82">
            <v>1998</v>
          </cell>
          <cell r="J82" t="str">
            <v>Asset Managers</v>
          </cell>
          <cell r="K82" t="str">
            <v>Recurrent</v>
          </cell>
          <cell r="M82">
            <v>0</v>
          </cell>
          <cell r="N82">
            <v>0</v>
          </cell>
          <cell r="O82">
            <v>8</v>
          </cell>
          <cell r="P82">
            <v>2</v>
          </cell>
          <cell r="Q82" t="str">
            <v>3 (one business case for these strategies</v>
          </cell>
        </row>
        <row r="83">
          <cell r="B83">
            <v>54</v>
          </cell>
          <cell r="C83" t="str">
            <v>DC Systems</v>
          </cell>
          <cell r="D83" t="str">
            <v>Substation Battery chargers - 110V</v>
          </cell>
          <cell r="E83" t="str">
            <v>Replacement</v>
          </cell>
          <cell r="F83" t="str">
            <v>Monitor and replace as required</v>
          </cell>
          <cell r="G83" t="str">
            <v>C</v>
          </cell>
          <cell r="H83" t="str">
            <v>C</v>
          </cell>
          <cell r="I83">
            <v>1998</v>
          </cell>
          <cell r="J83" t="str">
            <v>Asset Managers</v>
          </cell>
          <cell r="K83" t="str">
            <v>Recurrent</v>
          </cell>
          <cell r="M83">
            <v>0</v>
          </cell>
          <cell r="N83">
            <v>0</v>
          </cell>
          <cell r="O83">
            <v>8</v>
          </cell>
          <cell r="P83">
            <v>2</v>
          </cell>
        </row>
        <row r="84">
          <cell r="B84">
            <v>55</v>
          </cell>
          <cell r="C84" t="str">
            <v>DC Systems</v>
          </cell>
          <cell r="D84" t="str">
            <v>Substation Battery chargers - 240V</v>
          </cell>
          <cell r="E84" t="str">
            <v>Replacement</v>
          </cell>
          <cell r="F84" t="str">
            <v>Monitor and replace as required</v>
          </cell>
          <cell r="G84" t="str">
            <v>C</v>
          </cell>
          <cell r="H84" t="str">
            <v>C</v>
          </cell>
          <cell r="J84" t="str">
            <v>Asset Managers</v>
          </cell>
          <cell r="K84" t="str">
            <v>Recurrent</v>
          </cell>
          <cell r="M84">
            <v>0</v>
          </cell>
          <cell r="N84">
            <v>0</v>
          </cell>
          <cell r="O84">
            <v>8</v>
          </cell>
          <cell r="P84">
            <v>2</v>
          </cell>
        </row>
        <row r="85">
          <cell r="B85">
            <v>56</v>
          </cell>
          <cell r="C85" t="str">
            <v>Disconnectors and Earth Switches</v>
          </cell>
          <cell r="D85" t="str">
            <v>220kV and above</v>
          </cell>
          <cell r="E85" t="str">
            <v>Replacement</v>
          </cell>
          <cell r="F85" t="str">
            <v>Monitor and replace as required</v>
          </cell>
          <cell r="G85" t="str">
            <v>C</v>
          </cell>
          <cell r="H85" t="str">
            <v>C</v>
          </cell>
          <cell r="I85">
            <v>1997</v>
          </cell>
          <cell r="J85" t="str">
            <v>Asset Managers</v>
          </cell>
          <cell r="K85" t="str">
            <v>Recurrent</v>
          </cell>
          <cell r="M85">
            <v>5</v>
          </cell>
          <cell r="N85">
            <v>0</v>
          </cell>
          <cell r="O85">
            <v>10</v>
          </cell>
          <cell r="P85">
            <v>5</v>
          </cell>
          <cell r="Q85" t="str">
            <v>2i</v>
          </cell>
        </row>
        <row r="86">
          <cell r="B86">
            <v>57</v>
          </cell>
          <cell r="C86" t="str">
            <v>Disconnectors and Earth Switches</v>
          </cell>
          <cell r="D86" t="str">
            <v>132kV</v>
          </cell>
          <cell r="E86" t="str">
            <v>Replacement</v>
          </cell>
          <cell r="F86" t="str">
            <v>Monitor and replace as required</v>
          </cell>
          <cell r="G86" t="str">
            <v>C</v>
          </cell>
          <cell r="H86" t="str">
            <v>C</v>
          </cell>
          <cell r="I86">
            <v>1997</v>
          </cell>
          <cell r="J86" t="str">
            <v>Asset Managers</v>
          </cell>
          <cell r="K86" t="str">
            <v>Recurrent</v>
          </cell>
          <cell r="M86">
            <v>5</v>
          </cell>
          <cell r="N86">
            <v>0</v>
          </cell>
          <cell r="O86">
            <v>10</v>
          </cell>
          <cell r="P86">
            <v>5</v>
          </cell>
          <cell r="Q86" t="str">
            <v>3i</v>
          </cell>
        </row>
        <row r="87">
          <cell r="B87">
            <v>58</v>
          </cell>
          <cell r="C87" t="str">
            <v>Disconnectors and Earth Switches</v>
          </cell>
          <cell r="D87" t="str">
            <v>66kV and below</v>
          </cell>
          <cell r="E87" t="str">
            <v>Replacement</v>
          </cell>
          <cell r="F87" t="str">
            <v>Monitor and replace as required</v>
          </cell>
          <cell r="G87" t="str">
            <v>C</v>
          </cell>
          <cell r="H87" t="str">
            <v>C</v>
          </cell>
          <cell r="I87">
            <v>1997</v>
          </cell>
          <cell r="J87" t="str">
            <v>Asset Managers</v>
          </cell>
          <cell r="K87" t="str">
            <v>Recurrent</v>
          </cell>
          <cell r="M87">
            <v>5</v>
          </cell>
          <cell r="N87">
            <v>0</v>
          </cell>
          <cell r="O87">
            <v>10</v>
          </cell>
          <cell r="P87">
            <v>5</v>
          </cell>
          <cell r="Q87" t="str">
            <v>3i</v>
          </cell>
        </row>
        <row r="88">
          <cell r="B88">
            <v>59</v>
          </cell>
          <cell r="C88" t="str">
            <v>GIS</v>
          </cell>
          <cell r="D88" t="str">
            <v>Beaconsfield</v>
          </cell>
          <cell r="E88" t="str">
            <v>Other</v>
          </cell>
          <cell r="F88" t="str">
            <v>Review options beyond 2006</v>
          </cell>
          <cell r="G88" t="str">
            <v>O</v>
          </cell>
          <cell r="H88" t="str">
            <v>I</v>
          </cell>
          <cell r="I88">
            <v>2003</v>
          </cell>
          <cell r="J88" t="str">
            <v>M/AP</v>
          </cell>
          <cell r="K88">
            <v>38687</v>
          </cell>
          <cell r="M88">
            <v>0</v>
          </cell>
          <cell r="N88">
            <v>0</v>
          </cell>
          <cell r="O88">
            <v>8</v>
          </cell>
          <cell r="P88">
            <v>10</v>
          </cell>
          <cell r="Q88">
            <v>3</v>
          </cell>
        </row>
        <row r="89">
          <cell r="B89">
            <v>60</v>
          </cell>
          <cell r="C89" t="str">
            <v>GIS</v>
          </cell>
          <cell r="D89" t="str">
            <v>Beaconsfield</v>
          </cell>
          <cell r="E89" t="str">
            <v>Replacement</v>
          </cell>
          <cell r="F89" t="str">
            <v>Install conventional CB on No.1 Reactor</v>
          </cell>
          <cell r="G89" t="str">
            <v>C</v>
          </cell>
          <cell r="H89" t="str">
            <v>R</v>
          </cell>
          <cell r="I89">
            <v>2004</v>
          </cell>
          <cell r="J89" t="str">
            <v>AM/Central</v>
          </cell>
          <cell r="K89">
            <v>38504</v>
          </cell>
          <cell r="M89">
            <v>0</v>
          </cell>
          <cell r="N89">
            <v>2</v>
          </cell>
          <cell r="O89">
            <v>10</v>
          </cell>
          <cell r="P89">
            <v>10</v>
          </cell>
          <cell r="Q89">
            <v>3</v>
          </cell>
        </row>
        <row r="90">
          <cell r="B90">
            <v>61</v>
          </cell>
          <cell r="C90" t="str">
            <v>Environment</v>
          </cell>
          <cell r="D90" t="str">
            <v>PCB Disposal</v>
          </cell>
          <cell r="E90" t="str">
            <v>Replacement</v>
          </cell>
          <cell r="F90" t="str">
            <v>Remove all scheduled PCB contaminated from in-service equipment</v>
          </cell>
          <cell r="G90" t="str">
            <v>C</v>
          </cell>
          <cell r="H90" t="str">
            <v>R</v>
          </cell>
          <cell r="I90">
            <v>2003</v>
          </cell>
          <cell r="J90" t="str">
            <v>Asset Managers</v>
          </cell>
          <cell r="K90">
            <v>40179</v>
          </cell>
          <cell r="M90">
            <v>2</v>
          </cell>
          <cell r="N90">
            <v>10</v>
          </cell>
          <cell r="O90">
            <v>0</v>
          </cell>
          <cell r="P90">
            <v>8</v>
          </cell>
          <cell r="Q90">
            <v>2</v>
          </cell>
        </row>
        <row r="91">
          <cell r="B91">
            <v>62</v>
          </cell>
          <cell r="C91" t="str">
            <v>Surge Diverters</v>
          </cell>
          <cell r="D91" t="str">
            <v>Gapped Type (pre 1965) - 220kV and above</v>
          </cell>
          <cell r="E91" t="str">
            <v>Replacement</v>
          </cell>
          <cell r="F91" t="str">
            <v>Replace</v>
          </cell>
          <cell r="G91" t="str">
            <v>M</v>
          </cell>
          <cell r="H91" t="str">
            <v>R</v>
          </cell>
          <cell r="I91">
            <v>2000</v>
          </cell>
          <cell r="J91" t="str">
            <v>Asset Managers</v>
          </cell>
          <cell r="K91" t="str">
            <v>June, 2005</v>
          </cell>
          <cell r="M91">
            <v>8</v>
          </cell>
          <cell r="N91">
            <v>0</v>
          </cell>
          <cell r="O91">
            <v>8</v>
          </cell>
          <cell r="P91">
            <v>0</v>
          </cell>
          <cell r="Q91" t="str">
            <v>2 (one business case for these strategies)</v>
          </cell>
        </row>
        <row r="92">
          <cell r="B92">
            <v>63</v>
          </cell>
          <cell r="C92" t="str">
            <v>Surge Diverters</v>
          </cell>
          <cell r="D92" t="str">
            <v>Gapped Type (pre 1965) - 132kV</v>
          </cell>
          <cell r="E92" t="str">
            <v>Replacement</v>
          </cell>
          <cell r="F92" t="str">
            <v>Replace</v>
          </cell>
          <cell r="G92" t="str">
            <v>M</v>
          </cell>
          <cell r="H92" t="str">
            <v>R</v>
          </cell>
          <cell r="I92">
            <v>2000</v>
          </cell>
          <cell r="J92" t="str">
            <v>Asset Managers</v>
          </cell>
          <cell r="K92" t="str">
            <v>June, 2005</v>
          </cell>
          <cell r="M92">
            <v>8</v>
          </cell>
          <cell r="N92">
            <v>0</v>
          </cell>
          <cell r="O92">
            <v>8</v>
          </cell>
          <cell r="P92">
            <v>0</v>
          </cell>
        </row>
        <row r="93">
          <cell r="B93">
            <v>64</v>
          </cell>
          <cell r="C93" t="str">
            <v>Surge Diverters</v>
          </cell>
          <cell r="D93" t="str">
            <v>Gapped Type (pre 1965) - 66kV</v>
          </cell>
          <cell r="E93" t="str">
            <v>Replacement</v>
          </cell>
          <cell r="F93" t="str">
            <v>Replace</v>
          </cell>
          <cell r="G93" t="str">
            <v>M</v>
          </cell>
          <cell r="H93" t="str">
            <v>R</v>
          </cell>
          <cell r="I93">
            <v>2000</v>
          </cell>
          <cell r="J93" t="str">
            <v>Asset Managers</v>
          </cell>
          <cell r="K93" t="str">
            <v>June, 2005</v>
          </cell>
          <cell r="M93">
            <v>8</v>
          </cell>
          <cell r="N93">
            <v>0</v>
          </cell>
          <cell r="O93">
            <v>8</v>
          </cell>
          <cell r="P93">
            <v>0</v>
          </cell>
        </row>
        <row r="94">
          <cell r="B94">
            <v>65</v>
          </cell>
          <cell r="C94" t="str">
            <v>Surge Diverters</v>
          </cell>
          <cell r="D94" t="str">
            <v>Gapped Type (post 1965) - 220kV and above</v>
          </cell>
          <cell r="E94" t="str">
            <v>Replacement</v>
          </cell>
          <cell r="F94" t="str">
            <v>Replace</v>
          </cell>
          <cell r="G94" t="str">
            <v>M</v>
          </cell>
          <cell r="H94" t="str">
            <v>R</v>
          </cell>
          <cell r="I94">
            <v>2002</v>
          </cell>
          <cell r="J94" t="str">
            <v>Asset Managers</v>
          </cell>
          <cell r="K94">
            <v>40330</v>
          </cell>
          <cell r="M94">
            <v>8</v>
          </cell>
          <cell r="N94">
            <v>0</v>
          </cell>
          <cell r="O94">
            <v>8</v>
          </cell>
          <cell r="P94">
            <v>0</v>
          </cell>
        </row>
        <row r="95">
          <cell r="B95">
            <v>66</v>
          </cell>
          <cell r="C95" t="str">
            <v>Surge Diverters</v>
          </cell>
          <cell r="D95" t="str">
            <v>Gapped Type (post 1965) - 132kV</v>
          </cell>
          <cell r="E95" t="str">
            <v>Replacement</v>
          </cell>
          <cell r="F95" t="str">
            <v>Replace</v>
          </cell>
          <cell r="G95" t="str">
            <v>M</v>
          </cell>
          <cell r="H95" t="str">
            <v>R</v>
          </cell>
          <cell r="I95">
            <v>2002</v>
          </cell>
          <cell r="J95" t="str">
            <v>Asset Managers</v>
          </cell>
          <cell r="K95">
            <v>40330</v>
          </cell>
          <cell r="M95">
            <v>8</v>
          </cell>
          <cell r="N95">
            <v>0</v>
          </cell>
          <cell r="O95">
            <v>8</v>
          </cell>
          <cell r="P95">
            <v>0</v>
          </cell>
        </row>
        <row r="96">
          <cell r="B96">
            <v>67</v>
          </cell>
          <cell r="C96" t="str">
            <v>Surge Diverters</v>
          </cell>
          <cell r="D96" t="str">
            <v>Gapped Type (post 1965) - 66kV and below</v>
          </cell>
          <cell r="E96" t="str">
            <v>Replacement</v>
          </cell>
          <cell r="F96" t="str">
            <v>Replace</v>
          </cell>
          <cell r="G96" t="str">
            <v>M</v>
          </cell>
          <cell r="H96" t="str">
            <v>R</v>
          </cell>
          <cell r="I96">
            <v>2002</v>
          </cell>
          <cell r="J96" t="str">
            <v>Asset Managers</v>
          </cell>
          <cell r="K96">
            <v>40330</v>
          </cell>
          <cell r="M96">
            <v>8</v>
          </cell>
          <cell r="N96">
            <v>0</v>
          </cell>
          <cell r="O96">
            <v>8</v>
          </cell>
          <cell r="P96">
            <v>0</v>
          </cell>
        </row>
        <row r="97">
          <cell r="B97">
            <v>68</v>
          </cell>
          <cell r="C97" t="str">
            <v>Reactive Plant</v>
          </cell>
          <cell r="D97" t="str">
            <v>Capacitor</v>
          </cell>
          <cell r="E97" t="str">
            <v>Replacement</v>
          </cell>
          <cell r="F97" t="str">
            <v>Monitor and replace as required</v>
          </cell>
          <cell r="G97" t="str">
            <v>C</v>
          </cell>
          <cell r="H97" t="str">
            <v>C</v>
          </cell>
          <cell r="I97">
            <v>2000</v>
          </cell>
          <cell r="J97" t="str">
            <v>Asset Managers</v>
          </cell>
          <cell r="K97" t="str">
            <v>Recurrent</v>
          </cell>
          <cell r="M97">
            <v>2</v>
          </cell>
          <cell r="N97">
            <v>2</v>
          </cell>
          <cell r="O97">
            <v>8</v>
          </cell>
          <cell r="P97">
            <v>10</v>
          </cell>
          <cell r="Q97" t="str">
            <v>3i</v>
          </cell>
        </row>
        <row r="98">
          <cell r="B98">
            <v>69</v>
          </cell>
          <cell r="C98" t="str">
            <v>Buildings</v>
          </cell>
          <cell r="D98" t="str">
            <v>Pre- 1975 Buildings</v>
          </cell>
          <cell r="E98" t="str">
            <v>Other</v>
          </cell>
          <cell r="F98" t="str">
            <v>Formal building inspection to be carried out since 1990</v>
          </cell>
          <cell r="G98" t="str">
            <v>O</v>
          </cell>
          <cell r="H98" t="str">
            <v>I</v>
          </cell>
          <cell r="I98">
            <v>1998</v>
          </cell>
          <cell r="J98" t="str">
            <v>Asset Managers</v>
          </cell>
          <cell r="K98">
            <v>38322</v>
          </cell>
          <cell r="Q98" t="str">
            <v>NB</v>
          </cell>
        </row>
        <row r="99">
          <cell r="B99">
            <v>69</v>
          </cell>
          <cell r="C99" t="str">
            <v>Buildings</v>
          </cell>
          <cell r="D99" t="str">
            <v>Building Defects</v>
          </cell>
          <cell r="E99" t="str">
            <v>Other</v>
          </cell>
          <cell r="F99" t="str">
            <v>Regional Business plans to make provision for maintenance</v>
          </cell>
          <cell r="G99" t="str">
            <v>M</v>
          </cell>
          <cell r="H99" t="str">
            <v>c</v>
          </cell>
          <cell r="I99">
            <v>1998</v>
          </cell>
          <cell r="J99" t="str">
            <v>Asset Managers</v>
          </cell>
          <cell r="K99" t="str">
            <v>Recurrent</v>
          </cell>
          <cell r="M99">
            <v>5</v>
          </cell>
          <cell r="N99">
            <v>2</v>
          </cell>
          <cell r="O99">
            <v>0</v>
          </cell>
          <cell r="P99">
            <v>2</v>
          </cell>
          <cell r="Q99" t="str">
            <v>3i</v>
          </cell>
        </row>
        <row r="100">
          <cell r="B100">
            <v>70</v>
          </cell>
          <cell r="C100" t="str">
            <v>Buildings</v>
          </cell>
          <cell r="D100" t="str">
            <v>Energy Efficiency (220kV sites and above)</v>
          </cell>
          <cell r="E100" t="str">
            <v>Other</v>
          </cell>
          <cell r="F100" t="str">
            <v>Carry out energy audit and implement approved recommendations</v>
          </cell>
          <cell r="G100" t="str">
            <v>O</v>
          </cell>
          <cell r="H100" t="str">
            <v>I,A</v>
          </cell>
          <cell r="I100">
            <v>2003</v>
          </cell>
          <cell r="J100" t="str">
            <v>Asset Managers</v>
          </cell>
          <cell r="K100" t="str">
            <v>December, 2003, June 2004</v>
          </cell>
          <cell r="L100" t="str">
            <v>Split</v>
          </cell>
          <cell r="Q100" t="str">
            <v>NB</v>
          </cell>
        </row>
        <row r="101">
          <cell r="B101">
            <v>70</v>
          </cell>
          <cell r="C101" t="str">
            <v>Buildings</v>
          </cell>
          <cell r="D101" t="str">
            <v>Energy Efficiency (sites 132kV and below)</v>
          </cell>
          <cell r="E101" t="str">
            <v>Other</v>
          </cell>
          <cell r="F101" t="str">
            <v>Carry out energy audit and implement approved recommendations</v>
          </cell>
          <cell r="G101" t="str">
            <v>O</v>
          </cell>
          <cell r="H101" t="str">
            <v>I,A</v>
          </cell>
          <cell r="I101">
            <v>2003</v>
          </cell>
          <cell r="J101" t="str">
            <v>Asset Managers</v>
          </cell>
          <cell r="K101" t="str">
            <v>June, 2004, December 2004</v>
          </cell>
          <cell r="L101" t="str">
            <v>Split</v>
          </cell>
          <cell r="M101" t="str">
            <v>Assess indivually</v>
          </cell>
          <cell r="Q101" t="str">
            <v>3i</v>
          </cell>
        </row>
        <row r="102">
          <cell r="B102">
            <v>71</v>
          </cell>
          <cell r="C102" t="str">
            <v>Fire</v>
          </cell>
          <cell r="D102" t="str">
            <v>Fire Detection and Protection Systems</v>
          </cell>
          <cell r="E102" t="str">
            <v>Other</v>
          </cell>
          <cell r="F102" t="str">
            <v>Regional Business plans to make provision for any installation or replacement to fire detection and protection systems in accordance with the Fire Protection Policies and procedures manual</v>
          </cell>
          <cell r="G102" t="str">
            <v>M</v>
          </cell>
          <cell r="H102" t="str">
            <v>C</v>
          </cell>
          <cell r="I102">
            <v>1998</v>
          </cell>
          <cell r="J102" t="str">
            <v>Asset Managers</v>
          </cell>
          <cell r="K102" t="str">
            <v>Recurrent</v>
          </cell>
          <cell r="M102" t="str">
            <v>Assess indivually</v>
          </cell>
          <cell r="Q102" t="str">
            <v>3i</v>
          </cell>
        </row>
        <row r="103">
          <cell r="B103">
            <v>72</v>
          </cell>
          <cell r="C103" t="str">
            <v>Fire</v>
          </cell>
          <cell r="D103" t="str">
            <v>Automatic Fire Protection Schemes for Power transformers</v>
          </cell>
          <cell r="E103" t="str">
            <v>Other</v>
          </cell>
          <cell r="F103" t="str">
            <v>Regional Business plans to make provision for any installation or replacement to fire detection and protection systems in accordance with the Fire Protection Policies and procedures manual</v>
          </cell>
          <cell r="G103" t="str">
            <v>M</v>
          </cell>
          <cell r="H103" t="str">
            <v>C</v>
          </cell>
          <cell r="I103">
            <v>1998</v>
          </cell>
          <cell r="J103" t="str">
            <v>Asset Managers</v>
          </cell>
          <cell r="K103">
            <v>38504</v>
          </cell>
          <cell r="M103" t="str">
            <v>Assess indivually</v>
          </cell>
          <cell r="Q103" t="str">
            <v>3i</v>
          </cell>
        </row>
        <row r="104">
          <cell r="B104">
            <v>72</v>
          </cell>
          <cell r="C104" t="str">
            <v>Fire</v>
          </cell>
          <cell r="D104" t="str">
            <v>Automatic Fire Protection Schemes for Power transformers</v>
          </cell>
          <cell r="E104" t="str">
            <v>Other</v>
          </cell>
          <cell r="F104" t="str">
            <v>Decommission deluge systems not required as and when maintenance costs become significant.</v>
          </cell>
          <cell r="G104" t="str">
            <v>O</v>
          </cell>
          <cell r="H104" t="str">
            <v>C</v>
          </cell>
          <cell r="I104">
            <v>1998</v>
          </cell>
          <cell r="J104" t="str">
            <v>Asset Managers</v>
          </cell>
          <cell r="K104">
            <v>38504</v>
          </cell>
          <cell r="M104">
            <v>0</v>
          </cell>
          <cell r="N104">
            <v>0</v>
          </cell>
          <cell r="O104">
            <v>0</v>
          </cell>
          <cell r="P104">
            <v>10</v>
          </cell>
          <cell r="Q104">
            <v>3</v>
          </cell>
        </row>
        <row r="105">
          <cell r="B105">
            <v>73</v>
          </cell>
          <cell r="C105" t="str">
            <v>Other Equipment</v>
          </cell>
          <cell r="D105" t="str">
            <v>General</v>
          </cell>
          <cell r="E105" t="str">
            <v>Other</v>
          </cell>
          <cell r="F105" t="str">
            <v>Monitor and replace as required</v>
          </cell>
          <cell r="G105" t="str">
            <v>M</v>
          </cell>
          <cell r="H105" t="str">
            <v>C</v>
          </cell>
          <cell r="I105">
            <v>1998</v>
          </cell>
          <cell r="J105" t="str">
            <v>Asset Managers</v>
          </cell>
          <cell r="K105" t="str">
            <v>recurrent</v>
          </cell>
          <cell r="M105" t="str">
            <v>Assess indivually</v>
          </cell>
          <cell r="Q105">
            <v>3</v>
          </cell>
        </row>
        <row r="106">
          <cell r="B106">
            <v>74</v>
          </cell>
          <cell r="C106" t="str">
            <v>Environment</v>
          </cell>
          <cell r="D106" t="str">
            <v>Transformer Bunds</v>
          </cell>
          <cell r="E106" t="str">
            <v>Other</v>
          </cell>
          <cell r="F106" t="str">
            <v>Inspect and reseal all bunds where sealing is not satisfactory</v>
          </cell>
          <cell r="G106" t="str">
            <v>M</v>
          </cell>
          <cell r="H106" t="str">
            <v>C</v>
          </cell>
          <cell r="I106">
            <v>2004</v>
          </cell>
          <cell r="J106" t="str">
            <v>Asset Managers</v>
          </cell>
          <cell r="K106">
            <v>38869</v>
          </cell>
          <cell r="M106">
            <v>0</v>
          </cell>
          <cell r="N106">
            <v>10</v>
          </cell>
          <cell r="O106">
            <v>0</v>
          </cell>
          <cell r="P106">
            <v>10</v>
          </cell>
          <cell r="Q106">
            <v>3</v>
          </cell>
        </row>
        <row r="107">
          <cell r="B107">
            <v>75</v>
          </cell>
          <cell r="C107" t="str">
            <v>Circuit Breakers</v>
          </cell>
          <cell r="D107" t="str">
            <v>POW Circuit Breakers</v>
          </cell>
          <cell r="E107" t="str">
            <v>Replacement</v>
          </cell>
          <cell r="F107" t="str">
            <v>Install Point on Wave CBs</v>
          </cell>
          <cell r="G107" t="str">
            <v>C</v>
          </cell>
          <cell r="H107" t="str">
            <v>A</v>
          </cell>
          <cell r="I107">
            <v>1998</v>
          </cell>
          <cell r="J107" t="str">
            <v>Asset Managers</v>
          </cell>
          <cell r="K107" t="str">
            <v>June , 2005</v>
          </cell>
          <cell r="M107">
            <v>0</v>
          </cell>
          <cell r="N107">
            <v>0</v>
          </cell>
          <cell r="O107">
            <v>8</v>
          </cell>
          <cell r="P107">
            <v>10</v>
          </cell>
          <cell r="Q107">
            <v>2</v>
          </cell>
        </row>
        <row r="108">
          <cell r="B108">
            <v>76</v>
          </cell>
          <cell r="C108" t="str">
            <v>Reactive Plant</v>
          </cell>
          <cell r="D108" t="str">
            <v>Sydney South Syn Cons</v>
          </cell>
          <cell r="E108" t="str">
            <v>Other</v>
          </cell>
          <cell r="F108" t="str">
            <v>Retire on commissioning of Sydney South SVC</v>
          </cell>
          <cell r="G108" t="str">
            <v>O</v>
          </cell>
          <cell r="H108" t="str">
            <v>C</v>
          </cell>
          <cell r="I108">
            <v>1998</v>
          </cell>
          <cell r="J108" t="str">
            <v>Asset Managers</v>
          </cell>
          <cell r="K108" t="str">
            <v>within 12 months of SYW SVC</v>
          </cell>
          <cell r="M108">
            <v>5</v>
          </cell>
          <cell r="N108">
            <v>2</v>
          </cell>
          <cell r="O108">
            <v>10</v>
          </cell>
          <cell r="P108">
            <v>10</v>
          </cell>
          <cell r="Q108">
            <v>3</v>
          </cell>
        </row>
        <row r="109">
          <cell r="B109">
            <v>77</v>
          </cell>
          <cell r="C109" t="str">
            <v>Shunt Capacitor Banks</v>
          </cell>
          <cell r="D109" t="str">
            <v>Concrete Pads</v>
          </cell>
          <cell r="E109" t="str">
            <v>Other</v>
          </cell>
          <cell r="F109" t="str">
            <v xml:space="preserve">Identify Capacitor banks with excessive weed growth </v>
          </cell>
          <cell r="G109" t="str">
            <v>O</v>
          </cell>
          <cell r="H109" t="str">
            <v>I</v>
          </cell>
          <cell r="I109">
            <v>2001</v>
          </cell>
          <cell r="J109" t="str">
            <v>Asset Managers</v>
          </cell>
          <cell r="K109">
            <v>38504</v>
          </cell>
          <cell r="M109">
            <v>2</v>
          </cell>
          <cell r="N109">
            <v>2</v>
          </cell>
          <cell r="O109">
            <v>8</v>
          </cell>
          <cell r="P109">
            <v>5</v>
          </cell>
          <cell r="Q109">
            <v>3</v>
          </cell>
        </row>
        <row r="110">
          <cell r="B110">
            <v>77.099999999999994</v>
          </cell>
          <cell r="C110" t="str">
            <v>Shunt Capacitor Banks</v>
          </cell>
          <cell r="D110" t="str">
            <v>Concrete Pads</v>
          </cell>
          <cell r="E110" t="str">
            <v>Replacement</v>
          </cell>
          <cell r="F110" t="str">
            <v>Re-surface capacitor banks as required</v>
          </cell>
          <cell r="G110" t="str">
            <v>M</v>
          </cell>
          <cell r="H110" t="str">
            <v>C</v>
          </cell>
          <cell r="I110">
            <v>2001</v>
          </cell>
          <cell r="J110" t="str">
            <v>Asset Managers</v>
          </cell>
          <cell r="K110">
            <v>39965</v>
          </cell>
          <cell r="M110">
            <v>2</v>
          </cell>
          <cell r="N110">
            <v>2</v>
          </cell>
          <cell r="O110">
            <v>8</v>
          </cell>
          <cell r="P110">
            <v>8</v>
          </cell>
          <cell r="Q110">
            <v>3</v>
          </cell>
        </row>
        <row r="111">
          <cell r="B111">
            <v>78</v>
          </cell>
          <cell r="C111" t="str">
            <v>Condition Monitoring</v>
          </cell>
          <cell r="D111" t="str">
            <v>Dissolved Gas in Oil</v>
          </cell>
          <cell r="E111" t="str">
            <v>Other</v>
          </cell>
          <cell r="F111" t="str">
            <v>Install DGA monitors on transformers nominated in the Condition Monitoring Working Group Report (Recommendation 5.)</v>
          </cell>
          <cell r="G111" t="str">
            <v>C</v>
          </cell>
          <cell r="H111" t="str">
            <v>A</v>
          </cell>
          <cell r="I111">
            <v>2003</v>
          </cell>
          <cell r="J111" t="str">
            <v>Asset Managers</v>
          </cell>
          <cell r="K111">
            <v>38504</v>
          </cell>
          <cell r="L111" t="str">
            <v>List in Doc, - 3 categories</v>
          </cell>
          <cell r="M111">
            <v>0</v>
          </cell>
          <cell r="N111">
            <v>0</v>
          </cell>
          <cell r="O111">
            <v>10</v>
          </cell>
          <cell r="P111">
            <v>10</v>
          </cell>
          <cell r="Q111">
            <v>3</v>
          </cell>
        </row>
        <row r="112">
          <cell r="B112">
            <v>79</v>
          </cell>
          <cell r="C112" t="str">
            <v>Condition Monitoring</v>
          </cell>
          <cell r="D112" t="str">
            <v>Dissolved Gas in Oil</v>
          </cell>
          <cell r="E112" t="str">
            <v>Other</v>
          </cell>
          <cell r="F112" t="str">
            <v>Upgrade  to Calisto type</v>
          </cell>
          <cell r="G112" t="str">
            <v>C</v>
          </cell>
          <cell r="I112">
            <v>2003</v>
          </cell>
          <cell r="J112" t="str">
            <v>Asset Managers</v>
          </cell>
          <cell r="K112">
            <v>38504</v>
          </cell>
          <cell r="M112">
            <v>0</v>
          </cell>
          <cell r="N112">
            <v>0</v>
          </cell>
          <cell r="O112">
            <v>10</v>
          </cell>
          <cell r="P112">
            <v>10</v>
          </cell>
          <cell r="Q112">
            <v>3</v>
          </cell>
        </row>
        <row r="113">
          <cell r="B113">
            <v>80</v>
          </cell>
          <cell r="C113" t="str">
            <v>Condition Monitoring</v>
          </cell>
          <cell r="D113" t="str">
            <v>Dissolved Gas in Oil</v>
          </cell>
          <cell r="E113" t="str">
            <v>Other</v>
          </cell>
          <cell r="F113" t="str">
            <v>Move to Oil circulation path</v>
          </cell>
          <cell r="G113" t="str">
            <v>M</v>
          </cell>
          <cell r="I113">
            <v>2003</v>
          </cell>
          <cell r="J113" t="str">
            <v>Asset Managers</v>
          </cell>
          <cell r="K113">
            <v>38869</v>
          </cell>
          <cell r="M113">
            <v>0</v>
          </cell>
          <cell r="N113">
            <v>0</v>
          </cell>
          <cell r="O113">
            <v>10</v>
          </cell>
          <cell r="P113">
            <v>10</v>
          </cell>
          <cell r="Q113">
            <v>3</v>
          </cell>
        </row>
        <row r="114">
          <cell r="B114">
            <v>81</v>
          </cell>
          <cell r="C114" t="str">
            <v>Condition Monitoring</v>
          </cell>
          <cell r="D114" t="str">
            <v>Moisture in Oil</v>
          </cell>
          <cell r="E114" t="str">
            <v>Other</v>
          </cell>
          <cell r="F114" t="str">
            <v>Install online moisture monitors to  transformers nominated in the Condition Monitoring working group Report (Recommendation 10)</v>
          </cell>
          <cell r="G114" t="str">
            <v>C</v>
          </cell>
          <cell r="H114" t="str">
            <v>R</v>
          </cell>
          <cell r="I114">
            <v>2003</v>
          </cell>
          <cell r="J114" t="str">
            <v>Asset Managers</v>
          </cell>
          <cell r="K114">
            <v>38504</v>
          </cell>
          <cell r="M114">
            <v>0</v>
          </cell>
          <cell r="N114">
            <v>0</v>
          </cell>
          <cell r="O114">
            <v>10</v>
          </cell>
          <cell r="P114">
            <v>10</v>
          </cell>
          <cell r="Q114">
            <v>3</v>
          </cell>
        </row>
        <row r="115">
          <cell r="B115">
            <v>82</v>
          </cell>
          <cell r="C115" t="str">
            <v>Condition Monitoring</v>
          </cell>
          <cell r="D115" t="str">
            <v>Tapchanger Monitors</v>
          </cell>
          <cell r="E115" t="str">
            <v>Other</v>
          </cell>
          <cell r="F115" t="str">
            <v>Install tapchanger monitors to specific Reinhausen Tapchangers nominated in the Condition Monitoring Working Group Report (Recommendation 13)</v>
          </cell>
          <cell r="G115" t="str">
            <v>C</v>
          </cell>
          <cell r="H115" t="str">
            <v>R</v>
          </cell>
          <cell r="I115">
            <v>2003</v>
          </cell>
          <cell r="J115" t="str">
            <v>Asset Managers</v>
          </cell>
          <cell r="K115">
            <v>39234</v>
          </cell>
          <cell r="M115">
            <v>2</v>
          </cell>
          <cell r="N115">
            <v>2</v>
          </cell>
          <cell r="O115">
            <v>10</v>
          </cell>
          <cell r="P115">
            <v>8</v>
          </cell>
          <cell r="Q115">
            <v>3</v>
          </cell>
        </row>
        <row r="116">
          <cell r="B116">
            <v>82</v>
          </cell>
          <cell r="C116" t="str">
            <v>Condition Monitoring</v>
          </cell>
          <cell r="D116" t="str">
            <v>Tapchanger Monitors</v>
          </cell>
          <cell r="E116" t="str">
            <v>Other</v>
          </cell>
          <cell r="F116" t="str">
            <v>Review effectiveness of existing tapchanger monitors and consider further installation of tapchanger monitors on transformers identified in the Condition Working Group Report (Recommendation 13)</v>
          </cell>
          <cell r="G116" t="str">
            <v>O</v>
          </cell>
          <cell r="H116" t="str">
            <v>I</v>
          </cell>
          <cell r="I116">
            <v>2003</v>
          </cell>
          <cell r="J116" t="str">
            <v>SSE</v>
          </cell>
          <cell r="K116">
            <v>38322</v>
          </cell>
          <cell r="M116">
            <v>2</v>
          </cell>
          <cell r="N116">
            <v>2</v>
          </cell>
          <cell r="O116">
            <v>10</v>
          </cell>
          <cell r="P116">
            <v>8</v>
          </cell>
          <cell r="Q116">
            <v>3</v>
          </cell>
        </row>
        <row r="117">
          <cell r="B117">
            <v>82</v>
          </cell>
          <cell r="C117" t="str">
            <v>Condition Monitoring</v>
          </cell>
          <cell r="D117" t="str">
            <v>Tapchanger Monitors</v>
          </cell>
          <cell r="E117" t="str">
            <v>Other</v>
          </cell>
          <cell r="F117" t="str">
            <v>Install Reinhausen Tapchanger Monitors to transformers identified above</v>
          </cell>
          <cell r="G117" t="str">
            <v>C</v>
          </cell>
          <cell r="H117" t="str">
            <v>C</v>
          </cell>
          <cell r="I117">
            <v>2003</v>
          </cell>
          <cell r="J117" t="str">
            <v>Asset Managers</v>
          </cell>
          <cell r="K117">
            <v>39965</v>
          </cell>
          <cell r="M117">
            <v>2</v>
          </cell>
          <cell r="N117">
            <v>2</v>
          </cell>
          <cell r="O117">
            <v>10</v>
          </cell>
          <cell r="P117">
            <v>8</v>
          </cell>
          <cell r="Q117">
            <v>3</v>
          </cell>
        </row>
        <row r="118">
          <cell r="B118">
            <v>83</v>
          </cell>
          <cell r="C118" t="str">
            <v>Condition Monitoring</v>
          </cell>
          <cell r="D118" t="str">
            <v>CT  DDF Monitors</v>
          </cell>
          <cell r="E118" t="str">
            <v>Other</v>
          </cell>
          <cell r="F118" t="str">
            <v>Resolve Reliability Concerns for Powerlink DDF monitoring system</v>
          </cell>
          <cell r="G118" t="str">
            <v>O</v>
          </cell>
          <cell r="H118" t="str">
            <v>I</v>
          </cell>
          <cell r="I118">
            <v>2003</v>
          </cell>
          <cell r="J118" t="str">
            <v>AM/Northern</v>
          </cell>
          <cell r="K118">
            <v>38504</v>
          </cell>
          <cell r="L118" t="str">
            <v>No date</v>
          </cell>
          <cell r="M118">
            <v>0</v>
          </cell>
          <cell r="N118">
            <v>0</v>
          </cell>
          <cell r="O118">
            <v>10</v>
          </cell>
          <cell r="P118">
            <v>10</v>
          </cell>
          <cell r="Q118">
            <v>3</v>
          </cell>
        </row>
        <row r="119">
          <cell r="B119">
            <v>84</v>
          </cell>
          <cell r="C119" t="str">
            <v>Condition Monitoring</v>
          </cell>
          <cell r="D119" t="str">
            <v>CT  DDF Monitors</v>
          </cell>
          <cell r="E119" t="str">
            <v>Other</v>
          </cell>
          <cell r="F119" t="str">
            <v>Purchase, install AVO SOS system</v>
          </cell>
          <cell r="G119" t="str">
            <v>C</v>
          </cell>
          <cell r="H119" t="str">
            <v>I</v>
          </cell>
          <cell r="I119">
            <v>2003</v>
          </cell>
          <cell r="J119" t="str">
            <v>AM/Central</v>
          </cell>
          <cell r="K119">
            <v>38139</v>
          </cell>
          <cell r="M119">
            <v>0</v>
          </cell>
          <cell r="N119">
            <v>0</v>
          </cell>
          <cell r="O119">
            <v>10</v>
          </cell>
          <cell r="P119">
            <v>10</v>
          </cell>
          <cell r="Q119">
            <v>3</v>
          </cell>
        </row>
        <row r="120">
          <cell r="B120">
            <v>84</v>
          </cell>
          <cell r="C120" t="str">
            <v>Condition Monitoring</v>
          </cell>
          <cell r="D120" t="str">
            <v>CT  DDF Monitors</v>
          </cell>
          <cell r="E120" t="str">
            <v>Other</v>
          </cell>
          <cell r="F120" t="str">
            <v>Evaluate performance of AVO SOS system</v>
          </cell>
          <cell r="G120" t="str">
            <v>O</v>
          </cell>
          <cell r="H120" t="str">
            <v>I</v>
          </cell>
          <cell r="I120">
            <v>2003</v>
          </cell>
          <cell r="J120" t="str">
            <v>AM/Central</v>
          </cell>
          <cell r="K120">
            <v>38687</v>
          </cell>
          <cell r="M120">
            <v>0</v>
          </cell>
          <cell r="N120">
            <v>0</v>
          </cell>
          <cell r="O120">
            <v>10</v>
          </cell>
          <cell r="P120">
            <v>10</v>
          </cell>
          <cell r="Q120">
            <v>3</v>
          </cell>
        </row>
        <row r="121">
          <cell r="B121">
            <v>85</v>
          </cell>
          <cell r="C121" t="str">
            <v>Condition Monitoring</v>
          </cell>
          <cell r="D121" t="str">
            <v>CT  DDF Monitors</v>
          </cell>
          <cell r="E121" t="str">
            <v>Other</v>
          </cell>
          <cell r="F121" t="str">
            <v>Purchase and install Connel Wagner Intellinode system</v>
          </cell>
          <cell r="G121" t="str">
            <v>C</v>
          </cell>
          <cell r="H121" t="str">
            <v>I</v>
          </cell>
          <cell r="I121">
            <v>2003</v>
          </cell>
          <cell r="J121" t="str">
            <v>AM/Northern</v>
          </cell>
          <cell r="K121" t="str">
            <v>When System is in production</v>
          </cell>
          <cell r="L121" t="str">
            <v>No Date</v>
          </cell>
          <cell r="M121">
            <v>0</v>
          </cell>
          <cell r="N121">
            <v>0</v>
          </cell>
          <cell r="O121">
            <v>10</v>
          </cell>
          <cell r="P121">
            <v>10</v>
          </cell>
          <cell r="Q121">
            <v>3</v>
          </cell>
        </row>
        <row r="122">
          <cell r="B122">
            <v>85</v>
          </cell>
          <cell r="C122" t="str">
            <v>Condition Monitoring</v>
          </cell>
          <cell r="D122" t="str">
            <v>CT  DDF Monitors</v>
          </cell>
          <cell r="E122" t="str">
            <v>Other</v>
          </cell>
          <cell r="F122" t="str">
            <v>Evaluate performance of Connel Wagner Intellinode system</v>
          </cell>
          <cell r="G122" t="str">
            <v>O</v>
          </cell>
          <cell r="H122" t="str">
            <v>I</v>
          </cell>
          <cell r="I122">
            <v>2003</v>
          </cell>
          <cell r="J122" t="str">
            <v>AM/Northern</v>
          </cell>
          <cell r="K122" t="str">
            <v>TBA</v>
          </cell>
          <cell r="L122" t="str">
            <v>No Date</v>
          </cell>
          <cell r="M122">
            <v>0</v>
          </cell>
          <cell r="N122">
            <v>0</v>
          </cell>
          <cell r="O122">
            <v>10</v>
          </cell>
          <cell r="P122">
            <v>10</v>
          </cell>
          <cell r="Q122">
            <v>3</v>
          </cell>
        </row>
        <row r="123">
          <cell r="B123">
            <v>86</v>
          </cell>
          <cell r="C123" t="str">
            <v>Condition Monitoring</v>
          </cell>
          <cell r="D123" t="str">
            <v>Bushin DDF Monitors</v>
          </cell>
          <cell r="E123" t="str">
            <v>Other</v>
          </cell>
          <cell r="F123" t="str">
            <v>Install bushing monitor on system critical transformers with no system spares - Lismore</v>
          </cell>
          <cell r="G123" t="str">
            <v>C</v>
          </cell>
          <cell r="H123" t="str">
            <v>A</v>
          </cell>
          <cell r="I123">
            <v>2003</v>
          </cell>
          <cell r="J123" t="str">
            <v>AM/Northern</v>
          </cell>
          <cell r="K123">
            <v>38869</v>
          </cell>
          <cell r="L123" t="str">
            <v>No Date</v>
          </cell>
          <cell r="M123">
            <v>0</v>
          </cell>
          <cell r="N123">
            <v>0</v>
          </cell>
          <cell r="O123">
            <v>10</v>
          </cell>
          <cell r="P123">
            <v>10</v>
          </cell>
          <cell r="Q123">
            <v>3</v>
          </cell>
        </row>
        <row r="124">
          <cell r="B124">
            <v>87</v>
          </cell>
          <cell r="C124" t="str">
            <v>Condition Monitoring</v>
          </cell>
          <cell r="D124" t="str">
            <v>Portable Tx On line Monitor</v>
          </cell>
          <cell r="E124" t="str">
            <v>Other</v>
          </cell>
          <cell r="F124" t="str">
            <v>Establish portable on-line monitoring unit for short-term monitoring or nursing of transformers</v>
          </cell>
          <cell r="G124" t="str">
            <v>C</v>
          </cell>
          <cell r="H124" t="str">
            <v>A</v>
          </cell>
          <cell r="I124">
            <v>2003</v>
          </cell>
          <cell r="J124" t="str">
            <v>SSE</v>
          </cell>
          <cell r="K124">
            <v>38322</v>
          </cell>
          <cell r="M124">
            <v>0</v>
          </cell>
          <cell r="N124">
            <v>0</v>
          </cell>
          <cell r="O124">
            <v>10</v>
          </cell>
          <cell r="P124">
            <v>10</v>
          </cell>
          <cell r="Q124">
            <v>3</v>
          </cell>
        </row>
        <row r="125">
          <cell r="B125">
            <v>88</v>
          </cell>
          <cell r="C125" t="str">
            <v>Circuit Breakers</v>
          </cell>
          <cell r="D125" t="str">
            <v>Circuit Breakers Testing</v>
          </cell>
          <cell r="E125" t="str">
            <v>Other</v>
          </cell>
          <cell r="F125" t="str">
            <v>Investigate and Report on circuit breaker test procedures and methods by December 2004</v>
          </cell>
          <cell r="G125" t="str">
            <v>O</v>
          </cell>
          <cell r="H125" t="str">
            <v>I</v>
          </cell>
          <cell r="I125">
            <v>2003</v>
          </cell>
          <cell r="J125" t="str">
            <v>SSE</v>
          </cell>
          <cell r="K125">
            <v>38322</v>
          </cell>
          <cell r="M125">
            <v>0</v>
          </cell>
          <cell r="N125">
            <v>0</v>
          </cell>
          <cell r="O125">
            <v>10</v>
          </cell>
          <cell r="P125">
            <v>10</v>
          </cell>
          <cell r="Q125">
            <v>3</v>
          </cell>
        </row>
        <row r="126">
          <cell r="B126">
            <v>89</v>
          </cell>
          <cell r="C126" t="str">
            <v>Spare Equipment</v>
          </cell>
          <cell r="D126" t="str">
            <v>Spare Equipment</v>
          </cell>
          <cell r="E126" t="str">
            <v>Other</v>
          </cell>
          <cell r="F126" t="str">
            <v>Develop and issue general policy for the management of spare plant and parts to be held for substations</v>
          </cell>
          <cell r="G126" t="str">
            <v>O</v>
          </cell>
          <cell r="H126" t="str">
            <v>I</v>
          </cell>
          <cell r="I126">
            <v>2004</v>
          </cell>
          <cell r="J126" t="str">
            <v>SSE</v>
          </cell>
          <cell r="K126">
            <v>38504</v>
          </cell>
          <cell r="M126">
            <v>0</v>
          </cell>
          <cell r="N126">
            <v>0</v>
          </cell>
          <cell r="O126">
            <v>8</v>
          </cell>
          <cell r="P126">
            <v>0</v>
          </cell>
          <cell r="Q126">
            <v>3</v>
          </cell>
        </row>
        <row r="127">
          <cell r="B127">
            <v>90</v>
          </cell>
          <cell r="C127" t="str">
            <v>Instrument Transformers</v>
          </cell>
          <cell r="D127" t="str">
            <v xml:space="preserve">Other Condition </v>
          </cell>
          <cell r="E127" t="str">
            <v>Other</v>
          </cell>
          <cell r="F127" t="str">
            <v>Replace</v>
          </cell>
          <cell r="G127" t="str">
            <v>C</v>
          </cell>
          <cell r="H127" t="str">
            <v>C</v>
          </cell>
          <cell r="I127" t="str">
            <v>XX</v>
          </cell>
          <cell r="J127" t="str">
            <v>Asset Managers</v>
          </cell>
          <cell r="K127" t="str">
            <v>Recurrent</v>
          </cell>
          <cell r="M127" t="str">
            <v>Assess</v>
          </cell>
        </row>
        <row r="128">
          <cell r="B128">
            <v>91</v>
          </cell>
          <cell r="C128" t="str">
            <v>Instrument Transformers</v>
          </cell>
          <cell r="D128" t="str">
            <v>Ducon CTs and CVTs</v>
          </cell>
          <cell r="E128" t="str">
            <v>Other</v>
          </cell>
          <cell r="F128" t="str">
            <v>Replace</v>
          </cell>
          <cell r="G128" t="str">
            <v>C</v>
          </cell>
          <cell r="H128" t="str">
            <v>C</v>
          </cell>
          <cell r="I128" t="str">
            <v>XX</v>
          </cell>
          <cell r="J128" t="str">
            <v>Asset Managers</v>
          </cell>
          <cell r="K128" t="str">
            <v>Recurrent</v>
          </cell>
        </row>
        <row r="129">
          <cell r="B129">
            <v>92</v>
          </cell>
          <cell r="C129" t="str">
            <v>Reactive Plant</v>
          </cell>
          <cell r="D129" t="str">
            <v>SVC</v>
          </cell>
          <cell r="E129" t="str">
            <v>Other</v>
          </cell>
          <cell r="F129" t="str">
            <v>Site Specific</v>
          </cell>
          <cell r="G129" t="str">
            <v>c</v>
          </cell>
          <cell r="H129" t="str">
            <v>c</v>
          </cell>
          <cell r="J129" t="str">
            <v>Asset Managers</v>
          </cell>
          <cell r="M129" t="str">
            <v>Assess</v>
          </cell>
        </row>
        <row r="130">
          <cell r="B130">
            <v>200</v>
          </cell>
          <cell r="C130" t="str">
            <v>Security</v>
          </cell>
          <cell r="D130" t="str">
            <v>Network Security Plan 2004 - 2009</v>
          </cell>
          <cell r="E130" t="str">
            <v>Replacement</v>
          </cell>
          <cell r="F130" t="str">
            <v>T1 - Security Perimeter Delineation Fence</v>
          </cell>
          <cell r="G130" t="str">
            <v>C</v>
          </cell>
          <cell r="H130" t="str">
            <v>R</v>
          </cell>
          <cell r="I130">
            <v>2004</v>
          </cell>
          <cell r="J130" t="str">
            <v>Asset Managers</v>
          </cell>
          <cell r="K130">
            <v>39965</v>
          </cell>
          <cell r="M130">
            <v>8</v>
          </cell>
          <cell r="N130">
            <v>0</v>
          </cell>
          <cell r="O130">
            <v>5</v>
          </cell>
          <cell r="P130">
            <v>2</v>
          </cell>
        </row>
        <row r="131">
          <cell r="B131">
            <v>201</v>
          </cell>
          <cell r="C131" t="str">
            <v>Security</v>
          </cell>
          <cell r="D131" t="str">
            <v>Network Security Plan 2004 - 2009</v>
          </cell>
          <cell r="E131" t="str">
            <v>Replacement</v>
          </cell>
          <cell r="F131" t="str">
            <v>T2 - Security Perimeter Fence</v>
          </cell>
          <cell r="G131" t="str">
            <v>C</v>
          </cell>
          <cell r="H131" t="str">
            <v>R</v>
          </cell>
          <cell r="I131">
            <v>2004</v>
          </cell>
          <cell r="J131" t="str">
            <v>Asset Managers</v>
          </cell>
          <cell r="K131">
            <v>39965</v>
          </cell>
          <cell r="M131">
            <v>8</v>
          </cell>
          <cell r="N131">
            <v>0</v>
          </cell>
          <cell r="O131">
            <v>5</v>
          </cell>
          <cell r="P131">
            <v>2</v>
          </cell>
        </row>
        <row r="132">
          <cell r="B132">
            <v>202</v>
          </cell>
          <cell r="C132" t="str">
            <v>Security</v>
          </cell>
          <cell r="D132" t="str">
            <v>Network Security Plan 2004 - 2009</v>
          </cell>
          <cell r="E132" t="str">
            <v>Other</v>
          </cell>
          <cell r="F132" t="str">
            <v>T3 - CCTV/PA</v>
          </cell>
          <cell r="G132" t="str">
            <v>C</v>
          </cell>
          <cell r="H132" t="str">
            <v>R</v>
          </cell>
          <cell r="I132">
            <v>2004</v>
          </cell>
          <cell r="J132" t="str">
            <v>Asset Managers</v>
          </cell>
          <cell r="K132">
            <v>39965</v>
          </cell>
          <cell r="M132">
            <v>8</v>
          </cell>
          <cell r="N132">
            <v>0</v>
          </cell>
          <cell r="O132">
            <v>5</v>
          </cell>
          <cell r="P132">
            <v>2</v>
          </cell>
        </row>
        <row r="133">
          <cell r="B133">
            <v>203</v>
          </cell>
          <cell r="C133" t="str">
            <v>Security</v>
          </cell>
          <cell r="D133" t="str">
            <v>Network Security Plan 2004 - 2009</v>
          </cell>
          <cell r="E133" t="str">
            <v>Other</v>
          </cell>
          <cell r="F133" t="str">
            <v>T4 - Monitored intrusion detection</v>
          </cell>
          <cell r="G133" t="str">
            <v>C</v>
          </cell>
          <cell r="H133" t="str">
            <v>R</v>
          </cell>
          <cell r="I133">
            <v>2004</v>
          </cell>
          <cell r="J133" t="str">
            <v>Asset Managers</v>
          </cell>
          <cell r="K133">
            <v>39965</v>
          </cell>
          <cell r="M133">
            <v>8</v>
          </cell>
          <cell r="N133">
            <v>0</v>
          </cell>
          <cell r="O133">
            <v>5</v>
          </cell>
          <cell r="P133">
            <v>2</v>
          </cell>
        </row>
        <row r="134">
          <cell r="B134">
            <v>204</v>
          </cell>
          <cell r="C134" t="str">
            <v>Security</v>
          </cell>
          <cell r="D134" t="str">
            <v>Network Security Plan 2004 - 2009</v>
          </cell>
          <cell r="E134" t="str">
            <v>Other</v>
          </cell>
          <cell r="F134" t="str">
            <v>T5 - Access Control</v>
          </cell>
          <cell r="G134" t="str">
            <v>C</v>
          </cell>
          <cell r="H134" t="str">
            <v>R</v>
          </cell>
          <cell r="I134">
            <v>2004</v>
          </cell>
          <cell r="J134" t="str">
            <v>Asset Managers</v>
          </cell>
          <cell r="K134">
            <v>39965</v>
          </cell>
          <cell r="M134">
            <v>8</v>
          </cell>
          <cell r="N134">
            <v>0</v>
          </cell>
          <cell r="O134">
            <v>5</v>
          </cell>
          <cell r="P134">
            <v>2</v>
          </cell>
        </row>
        <row r="135">
          <cell r="B135">
            <v>205</v>
          </cell>
          <cell r="C135" t="str">
            <v>Security</v>
          </cell>
          <cell r="D135" t="str">
            <v>Network Security Plan 2004 - 2009</v>
          </cell>
          <cell r="E135" t="str">
            <v>Other</v>
          </cell>
          <cell r="F135" t="str">
            <v>T6 - Movement activated lighting</v>
          </cell>
          <cell r="G135" t="str">
            <v>C</v>
          </cell>
          <cell r="H135" t="str">
            <v>R</v>
          </cell>
          <cell r="I135">
            <v>2004</v>
          </cell>
          <cell r="J135" t="str">
            <v>Asset Managers</v>
          </cell>
          <cell r="K135">
            <v>39965</v>
          </cell>
          <cell r="M135">
            <v>8</v>
          </cell>
          <cell r="N135">
            <v>0</v>
          </cell>
          <cell r="O135">
            <v>5</v>
          </cell>
          <cell r="P135">
            <v>2</v>
          </cell>
        </row>
        <row r="136">
          <cell r="B136">
            <v>206</v>
          </cell>
          <cell r="C136" t="str">
            <v>Security</v>
          </cell>
          <cell r="D136" t="str">
            <v>Network Security Plan 2004 - 2009</v>
          </cell>
          <cell r="E136" t="str">
            <v>Other</v>
          </cell>
          <cell r="F136" t="str">
            <v>T7 - Restricted locking and keying</v>
          </cell>
          <cell r="G136" t="str">
            <v>C</v>
          </cell>
          <cell r="H136" t="str">
            <v>R</v>
          </cell>
          <cell r="I136">
            <v>2004</v>
          </cell>
          <cell r="J136" t="str">
            <v>Asset Managers</v>
          </cell>
          <cell r="K136">
            <v>39965</v>
          </cell>
          <cell r="M136">
            <v>8</v>
          </cell>
          <cell r="N136">
            <v>0</v>
          </cell>
          <cell r="O136">
            <v>5</v>
          </cell>
          <cell r="P136">
            <v>2</v>
          </cell>
        </row>
        <row r="137">
          <cell r="B137">
            <v>207</v>
          </cell>
          <cell r="C137" t="str">
            <v>Security</v>
          </cell>
          <cell r="D137" t="str">
            <v>Network Security Plan 2004 - 2009</v>
          </cell>
          <cell r="E137" t="str">
            <v>Other</v>
          </cell>
          <cell r="F137" t="str">
            <v>T8 - Sinage</v>
          </cell>
          <cell r="G137" t="str">
            <v>C</v>
          </cell>
          <cell r="H137" t="str">
            <v>R</v>
          </cell>
          <cell r="I137">
            <v>2004</v>
          </cell>
          <cell r="J137" t="str">
            <v>Asset Managers</v>
          </cell>
          <cell r="K137">
            <v>39965</v>
          </cell>
          <cell r="M137">
            <v>8</v>
          </cell>
          <cell r="N137">
            <v>0</v>
          </cell>
          <cell r="O137">
            <v>5</v>
          </cell>
          <cell r="P137">
            <v>2</v>
          </cell>
        </row>
        <row r="138">
          <cell r="B138">
            <v>208</v>
          </cell>
          <cell r="C138" t="str">
            <v>Security</v>
          </cell>
          <cell r="D138" t="str">
            <v>Network Security Plan 2004 - 2009</v>
          </cell>
          <cell r="E138" t="str">
            <v>Other</v>
          </cell>
          <cell r="F138" t="str">
            <v>T9 - Community awareness</v>
          </cell>
          <cell r="G138" t="str">
            <v>C</v>
          </cell>
          <cell r="H138" t="str">
            <v>R</v>
          </cell>
          <cell r="I138">
            <v>2004</v>
          </cell>
          <cell r="J138" t="str">
            <v>Asset Managers</v>
          </cell>
          <cell r="K138">
            <v>39965</v>
          </cell>
          <cell r="M138">
            <v>8</v>
          </cell>
          <cell r="N138">
            <v>0</v>
          </cell>
          <cell r="O138">
            <v>5</v>
          </cell>
          <cell r="P138">
            <v>2</v>
          </cell>
        </row>
        <row r="139">
          <cell r="B139">
            <v>209</v>
          </cell>
          <cell r="C139" t="str">
            <v>Security</v>
          </cell>
          <cell r="D139" t="str">
            <v>Network Security Plan 2004 - 2009</v>
          </cell>
          <cell r="E139" t="str">
            <v>Other</v>
          </cell>
          <cell r="F139" t="str">
            <v>T10 - Staff awareness</v>
          </cell>
          <cell r="G139" t="str">
            <v>C</v>
          </cell>
          <cell r="H139" t="str">
            <v>R</v>
          </cell>
          <cell r="I139">
            <v>2004</v>
          </cell>
          <cell r="J139" t="str">
            <v>Asset Managers</v>
          </cell>
          <cell r="K139">
            <v>39965</v>
          </cell>
          <cell r="M139">
            <v>8</v>
          </cell>
          <cell r="N139">
            <v>0</v>
          </cell>
          <cell r="O139">
            <v>5</v>
          </cell>
          <cell r="P139">
            <v>2</v>
          </cell>
        </row>
        <row r="140">
          <cell r="B140">
            <v>300</v>
          </cell>
          <cell r="C140" t="str">
            <v>To Be confirmed</v>
          </cell>
          <cell r="D140" t="str">
            <v>To Be confirmed</v>
          </cell>
          <cell r="E140" t="str">
            <v>Other</v>
          </cell>
          <cell r="F140" t="str">
            <v>To Be confirmed</v>
          </cell>
        </row>
        <row r="141">
          <cell r="B141">
            <v>301</v>
          </cell>
          <cell r="C141" t="str">
            <v>Condition Monitoring</v>
          </cell>
          <cell r="D141" t="str">
            <v>Site Infrastructure</v>
          </cell>
          <cell r="E141" t="str">
            <v>Other</v>
          </cell>
          <cell r="F141" t="str">
            <v xml:space="preserve">Installation of infrastructure to support CM equipment </v>
          </cell>
          <cell r="G141" t="str">
            <v>C</v>
          </cell>
          <cell r="H141" t="str">
            <v>R</v>
          </cell>
          <cell r="I141">
            <v>3004</v>
          </cell>
          <cell r="J141" t="str">
            <v>Asset Managers</v>
          </cell>
          <cell r="K141">
            <v>39965</v>
          </cell>
          <cell r="M141">
            <v>0</v>
          </cell>
          <cell r="N141">
            <v>0</v>
          </cell>
          <cell r="O141">
            <v>0</v>
          </cell>
          <cell r="P141">
            <v>8</v>
          </cell>
        </row>
      </sheetData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scalation"/>
      <sheetName val="Assumptions"/>
      <sheetName val="Allocations"/>
      <sheetName val="Connections"/>
      <sheetName val="2015-18_Actuals"/>
      <sheetName val="Capex_ActualCY18"/>
      <sheetName val="Co-Gen F'cast"/>
      <sheetName val="Capex_Fcast_Direct"/>
      <sheetName val="Other_codes"/>
      <sheetName val="Downer Support"/>
      <sheetName val="Capex_Fcast_Total"/>
      <sheetName val="Cost_Recovery"/>
      <sheetName val="Contr_Fcast"/>
      <sheetName val="Summary_Output"/>
      <sheetName val="RFM_PTRM Input"/>
      <sheetName val="RIN_Outputs"/>
      <sheetName val="2.12 Inputs"/>
      <sheetName val="2.17-2.18 CapCons"/>
      <sheetName val="2.5 Connections"/>
      <sheetName val="Direct_view"/>
      <sheetName val="CapCon_view"/>
      <sheetName val="Historical_CY"/>
      <sheetName val="2.5.3 Volumes"/>
      <sheetName val="4.3 Connections"/>
    </sheetNames>
    <sheetDataSet>
      <sheetData sheetId="0"/>
      <sheetData sheetId="1">
        <row r="9">
          <cell r="I9">
            <v>1.0577777777777779</v>
          </cell>
        </row>
      </sheetData>
      <sheetData sheetId="2">
        <row r="19">
          <cell r="B19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0 Business &amp; other details  "/>
      <sheetName val="2.1 Expenditure summary"/>
      <sheetName val="2.2 Repex"/>
      <sheetName val="2.3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1 Labour"/>
      <sheetName val="2.12 Input tables"/>
      <sheetName val="4.1 Public lighting"/>
      <sheetName val="4.2 Metering"/>
      <sheetName val="4.3 Fee-based services"/>
      <sheetName val="4.4 Quoted services."/>
      <sheetName val="5.2 Asset Age Profile"/>
      <sheetName val="5.3 MD - Network level"/>
      <sheetName val="5.4 MD &amp; utilisation-Spatial"/>
      <sheetName val="6.3 Sustained interruptions"/>
    </sheetNames>
    <sheetDataSet>
      <sheetData sheetId="0" refreshError="1"/>
      <sheetData sheetId="1" refreshError="1">
        <row r="35">
          <cell r="C35" t="str">
            <v>2008/09</v>
          </cell>
          <cell r="D35" t="str">
            <v>2009/10</v>
          </cell>
          <cell r="E35" t="str">
            <v>2010/11</v>
          </cell>
          <cell r="F35" t="str">
            <v>2011/12</v>
          </cell>
          <cell r="G35" t="str">
            <v>2012/13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to Connections Model"/>
      <sheetName val="Input from Connections Model"/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Reg_Forecast"/>
      <sheetName val="Capex_by_Driver"/>
      <sheetName val="Safety"/>
      <sheetName val="AusNet_Overheads"/>
      <sheetName val="Outputs -&gt;"/>
      <sheetName val="RFM_PTRM"/>
      <sheetName val="Capex_2016-2026"/>
      <sheetName val="DER"/>
      <sheetName val="REFCL_view"/>
      <sheetName val="RIN Template -&gt;"/>
      <sheetName val="2.1 Exp Summary"/>
      <sheetName val="2.1.8 Cap Overheads"/>
      <sheetName val="2.6 Non-Network"/>
      <sheetName val="2.11 Labour"/>
      <sheetName val="2.17 Step Changes"/>
      <sheetName val="Other -&gt;"/>
      <sheetName val="Repex_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">
          <cell r="N26">
            <v>1.4906833450926693E-2</v>
          </cell>
          <cell r="O26">
            <v>8.9480509403160879E-3</v>
          </cell>
          <cell r="P26">
            <v>7.3916564274856267E-4</v>
          </cell>
          <cell r="Q26">
            <v>7.762137192630263E-3</v>
          </cell>
          <cell r="R26">
            <v>4.9608934391037352E-3</v>
          </cell>
          <cell r="S26">
            <v>6.5125776994591012E-3</v>
          </cell>
          <cell r="T26">
            <v>9.9346404822831889E-3</v>
          </cell>
          <cell r="U26">
            <v>1.307542378220742E-2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GA"/>
      <sheetName val="Assumptions_SC"/>
      <sheetName val="SPAND_SSC"/>
      <sheetName val="SPAND_GL_BA"/>
      <sheetName val="SPAND_PA_BA"/>
      <sheetName val="SPAND_Other_BA"/>
      <sheetName val="SPANT_SSC"/>
      <sheetName val="SPANT_GL_BA"/>
      <sheetName val="SPANT_PA_BA"/>
      <sheetName val="SPANT_Other_BA"/>
      <sheetName val="Output_SC"/>
      <sheetName val="SPAND_Output_SSC"/>
      <sheetName val="SPAND_Labour_BO"/>
      <sheetName val="SPAND_NonLabour_BO"/>
      <sheetName val="SPAND_Both_BO"/>
      <sheetName val="SPANT_Output_SSC"/>
      <sheetName val="SPANT_Labour_BO"/>
      <sheetName val="SPANT_NonLabour_BO"/>
      <sheetName val="SPANT_Both_BO"/>
      <sheetName val="Summary_SC"/>
      <sheetName val="SPAND_Summary_BO"/>
      <sheetName val="SPANT_Summary_BO"/>
      <sheetName val="Lookup_SC"/>
      <sheetName val="Lookup_BL"/>
      <sheetName val="SPAN_Result_BL"/>
      <sheetName val="SPAND_LU_SSC"/>
      <sheetName val="SPAND_LU_BL"/>
      <sheetName val="SPAND_CostCentre_BL"/>
      <sheetName val="SPAND_CorpFunction_BL"/>
      <sheetName val="SPANT_LU_SSC"/>
      <sheetName val="SPANT_LU_BL"/>
      <sheetName val="SPANT_CostCentre_BL"/>
      <sheetName val="SPANT_CorpFunction_BL"/>
    </sheetNames>
    <sheetDataSet>
      <sheetData sheetId="0">
        <row r="10">
          <cell r="C10" t="str">
            <v>OH Review for Feb-Mar 2009</v>
          </cell>
        </row>
      </sheetData>
      <sheetData sheetId="1"/>
      <sheetData sheetId="2">
        <row r="9">
          <cell r="G9">
            <v>4</v>
          </cell>
        </row>
        <row r="11">
          <cell r="G11">
            <v>2</v>
          </cell>
        </row>
        <row r="13">
          <cell r="G13">
            <v>1</v>
          </cell>
        </row>
        <row r="15">
          <cell r="G15">
            <v>3</v>
          </cell>
        </row>
        <row r="24">
          <cell r="M24" t="str">
            <v>615173</v>
          </cell>
          <cell r="N24" t="str">
            <v>615173</v>
          </cell>
          <cell r="O24" t="str">
            <v>615173</v>
          </cell>
          <cell r="P24" t="str">
            <v>615173</v>
          </cell>
        </row>
        <row r="25">
          <cell r="M25" t="str">
            <v>3510</v>
          </cell>
          <cell r="N25" t="str">
            <v>3640</v>
          </cell>
          <cell r="O25" t="str">
            <v>3510</v>
          </cell>
          <cell r="P25" t="str">
            <v>3640</v>
          </cell>
        </row>
        <row r="30">
          <cell r="M30">
            <v>3</v>
          </cell>
        </row>
        <row r="48">
          <cell r="P48">
            <v>0.35743970347372434</v>
          </cell>
        </row>
        <row r="51">
          <cell r="P51">
            <v>0.27411572454409661</v>
          </cell>
        </row>
        <row r="57">
          <cell r="L57">
            <v>14576627.619999999</v>
          </cell>
          <cell r="M57">
            <v>0.75</v>
          </cell>
          <cell r="N57">
            <v>0.25</v>
          </cell>
          <cell r="O57">
            <v>7848953.3399999999</v>
          </cell>
          <cell r="P57">
            <v>0.23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H6" t="str">
            <v xml:space="preserve">Total Labour </v>
          </cell>
        </row>
        <row r="8">
          <cell r="H8" t="str">
            <v>Cost Centre Name</v>
          </cell>
          <cell r="P8" t="str">
            <v>ADJ OH Pool 2</v>
          </cell>
          <cell r="X8" t="str">
            <v>Elec OH Alloc</v>
          </cell>
          <cell r="Y8" t="str">
            <v>Gas OH Alloc</v>
          </cell>
          <cell r="AH8" t="str">
            <v>Elec TOTAL</v>
          </cell>
          <cell r="AI8" t="str">
            <v>Gas TOTAL</v>
          </cell>
        </row>
      </sheetData>
      <sheetData sheetId="15">
        <row r="6">
          <cell r="H6" t="str">
            <v xml:space="preserve">Total Non Labour </v>
          </cell>
        </row>
        <row r="8">
          <cell r="H8" t="str">
            <v>Cost Centre Name</v>
          </cell>
          <cell r="P8" t="str">
            <v>ADJ OH Pool 2</v>
          </cell>
          <cell r="X8" t="str">
            <v>Elec OH Alloc</v>
          </cell>
          <cell r="Y8" t="str">
            <v>Gas OH Alloc</v>
          </cell>
          <cell r="AH8" t="str">
            <v>Elec TOTAL</v>
          </cell>
          <cell r="AI8" t="str">
            <v>Gas TOTAL</v>
          </cell>
        </row>
      </sheetData>
      <sheetData sheetId="16">
        <row r="6">
          <cell r="H6" t="str">
            <v>Total Other Companies</v>
          </cell>
        </row>
        <row r="8">
          <cell r="H8" t="str">
            <v>Cost Centre Name</v>
          </cell>
          <cell r="P8" t="str">
            <v>ADJ OH Pool 2</v>
          </cell>
          <cell r="X8" t="str">
            <v>Elec OH Alloc</v>
          </cell>
          <cell r="Y8" t="str">
            <v>Gas OH Alloc</v>
          </cell>
          <cell r="AH8" t="str">
            <v>Elec TOTAL</v>
          </cell>
          <cell r="AI8" t="str">
            <v>Gas TOTAL</v>
          </cell>
        </row>
      </sheetData>
      <sheetData sheetId="17"/>
      <sheetData sheetId="18">
        <row r="6">
          <cell r="H6" t="str">
            <v>Total Labour</v>
          </cell>
        </row>
        <row r="8">
          <cell r="H8" t="str">
            <v>Cost Centre Name</v>
          </cell>
          <cell r="P8" t="str">
            <v>ADJ OH Pool 2</v>
          </cell>
          <cell r="U8" t="str">
            <v>Total Alloc</v>
          </cell>
        </row>
      </sheetData>
      <sheetData sheetId="19">
        <row r="6">
          <cell r="H6" t="str">
            <v>Total Non Labour</v>
          </cell>
        </row>
        <row r="8">
          <cell r="H8" t="str">
            <v>Cost Centre Name</v>
          </cell>
          <cell r="P8" t="str">
            <v>ADJ OH Pool 2</v>
          </cell>
          <cell r="U8" t="str">
            <v>Total Alloc</v>
          </cell>
        </row>
      </sheetData>
      <sheetData sheetId="20">
        <row r="6">
          <cell r="H6" t="str">
            <v>Total Other Companies</v>
          </cell>
        </row>
        <row r="8">
          <cell r="H8" t="str">
            <v>Cost Centre Name</v>
          </cell>
          <cell r="P8" t="str">
            <v>ADJ OH Pool 2</v>
          </cell>
          <cell r="U8" t="str">
            <v>Total Alloc</v>
          </cell>
        </row>
      </sheetData>
      <sheetData sheetId="21"/>
      <sheetData sheetId="22"/>
      <sheetData sheetId="23"/>
      <sheetData sheetId="24"/>
      <sheetData sheetId="25">
        <row r="10">
          <cell r="C10" t="str">
            <v>May-Jun</v>
          </cell>
        </row>
        <row r="11">
          <cell r="C11" t="str">
            <v>Aug-Sep</v>
          </cell>
        </row>
        <row r="12">
          <cell r="C12" t="str">
            <v>Nov-Dec</v>
          </cell>
        </row>
        <row r="13">
          <cell r="C13" t="str">
            <v>Feb-Mar</v>
          </cell>
        </row>
        <row r="16">
          <cell r="C16" t="str">
            <v>Distribution</v>
          </cell>
        </row>
        <row r="17">
          <cell r="C17" t="str">
            <v>Transmission</v>
          </cell>
        </row>
        <row r="20">
          <cell r="C20">
            <v>2008</v>
          </cell>
        </row>
        <row r="21">
          <cell r="C21">
            <v>2009</v>
          </cell>
        </row>
        <row r="22">
          <cell r="C22">
            <v>2010</v>
          </cell>
        </row>
        <row r="23">
          <cell r="C23">
            <v>2011</v>
          </cell>
        </row>
        <row r="24">
          <cell r="C24">
            <v>2012</v>
          </cell>
        </row>
        <row r="25">
          <cell r="C25">
            <v>2013</v>
          </cell>
        </row>
        <row r="26">
          <cell r="C26">
            <v>2014</v>
          </cell>
        </row>
        <row r="27">
          <cell r="C27">
            <v>2015</v>
          </cell>
        </row>
        <row r="28">
          <cell r="C28">
            <v>2016</v>
          </cell>
        </row>
        <row r="29">
          <cell r="C29">
            <v>2017</v>
          </cell>
        </row>
        <row r="30">
          <cell r="C30">
            <v>2018</v>
          </cell>
        </row>
        <row r="33">
          <cell r="C33" t="str">
            <v>GL</v>
          </cell>
        </row>
        <row r="34">
          <cell r="C34" t="str">
            <v>PA</v>
          </cell>
        </row>
        <row r="35">
          <cell r="C35" t="str">
            <v>Other</v>
          </cell>
        </row>
        <row r="38">
          <cell r="C38" t="str">
            <v>Labour</v>
          </cell>
        </row>
        <row r="39">
          <cell r="C39" t="str">
            <v>Non Labour</v>
          </cell>
        </row>
        <row r="40">
          <cell r="C40" t="str">
            <v>Other Companies</v>
          </cell>
        </row>
      </sheetData>
      <sheetData sheetId="26"/>
      <sheetData sheetId="27"/>
      <sheetData sheetId="28"/>
      <sheetData sheetId="29">
        <row r="8">
          <cell r="G8" t="str">
            <v>Cost Centre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Request Template"/>
      <sheetName val="Data"/>
    </sheetNames>
    <sheetDataSet>
      <sheetData sheetId="0" refreshError="1"/>
      <sheetData sheetId="1">
        <row r="3">
          <cell r="B3" t="str">
            <v>118000 Projects WIP</v>
          </cell>
          <cell r="D3">
            <v>10</v>
          </cell>
        </row>
        <row r="4">
          <cell r="B4" t="str">
            <v>213800 Misc Dep &amp; Trust Funds</v>
          </cell>
          <cell r="D4">
            <v>20</v>
          </cell>
        </row>
        <row r="5">
          <cell r="B5" t="str">
            <v>600100 Cost of Sales</v>
          </cell>
          <cell r="D5">
            <v>25</v>
          </cell>
        </row>
        <row r="6">
          <cell r="B6" t="str">
            <v>600200 Cost of Inventory Sales</v>
          </cell>
          <cell r="D6">
            <v>32</v>
          </cell>
        </row>
        <row r="7">
          <cell r="B7" t="str">
            <v>602250 Unaccounted for Gas Exp</v>
          </cell>
          <cell r="D7">
            <v>34</v>
          </cell>
        </row>
        <row r="8">
          <cell r="B8" t="str">
            <v>602660 Exit Charge</v>
          </cell>
          <cell r="D8">
            <v>36</v>
          </cell>
        </row>
        <row r="9">
          <cell r="B9" t="str">
            <v>602663 APM Feeder Charges</v>
          </cell>
          <cell r="D9">
            <v>38</v>
          </cell>
        </row>
        <row r="10">
          <cell r="B10" t="str">
            <v>602665 Network Support Payment</v>
          </cell>
          <cell r="D10">
            <v>40</v>
          </cell>
        </row>
        <row r="11">
          <cell r="B11" t="str">
            <v>602720 TUOS - (Vencorp)</v>
          </cell>
          <cell r="D11">
            <v>50</v>
          </cell>
        </row>
        <row r="12">
          <cell r="B12" t="str">
            <v>604550 Int Electricity Expense</v>
          </cell>
          <cell r="D12">
            <v>55</v>
          </cell>
        </row>
        <row r="13">
          <cell r="B13" t="str">
            <v>604554 Cross Boundary Nwk Chgs</v>
          </cell>
          <cell r="D13">
            <v>60</v>
          </cell>
        </row>
        <row r="14">
          <cell r="B14" t="str">
            <v>607190 Unrealised losses-deriv</v>
          </cell>
          <cell r="D14">
            <v>65</v>
          </cell>
        </row>
        <row r="15">
          <cell r="B15" t="str">
            <v>611000 Salaries Ordinary Time</v>
          </cell>
          <cell r="D15">
            <v>70</v>
          </cell>
        </row>
        <row r="16">
          <cell r="B16" t="str">
            <v>611001 Salaries - Other</v>
          </cell>
          <cell r="D16">
            <v>75</v>
          </cell>
        </row>
        <row r="17">
          <cell r="B17" t="str">
            <v>611002 Salaries Overtime</v>
          </cell>
          <cell r="D17">
            <v>80</v>
          </cell>
        </row>
        <row r="18">
          <cell r="B18" t="str">
            <v>611003 Salaries - Avail. Allow</v>
          </cell>
          <cell r="D18">
            <v>90</v>
          </cell>
        </row>
        <row r="19">
          <cell r="B19" t="str">
            <v>611004 Salaries - Relocn Allow</v>
          </cell>
          <cell r="D19">
            <v>104</v>
          </cell>
        </row>
        <row r="20">
          <cell r="B20" t="str">
            <v>611090 Labour Trfrs to Cap Exp</v>
          </cell>
          <cell r="D20">
            <v>107</v>
          </cell>
        </row>
        <row r="21">
          <cell r="B21" t="str">
            <v>611091 Transfer Revenue-Labour</v>
          </cell>
          <cell r="D21">
            <v>108</v>
          </cell>
        </row>
        <row r="22">
          <cell r="B22" t="str">
            <v>611092 Transfers Expense - Lab</v>
          </cell>
          <cell r="D22">
            <v>109</v>
          </cell>
        </row>
        <row r="23">
          <cell r="B23" t="str">
            <v>611200 Oncosts Expense</v>
          </cell>
          <cell r="D23">
            <v>110</v>
          </cell>
        </row>
        <row r="24">
          <cell r="B24" t="str">
            <v>611300 Payroll Expense</v>
          </cell>
          <cell r="D24">
            <v>112</v>
          </cell>
        </row>
        <row r="25">
          <cell r="B25" t="str">
            <v>611310 Payroll Recovery</v>
          </cell>
          <cell r="D25">
            <v>116</v>
          </cell>
        </row>
        <row r="26">
          <cell r="B26" t="str">
            <v>611910 Salaries Redundancy Pmt</v>
          </cell>
          <cell r="D26">
            <v>118</v>
          </cell>
        </row>
        <row r="27">
          <cell r="B27" t="str">
            <v>614000 Cont Off/Admin Services</v>
          </cell>
          <cell r="D27">
            <v>120</v>
          </cell>
        </row>
        <row r="28">
          <cell r="B28" t="str">
            <v>614030 Ext Engineering Labour</v>
          </cell>
          <cell r="D28">
            <v>121</v>
          </cell>
        </row>
        <row r="29">
          <cell r="B29" t="str">
            <v>614050 Temp Staff - Agency</v>
          </cell>
          <cell r="D29">
            <v>147</v>
          </cell>
        </row>
        <row r="30">
          <cell r="B30" t="str">
            <v>614055 Payroll Tax -Agency</v>
          </cell>
          <cell r="D30">
            <v>148</v>
          </cell>
        </row>
        <row r="31">
          <cell r="B31" t="str">
            <v>614060 Alliance Lab</v>
          </cell>
          <cell r="D31">
            <v>149</v>
          </cell>
        </row>
        <row r="32">
          <cell r="B32" t="str">
            <v>614060 Alliance Labour</v>
          </cell>
          <cell r="D32">
            <v>150</v>
          </cell>
        </row>
        <row r="33">
          <cell r="B33" t="str">
            <v>614061 Alliance Lab-Training</v>
          </cell>
          <cell r="D33">
            <v>151</v>
          </cell>
        </row>
        <row r="34">
          <cell r="B34" t="str">
            <v>614062 Alliance Lab-Meetings</v>
          </cell>
          <cell r="D34">
            <v>152</v>
          </cell>
        </row>
        <row r="35">
          <cell r="B35" t="str">
            <v>614063 Alliance Lab-DepotMaint</v>
          </cell>
          <cell r="D35">
            <v>154</v>
          </cell>
        </row>
        <row r="36">
          <cell r="B36" t="str">
            <v>614064 Alliance - Unalloc Lab</v>
          </cell>
          <cell r="D36">
            <v>155</v>
          </cell>
        </row>
        <row r="37">
          <cell r="B37" t="str">
            <v>614065 Alliance Lab-Unalloc</v>
          </cell>
          <cell r="D37">
            <v>156</v>
          </cell>
        </row>
        <row r="38">
          <cell r="B38" t="str">
            <v>614065 Alliance Labour-Unalloc</v>
          </cell>
          <cell r="D38">
            <v>158</v>
          </cell>
        </row>
        <row r="39">
          <cell r="B39" t="str">
            <v>614071 Alliance Support - Lab.</v>
          </cell>
          <cell r="D39">
            <v>160</v>
          </cell>
        </row>
        <row r="40">
          <cell r="B40" t="str">
            <v>615130 Sick Leave O-C Crdts</v>
          </cell>
          <cell r="D40">
            <v>161</v>
          </cell>
        </row>
        <row r="41">
          <cell r="B41" t="str">
            <v>615135 Sick Leave Taken - Sal</v>
          </cell>
          <cell r="D41">
            <v>164</v>
          </cell>
        </row>
        <row r="42">
          <cell r="B42" t="str">
            <v>615140 O/Paid Lv O-C Crdts</v>
          </cell>
          <cell r="D42">
            <v>166</v>
          </cell>
        </row>
        <row r="43">
          <cell r="B43" t="str">
            <v>615145 O/Paid Lv Taken Sals</v>
          </cell>
          <cell r="D43">
            <v>167</v>
          </cell>
        </row>
        <row r="44">
          <cell r="B44" t="str">
            <v>615160 Workcover O-C Crdts</v>
          </cell>
          <cell r="D44">
            <v>168</v>
          </cell>
        </row>
        <row r="45">
          <cell r="B45" t="str">
            <v>615162 Workcover Medical Exp</v>
          </cell>
          <cell r="D45">
            <v>170</v>
          </cell>
        </row>
        <row r="46">
          <cell r="B46" t="str">
            <v>615165 Workcover Leave Taken</v>
          </cell>
          <cell r="D46">
            <v>180</v>
          </cell>
        </row>
        <row r="47">
          <cell r="B47" t="str">
            <v>615167 Workcover Recoupment</v>
          </cell>
          <cell r="D47">
            <v>190</v>
          </cell>
        </row>
        <row r="48">
          <cell r="B48" t="str">
            <v>615169 Workcover Levy Sals</v>
          </cell>
          <cell r="D48">
            <v>200</v>
          </cell>
        </row>
        <row r="49">
          <cell r="B49" t="str">
            <v>615170 SuperA - Oncost Credit</v>
          </cell>
          <cell r="D49">
            <v>205</v>
          </cell>
        </row>
        <row r="50">
          <cell r="B50" t="str">
            <v>615173 SuperA - Employer Contn</v>
          </cell>
          <cell r="D50">
            <v>207</v>
          </cell>
        </row>
        <row r="51">
          <cell r="B51" t="str">
            <v>615180 Payroll Tax Oncost Cred</v>
          </cell>
          <cell r="D51">
            <v>210</v>
          </cell>
        </row>
        <row r="52">
          <cell r="B52" t="str">
            <v>615183 Payroll Tax Payments</v>
          </cell>
          <cell r="D52">
            <v>212</v>
          </cell>
        </row>
        <row r="53">
          <cell r="B53" t="str">
            <v>630000 Materials-Stores Issues</v>
          </cell>
          <cell r="D53">
            <v>302</v>
          </cell>
        </row>
        <row r="54">
          <cell r="B54" t="str">
            <v>630010 Mater-Non-store purch.</v>
          </cell>
          <cell r="D54">
            <v>306</v>
          </cell>
        </row>
        <row r="55">
          <cell r="B55" t="str">
            <v>630020 General freight</v>
          </cell>
          <cell r="D55">
            <v>307</v>
          </cell>
        </row>
        <row r="56">
          <cell r="B56" t="str">
            <v>630030 Capital Purchase</v>
          </cell>
          <cell r="D56">
            <v>310</v>
          </cell>
        </row>
        <row r="57">
          <cell r="B57" t="str">
            <v>630050 Stock Write Off</v>
          </cell>
          <cell r="D57">
            <v>311</v>
          </cell>
        </row>
        <row r="58">
          <cell r="B58" t="str">
            <v>631100 Fuel &amp; Oil MV and MP</v>
          </cell>
          <cell r="D58">
            <v>312</v>
          </cell>
        </row>
        <row r="59">
          <cell r="B59" t="str">
            <v>631150 Lubricants-MV and MP</v>
          </cell>
          <cell r="D59">
            <v>314</v>
          </cell>
        </row>
        <row r="60">
          <cell r="B60" t="str">
            <v>631300 Tyres MV and MP</v>
          </cell>
          <cell r="D60">
            <v>322</v>
          </cell>
        </row>
        <row r="61">
          <cell r="B61" t="str">
            <v>632100 Stationery</v>
          </cell>
          <cell r="D61">
            <v>324</v>
          </cell>
        </row>
        <row r="62">
          <cell r="B62" t="str">
            <v>632110 Printing/Duplicating</v>
          </cell>
          <cell r="D62">
            <v>330</v>
          </cell>
        </row>
        <row r="63">
          <cell r="B63" t="str">
            <v>633100 Protective Clothing</v>
          </cell>
          <cell r="D63">
            <v>335</v>
          </cell>
        </row>
        <row r="64">
          <cell r="B64" t="str">
            <v>634000 Alliance Materials</v>
          </cell>
          <cell r="D64">
            <v>350</v>
          </cell>
        </row>
        <row r="65">
          <cell r="B65" t="str">
            <v>639500 Stores Recoveries</v>
          </cell>
          <cell r="D65">
            <v>351</v>
          </cell>
        </row>
        <row r="66">
          <cell r="B66" t="str">
            <v>640000 Contracts</v>
          </cell>
          <cell r="D66">
            <v>352</v>
          </cell>
        </row>
        <row r="67">
          <cell r="B67" t="str">
            <v>640001 Environmental Expenses</v>
          </cell>
          <cell r="D67">
            <v>353</v>
          </cell>
        </row>
        <row r="68">
          <cell r="B68" t="str">
            <v>640002 Easement Surveys</v>
          </cell>
          <cell r="D68">
            <v>380</v>
          </cell>
        </row>
        <row r="69">
          <cell r="B69" t="str">
            <v>640003 Minor Equipt. Purchases</v>
          </cell>
          <cell r="D69">
            <v>390</v>
          </cell>
        </row>
        <row r="70">
          <cell r="B70" t="str">
            <v>640004 Registry/Document Cost</v>
          </cell>
          <cell r="D70">
            <v>400</v>
          </cell>
        </row>
        <row r="71">
          <cell r="B71" t="str">
            <v>640005 Public Relations Costs</v>
          </cell>
          <cell r="D71">
            <v>410</v>
          </cell>
        </row>
        <row r="72">
          <cell r="B72" t="str">
            <v>640006 H&amp;S Expenses</v>
          </cell>
          <cell r="D72">
            <v>420</v>
          </cell>
        </row>
        <row r="73">
          <cell r="B73" t="str">
            <v>640007 Availability Rebate</v>
          </cell>
          <cell r="D73">
            <v>430</v>
          </cell>
        </row>
        <row r="74">
          <cell r="B74" t="str">
            <v>640008 Corporate CC Clearing</v>
          </cell>
          <cell r="D74">
            <v>442</v>
          </cell>
        </row>
        <row r="75">
          <cell r="B75" t="str">
            <v>640009 Non-Lab Trfs to Capital</v>
          </cell>
          <cell r="D75">
            <v>450</v>
          </cell>
        </row>
        <row r="76">
          <cell r="B76" t="str">
            <v>640010 Contracts-Turnkey Projs</v>
          </cell>
          <cell r="D76">
            <v>454</v>
          </cell>
        </row>
        <row r="77">
          <cell r="B77" t="str">
            <v>640012 Contracts - LV Rebates</v>
          </cell>
          <cell r="D77">
            <v>460</v>
          </cell>
        </row>
        <row r="78">
          <cell r="B78" t="str">
            <v>640014 Contracts-HV Reimburse</v>
          </cell>
          <cell r="D78">
            <v>462</v>
          </cell>
        </row>
        <row r="79">
          <cell r="B79" t="str">
            <v>640016 Contestable Wks Rebates</v>
          </cell>
          <cell r="D79">
            <v>472</v>
          </cell>
        </row>
        <row r="80">
          <cell r="B80" t="str">
            <v>640020 Oth Misc Exp - Powernet</v>
          </cell>
          <cell r="D80">
            <v>478</v>
          </cell>
        </row>
        <row r="81">
          <cell r="B81" t="str">
            <v>640050 SP Management Fee</v>
          </cell>
          <cell r="D81">
            <v>490</v>
          </cell>
        </row>
        <row r="82">
          <cell r="B82" t="str">
            <v>640054 Mgmt Co Performance Fee</v>
          </cell>
          <cell r="D82">
            <v>501</v>
          </cell>
        </row>
        <row r="83">
          <cell r="B83" t="str">
            <v>640055 Mgmt Co Service Charge</v>
          </cell>
          <cell r="D83">
            <v>502</v>
          </cell>
        </row>
        <row r="84">
          <cell r="B84" t="str">
            <v>640100 Internal Contracts Exp</v>
          </cell>
          <cell r="D84">
            <v>503</v>
          </cell>
        </row>
        <row r="85">
          <cell r="B85" t="str">
            <v>640155 Meter Provisioning Exp</v>
          </cell>
          <cell r="D85">
            <v>505</v>
          </cell>
        </row>
        <row r="86">
          <cell r="B86" t="str">
            <v>640230 Alliance Contracts</v>
          </cell>
          <cell r="D86">
            <v>536</v>
          </cell>
        </row>
        <row r="87">
          <cell r="B87" t="str">
            <v>640235 Alliance Plant &amp; Equip</v>
          </cell>
          <cell r="D87">
            <v>600</v>
          </cell>
        </row>
        <row r="88">
          <cell r="B88" t="str">
            <v>640237 Alliance Direct Costs</v>
          </cell>
          <cell r="D88">
            <v>601</v>
          </cell>
        </row>
        <row r="89">
          <cell r="B89" t="str">
            <v>640240 Alliance Support</v>
          </cell>
          <cell r="D89">
            <v>602</v>
          </cell>
        </row>
        <row r="90">
          <cell r="B90" t="str">
            <v>640242 Alliance Supp Vehicle</v>
          </cell>
          <cell r="D90">
            <v>610</v>
          </cell>
        </row>
        <row r="91">
          <cell r="B91" t="str">
            <v>640243 Alliance Supp Occup</v>
          </cell>
          <cell r="D91">
            <v>611</v>
          </cell>
        </row>
        <row r="92">
          <cell r="B92" t="str">
            <v>640244 Alliance Support Commun</v>
          </cell>
          <cell r="D92">
            <v>612</v>
          </cell>
        </row>
        <row r="93">
          <cell r="B93" t="str">
            <v>640245 Alliance Support Train</v>
          </cell>
          <cell r="D93">
            <v>620</v>
          </cell>
        </row>
        <row r="94">
          <cell r="B94" t="str">
            <v>640246 Alliance Support IS</v>
          </cell>
          <cell r="D94">
            <v>621</v>
          </cell>
        </row>
        <row r="95">
          <cell r="B95" t="str">
            <v>640247 Alliance Tools &amp; Cloth</v>
          </cell>
          <cell r="D95">
            <v>622</v>
          </cell>
        </row>
        <row r="96">
          <cell r="B96" t="str">
            <v>640249 Alliance Support  Other</v>
          </cell>
          <cell r="D96">
            <v>630</v>
          </cell>
        </row>
        <row r="97">
          <cell r="B97" t="str">
            <v>640250 Alliance Corp O'H Fee</v>
          </cell>
          <cell r="D97">
            <v>640</v>
          </cell>
        </row>
        <row r="98">
          <cell r="B98" t="str">
            <v>640255 Alliance Corp Charge</v>
          </cell>
          <cell r="D98">
            <v>650</v>
          </cell>
        </row>
        <row r="99">
          <cell r="B99" t="str">
            <v>640260 Alliance Management Fee</v>
          </cell>
          <cell r="D99">
            <v>660</v>
          </cell>
        </row>
        <row r="100">
          <cell r="B100" t="str">
            <v>640265 Alliance Op Excellence</v>
          </cell>
          <cell r="D100">
            <v>670</v>
          </cell>
        </row>
        <row r="101">
          <cell r="B101" t="str">
            <v>640270 Alliance Share o Saving</v>
          </cell>
          <cell r="D101">
            <v>680</v>
          </cell>
        </row>
        <row r="102">
          <cell r="B102" t="str">
            <v>640400 Gas Technology Services</v>
          </cell>
          <cell r="D102">
            <v>690</v>
          </cell>
        </row>
        <row r="103">
          <cell r="B103" t="str">
            <v>640510 Contract Meter Reading</v>
          </cell>
          <cell r="D103">
            <v>692</v>
          </cell>
        </row>
        <row r="104">
          <cell r="B104" t="str">
            <v>640560 Contract Service Agents</v>
          </cell>
          <cell r="D104">
            <v>716</v>
          </cell>
        </row>
        <row r="105">
          <cell r="B105" t="str">
            <v>640600 Repairs and Maintenance</v>
          </cell>
          <cell r="D105">
            <v>717</v>
          </cell>
        </row>
        <row r="106">
          <cell r="B106" t="str">
            <v>640625 Network Maintenance Exp</v>
          </cell>
          <cell r="D106">
            <v>827</v>
          </cell>
        </row>
        <row r="107">
          <cell r="B107" t="str">
            <v>640626 Non-Network Maint Exp</v>
          </cell>
          <cell r="D107">
            <v>991</v>
          </cell>
        </row>
        <row r="108">
          <cell r="B108" t="str">
            <v>640627 Line Easements Maint</v>
          </cell>
          <cell r="D108">
            <v>992</v>
          </cell>
        </row>
        <row r="109">
          <cell r="B109" t="str">
            <v>640628 Consult-MinAug Vencorp</v>
          </cell>
        </row>
        <row r="110">
          <cell r="B110" t="str">
            <v>640630 Works Maint Expense</v>
          </cell>
        </row>
        <row r="111">
          <cell r="B111" t="str">
            <v>640825 Internal Audit Expense</v>
          </cell>
        </row>
        <row r="112">
          <cell r="B112" t="str">
            <v>640845 External Audit Expense</v>
          </cell>
        </row>
        <row r="113">
          <cell r="B113" t="str">
            <v>640846 Certific &amp; Audit Fees</v>
          </cell>
        </row>
        <row r="114">
          <cell r="B114" t="str">
            <v>640855 Legal Expenses Tax Ded</v>
          </cell>
        </row>
        <row r="115">
          <cell r="B115" t="str">
            <v>640865 Legal Exp Non Tax Ded</v>
          </cell>
        </row>
        <row r="116">
          <cell r="B116" t="str">
            <v>640910 Consultancy - Computing</v>
          </cell>
        </row>
        <row r="117">
          <cell r="B117" t="str">
            <v>640912 Consult/Techn. Advice</v>
          </cell>
        </row>
        <row r="118">
          <cell r="B118" t="str">
            <v>640915 Consultancy Non-Tax Ded</v>
          </cell>
        </row>
        <row r="119">
          <cell r="B119" t="str">
            <v>640920 Recruitment Consulting</v>
          </cell>
        </row>
        <row r="120">
          <cell r="B120" t="str">
            <v>640996 Invoice Price Variance</v>
          </cell>
        </row>
        <row r="121">
          <cell r="B121" t="str">
            <v>640997 Discount Taken/Allowed</v>
          </cell>
        </row>
        <row r="122">
          <cell r="B122" t="str">
            <v>640998 PO Rate Variance - Gain</v>
          </cell>
        </row>
        <row r="123">
          <cell r="B123" t="str">
            <v>640999 PO Rate Variance - Loss</v>
          </cell>
        </row>
        <row r="124">
          <cell r="B124" t="str">
            <v>641800 Inter-company contracts</v>
          </cell>
        </row>
        <row r="125">
          <cell r="B125" t="str">
            <v>641830 Cont - TXU Net Mgt Fee</v>
          </cell>
        </row>
        <row r="126">
          <cell r="B126" t="str">
            <v>641855 Int-DMS Franchise Meter</v>
          </cell>
        </row>
        <row r="127">
          <cell r="B127" t="str">
            <v>642040 Insurance premiums</v>
          </cell>
        </row>
        <row r="128">
          <cell r="B128" t="str">
            <v>642042 Damage Payments</v>
          </cell>
        </row>
        <row r="129">
          <cell r="B129" t="str">
            <v>642043 Domestic Surge Claims</v>
          </cell>
        </row>
        <row r="130">
          <cell r="B130" t="str">
            <v>642044 Commercial Surge Claims</v>
          </cell>
        </row>
        <row r="131">
          <cell r="B131" t="str">
            <v>643000 Lease -Vehicles &amp; Mobil</v>
          </cell>
        </row>
        <row r="132">
          <cell r="B132" t="str">
            <v>643010 Fleet Management Fees</v>
          </cell>
        </row>
        <row r="133">
          <cell r="B133" t="str">
            <v>643020 Novated Lease Vehicles</v>
          </cell>
        </row>
        <row r="134">
          <cell r="B134" t="str">
            <v>643050 Hire -Vehicles and Mobi</v>
          </cell>
        </row>
        <row r="135">
          <cell r="B135" t="str">
            <v>643060 Lease of Plant &amp; Equip</v>
          </cell>
        </row>
        <row r="136">
          <cell r="B136" t="str">
            <v>643150 Hire - Plant and Equip</v>
          </cell>
        </row>
        <row r="137">
          <cell r="B137" t="str">
            <v>643300 Lease - Land and Build</v>
          </cell>
        </row>
        <row r="138">
          <cell r="B138" t="str">
            <v>643350 Hire-Land &amp; Build Power</v>
          </cell>
        </row>
        <row r="139">
          <cell r="B139" t="str">
            <v>643400 Lease - Computer Equip</v>
          </cell>
        </row>
        <row r="140">
          <cell r="B140" t="str">
            <v>643600 Lease - Office Equip</v>
          </cell>
        </row>
        <row r="141">
          <cell r="B141" t="str">
            <v>643690 Vehicle Service &amp; Maint</v>
          </cell>
        </row>
        <row r="142">
          <cell r="B142" t="str">
            <v>643695 Vehicle Maint Lab Costs</v>
          </cell>
        </row>
        <row r="143">
          <cell r="B143" t="str">
            <v>643700 Veh Parts &amp; Batteries</v>
          </cell>
        </row>
        <row r="144">
          <cell r="B144" t="str">
            <v>643710 Tool Costs</v>
          </cell>
        </row>
        <row r="145">
          <cell r="B145" t="str">
            <v>643720 Motor Vehicle Usage</v>
          </cell>
        </row>
        <row r="146">
          <cell r="B146" t="str">
            <v>643750 Veh and 3rd Party Reg</v>
          </cell>
        </row>
        <row r="147">
          <cell r="B147" t="str">
            <v>643755 Vehicle Toll Expense</v>
          </cell>
        </row>
        <row r="148">
          <cell r="B148" t="str">
            <v>643908 Freight &amp; Courier Fees</v>
          </cell>
        </row>
        <row r="149">
          <cell r="B149" t="str">
            <v>643925 Vehicle Parking - Perm</v>
          </cell>
        </row>
        <row r="150">
          <cell r="B150" t="str">
            <v>643930 Veh Parking - Non Perm</v>
          </cell>
        </row>
        <row r="151">
          <cell r="B151" t="str">
            <v>643940 Transport, Taxi</v>
          </cell>
        </row>
        <row r="152">
          <cell r="B152" t="str">
            <v>643960 Int Plan/Veh/Asset Hire</v>
          </cell>
        </row>
        <row r="153">
          <cell r="B153" t="str">
            <v>644070 Bad Debts Expense</v>
          </cell>
        </row>
        <row r="154">
          <cell r="B154" t="str">
            <v>644080 Doubtful Debts Expense</v>
          </cell>
        </row>
        <row r="155">
          <cell r="B155" t="str">
            <v>644090 Debt Collection Fees</v>
          </cell>
        </row>
        <row r="156">
          <cell r="B156" t="str">
            <v>644100 Agency Collection Fees</v>
          </cell>
        </row>
        <row r="157">
          <cell r="B157" t="str">
            <v>644650 Guarnted Service Levels</v>
          </cell>
        </row>
        <row r="158">
          <cell r="B158" t="str">
            <v>644660 Customer Comp -non GSL</v>
          </cell>
        </row>
        <row r="159">
          <cell r="B159" t="str">
            <v>644690 Campaign Rebates</v>
          </cell>
        </row>
        <row r="160">
          <cell r="B160" t="str">
            <v>645110 General Computing</v>
          </cell>
        </row>
        <row r="161">
          <cell r="B161" t="str">
            <v>645150 IT Licence Costs</v>
          </cell>
        </row>
        <row r="162">
          <cell r="B162" t="str">
            <v>645250 Hardware</v>
          </cell>
        </row>
        <row r="163">
          <cell r="B163" t="str">
            <v>645300 Data Networks Expense</v>
          </cell>
        </row>
        <row r="164">
          <cell r="B164" t="str">
            <v>645400 PC Software and Upgrade</v>
          </cell>
        </row>
        <row r="165">
          <cell r="B165" t="str">
            <v>646010 Communications Charges</v>
          </cell>
        </row>
        <row r="166">
          <cell r="B166" t="str">
            <v>646050 Internet Useage Expense</v>
          </cell>
        </row>
        <row r="167">
          <cell r="B167" t="str">
            <v>646400 Postal Charges</v>
          </cell>
        </row>
        <row r="168">
          <cell r="B168" t="str">
            <v>646500 Phones, Mobile &amp; Pagers</v>
          </cell>
        </row>
        <row r="169">
          <cell r="B169" t="str">
            <v>647200 Advertising</v>
          </cell>
        </row>
        <row r="170">
          <cell r="B170" t="str">
            <v>647250 Brand Sponsorship</v>
          </cell>
        </row>
        <row r="171">
          <cell r="B171" t="str">
            <v>647300 Direct &amp; Tele Marketing</v>
          </cell>
        </row>
        <row r="172">
          <cell r="B172" t="str">
            <v>647400 Photographic Expnditure</v>
          </cell>
        </row>
        <row r="173">
          <cell r="B173" t="str">
            <v>647500 Corporate Brochures</v>
          </cell>
        </row>
        <row r="174">
          <cell r="B174" t="str">
            <v>647600 Promotional Products</v>
          </cell>
        </row>
        <row r="175">
          <cell r="B175" t="str">
            <v>648030 Bank Fees</v>
          </cell>
        </row>
        <row r="176">
          <cell r="B176" t="str">
            <v>648031 Dishonoured Cheque Fees</v>
          </cell>
        </row>
        <row r="177">
          <cell r="B177" t="str">
            <v>648034 Fed Bank Act Debits Tax</v>
          </cell>
        </row>
        <row r="178">
          <cell r="B178" t="str">
            <v>648100 Fringe Benefits Tax</v>
          </cell>
        </row>
        <row r="179">
          <cell r="B179" t="str">
            <v>648200 Land Tax</v>
          </cell>
        </row>
        <row r="180">
          <cell r="B180" t="str">
            <v>648210 Water Rates</v>
          </cell>
        </row>
        <row r="181">
          <cell r="B181" t="str">
            <v>648220 Council Rates</v>
          </cell>
        </row>
        <row r="182">
          <cell r="B182" t="str">
            <v>648230 Elec Expense</v>
          </cell>
        </row>
        <row r="183">
          <cell r="B183" t="str">
            <v>648240 Gas Used</v>
          </cell>
        </row>
        <row r="184">
          <cell r="B184" t="str">
            <v>648300 Stamp Duty</v>
          </cell>
        </row>
        <row r="185">
          <cell r="B185" t="str">
            <v>648400 Penalties &amp; Fines</v>
          </cell>
        </row>
        <row r="186">
          <cell r="B186" t="str">
            <v>648500 Oth Govt Charges &amp; Levy</v>
          </cell>
        </row>
        <row r="187">
          <cell r="B187" t="str">
            <v>648550 Listing &amp; Share Reg Exp</v>
          </cell>
        </row>
        <row r="188">
          <cell r="B188" t="str">
            <v>648600 Permits &amp; Oth Licences</v>
          </cell>
        </row>
        <row r="189">
          <cell r="B189" t="str">
            <v>648620 Dist Licence Fee</v>
          </cell>
        </row>
        <row r="190">
          <cell r="B190" t="str">
            <v>648630 Ombudsman Levy</v>
          </cell>
        </row>
        <row r="191">
          <cell r="B191" t="str">
            <v>648640 Office of Gas &amp; Safety</v>
          </cell>
        </row>
        <row r="192">
          <cell r="B192" t="str">
            <v>648650 CEI Levy</v>
          </cell>
        </row>
        <row r="193">
          <cell r="B193" t="str">
            <v>649940 Foreign Ex gains/losses</v>
          </cell>
        </row>
        <row r="194">
          <cell r="B194" t="str">
            <v>649945 Unrealised PL Gain/Loss</v>
          </cell>
        </row>
        <row r="195">
          <cell r="B195" t="str">
            <v>649950 Financial Adjustments</v>
          </cell>
        </row>
        <row r="196">
          <cell r="B196" t="str">
            <v>659000 Miscellaneous General</v>
          </cell>
        </row>
        <row r="197">
          <cell r="B197" t="str">
            <v>659001 Oth Accom -452 Flinders</v>
          </cell>
        </row>
        <row r="198">
          <cell r="B198" t="str">
            <v>659002 Office Expenses</v>
          </cell>
        </row>
        <row r="199">
          <cell r="B199" t="str">
            <v>659005 Reward and Recognition</v>
          </cell>
        </row>
        <row r="200">
          <cell r="B200" t="str">
            <v>659008 Emp Assistance Programs</v>
          </cell>
        </row>
        <row r="201">
          <cell r="B201" t="str">
            <v>659010 Light Meals on Premises</v>
          </cell>
        </row>
        <row r="202">
          <cell r="B202" t="str">
            <v>659012 NonMeal Entertain staff</v>
          </cell>
        </row>
        <row r="203">
          <cell r="B203" t="str">
            <v>659014 Corporate Box Expend</v>
          </cell>
        </row>
        <row r="204">
          <cell r="B204" t="str">
            <v>659015 Meal Entertain- Staff</v>
          </cell>
        </row>
        <row r="205">
          <cell r="B205" t="str">
            <v>659017 Meal Ent.- Ext Parties</v>
          </cell>
        </row>
        <row r="206">
          <cell r="B206" t="str">
            <v>659018 Entertain Exp- Non-ded</v>
          </cell>
        </row>
        <row r="207">
          <cell r="B207" t="str">
            <v>659020 Corp Subscript &amp; M'ship</v>
          </cell>
        </row>
        <row r="208">
          <cell r="B208" t="str">
            <v>659025 Subscrip- News/Magazine</v>
          </cell>
        </row>
        <row r="209">
          <cell r="B209" t="str">
            <v>659030 Emp Subscript/Memb'ship</v>
          </cell>
        </row>
        <row r="210">
          <cell r="B210" t="str">
            <v>659032 Sponsorship</v>
          </cell>
        </row>
        <row r="211">
          <cell r="B211" t="str">
            <v>659070 Employee Relocation Exp</v>
          </cell>
        </row>
        <row r="212">
          <cell r="B212" t="str">
            <v>659075 Corporate Wardrobe Exp</v>
          </cell>
        </row>
        <row r="213">
          <cell r="B213" t="str">
            <v>659080 Expense Reimbt FBT</v>
          </cell>
        </row>
        <row r="214">
          <cell r="B214" t="str">
            <v>659082 Expense Reimbt Non FBT</v>
          </cell>
        </row>
        <row r="215">
          <cell r="B215" t="str">
            <v>659105 Training Expenses</v>
          </cell>
        </row>
        <row r="216">
          <cell r="B216" t="str">
            <v>659108 Emplyee Educ Assistance</v>
          </cell>
        </row>
        <row r="217">
          <cell r="B217" t="str">
            <v>659110 Ext Sem &amp;Conf &gt;4hrs</v>
          </cell>
        </row>
        <row r="218">
          <cell r="B218" t="str">
            <v>659115 Ext Sem &amp; Conf &lt; 4 hrs</v>
          </cell>
        </row>
        <row r="219">
          <cell r="B219" t="str">
            <v>659320 O/S Travel - Employ Bus</v>
          </cell>
        </row>
        <row r="220">
          <cell r="B220" t="str">
            <v>659321 O/S Travel-SpouseCosts</v>
          </cell>
        </row>
        <row r="221">
          <cell r="B221" t="str">
            <v>659322 Dom Travel - Emp Bus</v>
          </cell>
        </row>
        <row r="222">
          <cell r="B222" t="str">
            <v>659323 Dom Travel -Spouse Cost</v>
          </cell>
        </row>
        <row r="223">
          <cell r="B223" t="str">
            <v>659324 Victoria Travl -Emp Bus</v>
          </cell>
        </row>
        <row r="224">
          <cell r="B224" t="str">
            <v>659330 O/S Accom - Employ</v>
          </cell>
        </row>
        <row r="225">
          <cell r="B225" t="str">
            <v>659331 O/S Accom - Spouse Cost</v>
          </cell>
        </row>
        <row r="226">
          <cell r="B226" t="str">
            <v>659332 Dom Accom - Employee</v>
          </cell>
        </row>
        <row r="227">
          <cell r="B227" t="str">
            <v>659333 Domestic Accom - Spouse</v>
          </cell>
        </row>
        <row r="228">
          <cell r="B228" t="str">
            <v>660040 WDV Fix Assets Retired</v>
          </cell>
        </row>
        <row r="229">
          <cell r="B229" t="str">
            <v>661000 Abnormal Items</v>
          </cell>
        </row>
        <row r="230">
          <cell r="B230" t="str">
            <v>672100 Subordin Debt Interest</v>
          </cell>
        </row>
        <row r="231">
          <cell r="B231" t="str">
            <v>672101 Facility Interest</v>
          </cell>
        </row>
        <row r="232">
          <cell r="B232" t="str">
            <v>672200 Senior debt loan int</v>
          </cell>
        </row>
        <row r="233">
          <cell r="B233" t="str">
            <v>672260 Finance Charge Fees</v>
          </cell>
        </row>
        <row r="234">
          <cell r="B234" t="str">
            <v>672300 Loan Flotation Amort</v>
          </cell>
        </row>
        <row r="235">
          <cell r="B235" t="str">
            <v>672320 Debt Financing Costs</v>
          </cell>
        </row>
        <row r="236">
          <cell r="B236" t="str">
            <v>672400 Interco interest to sub</v>
          </cell>
        </row>
        <row r="237">
          <cell r="B237" t="str">
            <v>672600 Cap Finance Charges</v>
          </cell>
        </row>
        <row r="238">
          <cell r="B238" t="str">
            <v>673000 NPV InterExp(non-cash)</v>
          </cell>
        </row>
        <row r="239">
          <cell r="B239" t="str">
            <v>673010 DefinedBenefit InterExp</v>
          </cell>
        </row>
        <row r="240">
          <cell r="B240" t="str">
            <v>504550 Int - Electricity NUOS</v>
          </cell>
        </row>
        <row r="241">
          <cell r="B241" t="str">
            <v>504552 Elect NUOS External</v>
          </cell>
        </row>
        <row r="242">
          <cell r="B242" t="str">
            <v>504553 Electricity IMRO Rev</v>
          </cell>
        </row>
        <row r="243">
          <cell r="B243" t="str">
            <v>504554 Cross Bound Netwk Rev</v>
          </cell>
        </row>
        <row r="244">
          <cell r="B244" t="str">
            <v>504557 Elect Excluded ServInt</v>
          </cell>
        </row>
        <row r="245">
          <cell r="B245" t="str">
            <v>504558 Elect Excl Services Ext</v>
          </cell>
        </row>
        <row r="246">
          <cell r="B246" t="str">
            <v>504565 Network Revenue - UAFG</v>
          </cell>
        </row>
        <row r="247">
          <cell r="B247" t="str">
            <v>504600 Int-Gas DUOS Tariff V</v>
          </cell>
        </row>
        <row r="248">
          <cell r="B248" t="str">
            <v>504610 Gas DUOS Tariff V Ext.</v>
          </cell>
        </row>
        <row r="249">
          <cell r="B249" t="str">
            <v>504620 Int - Gas DUOS Tariff D</v>
          </cell>
        </row>
        <row r="250">
          <cell r="B250" t="str">
            <v>504625 Int-Network RevExclServ</v>
          </cell>
        </row>
        <row r="251">
          <cell r="B251" t="str">
            <v>504630 Gas DUOS Tariff D Ext.</v>
          </cell>
        </row>
        <row r="252">
          <cell r="B252" t="str">
            <v>519000 Elec Income - Other</v>
          </cell>
        </row>
        <row r="253">
          <cell r="B253" t="str">
            <v>530000 Interest Income</v>
          </cell>
        </row>
        <row r="254">
          <cell r="B254" t="str">
            <v>530002 InterestRevenue-SPILoan</v>
          </cell>
        </row>
        <row r="255">
          <cell r="B255" t="str">
            <v>530005 Investment Interest Rev</v>
          </cell>
        </row>
        <row r="256">
          <cell r="B256" t="str">
            <v>530055 Intercoy IntRev to Subs</v>
          </cell>
        </row>
        <row r="257">
          <cell r="B257" t="str">
            <v>530060 Other Interest Revenue</v>
          </cell>
        </row>
        <row r="258">
          <cell r="B258" t="str">
            <v>540800 Inter-company Revenue</v>
          </cell>
        </row>
        <row r="259">
          <cell r="B259" t="str">
            <v>540820 Int-Gas FRC Recov&amp;Meter</v>
          </cell>
        </row>
        <row r="260">
          <cell r="B260" t="str">
            <v>540823 Int - Gas Excluded Serv</v>
          </cell>
        </row>
        <row r="261">
          <cell r="B261" t="str">
            <v>540830 Rev Networks Mgt Fee</v>
          </cell>
        </row>
        <row r="262">
          <cell r="B262" t="str">
            <v>540835 MngtCoy Service ChrgRev</v>
          </cell>
        </row>
        <row r="263">
          <cell r="B263" t="str">
            <v>540837 MngtCoy Perform Fee Rev</v>
          </cell>
        </row>
        <row r="264">
          <cell r="B264" t="str">
            <v>540855 Rev DMS Franchise Meter</v>
          </cell>
        </row>
        <row r="265">
          <cell r="B265" t="str">
            <v>540862 Rev Elect Asset Sales</v>
          </cell>
        </row>
        <row r="266">
          <cell r="B266" t="str">
            <v>540864 Rev Net Gas AssetSales</v>
          </cell>
        </row>
        <row r="267">
          <cell r="B267" t="str">
            <v>560060 Profit on sale of Asset</v>
          </cell>
        </row>
        <row r="268">
          <cell r="B268" t="str">
            <v>560100 Rev on Sale of Assets</v>
          </cell>
        </row>
        <row r="269">
          <cell r="B269" t="str">
            <v>560101 Minor Disposal Sales</v>
          </cell>
        </row>
        <row r="270">
          <cell r="B270" t="str">
            <v>560107 Connection Serv-Distri</v>
          </cell>
        </row>
        <row r="271">
          <cell r="B271" t="str">
            <v>560109 Connection Serv-Distn</v>
          </cell>
        </row>
        <row r="272">
          <cell r="B272" t="str">
            <v>560111 ConnectionServ-InterCoy</v>
          </cell>
        </row>
        <row r="273">
          <cell r="B273" t="str">
            <v>560112 ConnectionServ-Gen</v>
          </cell>
        </row>
        <row r="274">
          <cell r="B274" t="str">
            <v>560113 Connection Serv-Vencorp</v>
          </cell>
        </row>
        <row r="275">
          <cell r="B275" t="str">
            <v>560119 Joint Use of Poles</v>
          </cell>
        </row>
        <row r="276">
          <cell r="B276" t="str">
            <v>560125 Non-regulated Revenue</v>
          </cell>
        </row>
        <row r="277">
          <cell r="B277" t="str">
            <v>560129 Bad Debts Recovered</v>
          </cell>
        </row>
        <row r="278">
          <cell r="B278" t="str">
            <v>560131 Property Rentals</v>
          </cell>
        </row>
        <row r="279">
          <cell r="B279" t="str">
            <v>560140 Revenue on Sale-Invent</v>
          </cell>
        </row>
        <row r="280">
          <cell r="B280" t="str">
            <v>560143 Recoverable Wks Revenue</v>
          </cell>
        </row>
        <row r="281">
          <cell r="B281" t="str">
            <v>560145 Claims Recovery</v>
          </cell>
        </row>
        <row r="282">
          <cell r="B282" t="str">
            <v>560150 Project External Rev</v>
          </cell>
        </row>
        <row r="283">
          <cell r="B283" t="str">
            <v>560151 Mtce &amp; Consult/CondMon</v>
          </cell>
        </row>
        <row r="284">
          <cell r="B284" t="str">
            <v>560152 Ext Gas FRC Rec&amp;Meter</v>
          </cell>
        </row>
        <row r="285">
          <cell r="B285" t="str">
            <v>560153 Gas Excl Services Extn</v>
          </cell>
        </row>
        <row r="286">
          <cell r="B286" t="str">
            <v>560154 Gas Meter Reading Rev</v>
          </cell>
        </row>
        <row r="287">
          <cell r="B287" t="str">
            <v>560155 Meter Provisioning Rev</v>
          </cell>
        </row>
        <row r="288">
          <cell r="B288" t="str">
            <v>560156 W/sale Meter Read Rev</v>
          </cell>
        </row>
        <row r="289">
          <cell r="B289" t="str">
            <v>560157 Contest Meter Reading</v>
          </cell>
        </row>
        <row r="290">
          <cell r="B290" t="str">
            <v>560160 Metering &amp; Prot Cntrl</v>
          </cell>
        </row>
        <row r="291">
          <cell r="B291" t="str">
            <v>560171 Int-Contribn-Cap Wks</v>
          </cell>
        </row>
        <row r="292">
          <cell r="B292" t="str">
            <v>560172 Contrib for Capital Wks</v>
          </cell>
        </row>
        <row r="293">
          <cell r="B293" t="str">
            <v>560173 HV Equalisat Rev-LVonly</v>
          </cell>
        </row>
        <row r="294">
          <cell r="B294" t="str">
            <v>560174 Rego and TAC Refunds</v>
          </cell>
        </row>
        <row r="295">
          <cell r="B295" t="str">
            <v>560190 Unrealised gains-deriv</v>
          </cell>
        </row>
        <row r="296">
          <cell r="B296" t="str">
            <v>560199 Other Revenue</v>
          </cell>
        </row>
        <row r="297">
          <cell r="B297" t="str">
            <v>560200 ESI Communications Serv</v>
          </cell>
        </row>
        <row r="298">
          <cell r="B298" t="str">
            <v>560201 Antenna Site Leasing</v>
          </cell>
        </row>
        <row r="299">
          <cell r="B299" t="str">
            <v>560202 Antenna Site Lease-HVT</v>
          </cell>
        </row>
        <row r="300">
          <cell r="B300" t="str">
            <v>560210 Chem Serv/ProtectCntl</v>
          </cell>
        </row>
        <row r="301">
          <cell r="B301" t="str">
            <v>560211 Chem Services-Singapore</v>
          </cell>
        </row>
        <row r="302">
          <cell r="B302" t="str">
            <v>560220 State Mobile Radio</v>
          </cell>
        </row>
        <row r="303">
          <cell r="B303" t="str">
            <v>561000 InterCoy Dividend Rev</v>
          </cell>
        </row>
        <row r="304">
          <cell r="B304" t="str">
            <v>564500 Seagas - Share-Profits</v>
          </cell>
        </row>
        <row r="305">
          <cell r="B305" t="str">
            <v>699991 Expense Clearing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Customers (Raw)"/>
      <sheetName val="Existing Customers (Raw)"/>
      <sheetName val="Existing Customers (Net)"/>
      <sheetName val="Tariff Transfers"/>
      <sheetName val="VERSION CONTROL"/>
      <sheetName val="Per Customer Demand"/>
      <sheetName val="New Customers (Net)"/>
      <sheetName val="Existing Customers (Modified)"/>
      <sheetName val="Solar Data"/>
      <sheetName val="Energy Per Customer"/>
      <sheetName val="Forecast input"/>
      <sheetName val="Extended_Formula"/>
      <sheetName val="Sheet1"/>
      <sheetName val="Forecast Calcs"/>
      <sheetName val="Reporting Input"/>
      <sheetName val="Reporting Output"/>
      <sheetName val="Chart2"/>
      <sheetName val="Energy_Effici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T3" t="str">
            <v>Fixed</v>
          </cell>
          <cell r="CX3" t="str">
            <v>Number</v>
          </cell>
          <cell r="DB3" t="str">
            <v>Export</v>
          </cell>
          <cell r="DC3" t="str">
            <v>Increased</v>
          </cell>
        </row>
        <row r="4">
          <cell r="CX4" t="str">
            <v>kWh</v>
          </cell>
          <cell r="DB4" t="str">
            <v>Displacement</v>
          </cell>
          <cell r="DC4" t="str">
            <v>Reduced</v>
          </cell>
        </row>
        <row r="5">
          <cell r="DB5" t="str">
            <v>Number of Installations</v>
          </cell>
        </row>
        <row r="6">
          <cell r="CX6" t="str">
            <v>Export kWh</v>
          </cell>
        </row>
        <row r="7">
          <cell r="CX7" t="str">
            <v>Summer Export kWh</v>
          </cell>
        </row>
        <row r="11">
          <cell r="C11">
            <v>2014</v>
          </cell>
        </row>
        <row r="12">
          <cell r="C12">
            <v>41912</v>
          </cell>
        </row>
        <row r="88">
          <cell r="B88" t="str">
            <v>NEE26</v>
          </cell>
          <cell r="C88" t="str">
            <v>Number of Installations</v>
          </cell>
          <cell r="G88" t="str">
            <v>NEE11</v>
          </cell>
        </row>
        <row r="89">
          <cell r="B89" t="str">
            <v>NEE26</v>
          </cell>
          <cell r="C89" t="str">
            <v>Export</v>
          </cell>
        </row>
        <row r="90">
          <cell r="B90" t="str">
            <v>NEE26</v>
          </cell>
          <cell r="C90" t="str">
            <v>Displacement</v>
          </cell>
        </row>
        <row r="91">
          <cell r="B91" t="str">
            <v>NEE27</v>
          </cell>
          <cell r="C91" t="str">
            <v>Number of Installations</v>
          </cell>
          <cell r="G91" t="str">
            <v>NEE12</v>
          </cell>
        </row>
        <row r="92">
          <cell r="B92" t="str">
            <v>NEE27</v>
          </cell>
          <cell r="C92" t="str">
            <v>Export</v>
          </cell>
        </row>
        <row r="93">
          <cell r="B93" t="str">
            <v>NEE27</v>
          </cell>
          <cell r="C93" t="str">
            <v>Displacement</v>
          </cell>
        </row>
        <row r="94">
          <cell r="B94" t="str">
            <v>NEE26</v>
          </cell>
          <cell r="C94" t="str">
            <v>Number of Installations</v>
          </cell>
          <cell r="G94" t="str">
            <v>NEE13</v>
          </cell>
        </row>
        <row r="95">
          <cell r="B95" t="str">
            <v>NEE26</v>
          </cell>
          <cell r="C95" t="str">
            <v>Export</v>
          </cell>
        </row>
        <row r="96">
          <cell r="B96" t="str">
            <v>NEE26</v>
          </cell>
          <cell r="C96" t="str">
            <v>Displacement</v>
          </cell>
        </row>
        <row r="97">
          <cell r="B97" t="str">
            <v>NEE26</v>
          </cell>
          <cell r="C97" t="str">
            <v>Number of Installations</v>
          </cell>
          <cell r="G97" t="str">
            <v>NEE20</v>
          </cell>
        </row>
        <row r="98">
          <cell r="B98" t="str">
            <v>NEE26</v>
          </cell>
          <cell r="C98" t="str">
            <v>Export</v>
          </cell>
        </row>
        <row r="99">
          <cell r="B99" t="str">
            <v>NEE26</v>
          </cell>
          <cell r="C99" t="str">
            <v>Displacement</v>
          </cell>
        </row>
        <row r="119">
          <cell r="B119" t="str">
            <v>Epping Fruit Market</v>
          </cell>
          <cell r="C119" t="str">
            <v>NSP81</v>
          </cell>
          <cell r="D119" t="str">
            <v>Fixed</v>
          </cell>
          <cell r="E119" t="str">
            <v>Increased</v>
          </cell>
        </row>
        <row r="120">
          <cell r="B120" t="str">
            <v>Epping Fruit Market</v>
          </cell>
          <cell r="C120" t="str">
            <v>NSP81</v>
          </cell>
          <cell r="D120" t="str">
            <v>Peak</v>
          </cell>
          <cell r="E120" t="str">
            <v>Increased</v>
          </cell>
        </row>
        <row r="121">
          <cell r="B121" t="str">
            <v>Epping Fruit Market</v>
          </cell>
          <cell r="C121" t="str">
            <v>NSP81</v>
          </cell>
          <cell r="D121" t="str">
            <v>OffPeak</v>
          </cell>
          <cell r="E121" t="str">
            <v>Increased</v>
          </cell>
        </row>
        <row r="122">
          <cell r="B122" t="str">
            <v>Epping Fruit Market</v>
          </cell>
          <cell r="C122" t="str">
            <v>NSP81</v>
          </cell>
          <cell r="D122" t="str">
            <v>DemandCap</v>
          </cell>
          <cell r="E122" t="str">
            <v>Increased</v>
          </cell>
        </row>
        <row r="123">
          <cell r="B123" t="str">
            <v>Epping Fruit Market</v>
          </cell>
          <cell r="C123" t="str">
            <v>NSP81</v>
          </cell>
          <cell r="D123" t="str">
            <v>DemandCpp</v>
          </cell>
          <cell r="E123" t="str">
            <v>Increased</v>
          </cell>
        </row>
        <row r="124">
          <cell r="B124" t="str">
            <v>Epping Fruit Market</v>
          </cell>
          <cell r="C124" t="str">
            <v>NSP81</v>
          </cell>
          <cell r="D124" t="str">
            <v>Fixed</v>
          </cell>
          <cell r="E124" t="str">
            <v>Increased</v>
          </cell>
        </row>
        <row r="125">
          <cell r="B125" t="str">
            <v>Epping Fruit Market</v>
          </cell>
          <cell r="C125" t="str">
            <v>NSP81</v>
          </cell>
          <cell r="D125" t="str">
            <v>Peak</v>
          </cell>
          <cell r="E125" t="str">
            <v>Increased</v>
          </cell>
        </row>
        <row r="126">
          <cell r="B126" t="str">
            <v>Epping Fruit Market</v>
          </cell>
          <cell r="C126" t="str">
            <v>NSP81</v>
          </cell>
          <cell r="D126" t="str">
            <v>OffPeak</v>
          </cell>
          <cell r="E126" t="str">
            <v>Increased</v>
          </cell>
        </row>
        <row r="127">
          <cell r="B127" t="str">
            <v>Epping Fruit Market</v>
          </cell>
          <cell r="C127" t="str">
            <v>NSP81</v>
          </cell>
          <cell r="D127" t="str">
            <v>DemandCap</v>
          </cell>
          <cell r="E127" t="str">
            <v>Increased</v>
          </cell>
        </row>
        <row r="128">
          <cell r="B128" t="str">
            <v>Epping Fruit Market</v>
          </cell>
          <cell r="C128" t="str">
            <v>NSP81</v>
          </cell>
          <cell r="D128" t="str">
            <v>DemandCpp</v>
          </cell>
          <cell r="E128" t="str">
            <v>Increased</v>
          </cell>
        </row>
        <row r="129">
          <cell r="B129" t="str">
            <v>Off Peak Hot Water</v>
          </cell>
          <cell r="C129" t="str">
            <v>NEE13</v>
          </cell>
          <cell r="D129" t="str">
            <v>OffPeak</v>
          </cell>
          <cell r="E129" t="str">
            <v>Reduced</v>
          </cell>
        </row>
        <row r="137">
          <cell r="B137" t="str">
            <v>6 Star Energy Rating</v>
          </cell>
          <cell r="C137" t="str">
            <v>Residential</v>
          </cell>
          <cell r="D137" t="str">
            <v>All time usage</v>
          </cell>
          <cell r="E137" t="str">
            <v>Reduced</v>
          </cell>
        </row>
        <row r="138">
          <cell r="B138" t="str">
            <v>6 Star Energy Rating</v>
          </cell>
          <cell r="C138" t="str">
            <v>Small Commercial</v>
          </cell>
          <cell r="D138" t="str">
            <v>All time usage</v>
          </cell>
          <cell r="E138" t="str">
            <v>Increased</v>
          </cell>
        </row>
        <row r="156">
          <cell r="B156" t="str">
            <v>NEE11</v>
          </cell>
          <cell r="E156" t="str">
            <v>Number</v>
          </cell>
          <cell r="F156" t="str">
            <v>Residential</v>
          </cell>
          <cell r="G156" t="str">
            <v>All time usage</v>
          </cell>
        </row>
        <row r="157">
          <cell r="B157" t="str">
            <v>NEE11</v>
          </cell>
          <cell r="E157" t="str">
            <v>kWh</v>
          </cell>
          <cell r="F157" t="str">
            <v>Residential</v>
          </cell>
          <cell r="G157" t="str">
            <v>All time usage</v>
          </cell>
        </row>
        <row r="158">
          <cell r="B158" t="str">
            <v>NEE11</v>
          </cell>
          <cell r="E158" t="str">
            <v>kWh</v>
          </cell>
          <cell r="F158" t="str">
            <v>Residential</v>
          </cell>
          <cell r="G158" t="str">
            <v>All time usage</v>
          </cell>
        </row>
        <row r="159">
          <cell r="B159" t="str">
            <v>NEN11</v>
          </cell>
          <cell r="E159" t="str">
            <v>Number</v>
          </cell>
          <cell r="F159" t="str">
            <v>Residential</v>
          </cell>
          <cell r="G159" t="str">
            <v>All time usage</v>
          </cell>
        </row>
        <row r="160">
          <cell r="B160" t="str">
            <v>NEN11</v>
          </cell>
          <cell r="E160" t="str">
            <v>kWh</v>
          </cell>
          <cell r="F160" t="str">
            <v>Residential</v>
          </cell>
          <cell r="G160" t="str">
            <v>All time usage</v>
          </cell>
        </row>
        <row r="161">
          <cell r="B161" t="str">
            <v>NEN11</v>
          </cell>
          <cell r="E161" t="str">
            <v>kWh</v>
          </cell>
          <cell r="F161" t="str">
            <v>Residential</v>
          </cell>
          <cell r="G161" t="str">
            <v>All time usage</v>
          </cell>
        </row>
        <row r="162">
          <cell r="B162" t="str">
            <v>NSP11</v>
          </cell>
          <cell r="E162" t="str">
            <v>Number</v>
          </cell>
          <cell r="F162" t="str">
            <v>Residential</v>
          </cell>
          <cell r="G162" t="str">
            <v>All time usage</v>
          </cell>
        </row>
        <row r="163">
          <cell r="B163" t="str">
            <v>NSP11</v>
          </cell>
          <cell r="E163" t="str">
            <v>kWh</v>
          </cell>
          <cell r="F163" t="str">
            <v>Residential</v>
          </cell>
          <cell r="G163" t="str">
            <v>All time usage</v>
          </cell>
        </row>
        <row r="164">
          <cell r="B164" t="str">
            <v>NSP11</v>
          </cell>
          <cell r="E164" t="str">
            <v>kWh</v>
          </cell>
          <cell r="F164" t="str">
            <v>Residential</v>
          </cell>
          <cell r="G164" t="str">
            <v>All time usage</v>
          </cell>
        </row>
        <row r="165">
          <cell r="B165" t="str">
            <v>NSP11</v>
          </cell>
          <cell r="E165" t="str">
            <v>kWh</v>
          </cell>
          <cell r="F165" t="str">
            <v>Residential</v>
          </cell>
          <cell r="G165" t="str">
            <v>All time usage</v>
          </cell>
        </row>
        <row r="166">
          <cell r="B166" t="str">
            <v>NSP11</v>
          </cell>
          <cell r="E166" t="str">
            <v>kWh</v>
          </cell>
          <cell r="F166" t="str">
            <v>Residential</v>
          </cell>
          <cell r="G166" t="str">
            <v>All time usage</v>
          </cell>
        </row>
        <row r="167">
          <cell r="B167" t="str">
            <v>NEE12</v>
          </cell>
          <cell r="E167" t="str">
            <v>Number</v>
          </cell>
          <cell r="F167" t="str">
            <v>Small Commercial</v>
          </cell>
          <cell r="G167" t="str">
            <v>All time usage</v>
          </cell>
        </row>
        <row r="168">
          <cell r="B168" t="str">
            <v>NEE12</v>
          </cell>
          <cell r="E168" t="str">
            <v>kWh</v>
          </cell>
          <cell r="F168" t="str">
            <v>Small Commercial</v>
          </cell>
          <cell r="G168" t="str">
            <v>All time usage</v>
          </cell>
        </row>
        <row r="169">
          <cell r="B169" t="str">
            <v>NEE12</v>
          </cell>
          <cell r="E169" t="str">
            <v>kWh</v>
          </cell>
          <cell r="F169" t="str">
            <v>Small Commercial</v>
          </cell>
          <cell r="G169" t="str">
            <v>All time usage</v>
          </cell>
        </row>
        <row r="170">
          <cell r="B170" t="str">
            <v>NEN12</v>
          </cell>
          <cell r="E170" t="str">
            <v>Number</v>
          </cell>
          <cell r="F170" t="str">
            <v>Small Commercial</v>
          </cell>
          <cell r="G170" t="str">
            <v>All time usage</v>
          </cell>
        </row>
        <row r="171">
          <cell r="B171" t="str">
            <v>NEN12</v>
          </cell>
          <cell r="E171" t="str">
            <v>kWh</v>
          </cell>
          <cell r="F171" t="str">
            <v>Small Commercial</v>
          </cell>
          <cell r="G171" t="str">
            <v>All time usage</v>
          </cell>
        </row>
        <row r="172">
          <cell r="B172" t="str">
            <v>NEN12</v>
          </cell>
          <cell r="E172" t="str">
            <v>kWh</v>
          </cell>
          <cell r="F172" t="str">
            <v>Small Commercial</v>
          </cell>
          <cell r="G172" t="str">
            <v>All time usage</v>
          </cell>
        </row>
        <row r="173">
          <cell r="B173" t="str">
            <v>NSP12</v>
          </cell>
          <cell r="E173" t="str">
            <v>Number</v>
          </cell>
          <cell r="F173" t="str">
            <v>Small Commercial</v>
          </cell>
          <cell r="G173" t="str">
            <v>All time usage</v>
          </cell>
        </row>
        <row r="174">
          <cell r="B174" t="str">
            <v>NSP12</v>
          </cell>
          <cell r="E174" t="str">
            <v>kWh</v>
          </cell>
          <cell r="F174" t="str">
            <v>Small Commercial</v>
          </cell>
          <cell r="G174" t="str">
            <v>All time usage</v>
          </cell>
        </row>
        <row r="175">
          <cell r="B175" t="str">
            <v>NSP12</v>
          </cell>
          <cell r="E175" t="str">
            <v>kWh</v>
          </cell>
          <cell r="F175" t="str">
            <v>Small Commercial</v>
          </cell>
          <cell r="G175" t="str">
            <v>All time usage</v>
          </cell>
        </row>
        <row r="176">
          <cell r="B176" t="str">
            <v>NSP12</v>
          </cell>
          <cell r="E176" t="str">
            <v>kWh</v>
          </cell>
          <cell r="F176" t="str">
            <v>Small Commercial</v>
          </cell>
          <cell r="G176" t="str">
            <v>All time usage</v>
          </cell>
        </row>
        <row r="177">
          <cell r="B177" t="str">
            <v>NSP12</v>
          </cell>
          <cell r="E177" t="str">
            <v>kWh</v>
          </cell>
          <cell r="F177" t="str">
            <v>Small Commercial</v>
          </cell>
          <cell r="G177" t="str">
            <v>All time usage</v>
          </cell>
        </row>
        <row r="178">
          <cell r="B178" t="str">
            <v>NEE13</v>
          </cell>
          <cell r="E178" t="str">
            <v>Number</v>
          </cell>
          <cell r="F178" t="str">
            <v>Residential</v>
          </cell>
          <cell r="G178" t="str">
            <v>All time usage</v>
          </cell>
        </row>
        <row r="179">
          <cell r="B179" t="str">
            <v>NEE13</v>
          </cell>
          <cell r="E179" t="str">
            <v>kWh</v>
          </cell>
          <cell r="F179" t="str">
            <v>Residential</v>
          </cell>
          <cell r="G179" t="str">
            <v>All time usage</v>
          </cell>
        </row>
        <row r="180">
          <cell r="B180" t="str">
            <v>NEE13</v>
          </cell>
          <cell r="E180" t="str">
            <v>kWh</v>
          </cell>
          <cell r="F180" t="str">
            <v>Residential</v>
          </cell>
          <cell r="G180" t="str">
            <v>All time usage</v>
          </cell>
        </row>
        <row r="181">
          <cell r="B181" t="str">
            <v>NEE13</v>
          </cell>
          <cell r="E181" t="str">
            <v>kWh</v>
          </cell>
          <cell r="F181" t="str">
            <v>Residential</v>
          </cell>
          <cell r="G181" t="str">
            <v>All time usage</v>
          </cell>
        </row>
        <row r="182">
          <cell r="B182" t="str">
            <v>NEN13</v>
          </cell>
          <cell r="E182" t="str">
            <v>Number</v>
          </cell>
          <cell r="F182" t="str">
            <v>Residential</v>
          </cell>
          <cell r="G182" t="str">
            <v>All time usage</v>
          </cell>
        </row>
        <row r="183">
          <cell r="B183" t="str">
            <v>NEN13</v>
          </cell>
          <cell r="E183" t="str">
            <v>kWh</v>
          </cell>
          <cell r="F183" t="str">
            <v>Residential</v>
          </cell>
          <cell r="G183" t="str">
            <v>All time usage</v>
          </cell>
        </row>
        <row r="184">
          <cell r="B184" t="str">
            <v>NEN13</v>
          </cell>
          <cell r="E184" t="str">
            <v>kWh</v>
          </cell>
          <cell r="F184" t="str">
            <v>Residential</v>
          </cell>
          <cell r="G184" t="str">
            <v>All time usage</v>
          </cell>
        </row>
        <row r="185">
          <cell r="B185" t="str">
            <v>NEN13</v>
          </cell>
          <cell r="E185" t="str">
            <v>kWh</v>
          </cell>
          <cell r="F185" t="str">
            <v>Residential</v>
          </cell>
          <cell r="G185" t="str">
            <v>All time usage</v>
          </cell>
        </row>
        <row r="186">
          <cell r="B186" t="str">
            <v>NSP13</v>
          </cell>
          <cell r="E186" t="str">
            <v>Number</v>
          </cell>
          <cell r="F186" t="str">
            <v>Residential</v>
          </cell>
          <cell r="G186" t="str">
            <v>All time usage</v>
          </cell>
        </row>
        <row r="187">
          <cell r="B187" t="str">
            <v>NSP13</v>
          </cell>
          <cell r="E187" t="str">
            <v>kWh</v>
          </cell>
          <cell r="F187" t="str">
            <v>Residential</v>
          </cell>
          <cell r="G187" t="str">
            <v>All time usage</v>
          </cell>
        </row>
        <row r="188">
          <cell r="B188" t="str">
            <v>NSP13</v>
          </cell>
          <cell r="E188" t="str">
            <v>kWh</v>
          </cell>
          <cell r="F188" t="str">
            <v>Residential</v>
          </cell>
          <cell r="G188" t="str">
            <v>All time usage</v>
          </cell>
        </row>
        <row r="189">
          <cell r="B189" t="str">
            <v>NSP13</v>
          </cell>
          <cell r="E189" t="str">
            <v>kWh</v>
          </cell>
          <cell r="F189" t="str">
            <v>Residential</v>
          </cell>
          <cell r="G189" t="str">
            <v>All time usage</v>
          </cell>
        </row>
        <row r="190">
          <cell r="B190" t="str">
            <v>NSP13</v>
          </cell>
          <cell r="E190" t="str">
            <v>kWh</v>
          </cell>
          <cell r="F190" t="str">
            <v>Residential</v>
          </cell>
          <cell r="G190" t="str">
            <v>All time usage</v>
          </cell>
        </row>
        <row r="191">
          <cell r="B191" t="str">
            <v>NSP13</v>
          </cell>
          <cell r="E191" t="str">
            <v>kWh</v>
          </cell>
          <cell r="F191" t="str">
            <v>Residential</v>
          </cell>
          <cell r="G191" t="str">
            <v>All time usage</v>
          </cell>
        </row>
        <row r="192">
          <cell r="B192" t="str">
            <v>NEE14</v>
          </cell>
          <cell r="E192" t="str">
            <v>Number</v>
          </cell>
          <cell r="F192" t="str">
            <v>Residential</v>
          </cell>
          <cell r="G192" t="str">
            <v>All time usage</v>
          </cell>
        </row>
        <row r="193">
          <cell r="B193" t="str">
            <v>NEE14</v>
          </cell>
          <cell r="E193" t="str">
            <v>kWh</v>
          </cell>
          <cell r="F193" t="str">
            <v>Residential</v>
          </cell>
          <cell r="G193" t="str">
            <v>All time usage</v>
          </cell>
        </row>
        <row r="194">
          <cell r="B194" t="str">
            <v>NEE14</v>
          </cell>
          <cell r="E194" t="str">
            <v>kWh</v>
          </cell>
          <cell r="F194" t="str">
            <v>Residential</v>
          </cell>
          <cell r="G194" t="str">
            <v>All time usage</v>
          </cell>
        </row>
        <row r="195">
          <cell r="B195" t="str">
            <v>NEE14</v>
          </cell>
          <cell r="E195" t="str">
            <v>kWh</v>
          </cell>
          <cell r="F195" t="str">
            <v>Residential</v>
          </cell>
          <cell r="G195" t="str">
            <v>All time usage</v>
          </cell>
        </row>
        <row r="196">
          <cell r="B196" t="str">
            <v>NEN14</v>
          </cell>
          <cell r="E196" t="str">
            <v>Number</v>
          </cell>
          <cell r="F196" t="str">
            <v>Residential</v>
          </cell>
          <cell r="G196" t="str">
            <v>All time usage</v>
          </cell>
        </row>
        <row r="197">
          <cell r="B197" t="str">
            <v>NEN14</v>
          </cell>
          <cell r="E197" t="str">
            <v>kWh</v>
          </cell>
          <cell r="F197" t="str">
            <v>Residential</v>
          </cell>
          <cell r="G197" t="str">
            <v>All time usage</v>
          </cell>
        </row>
        <row r="198">
          <cell r="B198" t="str">
            <v>NEN14</v>
          </cell>
          <cell r="E198" t="str">
            <v>kWh</v>
          </cell>
          <cell r="F198" t="str">
            <v>Residential</v>
          </cell>
          <cell r="G198" t="str">
            <v>All time usage</v>
          </cell>
        </row>
        <row r="199">
          <cell r="B199" t="str">
            <v>NEN14</v>
          </cell>
          <cell r="E199" t="str">
            <v>kWh</v>
          </cell>
          <cell r="F199" t="str">
            <v>Residential</v>
          </cell>
          <cell r="G199" t="str">
            <v>All time usage</v>
          </cell>
        </row>
        <row r="200">
          <cell r="B200" t="str">
            <v>NSP14</v>
          </cell>
          <cell r="E200" t="str">
            <v>Number</v>
          </cell>
          <cell r="F200" t="str">
            <v>Residential</v>
          </cell>
          <cell r="G200" t="str">
            <v>All time usage</v>
          </cell>
        </row>
        <row r="201">
          <cell r="B201" t="str">
            <v>NSP14</v>
          </cell>
          <cell r="E201" t="str">
            <v>kWh</v>
          </cell>
          <cell r="F201" t="str">
            <v>Residential</v>
          </cell>
          <cell r="G201" t="str">
            <v>All time usage</v>
          </cell>
        </row>
        <row r="202">
          <cell r="B202" t="str">
            <v>NSP14</v>
          </cell>
          <cell r="E202" t="str">
            <v>kWh</v>
          </cell>
          <cell r="F202" t="str">
            <v>Residential</v>
          </cell>
          <cell r="G202" t="str">
            <v>All time usage</v>
          </cell>
        </row>
        <row r="203">
          <cell r="B203" t="str">
            <v>NSP14</v>
          </cell>
          <cell r="E203" t="str">
            <v>kWh</v>
          </cell>
          <cell r="F203" t="str">
            <v>Residential</v>
          </cell>
          <cell r="G203" t="str">
            <v>All time usage</v>
          </cell>
        </row>
        <row r="204">
          <cell r="B204" t="str">
            <v>NSP14</v>
          </cell>
          <cell r="E204" t="str">
            <v>kWh</v>
          </cell>
          <cell r="F204" t="str">
            <v>Residential</v>
          </cell>
          <cell r="G204" t="str">
            <v>All time usage</v>
          </cell>
        </row>
        <row r="205">
          <cell r="B205" t="str">
            <v>NSP14</v>
          </cell>
          <cell r="E205" t="str">
            <v>kWh</v>
          </cell>
          <cell r="F205" t="str">
            <v>Residential</v>
          </cell>
          <cell r="G205" t="str">
            <v>All time usage</v>
          </cell>
        </row>
        <row r="206">
          <cell r="B206" t="str">
            <v>NEE15</v>
          </cell>
          <cell r="E206" t="str">
            <v>Number</v>
          </cell>
          <cell r="F206" t="str">
            <v>Residential</v>
          </cell>
          <cell r="G206" t="str">
            <v>All time usage</v>
          </cell>
        </row>
        <row r="207">
          <cell r="B207" t="str">
            <v>NEE15</v>
          </cell>
          <cell r="E207" t="str">
            <v>kWh</v>
          </cell>
          <cell r="F207" t="str">
            <v>Residential</v>
          </cell>
          <cell r="G207" t="str">
            <v>All time usage</v>
          </cell>
        </row>
        <row r="208">
          <cell r="B208" t="str">
            <v>NEE15</v>
          </cell>
          <cell r="E208" t="str">
            <v>kWh</v>
          </cell>
          <cell r="F208" t="str">
            <v>Residential</v>
          </cell>
          <cell r="G208" t="str">
            <v>All time usage</v>
          </cell>
        </row>
        <row r="209">
          <cell r="B209" t="str">
            <v>NEE15</v>
          </cell>
          <cell r="E209" t="str">
            <v>kWh</v>
          </cell>
          <cell r="F209" t="str">
            <v>Residential</v>
          </cell>
          <cell r="G209" t="str">
            <v>All time usage</v>
          </cell>
        </row>
        <row r="210">
          <cell r="B210" t="str">
            <v>NEN15</v>
          </cell>
          <cell r="E210" t="str">
            <v>Number</v>
          </cell>
          <cell r="F210" t="str">
            <v>Residential</v>
          </cell>
          <cell r="G210" t="str">
            <v>All time usage</v>
          </cell>
        </row>
        <row r="211">
          <cell r="B211" t="str">
            <v>NEN15</v>
          </cell>
          <cell r="E211" t="str">
            <v>kWh</v>
          </cell>
          <cell r="F211" t="str">
            <v>Residential</v>
          </cell>
          <cell r="G211" t="str">
            <v>All time usage</v>
          </cell>
        </row>
        <row r="212">
          <cell r="B212" t="str">
            <v>NEN15</v>
          </cell>
          <cell r="E212" t="str">
            <v>kWh</v>
          </cell>
          <cell r="F212" t="str">
            <v>Residential</v>
          </cell>
          <cell r="G212" t="str">
            <v>All time usage</v>
          </cell>
        </row>
        <row r="213">
          <cell r="B213" t="str">
            <v>NEN15</v>
          </cell>
          <cell r="E213" t="str">
            <v>kWh</v>
          </cell>
          <cell r="F213" t="str">
            <v>Residential</v>
          </cell>
          <cell r="G213" t="str">
            <v>All time usage</v>
          </cell>
        </row>
        <row r="214">
          <cell r="B214" t="str">
            <v>NSP15</v>
          </cell>
          <cell r="E214" t="str">
            <v>Number</v>
          </cell>
          <cell r="F214" t="str">
            <v>Residential</v>
          </cell>
          <cell r="G214" t="str">
            <v>All time usage</v>
          </cell>
        </row>
        <row r="215">
          <cell r="B215" t="str">
            <v>NSP15</v>
          </cell>
          <cell r="E215" t="str">
            <v>kWh</v>
          </cell>
          <cell r="F215" t="str">
            <v>Residential</v>
          </cell>
          <cell r="G215" t="str">
            <v>All time usage</v>
          </cell>
        </row>
        <row r="216">
          <cell r="B216" t="str">
            <v>NSP15</v>
          </cell>
          <cell r="E216" t="str">
            <v>kWh</v>
          </cell>
          <cell r="F216" t="str">
            <v>Residential</v>
          </cell>
          <cell r="G216" t="str">
            <v>All time usage</v>
          </cell>
        </row>
        <row r="217">
          <cell r="B217" t="str">
            <v>NSP15</v>
          </cell>
          <cell r="E217" t="str">
            <v>kWh</v>
          </cell>
          <cell r="F217" t="str">
            <v>Residential</v>
          </cell>
          <cell r="G217" t="str">
            <v>All time usage</v>
          </cell>
        </row>
        <row r="218">
          <cell r="B218" t="str">
            <v>NSP15</v>
          </cell>
          <cell r="E218" t="str">
            <v>kWh</v>
          </cell>
          <cell r="F218" t="str">
            <v>Residential</v>
          </cell>
          <cell r="G218" t="str">
            <v>All time usage</v>
          </cell>
        </row>
        <row r="219">
          <cell r="B219" t="str">
            <v>NSP15</v>
          </cell>
          <cell r="E219" t="str">
            <v>kWh</v>
          </cell>
          <cell r="F219" t="str">
            <v>Residential</v>
          </cell>
          <cell r="G219" t="str">
            <v>All time usage</v>
          </cell>
        </row>
        <row r="220">
          <cell r="B220" t="str">
            <v>NEE16</v>
          </cell>
          <cell r="E220" t="str">
            <v>Number</v>
          </cell>
          <cell r="F220" t="str">
            <v>Small Commercial</v>
          </cell>
          <cell r="G220" t="str">
            <v>All time usage</v>
          </cell>
        </row>
        <row r="221">
          <cell r="B221" t="str">
            <v>NEE16</v>
          </cell>
          <cell r="E221" t="str">
            <v>kWh</v>
          </cell>
          <cell r="F221" t="str">
            <v>Small Commercial</v>
          </cell>
          <cell r="G221" t="str">
            <v>All time usage</v>
          </cell>
        </row>
        <row r="222">
          <cell r="B222" t="str">
            <v>NEE16</v>
          </cell>
          <cell r="E222" t="str">
            <v>kWh</v>
          </cell>
          <cell r="F222" t="str">
            <v>Small Commercial</v>
          </cell>
          <cell r="G222" t="str">
            <v>All time usage</v>
          </cell>
        </row>
        <row r="223">
          <cell r="B223" t="str">
            <v>NEE16</v>
          </cell>
          <cell r="E223" t="str">
            <v>kWh</v>
          </cell>
          <cell r="F223" t="str">
            <v>Small Commercial</v>
          </cell>
          <cell r="G223" t="str">
            <v>All time usage</v>
          </cell>
        </row>
        <row r="224">
          <cell r="B224" t="str">
            <v>NEN16</v>
          </cell>
          <cell r="E224" t="str">
            <v>Number</v>
          </cell>
          <cell r="F224" t="str">
            <v>Small Commercial</v>
          </cell>
          <cell r="G224" t="str">
            <v>All time usage</v>
          </cell>
        </row>
        <row r="225">
          <cell r="B225" t="str">
            <v>NEN16</v>
          </cell>
          <cell r="E225" t="str">
            <v>kWh</v>
          </cell>
          <cell r="F225" t="str">
            <v>Small Commercial</v>
          </cell>
          <cell r="G225" t="str">
            <v>All time usage</v>
          </cell>
        </row>
        <row r="226">
          <cell r="B226" t="str">
            <v>NEN16</v>
          </cell>
          <cell r="E226" t="str">
            <v>kWh</v>
          </cell>
          <cell r="F226" t="str">
            <v>Small Commercial</v>
          </cell>
          <cell r="G226" t="str">
            <v>All time usage</v>
          </cell>
        </row>
        <row r="227">
          <cell r="B227" t="str">
            <v>NEN16</v>
          </cell>
          <cell r="E227" t="str">
            <v>kWh</v>
          </cell>
          <cell r="F227" t="str">
            <v>Small Commercial</v>
          </cell>
          <cell r="G227" t="str">
            <v>All time usage</v>
          </cell>
        </row>
        <row r="228">
          <cell r="B228" t="str">
            <v>NSP16</v>
          </cell>
          <cell r="E228" t="str">
            <v>Number</v>
          </cell>
          <cell r="F228" t="str">
            <v>Small Commercial</v>
          </cell>
          <cell r="G228" t="str">
            <v>All time usage</v>
          </cell>
        </row>
        <row r="229">
          <cell r="B229" t="str">
            <v>NSP16</v>
          </cell>
          <cell r="E229" t="str">
            <v>kWh</v>
          </cell>
          <cell r="F229" t="str">
            <v>Small Commercial</v>
          </cell>
          <cell r="G229" t="str">
            <v>All time usage</v>
          </cell>
        </row>
        <row r="230">
          <cell r="B230" t="str">
            <v>NSP16</v>
          </cell>
          <cell r="E230" t="str">
            <v>kWh</v>
          </cell>
          <cell r="F230" t="str">
            <v>Small Commercial</v>
          </cell>
          <cell r="G230" t="str">
            <v>All time usage</v>
          </cell>
        </row>
        <row r="231">
          <cell r="B231" t="str">
            <v>NSP16</v>
          </cell>
          <cell r="E231" t="str">
            <v>kWh</v>
          </cell>
          <cell r="F231" t="str">
            <v>Small Commercial</v>
          </cell>
          <cell r="G231" t="str">
            <v>All time usage</v>
          </cell>
        </row>
        <row r="232">
          <cell r="B232" t="str">
            <v>NSP16</v>
          </cell>
          <cell r="E232" t="str">
            <v>kWh</v>
          </cell>
          <cell r="F232" t="str">
            <v>Small Commercial</v>
          </cell>
          <cell r="G232" t="str">
            <v>All time usage</v>
          </cell>
        </row>
        <row r="233">
          <cell r="B233" t="str">
            <v>NSP16</v>
          </cell>
          <cell r="E233" t="str">
            <v>kWh</v>
          </cell>
          <cell r="F233" t="str">
            <v>Small Commercial</v>
          </cell>
          <cell r="G233" t="str">
            <v>All time usage</v>
          </cell>
        </row>
        <row r="234">
          <cell r="B234" t="str">
            <v>NEE17</v>
          </cell>
          <cell r="E234" t="str">
            <v>Number</v>
          </cell>
          <cell r="F234" t="str">
            <v>Small Commercial</v>
          </cell>
          <cell r="G234" t="str">
            <v>All time usage</v>
          </cell>
        </row>
        <row r="235">
          <cell r="B235" t="str">
            <v>NEE17</v>
          </cell>
          <cell r="E235" t="str">
            <v>kWh</v>
          </cell>
          <cell r="F235" t="str">
            <v>Small Commercial</v>
          </cell>
          <cell r="G235" t="str">
            <v>All time usage</v>
          </cell>
        </row>
        <row r="236">
          <cell r="B236" t="str">
            <v>NEE17</v>
          </cell>
          <cell r="E236" t="str">
            <v>kWh</v>
          </cell>
          <cell r="F236" t="str">
            <v>Small Commercial</v>
          </cell>
          <cell r="G236" t="str">
            <v>All time usage</v>
          </cell>
        </row>
        <row r="237">
          <cell r="B237" t="str">
            <v>NEE17</v>
          </cell>
          <cell r="E237" t="str">
            <v>kWh</v>
          </cell>
          <cell r="F237" t="str">
            <v>Small Commercial</v>
          </cell>
          <cell r="G237" t="str">
            <v>All time usage</v>
          </cell>
        </row>
        <row r="238">
          <cell r="B238" t="str">
            <v>NEN17</v>
          </cell>
          <cell r="E238" t="str">
            <v>Number</v>
          </cell>
          <cell r="F238" t="str">
            <v>Small Commercial</v>
          </cell>
          <cell r="G238" t="str">
            <v>All time usage</v>
          </cell>
        </row>
        <row r="239">
          <cell r="B239" t="str">
            <v>NEN17</v>
          </cell>
          <cell r="E239" t="str">
            <v>kWh</v>
          </cell>
          <cell r="F239" t="str">
            <v>Small Commercial</v>
          </cell>
          <cell r="G239" t="str">
            <v>All time usage</v>
          </cell>
        </row>
        <row r="240">
          <cell r="B240" t="str">
            <v>NEN17</v>
          </cell>
          <cell r="E240" t="str">
            <v>kWh</v>
          </cell>
          <cell r="F240" t="str">
            <v>Small Commercial</v>
          </cell>
          <cell r="G240" t="str">
            <v>All time usage</v>
          </cell>
        </row>
        <row r="241">
          <cell r="B241" t="str">
            <v>NEN17</v>
          </cell>
          <cell r="E241" t="str">
            <v>kWh</v>
          </cell>
          <cell r="F241" t="str">
            <v>Small Commercial</v>
          </cell>
          <cell r="G241" t="str">
            <v>All time usage</v>
          </cell>
        </row>
        <row r="242">
          <cell r="B242" t="str">
            <v>NSP17</v>
          </cell>
          <cell r="E242" t="str">
            <v>Number</v>
          </cell>
          <cell r="F242" t="str">
            <v>Small Commercial</v>
          </cell>
          <cell r="G242" t="str">
            <v>All time usage</v>
          </cell>
        </row>
        <row r="243">
          <cell r="B243" t="str">
            <v>NSP17</v>
          </cell>
          <cell r="E243" t="str">
            <v>kWh</v>
          </cell>
          <cell r="F243" t="str">
            <v>Small Commercial</v>
          </cell>
          <cell r="G243" t="str">
            <v>All time usage</v>
          </cell>
        </row>
        <row r="244">
          <cell r="B244" t="str">
            <v>NSP17</v>
          </cell>
          <cell r="E244" t="str">
            <v>kWh</v>
          </cell>
          <cell r="F244" t="str">
            <v>Small Commercial</v>
          </cell>
          <cell r="G244" t="str">
            <v>All time usage</v>
          </cell>
        </row>
        <row r="245">
          <cell r="B245" t="str">
            <v>NSP17</v>
          </cell>
          <cell r="E245" t="str">
            <v>kWh</v>
          </cell>
          <cell r="F245" t="str">
            <v>Small Commercial</v>
          </cell>
          <cell r="G245" t="str">
            <v>All time usage</v>
          </cell>
        </row>
        <row r="246">
          <cell r="B246" t="str">
            <v>NSP17</v>
          </cell>
          <cell r="E246" t="str">
            <v>kWh</v>
          </cell>
          <cell r="F246" t="str">
            <v>Small Commercial</v>
          </cell>
          <cell r="G246" t="str">
            <v>All time usage</v>
          </cell>
        </row>
        <row r="247">
          <cell r="B247" t="str">
            <v>NSP17</v>
          </cell>
          <cell r="E247" t="str">
            <v>kWh</v>
          </cell>
          <cell r="F247" t="str">
            <v>Small Commercial</v>
          </cell>
          <cell r="G247" t="str">
            <v>All time usage</v>
          </cell>
        </row>
        <row r="248">
          <cell r="B248" t="str">
            <v>NEE18</v>
          </cell>
          <cell r="E248" t="str">
            <v>Number</v>
          </cell>
          <cell r="F248" t="str">
            <v>Small Commercial</v>
          </cell>
          <cell r="G248" t="str">
            <v>All time usage</v>
          </cell>
        </row>
        <row r="249">
          <cell r="B249" t="str">
            <v>NEE18</v>
          </cell>
          <cell r="E249" t="str">
            <v>kWh</v>
          </cell>
          <cell r="F249" t="str">
            <v>Small Commercial</v>
          </cell>
          <cell r="G249" t="str">
            <v>All time usage</v>
          </cell>
        </row>
        <row r="250">
          <cell r="B250" t="str">
            <v>NEE18</v>
          </cell>
          <cell r="E250" t="str">
            <v>kWh</v>
          </cell>
          <cell r="F250" t="str">
            <v>Small Commercial</v>
          </cell>
          <cell r="G250" t="str">
            <v>All time usage</v>
          </cell>
        </row>
        <row r="251">
          <cell r="B251" t="str">
            <v>NEE18</v>
          </cell>
          <cell r="E251" t="str">
            <v>kWh</v>
          </cell>
          <cell r="F251" t="str">
            <v>Small Commercial</v>
          </cell>
          <cell r="G251" t="str">
            <v>All time usage</v>
          </cell>
        </row>
        <row r="252">
          <cell r="B252" t="str">
            <v>NEN18</v>
          </cell>
          <cell r="E252" t="str">
            <v>Number</v>
          </cell>
          <cell r="F252" t="str">
            <v>Small Commercial</v>
          </cell>
          <cell r="G252" t="str">
            <v>All time usage</v>
          </cell>
        </row>
        <row r="253">
          <cell r="B253" t="str">
            <v>NEN18</v>
          </cell>
          <cell r="E253" t="str">
            <v>kWh</v>
          </cell>
          <cell r="F253" t="str">
            <v>Small Commercial</v>
          </cell>
          <cell r="G253" t="str">
            <v>All time usage</v>
          </cell>
        </row>
        <row r="254">
          <cell r="B254" t="str">
            <v>NEN18</v>
          </cell>
          <cell r="E254" t="str">
            <v>kWh</v>
          </cell>
          <cell r="F254" t="str">
            <v>Small Commercial</v>
          </cell>
          <cell r="G254" t="str">
            <v>All time usage</v>
          </cell>
        </row>
        <row r="255">
          <cell r="B255" t="str">
            <v>NEN18</v>
          </cell>
          <cell r="E255" t="str">
            <v>kWh</v>
          </cell>
          <cell r="F255" t="str">
            <v>Small Commercial</v>
          </cell>
          <cell r="G255" t="str">
            <v>All time usage</v>
          </cell>
        </row>
        <row r="256">
          <cell r="B256" t="str">
            <v>NSP18</v>
          </cell>
          <cell r="E256" t="str">
            <v>Number</v>
          </cell>
          <cell r="F256" t="str">
            <v>Small Commercial</v>
          </cell>
          <cell r="G256" t="str">
            <v>All time usage</v>
          </cell>
        </row>
        <row r="257">
          <cell r="B257" t="str">
            <v>NSP18</v>
          </cell>
          <cell r="E257" t="str">
            <v>kWh</v>
          </cell>
          <cell r="F257" t="str">
            <v>Small Commercial</v>
          </cell>
          <cell r="G257" t="str">
            <v>All time usage</v>
          </cell>
        </row>
        <row r="258">
          <cell r="B258" t="str">
            <v>NSP18</v>
          </cell>
          <cell r="E258" t="str">
            <v>kWh</v>
          </cell>
          <cell r="F258" t="str">
            <v>Small Commercial</v>
          </cell>
          <cell r="G258" t="str">
            <v>All time usage</v>
          </cell>
        </row>
        <row r="259">
          <cell r="B259" t="str">
            <v>NSP18</v>
          </cell>
          <cell r="E259" t="str">
            <v>kWh</v>
          </cell>
          <cell r="F259" t="str">
            <v>Small Commercial</v>
          </cell>
          <cell r="G259" t="str">
            <v>All time usage</v>
          </cell>
        </row>
        <row r="260">
          <cell r="B260" t="str">
            <v>NSP18</v>
          </cell>
          <cell r="E260" t="str">
            <v>kWh</v>
          </cell>
          <cell r="F260" t="str">
            <v>Small Commercial</v>
          </cell>
          <cell r="G260" t="str">
            <v>All time usage</v>
          </cell>
        </row>
        <row r="261">
          <cell r="B261" t="str">
            <v>NSP18</v>
          </cell>
          <cell r="E261" t="str">
            <v>kWh</v>
          </cell>
          <cell r="F261" t="str">
            <v>Small Commercial</v>
          </cell>
          <cell r="G261" t="str">
            <v>All time usage</v>
          </cell>
        </row>
        <row r="262">
          <cell r="B262" t="str">
            <v>NEE20</v>
          </cell>
          <cell r="E262" t="str">
            <v>Number</v>
          </cell>
          <cell r="F262" t="str">
            <v>Residential</v>
          </cell>
          <cell r="G262" t="str">
            <v>All time usage</v>
          </cell>
        </row>
        <row r="263">
          <cell r="B263" t="str">
            <v>NEE20</v>
          </cell>
          <cell r="E263" t="str">
            <v>kWh</v>
          </cell>
          <cell r="F263" t="str">
            <v>Residential</v>
          </cell>
          <cell r="G263" t="str">
            <v>All time usage</v>
          </cell>
        </row>
        <row r="264">
          <cell r="B264" t="str">
            <v>NEE20</v>
          </cell>
          <cell r="E264" t="str">
            <v>kWh</v>
          </cell>
          <cell r="F264" t="str">
            <v>Residential</v>
          </cell>
          <cell r="G264" t="str">
            <v>All time usage</v>
          </cell>
        </row>
        <row r="265">
          <cell r="B265" t="str">
            <v>NEN20</v>
          </cell>
          <cell r="E265" t="str">
            <v>kWh</v>
          </cell>
          <cell r="F265" t="str">
            <v>Residential</v>
          </cell>
          <cell r="G265" t="str">
            <v>All time usage</v>
          </cell>
        </row>
        <row r="266">
          <cell r="B266" t="str">
            <v>NEN20</v>
          </cell>
          <cell r="E266" t="str">
            <v>kWh</v>
          </cell>
          <cell r="F266" t="str">
            <v>Residential</v>
          </cell>
          <cell r="G266" t="str">
            <v>All time usage</v>
          </cell>
        </row>
        <row r="267">
          <cell r="B267" t="str">
            <v>NEN20</v>
          </cell>
          <cell r="E267" t="str">
            <v>kWh</v>
          </cell>
          <cell r="F267" t="str">
            <v>Residential</v>
          </cell>
          <cell r="G267" t="str">
            <v>All time usage</v>
          </cell>
        </row>
        <row r="268">
          <cell r="B268" t="str">
            <v>NSP20</v>
          </cell>
          <cell r="E268" t="str">
            <v>Number</v>
          </cell>
          <cell r="F268" t="str">
            <v>Residential</v>
          </cell>
          <cell r="G268" t="str">
            <v>All time usage</v>
          </cell>
        </row>
        <row r="269">
          <cell r="B269" t="str">
            <v>NSP20</v>
          </cell>
          <cell r="E269" t="str">
            <v>kWh</v>
          </cell>
          <cell r="F269" t="str">
            <v>Residential</v>
          </cell>
          <cell r="G269" t="str">
            <v>All time usage</v>
          </cell>
        </row>
        <row r="270">
          <cell r="B270" t="str">
            <v>NSP20</v>
          </cell>
          <cell r="E270" t="str">
            <v>kWh</v>
          </cell>
          <cell r="F270" t="str">
            <v>Residential</v>
          </cell>
          <cell r="G270" t="str">
            <v>All time usage</v>
          </cell>
        </row>
        <row r="271">
          <cell r="B271" t="str">
            <v>NSP20</v>
          </cell>
          <cell r="E271" t="str">
            <v>kWh</v>
          </cell>
          <cell r="F271" t="str">
            <v>Residential</v>
          </cell>
          <cell r="G271" t="str">
            <v>All time usage</v>
          </cell>
        </row>
        <row r="272">
          <cell r="B272" t="str">
            <v>NSP20</v>
          </cell>
          <cell r="E272" t="str">
            <v>kWh</v>
          </cell>
          <cell r="F272" t="str">
            <v>Residential</v>
          </cell>
          <cell r="G272" t="str">
            <v>All time usage</v>
          </cell>
        </row>
        <row r="273">
          <cell r="B273" t="str">
            <v>NSP26</v>
          </cell>
          <cell r="E273" t="str">
            <v>Number</v>
          </cell>
          <cell r="F273" t="str">
            <v>Residential</v>
          </cell>
          <cell r="G273" t="str">
            <v>All time usage</v>
          </cell>
        </row>
        <row r="274">
          <cell r="B274" t="str">
            <v>NSP26</v>
          </cell>
          <cell r="E274" t="str">
            <v>kWh</v>
          </cell>
          <cell r="F274" t="str">
            <v>Residential</v>
          </cell>
          <cell r="G274" t="str">
            <v>All time usage</v>
          </cell>
        </row>
        <row r="275">
          <cell r="B275" t="str">
            <v>NSP26</v>
          </cell>
          <cell r="E275" t="str">
            <v>kWh</v>
          </cell>
          <cell r="F275" t="str">
            <v>Residential</v>
          </cell>
          <cell r="G275" t="str">
            <v>All time usage</v>
          </cell>
        </row>
        <row r="276">
          <cell r="B276" t="str">
            <v>NSP26</v>
          </cell>
          <cell r="E276" t="str">
            <v>kWh</v>
          </cell>
          <cell r="F276" t="str">
            <v>Residential</v>
          </cell>
          <cell r="G276" t="str">
            <v>All time usage</v>
          </cell>
        </row>
        <row r="277">
          <cell r="B277" t="str">
            <v>NSP26</v>
          </cell>
          <cell r="E277" t="str">
            <v>kWh</v>
          </cell>
          <cell r="F277" t="str">
            <v>Residential</v>
          </cell>
          <cell r="G277" t="str">
            <v>All time usage</v>
          </cell>
        </row>
        <row r="278">
          <cell r="B278" t="str">
            <v>NEE21</v>
          </cell>
          <cell r="E278" t="str">
            <v>Number</v>
          </cell>
          <cell r="F278" t="str">
            <v>Small Commercial</v>
          </cell>
          <cell r="G278" t="str">
            <v>All time usage</v>
          </cell>
        </row>
        <row r="279">
          <cell r="B279" t="str">
            <v>NEE21</v>
          </cell>
          <cell r="E279" t="str">
            <v>kWh</v>
          </cell>
          <cell r="F279" t="str">
            <v>Small Commercial</v>
          </cell>
          <cell r="G279" t="str">
            <v>All time usage</v>
          </cell>
        </row>
        <row r="280">
          <cell r="B280" t="str">
            <v>NEE21</v>
          </cell>
          <cell r="E280" t="str">
            <v>kWh</v>
          </cell>
          <cell r="F280" t="str">
            <v>Small Commercial</v>
          </cell>
          <cell r="G280" t="str">
            <v>All time usage</v>
          </cell>
        </row>
        <row r="281">
          <cell r="B281" t="str">
            <v>SUN21</v>
          </cell>
          <cell r="E281" t="str">
            <v>kWh</v>
          </cell>
          <cell r="F281" t="str">
            <v>Small Commercial</v>
          </cell>
          <cell r="G281" t="str">
            <v>All time usage</v>
          </cell>
        </row>
        <row r="282">
          <cell r="B282" t="str">
            <v>SUN21</v>
          </cell>
          <cell r="E282" t="str">
            <v>kWh</v>
          </cell>
          <cell r="F282" t="str">
            <v>Small Commercial</v>
          </cell>
          <cell r="G282" t="str">
            <v>All time usage</v>
          </cell>
        </row>
        <row r="283">
          <cell r="B283" t="str">
            <v>SUN21</v>
          </cell>
          <cell r="E283" t="str">
            <v>kWh</v>
          </cell>
          <cell r="F283" t="str">
            <v>Small Commercial</v>
          </cell>
          <cell r="G283" t="str">
            <v>All time usage</v>
          </cell>
        </row>
        <row r="284">
          <cell r="B284" t="str">
            <v>SUN21</v>
          </cell>
          <cell r="E284" t="str">
            <v>Summer Export kWh</v>
          </cell>
          <cell r="F284" t="str">
            <v>Small Commercial</v>
          </cell>
          <cell r="G284" t="str">
            <v>PV Cell Export</v>
          </cell>
        </row>
        <row r="285">
          <cell r="B285" t="str">
            <v>SUN21</v>
          </cell>
          <cell r="E285" t="str">
            <v>Export kWh</v>
          </cell>
          <cell r="F285" t="str">
            <v>Small Commercial</v>
          </cell>
          <cell r="G285" t="str">
            <v>PV Cell Export</v>
          </cell>
        </row>
        <row r="286">
          <cell r="B286" t="str">
            <v>SUN2B</v>
          </cell>
          <cell r="E286" t="str">
            <v>Number</v>
          </cell>
          <cell r="F286" t="str">
            <v>Small Commercial</v>
          </cell>
          <cell r="G286" t="str">
            <v>All time usage</v>
          </cell>
        </row>
        <row r="287">
          <cell r="B287" t="str">
            <v>SUN2B</v>
          </cell>
          <cell r="E287" t="str">
            <v>kWh</v>
          </cell>
          <cell r="F287" t="str">
            <v>Small Commercial</v>
          </cell>
          <cell r="G287" t="str">
            <v>All time usage</v>
          </cell>
        </row>
        <row r="288">
          <cell r="B288" t="str">
            <v>SUN2B</v>
          </cell>
          <cell r="E288" t="str">
            <v>kWh</v>
          </cell>
          <cell r="F288" t="str">
            <v>Small Commercial</v>
          </cell>
          <cell r="G288" t="str">
            <v>All time usage</v>
          </cell>
        </row>
        <row r="289">
          <cell r="B289" t="str">
            <v>SUN2B</v>
          </cell>
          <cell r="E289" t="str">
            <v>Summer Export kWh</v>
          </cell>
          <cell r="F289" t="str">
            <v>Small Commercial</v>
          </cell>
          <cell r="G289" t="str">
            <v>PV Cell Export</v>
          </cell>
        </row>
        <row r="290">
          <cell r="B290" t="str">
            <v>SUN2B</v>
          </cell>
          <cell r="E290" t="str">
            <v>Export kWh</v>
          </cell>
          <cell r="F290" t="str">
            <v>Small Commercial</v>
          </cell>
          <cell r="G290" t="str">
            <v>PV Cell Export</v>
          </cell>
        </row>
        <row r="291">
          <cell r="B291" t="str">
            <v>SUN2T</v>
          </cell>
          <cell r="E291" t="str">
            <v>Number</v>
          </cell>
          <cell r="F291" t="str">
            <v>Residential</v>
          </cell>
          <cell r="G291" t="str">
            <v>All time usage</v>
          </cell>
        </row>
        <row r="292">
          <cell r="B292" t="str">
            <v>SUN2T</v>
          </cell>
          <cell r="E292" t="str">
            <v>kWh</v>
          </cell>
          <cell r="F292" t="str">
            <v>Residential</v>
          </cell>
          <cell r="G292" t="str">
            <v>All time usage</v>
          </cell>
        </row>
        <row r="293">
          <cell r="B293" t="str">
            <v>SUN2T</v>
          </cell>
          <cell r="E293" t="str">
            <v>kWh</v>
          </cell>
          <cell r="F293" t="str">
            <v>Residential</v>
          </cell>
          <cell r="G293" t="str">
            <v>All time usage</v>
          </cell>
        </row>
        <row r="294">
          <cell r="B294" t="str">
            <v>SUN2T</v>
          </cell>
          <cell r="E294" t="str">
            <v>Summer Export kWh</v>
          </cell>
          <cell r="F294" t="str">
            <v>Residential</v>
          </cell>
          <cell r="G294" t="str">
            <v>PV Cell Export</v>
          </cell>
        </row>
        <row r="295">
          <cell r="B295" t="str">
            <v>SUN2T</v>
          </cell>
          <cell r="E295" t="str">
            <v>Export kWh</v>
          </cell>
          <cell r="F295" t="str">
            <v>Residential</v>
          </cell>
          <cell r="G295" t="str">
            <v>PV Cell Export</v>
          </cell>
        </row>
        <row r="296">
          <cell r="B296" t="str">
            <v>NEN21</v>
          </cell>
          <cell r="E296" t="str">
            <v>Number</v>
          </cell>
          <cell r="F296" t="str">
            <v>Small Commercial</v>
          </cell>
          <cell r="G296" t="str">
            <v>All time usage</v>
          </cell>
        </row>
        <row r="297">
          <cell r="B297" t="str">
            <v>NEN21</v>
          </cell>
          <cell r="E297" t="str">
            <v>kWh</v>
          </cell>
          <cell r="F297" t="str">
            <v>Small Commercial</v>
          </cell>
          <cell r="G297" t="str">
            <v>All time usage</v>
          </cell>
        </row>
        <row r="298">
          <cell r="B298" t="str">
            <v>NEN21</v>
          </cell>
          <cell r="E298" t="str">
            <v>kWh</v>
          </cell>
          <cell r="F298" t="str">
            <v>Small Commercial</v>
          </cell>
          <cell r="G298" t="str">
            <v>All time usage</v>
          </cell>
        </row>
        <row r="299">
          <cell r="B299" t="str">
            <v>NSP21</v>
          </cell>
          <cell r="E299" t="str">
            <v>Number</v>
          </cell>
          <cell r="F299" t="str">
            <v>Small Commercial</v>
          </cell>
          <cell r="G299" t="str">
            <v>All time usage</v>
          </cell>
        </row>
        <row r="300">
          <cell r="B300" t="str">
            <v>NSP21</v>
          </cell>
          <cell r="E300" t="str">
            <v>kWh</v>
          </cell>
          <cell r="F300" t="str">
            <v>Small Commercial</v>
          </cell>
          <cell r="G300" t="str">
            <v>All time usage</v>
          </cell>
        </row>
        <row r="301">
          <cell r="B301" t="str">
            <v>NSP21</v>
          </cell>
          <cell r="E301" t="str">
            <v>kWh</v>
          </cell>
          <cell r="F301" t="str">
            <v>Small Commercial</v>
          </cell>
          <cell r="G301" t="str">
            <v>All time usage</v>
          </cell>
        </row>
        <row r="302">
          <cell r="B302" t="str">
            <v>NSP21</v>
          </cell>
          <cell r="E302" t="str">
            <v>kWh</v>
          </cell>
          <cell r="F302" t="str">
            <v>Small Commercial</v>
          </cell>
          <cell r="G302" t="str">
            <v>All time usage</v>
          </cell>
        </row>
        <row r="303">
          <cell r="B303" t="str">
            <v>NSP21</v>
          </cell>
          <cell r="E303" t="str">
            <v>kWh</v>
          </cell>
          <cell r="F303" t="str">
            <v>Small Commercial</v>
          </cell>
          <cell r="G303" t="str">
            <v>All time usage</v>
          </cell>
        </row>
        <row r="304">
          <cell r="B304" t="str">
            <v>NSP27</v>
          </cell>
          <cell r="E304" t="str">
            <v>Number</v>
          </cell>
          <cell r="F304" t="str">
            <v>Small Commercial</v>
          </cell>
          <cell r="G304" t="str">
            <v>All time usage</v>
          </cell>
        </row>
        <row r="305">
          <cell r="B305" t="str">
            <v>NSP27</v>
          </cell>
          <cell r="E305" t="str">
            <v>kWh</v>
          </cell>
          <cell r="F305" t="str">
            <v>Small Commercial</v>
          </cell>
          <cell r="G305" t="str">
            <v>All time usage</v>
          </cell>
        </row>
        <row r="306">
          <cell r="B306" t="str">
            <v>NSP27</v>
          </cell>
          <cell r="E306" t="str">
            <v>kWh</v>
          </cell>
          <cell r="F306" t="str">
            <v>Small Commercial</v>
          </cell>
          <cell r="G306" t="str">
            <v>All time usage</v>
          </cell>
        </row>
        <row r="307">
          <cell r="B307" t="str">
            <v>NSP27</v>
          </cell>
          <cell r="E307" t="str">
            <v>kWh</v>
          </cell>
          <cell r="F307" t="str">
            <v>Small Commercial</v>
          </cell>
          <cell r="G307" t="str">
            <v>All time usage</v>
          </cell>
        </row>
        <row r="308">
          <cell r="B308" t="str">
            <v>NSP27</v>
          </cell>
          <cell r="E308" t="str">
            <v>kWh</v>
          </cell>
          <cell r="F308" t="str">
            <v>Small Commercial</v>
          </cell>
          <cell r="G308" t="str">
            <v>All time usage</v>
          </cell>
        </row>
        <row r="309">
          <cell r="B309" t="str">
            <v>SSP21</v>
          </cell>
          <cell r="E309" t="str">
            <v>Number</v>
          </cell>
          <cell r="F309" t="str">
            <v>Small Commercial</v>
          </cell>
          <cell r="G309" t="str">
            <v>All time usage</v>
          </cell>
        </row>
        <row r="310">
          <cell r="B310" t="str">
            <v>SSP21</v>
          </cell>
          <cell r="E310" t="str">
            <v>kWh</v>
          </cell>
          <cell r="F310" t="str">
            <v>Small Commercial</v>
          </cell>
          <cell r="G310" t="str">
            <v>All time usage</v>
          </cell>
        </row>
        <row r="311">
          <cell r="B311" t="str">
            <v>SSP21</v>
          </cell>
          <cell r="E311" t="str">
            <v>kWh</v>
          </cell>
          <cell r="F311" t="str">
            <v>Small Commercial</v>
          </cell>
          <cell r="G311" t="str">
            <v>All time usage</v>
          </cell>
        </row>
        <row r="312">
          <cell r="B312" t="str">
            <v>SSP21</v>
          </cell>
          <cell r="E312" t="str">
            <v>kWh</v>
          </cell>
          <cell r="F312" t="str">
            <v>Small Commercial</v>
          </cell>
          <cell r="G312" t="str">
            <v>All time usage</v>
          </cell>
        </row>
        <row r="313">
          <cell r="B313" t="str">
            <v>SSP21</v>
          </cell>
          <cell r="E313" t="str">
            <v>kWh</v>
          </cell>
          <cell r="F313" t="str">
            <v>Small Commercial</v>
          </cell>
          <cell r="G313" t="str">
            <v>All time usage</v>
          </cell>
        </row>
        <row r="314">
          <cell r="B314" t="str">
            <v>SSP21</v>
          </cell>
          <cell r="E314" t="str">
            <v>Export kWh</v>
          </cell>
          <cell r="F314" t="str">
            <v>Small Commercial</v>
          </cell>
          <cell r="G314" t="str">
            <v>All time usage</v>
          </cell>
        </row>
        <row r="315">
          <cell r="B315" t="str">
            <v>NEE23</v>
          </cell>
          <cell r="E315" t="str">
            <v>Number</v>
          </cell>
          <cell r="F315" t="str">
            <v>Residential</v>
          </cell>
          <cell r="G315" t="str">
            <v>All time usage</v>
          </cell>
        </row>
        <row r="316">
          <cell r="B316" t="str">
            <v>NEE23</v>
          </cell>
          <cell r="E316" t="str">
            <v>kWh</v>
          </cell>
          <cell r="F316" t="str">
            <v>Residential</v>
          </cell>
          <cell r="G316" t="str">
            <v>All time usage</v>
          </cell>
        </row>
        <row r="317">
          <cell r="B317" t="str">
            <v>NEE23</v>
          </cell>
          <cell r="E317" t="str">
            <v>kWh</v>
          </cell>
          <cell r="F317" t="str">
            <v>Residential</v>
          </cell>
          <cell r="G317" t="str">
            <v>All time usage</v>
          </cell>
        </row>
        <row r="318">
          <cell r="B318" t="str">
            <v>NEE23</v>
          </cell>
          <cell r="E318" t="str">
            <v>Summer Export kWh</v>
          </cell>
          <cell r="F318" t="str">
            <v>Residential</v>
          </cell>
          <cell r="G318" t="str">
            <v>All time usage</v>
          </cell>
        </row>
        <row r="319">
          <cell r="B319" t="str">
            <v>SUN23</v>
          </cell>
          <cell r="E319" t="str">
            <v>Number</v>
          </cell>
          <cell r="F319" t="str">
            <v>Residential</v>
          </cell>
          <cell r="G319" t="str">
            <v>All time usage</v>
          </cell>
        </row>
        <row r="320">
          <cell r="B320" t="str">
            <v>SUN23</v>
          </cell>
          <cell r="E320" t="str">
            <v>kWh</v>
          </cell>
          <cell r="F320" t="str">
            <v>Residential</v>
          </cell>
          <cell r="G320" t="str">
            <v>All time usage</v>
          </cell>
        </row>
        <row r="321">
          <cell r="B321" t="str">
            <v>SUN23</v>
          </cell>
          <cell r="E321" t="str">
            <v>kWh</v>
          </cell>
          <cell r="F321" t="str">
            <v>Residential</v>
          </cell>
          <cell r="G321" t="str">
            <v>All time usage</v>
          </cell>
        </row>
        <row r="322">
          <cell r="B322" t="str">
            <v>SUN23</v>
          </cell>
          <cell r="E322" t="str">
            <v>Summer Export kWh</v>
          </cell>
          <cell r="F322" t="str">
            <v>Residential</v>
          </cell>
          <cell r="G322" t="str">
            <v>All time usage</v>
          </cell>
        </row>
        <row r="323">
          <cell r="B323" t="str">
            <v>SUN23</v>
          </cell>
          <cell r="E323" t="str">
            <v>Export kWh</v>
          </cell>
          <cell r="F323" t="str">
            <v>Residential</v>
          </cell>
          <cell r="G323" t="str">
            <v>All time usage</v>
          </cell>
        </row>
        <row r="324">
          <cell r="B324" t="str">
            <v>NSP23</v>
          </cell>
          <cell r="E324" t="str">
            <v>Number</v>
          </cell>
          <cell r="F324" t="str">
            <v>Residential</v>
          </cell>
          <cell r="G324" t="str">
            <v>All time usage</v>
          </cell>
        </row>
        <row r="325">
          <cell r="B325" t="str">
            <v>NSP23</v>
          </cell>
          <cell r="E325" t="str">
            <v>kWh</v>
          </cell>
          <cell r="F325" t="str">
            <v>Residential</v>
          </cell>
          <cell r="G325" t="str">
            <v>All time usage</v>
          </cell>
        </row>
        <row r="326">
          <cell r="B326" t="str">
            <v>NSP23</v>
          </cell>
          <cell r="E326" t="str">
            <v>kWh</v>
          </cell>
          <cell r="F326" t="str">
            <v>Residential</v>
          </cell>
          <cell r="G326" t="str">
            <v>All time usage</v>
          </cell>
        </row>
        <row r="327">
          <cell r="B327" t="str">
            <v>NSP23</v>
          </cell>
          <cell r="E327" t="str">
            <v>kWh</v>
          </cell>
          <cell r="F327" t="str">
            <v>Residential</v>
          </cell>
          <cell r="G327" t="str">
            <v>All time usage</v>
          </cell>
        </row>
        <row r="328">
          <cell r="B328" t="str">
            <v>NSP23</v>
          </cell>
          <cell r="E328" t="str">
            <v>kWh</v>
          </cell>
          <cell r="F328" t="str">
            <v>Residential</v>
          </cell>
          <cell r="G328" t="str">
            <v>All time usage</v>
          </cell>
        </row>
        <row r="329">
          <cell r="B329" t="str">
            <v>NSP23</v>
          </cell>
          <cell r="E329" t="str">
            <v>Export kWh</v>
          </cell>
          <cell r="F329" t="str">
            <v>Residential</v>
          </cell>
          <cell r="G329" t="str">
            <v>All time usage</v>
          </cell>
        </row>
        <row r="330">
          <cell r="B330" t="str">
            <v>SSP23</v>
          </cell>
          <cell r="E330" t="str">
            <v>Number</v>
          </cell>
          <cell r="F330" t="str">
            <v>Residential</v>
          </cell>
          <cell r="G330" t="str">
            <v>All time usage</v>
          </cell>
        </row>
        <row r="331">
          <cell r="B331" t="str">
            <v>SSP23</v>
          </cell>
          <cell r="E331" t="str">
            <v>kWh</v>
          </cell>
          <cell r="F331" t="str">
            <v>Residential</v>
          </cell>
          <cell r="G331" t="str">
            <v>All time usage</v>
          </cell>
        </row>
        <row r="332">
          <cell r="B332" t="str">
            <v>SSP23</v>
          </cell>
          <cell r="E332" t="str">
            <v>kWh</v>
          </cell>
          <cell r="F332" t="str">
            <v>Residential</v>
          </cell>
          <cell r="G332" t="str">
            <v>All time usage</v>
          </cell>
        </row>
        <row r="333">
          <cell r="B333" t="str">
            <v>SSP23</v>
          </cell>
          <cell r="E333" t="str">
            <v>kWh</v>
          </cell>
          <cell r="F333" t="str">
            <v>Residential</v>
          </cell>
          <cell r="G333" t="str">
            <v>All time usage</v>
          </cell>
        </row>
        <row r="334">
          <cell r="B334" t="str">
            <v>SSP23</v>
          </cell>
          <cell r="E334" t="str">
            <v>kWh</v>
          </cell>
          <cell r="F334" t="str">
            <v>Residential</v>
          </cell>
          <cell r="G334" t="str">
            <v>All time usage</v>
          </cell>
        </row>
        <row r="335">
          <cell r="B335" t="str">
            <v>SSP23</v>
          </cell>
          <cell r="E335" t="str">
            <v>Summer Export kWh</v>
          </cell>
          <cell r="F335" t="str">
            <v>Residential</v>
          </cell>
          <cell r="G335" t="str">
            <v>All time usage</v>
          </cell>
        </row>
        <row r="336">
          <cell r="B336" t="str">
            <v>SSP23</v>
          </cell>
          <cell r="E336" t="str">
            <v>Export kWh</v>
          </cell>
          <cell r="F336" t="str">
            <v>Residential</v>
          </cell>
          <cell r="G336" t="str">
            <v>All time usage</v>
          </cell>
        </row>
        <row r="337">
          <cell r="B337" t="str">
            <v>NEE24</v>
          </cell>
          <cell r="E337" t="str">
            <v>Number</v>
          </cell>
          <cell r="F337" t="str">
            <v>Residential</v>
          </cell>
          <cell r="G337" t="str">
            <v>All time usage</v>
          </cell>
        </row>
        <row r="338">
          <cell r="B338" t="str">
            <v>NEE24</v>
          </cell>
          <cell r="E338" t="str">
            <v>kWh</v>
          </cell>
          <cell r="F338" t="str">
            <v>Residential</v>
          </cell>
          <cell r="G338" t="str">
            <v>All time usage</v>
          </cell>
        </row>
        <row r="339">
          <cell r="B339" t="str">
            <v>NEE24</v>
          </cell>
          <cell r="E339" t="str">
            <v>kWh</v>
          </cell>
          <cell r="F339" t="str">
            <v>Residential</v>
          </cell>
          <cell r="G339" t="str">
            <v>All time usage</v>
          </cell>
        </row>
        <row r="340">
          <cell r="B340" t="str">
            <v>NEE25</v>
          </cell>
          <cell r="E340" t="str">
            <v>Number</v>
          </cell>
          <cell r="F340" t="str">
            <v>Small Commercial</v>
          </cell>
          <cell r="G340" t="str">
            <v>All time usage</v>
          </cell>
        </row>
        <row r="341">
          <cell r="B341" t="str">
            <v>NEE25</v>
          </cell>
          <cell r="E341" t="str">
            <v>kWh</v>
          </cell>
          <cell r="F341" t="str">
            <v>Small Commercial</v>
          </cell>
          <cell r="G341" t="str">
            <v>All time usage</v>
          </cell>
        </row>
        <row r="342">
          <cell r="B342" t="str">
            <v>NEE25</v>
          </cell>
          <cell r="E342" t="str">
            <v>kWh</v>
          </cell>
          <cell r="F342" t="str">
            <v>Small Commercial</v>
          </cell>
          <cell r="G342" t="str">
            <v>All time usage</v>
          </cell>
        </row>
        <row r="343">
          <cell r="B343" t="str">
            <v>NEE30</v>
          </cell>
          <cell r="E343" t="str">
            <v>Number</v>
          </cell>
          <cell r="F343" t="str">
            <v>Residential</v>
          </cell>
          <cell r="G343" t="str">
            <v>All time usage</v>
          </cell>
        </row>
        <row r="344">
          <cell r="B344" t="str">
            <v>NEE30</v>
          </cell>
          <cell r="E344" t="str">
            <v>kWh</v>
          </cell>
          <cell r="F344" t="str">
            <v>Residential</v>
          </cell>
          <cell r="G344" t="str">
            <v>All time usage</v>
          </cell>
        </row>
        <row r="345">
          <cell r="B345" t="str">
            <v>NSP30</v>
          </cell>
          <cell r="E345" t="str">
            <v>Number</v>
          </cell>
          <cell r="F345" t="str">
            <v>Residential</v>
          </cell>
          <cell r="G345" t="str">
            <v>All time usage</v>
          </cell>
        </row>
        <row r="346">
          <cell r="B346" t="str">
            <v>NSP30</v>
          </cell>
          <cell r="E346" t="str">
            <v>kWh</v>
          </cell>
          <cell r="F346" t="str">
            <v>Residential</v>
          </cell>
          <cell r="G346" t="str">
            <v>All time usage</v>
          </cell>
        </row>
        <row r="347">
          <cell r="B347" t="str">
            <v>NEE31</v>
          </cell>
          <cell r="E347" t="str">
            <v>Number</v>
          </cell>
          <cell r="F347" t="str">
            <v>Residential</v>
          </cell>
          <cell r="G347" t="str">
            <v>All time usage</v>
          </cell>
        </row>
        <row r="348">
          <cell r="B348" t="str">
            <v>NEE31</v>
          </cell>
          <cell r="E348" t="str">
            <v>kWh</v>
          </cell>
          <cell r="F348" t="str">
            <v>Residential</v>
          </cell>
          <cell r="G348" t="str">
            <v>All time usage</v>
          </cell>
        </row>
        <row r="349">
          <cell r="B349" t="str">
            <v>NSP31</v>
          </cell>
          <cell r="E349" t="str">
            <v>Number</v>
          </cell>
          <cell r="F349" t="str">
            <v>Residential</v>
          </cell>
          <cell r="G349" t="str">
            <v>All time usage</v>
          </cell>
        </row>
        <row r="350">
          <cell r="B350" t="str">
            <v>NSP31</v>
          </cell>
          <cell r="E350" t="str">
            <v>kWh</v>
          </cell>
          <cell r="F350" t="str">
            <v>Residential</v>
          </cell>
          <cell r="G350" t="str">
            <v>All time usage</v>
          </cell>
        </row>
        <row r="351">
          <cell r="B351" t="str">
            <v>NEE32</v>
          </cell>
          <cell r="E351" t="str">
            <v>Number</v>
          </cell>
          <cell r="F351" t="str">
            <v>Residential</v>
          </cell>
          <cell r="G351" t="str">
            <v>All time usage</v>
          </cell>
        </row>
        <row r="352">
          <cell r="B352" t="str">
            <v>NEE32</v>
          </cell>
          <cell r="E352" t="str">
            <v>kWh</v>
          </cell>
          <cell r="F352" t="str">
            <v>Residential</v>
          </cell>
          <cell r="G352" t="str">
            <v>All time usage</v>
          </cell>
        </row>
        <row r="353">
          <cell r="B353" t="str">
            <v>NSP32</v>
          </cell>
          <cell r="E353" t="str">
            <v>Number</v>
          </cell>
          <cell r="F353" t="str">
            <v>Residential</v>
          </cell>
          <cell r="G353" t="str">
            <v>All time usage</v>
          </cell>
        </row>
        <row r="354">
          <cell r="B354" t="str">
            <v>NSP32</v>
          </cell>
          <cell r="E354" t="str">
            <v>kWh</v>
          </cell>
          <cell r="F354" t="str">
            <v>Residential</v>
          </cell>
          <cell r="G354" t="str">
            <v>All time usage</v>
          </cell>
        </row>
        <row r="355">
          <cell r="B355" t="str">
            <v>NEE40</v>
          </cell>
          <cell r="E355" t="str">
            <v>Number</v>
          </cell>
          <cell r="F355" t="str">
            <v>Small Commercial</v>
          </cell>
          <cell r="G355" t="str">
            <v>All time usage</v>
          </cell>
        </row>
        <row r="356">
          <cell r="B356" t="str">
            <v>NEE40</v>
          </cell>
          <cell r="E356" t="str">
            <v>kWh</v>
          </cell>
          <cell r="F356" t="str">
            <v>Small Commercial</v>
          </cell>
          <cell r="G356" t="str">
            <v>All time usage</v>
          </cell>
        </row>
        <row r="357">
          <cell r="B357" t="str">
            <v>NEE41</v>
          </cell>
          <cell r="E357" t="str">
            <v>Number</v>
          </cell>
          <cell r="F357" t="str">
            <v>Small Commercial</v>
          </cell>
          <cell r="G357" t="str">
            <v>All time usage</v>
          </cell>
        </row>
        <row r="358">
          <cell r="B358" t="str">
            <v>NEE41</v>
          </cell>
          <cell r="E358" t="str">
            <v>kWh</v>
          </cell>
          <cell r="F358" t="str">
            <v>Small Commercial</v>
          </cell>
          <cell r="G358" t="str">
            <v>All time usage</v>
          </cell>
        </row>
        <row r="359">
          <cell r="B359" t="str">
            <v>NEE41</v>
          </cell>
          <cell r="E359" t="str">
            <v>kWh</v>
          </cell>
          <cell r="F359" t="str">
            <v>Small Commercial</v>
          </cell>
          <cell r="G359" t="str">
            <v>All time usage</v>
          </cell>
        </row>
        <row r="360">
          <cell r="B360" t="str">
            <v>NEE42</v>
          </cell>
          <cell r="E360" t="str">
            <v>Number</v>
          </cell>
          <cell r="F360" t="str">
            <v>Small Commercial</v>
          </cell>
          <cell r="G360" t="str">
            <v>All time usage</v>
          </cell>
        </row>
        <row r="361">
          <cell r="B361" t="str">
            <v>NEE42</v>
          </cell>
          <cell r="E361" t="str">
            <v>kWh</v>
          </cell>
          <cell r="F361" t="str">
            <v>Small Commercial</v>
          </cell>
          <cell r="G361" t="str">
            <v>All time usage</v>
          </cell>
        </row>
        <row r="362">
          <cell r="B362" t="str">
            <v>NEE42</v>
          </cell>
          <cell r="E362" t="str">
            <v>kWh</v>
          </cell>
          <cell r="F362" t="str">
            <v>Small Commercial</v>
          </cell>
          <cell r="G362" t="str">
            <v>All time usage</v>
          </cell>
        </row>
        <row r="363">
          <cell r="B363" t="str">
            <v>NEE43</v>
          </cell>
          <cell r="E363" t="str">
            <v>Number</v>
          </cell>
          <cell r="F363" t="str">
            <v>Small Commercial</v>
          </cell>
          <cell r="G363" t="str">
            <v>All time usage</v>
          </cell>
        </row>
        <row r="364">
          <cell r="B364" t="str">
            <v>NEE43</v>
          </cell>
          <cell r="E364" t="str">
            <v>kWh</v>
          </cell>
          <cell r="F364" t="str">
            <v>Small Commercial</v>
          </cell>
          <cell r="G364" t="str">
            <v>All time usage</v>
          </cell>
        </row>
        <row r="365">
          <cell r="B365" t="str">
            <v>NEE43</v>
          </cell>
          <cell r="E365" t="str">
            <v>kWh</v>
          </cell>
          <cell r="F365" t="str">
            <v>Small Commercial</v>
          </cell>
          <cell r="G365" t="str">
            <v>All time usage</v>
          </cell>
        </row>
        <row r="366">
          <cell r="B366" t="str">
            <v>NEE51</v>
          </cell>
          <cell r="E366" t="str">
            <v>Number</v>
          </cell>
          <cell r="F366" t="str">
            <v>Small Commercial</v>
          </cell>
          <cell r="G366" t="str">
            <v>All time usage</v>
          </cell>
        </row>
        <row r="367">
          <cell r="B367" t="str">
            <v>NEE51</v>
          </cell>
          <cell r="E367" t="str">
            <v>kWh</v>
          </cell>
          <cell r="F367" t="str">
            <v>Small Commercial</v>
          </cell>
          <cell r="G367" t="str">
            <v>All time usage</v>
          </cell>
        </row>
        <row r="368">
          <cell r="B368" t="str">
            <v>NEE51</v>
          </cell>
          <cell r="E368" t="str">
            <v>kWh</v>
          </cell>
          <cell r="F368" t="str">
            <v>Small Commercial</v>
          </cell>
          <cell r="G368" t="str">
            <v>All time usage</v>
          </cell>
        </row>
        <row r="369">
          <cell r="B369" t="str">
            <v>NEE52</v>
          </cell>
          <cell r="E369" t="str">
            <v>Number</v>
          </cell>
          <cell r="F369" t="str">
            <v>Small Commercial</v>
          </cell>
          <cell r="G369" t="str">
            <v>All time usage</v>
          </cell>
        </row>
        <row r="370">
          <cell r="B370" t="str">
            <v>NEE52</v>
          </cell>
          <cell r="E370" t="str">
            <v>kWh</v>
          </cell>
          <cell r="F370" t="str">
            <v>Small Commercial</v>
          </cell>
          <cell r="G370" t="str">
            <v>All time usage</v>
          </cell>
        </row>
        <row r="371">
          <cell r="B371" t="str">
            <v>NEE52</v>
          </cell>
          <cell r="E371" t="str">
            <v>kWh</v>
          </cell>
          <cell r="F371" t="str">
            <v>Small Commercial</v>
          </cell>
          <cell r="G371" t="str">
            <v>All time usage</v>
          </cell>
        </row>
        <row r="372">
          <cell r="B372" t="str">
            <v>NEE55</v>
          </cell>
          <cell r="E372" t="str">
            <v>Number</v>
          </cell>
          <cell r="F372" t="str">
            <v>Small Commercial</v>
          </cell>
          <cell r="G372" t="str">
            <v>All time usage</v>
          </cell>
        </row>
        <row r="373">
          <cell r="B373" t="str">
            <v>NEE55</v>
          </cell>
          <cell r="E373" t="str">
            <v>kWh</v>
          </cell>
          <cell r="F373" t="str">
            <v>Small Commercial</v>
          </cell>
          <cell r="G373" t="str">
            <v>All time usage</v>
          </cell>
        </row>
        <row r="374">
          <cell r="B374" t="str">
            <v>NEE55</v>
          </cell>
          <cell r="E374" t="str">
            <v>kWh</v>
          </cell>
          <cell r="F374" t="str">
            <v>Small Commercial</v>
          </cell>
          <cell r="G374" t="str">
            <v>All time usage</v>
          </cell>
        </row>
        <row r="375">
          <cell r="B375" t="str">
            <v>NSP55</v>
          </cell>
          <cell r="E375" t="str">
            <v>Number</v>
          </cell>
          <cell r="F375" t="str">
            <v>Small Commercial</v>
          </cell>
          <cell r="G375" t="str">
            <v>All time usage</v>
          </cell>
        </row>
        <row r="376">
          <cell r="B376" t="str">
            <v>NSP55</v>
          </cell>
          <cell r="E376" t="str">
            <v>kWh</v>
          </cell>
          <cell r="F376" t="str">
            <v>Small Commercial</v>
          </cell>
          <cell r="G376" t="str">
            <v>All time usage</v>
          </cell>
        </row>
        <row r="377">
          <cell r="B377" t="str">
            <v>NSP55</v>
          </cell>
          <cell r="E377" t="str">
            <v>kWh</v>
          </cell>
          <cell r="F377" t="str">
            <v>Small Commercial</v>
          </cell>
          <cell r="G377" t="str">
            <v>All time usage</v>
          </cell>
        </row>
        <row r="378">
          <cell r="B378" t="str">
            <v>NSP55</v>
          </cell>
          <cell r="E378" t="str">
            <v>kWh</v>
          </cell>
          <cell r="F378" t="str">
            <v>Small Commercial</v>
          </cell>
          <cell r="G378" t="str">
            <v>All time usage</v>
          </cell>
        </row>
        <row r="379">
          <cell r="B379" t="str">
            <v>NSP55</v>
          </cell>
          <cell r="E379" t="str">
            <v>kWh</v>
          </cell>
          <cell r="F379" t="str">
            <v>Small Commercial</v>
          </cell>
          <cell r="G379" t="str">
            <v>All time usage</v>
          </cell>
        </row>
        <row r="380">
          <cell r="B380" t="str">
            <v>NEE56</v>
          </cell>
          <cell r="E380" t="str">
            <v>Number</v>
          </cell>
          <cell r="F380" t="str">
            <v>Industrial</v>
          </cell>
          <cell r="G380" t="str">
            <v>All time usage</v>
          </cell>
        </row>
        <row r="381">
          <cell r="B381" t="str">
            <v>NEE56</v>
          </cell>
          <cell r="E381" t="str">
            <v>kWh</v>
          </cell>
          <cell r="F381" t="str">
            <v>Industrial</v>
          </cell>
          <cell r="G381" t="str">
            <v>All time usage</v>
          </cell>
        </row>
        <row r="382">
          <cell r="B382" t="str">
            <v>NEE56</v>
          </cell>
          <cell r="E382" t="str">
            <v>kWh</v>
          </cell>
          <cell r="F382" t="str">
            <v>Industrial</v>
          </cell>
          <cell r="G382" t="str">
            <v>All time usage</v>
          </cell>
        </row>
        <row r="383">
          <cell r="B383" t="str">
            <v>NEE56</v>
          </cell>
          <cell r="E383" t="str">
            <v>kWh</v>
          </cell>
          <cell r="F383" t="str">
            <v>Industrial</v>
          </cell>
          <cell r="G383" t="str">
            <v>All time usage</v>
          </cell>
        </row>
        <row r="384">
          <cell r="B384" t="str">
            <v>NEE56</v>
          </cell>
          <cell r="E384" t="str">
            <v>kVA</v>
          </cell>
          <cell r="F384" t="str">
            <v>Industrial</v>
          </cell>
          <cell r="G384" t="str">
            <v>All time usage</v>
          </cell>
        </row>
        <row r="385">
          <cell r="B385" t="str">
            <v>NEN56</v>
          </cell>
          <cell r="E385" t="str">
            <v>Number</v>
          </cell>
          <cell r="F385" t="str">
            <v>Industrial</v>
          </cell>
          <cell r="G385" t="str">
            <v>All time usage</v>
          </cell>
        </row>
        <row r="386">
          <cell r="B386" t="str">
            <v>NEN56</v>
          </cell>
          <cell r="E386" t="str">
            <v>kWh</v>
          </cell>
          <cell r="F386" t="str">
            <v>Industrial</v>
          </cell>
          <cell r="G386" t="str">
            <v>All time usage</v>
          </cell>
        </row>
        <row r="387">
          <cell r="B387" t="str">
            <v>NEN56</v>
          </cell>
          <cell r="E387" t="str">
            <v>kWh</v>
          </cell>
          <cell r="F387" t="str">
            <v>Industrial</v>
          </cell>
          <cell r="G387" t="str">
            <v>All time usage</v>
          </cell>
        </row>
        <row r="388">
          <cell r="B388" t="str">
            <v>NEN56</v>
          </cell>
          <cell r="E388" t="str">
            <v>kWh</v>
          </cell>
          <cell r="F388" t="str">
            <v>Industrial</v>
          </cell>
          <cell r="G388" t="str">
            <v>All time usage</v>
          </cell>
        </row>
        <row r="389">
          <cell r="B389" t="str">
            <v>NEN56</v>
          </cell>
          <cell r="E389" t="str">
            <v>kVA</v>
          </cell>
          <cell r="F389" t="str">
            <v>Industrial</v>
          </cell>
          <cell r="G389" t="str">
            <v>All time usage</v>
          </cell>
        </row>
        <row r="390">
          <cell r="B390" t="str">
            <v>NEN56</v>
          </cell>
          <cell r="E390" t="str">
            <v>kVA</v>
          </cell>
          <cell r="F390" t="str">
            <v>Industrial</v>
          </cell>
          <cell r="G390" t="str">
            <v>All time usage</v>
          </cell>
        </row>
        <row r="391">
          <cell r="B391" t="str">
            <v>NSP56</v>
          </cell>
          <cell r="E391" t="str">
            <v>Number</v>
          </cell>
          <cell r="F391" t="str">
            <v>Industrial</v>
          </cell>
          <cell r="G391" t="str">
            <v>All time usage</v>
          </cell>
        </row>
        <row r="392">
          <cell r="B392" t="str">
            <v>NSP56</v>
          </cell>
          <cell r="E392" t="str">
            <v>kWh</v>
          </cell>
          <cell r="F392" t="str">
            <v>Industrial</v>
          </cell>
          <cell r="G392" t="str">
            <v>All time usage</v>
          </cell>
        </row>
        <row r="393">
          <cell r="B393" t="str">
            <v>NSP56</v>
          </cell>
          <cell r="E393" t="str">
            <v>kWh</v>
          </cell>
          <cell r="F393" t="str">
            <v>Industrial</v>
          </cell>
          <cell r="G393" t="str">
            <v>All time usage</v>
          </cell>
        </row>
        <row r="394">
          <cell r="B394" t="str">
            <v>NSP56</v>
          </cell>
          <cell r="E394" t="str">
            <v>kWh</v>
          </cell>
          <cell r="F394" t="str">
            <v>Industrial</v>
          </cell>
          <cell r="G394" t="str">
            <v>All time usage</v>
          </cell>
        </row>
        <row r="395">
          <cell r="B395" t="str">
            <v>NSP56</v>
          </cell>
          <cell r="E395" t="str">
            <v>kVA</v>
          </cell>
          <cell r="F395" t="str">
            <v>Industrial</v>
          </cell>
          <cell r="G395" t="str">
            <v>All time usage</v>
          </cell>
        </row>
        <row r="396">
          <cell r="B396" t="str">
            <v>NSP56</v>
          </cell>
          <cell r="E396" t="str">
            <v>kVA</v>
          </cell>
          <cell r="F396" t="str">
            <v>Industrial</v>
          </cell>
          <cell r="G396" t="str">
            <v>All time usage</v>
          </cell>
        </row>
        <row r="397">
          <cell r="B397" t="str">
            <v>NEE60</v>
          </cell>
          <cell r="E397" t="str">
            <v>Number</v>
          </cell>
          <cell r="F397" t="str">
            <v>Small Commercial</v>
          </cell>
          <cell r="G397" t="str">
            <v>All time usage</v>
          </cell>
        </row>
        <row r="398">
          <cell r="B398" t="str">
            <v>NEE60</v>
          </cell>
          <cell r="E398" t="str">
            <v>kWh</v>
          </cell>
          <cell r="F398" t="str">
            <v>Small Commercial</v>
          </cell>
          <cell r="G398" t="str">
            <v>All time usage</v>
          </cell>
        </row>
        <row r="399">
          <cell r="B399" t="str">
            <v>NEE60</v>
          </cell>
          <cell r="E399" t="str">
            <v>kWh</v>
          </cell>
          <cell r="F399" t="str">
            <v>Small Commercial</v>
          </cell>
          <cell r="G399" t="str">
            <v>All time usage</v>
          </cell>
        </row>
        <row r="400">
          <cell r="B400" t="str">
            <v>NEE71</v>
          </cell>
          <cell r="E400" t="str">
            <v>Number</v>
          </cell>
          <cell r="F400" t="str">
            <v>Industrial</v>
          </cell>
          <cell r="G400" t="str">
            <v>All time usage</v>
          </cell>
        </row>
        <row r="401">
          <cell r="B401" t="str">
            <v>NEE71</v>
          </cell>
          <cell r="E401" t="str">
            <v>kWh</v>
          </cell>
          <cell r="F401" t="str">
            <v>Industrial</v>
          </cell>
          <cell r="G401" t="str">
            <v>All time usage</v>
          </cell>
        </row>
        <row r="402">
          <cell r="B402" t="str">
            <v>NEE71</v>
          </cell>
          <cell r="E402" t="str">
            <v>kWh</v>
          </cell>
          <cell r="F402" t="str">
            <v>Industrial</v>
          </cell>
          <cell r="G402" t="str">
            <v>All time usage</v>
          </cell>
        </row>
        <row r="403">
          <cell r="B403" t="str">
            <v>NEE71</v>
          </cell>
          <cell r="E403" t="str">
            <v>kVA</v>
          </cell>
          <cell r="F403" t="str">
            <v>Industrial</v>
          </cell>
          <cell r="G403" t="str">
            <v>All time usage</v>
          </cell>
        </row>
        <row r="404">
          <cell r="B404" t="str">
            <v>NEE72</v>
          </cell>
          <cell r="E404" t="str">
            <v>Number</v>
          </cell>
          <cell r="F404" t="str">
            <v>Industrial</v>
          </cell>
          <cell r="G404" t="str">
            <v>All time usage</v>
          </cell>
        </row>
        <row r="405">
          <cell r="B405" t="str">
            <v>NEE72</v>
          </cell>
          <cell r="E405" t="str">
            <v>kWh</v>
          </cell>
          <cell r="F405" t="str">
            <v>Industrial</v>
          </cell>
          <cell r="G405" t="str">
            <v>All time usage</v>
          </cell>
        </row>
        <row r="406">
          <cell r="B406" t="str">
            <v>NEE72</v>
          </cell>
          <cell r="E406" t="str">
            <v>kWh</v>
          </cell>
          <cell r="F406" t="str">
            <v>Industrial</v>
          </cell>
          <cell r="G406" t="str">
            <v>All time usage</v>
          </cell>
        </row>
        <row r="407">
          <cell r="B407" t="str">
            <v>NEE72</v>
          </cell>
          <cell r="E407" t="str">
            <v>kVA</v>
          </cell>
          <cell r="F407" t="str">
            <v>Industrial</v>
          </cell>
          <cell r="G407" t="str">
            <v>All time usage</v>
          </cell>
        </row>
        <row r="408">
          <cell r="B408" t="str">
            <v>NEE74</v>
          </cell>
          <cell r="E408" t="str">
            <v>Number</v>
          </cell>
          <cell r="F408" t="str">
            <v>Industrial</v>
          </cell>
          <cell r="G408" t="str">
            <v>All time usage</v>
          </cell>
        </row>
        <row r="409">
          <cell r="B409" t="str">
            <v>NEE74</v>
          </cell>
          <cell r="E409" t="str">
            <v>kWh</v>
          </cell>
          <cell r="F409" t="str">
            <v>Industrial</v>
          </cell>
          <cell r="G409" t="str">
            <v>All time usage</v>
          </cell>
        </row>
        <row r="410">
          <cell r="B410" t="str">
            <v>NEE74</v>
          </cell>
          <cell r="E410" t="str">
            <v>kWh</v>
          </cell>
          <cell r="F410" t="str">
            <v>Industrial</v>
          </cell>
          <cell r="G410" t="str">
            <v>All time usage</v>
          </cell>
        </row>
        <row r="411">
          <cell r="B411" t="str">
            <v>NEE75</v>
          </cell>
          <cell r="E411" t="str">
            <v>Number</v>
          </cell>
          <cell r="F411" t="str">
            <v>Industrial</v>
          </cell>
          <cell r="G411" t="str">
            <v>All time usage</v>
          </cell>
        </row>
        <row r="412">
          <cell r="B412" t="str">
            <v>NEE75</v>
          </cell>
          <cell r="E412" t="str">
            <v>kWh</v>
          </cell>
          <cell r="F412" t="str">
            <v>Industrial</v>
          </cell>
          <cell r="G412" t="str">
            <v>All time usage</v>
          </cell>
        </row>
        <row r="413">
          <cell r="B413" t="str">
            <v>NEE75</v>
          </cell>
          <cell r="E413" t="str">
            <v>kWh</v>
          </cell>
          <cell r="F413" t="str">
            <v>Industrial</v>
          </cell>
          <cell r="G413" t="str">
            <v>All time usage</v>
          </cell>
        </row>
        <row r="414">
          <cell r="B414" t="str">
            <v>NEE75</v>
          </cell>
          <cell r="E414" t="str">
            <v>kWh</v>
          </cell>
          <cell r="F414" t="str">
            <v>Industrial</v>
          </cell>
          <cell r="G414" t="str">
            <v>All time usage</v>
          </cell>
        </row>
        <row r="415">
          <cell r="B415" t="str">
            <v>NEE75</v>
          </cell>
          <cell r="E415" t="str">
            <v>kVA</v>
          </cell>
          <cell r="F415" t="str">
            <v>Industrial</v>
          </cell>
          <cell r="G415" t="str">
            <v>All time usage</v>
          </cell>
        </row>
        <row r="416">
          <cell r="B416" t="str">
            <v>NSP75</v>
          </cell>
          <cell r="E416" t="str">
            <v>Number</v>
          </cell>
          <cell r="F416" t="str">
            <v>Industrial</v>
          </cell>
          <cell r="G416" t="str">
            <v>All time usage</v>
          </cell>
        </row>
        <row r="417">
          <cell r="B417" t="str">
            <v>NSP75</v>
          </cell>
          <cell r="E417" t="str">
            <v>kWh</v>
          </cell>
          <cell r="F417" t="str">
            <v>Industrial</v>
          </cell>
          <cell r="G417" t="str">
            <v>All time usage</v>
          </cell>
        </row>
        <row r="418">
          <cell r="B418" t="str">
            <v>NSP75</v>
          </cell>
          <cell r="E418" t="str">
            <v>kWh</v>
          </cell>
          <cell r="F418" t="str">
            <v>Industrial</v>
          </cell>
          <cell r="G418" t="str">
            <v>All time usage</v>
          </cell>
        </row>
        <row r="419">
          <cell r="B419" t="str">
            <v>NSP75</v>
          </cell>
          <cell r="E419" t="str">
            <v>kWh</v>
          </cell>
          <cell r="F419" t="str">
            <v>Industrial</v>
          </cell>
          <cell r="G419" t="str">
            <v>All time usage</v>
          </cell>
        </row>
        <row r="420">
          <cell r="B420" t="str">
            <v>NSP75</v>
          </cell>
          <cell r="E420" t="str">
            <v>kVA</v>
          </cell>
          <cell r="F420" t="str">
            <v>Industrial</v>
          </cell>
          <cell r="G420" t="str">
            <v>All time usage</v>
          </cell>
        </row>
        <row r="421">
          <cell r="B421" t="str">
            <v>NSP75</v>
          </cell>
          <cell r="E421" t="str">
            <v>kVA</v>
          </cell>
          <cell r="F421" t="str">
            <v>Industrial</v>
          </cell>
          <cell r="G421" t="str">
            <v>All time usage</v>
          </cell>
        </row>
        <row r="422">
          <cell r="B422" t="str">
            <v>NEE76</v>
          </cell>
          <cell r="E422" t="str">
            <v>Number</v>
          </cell>
          <cell r="F422" t="str">
            <v>Industrial</v>
          </cell>
          <cell r="G422" t="str">
            <v>All time usage</v>
          </cell>
        </row>
        <row r="423">
          <cell r="B423" t="str">
            <v>NEE76</v>
          </cell>
          <cell r="E423" t="str">
            <v>kWh</v>
          </cell>
          <cell r="F423" t="str">
            <v>Industrial</v>
          </cell>
          <cell r="G423" t="str">
            <v>All time usage</v>
          </cell>
        </row>
        <row r="424">
          <cell r="B424" t="str">
            <v>NEE76</v>
          </cell>
          <cell r="E424" t="str">
            <v>kWh</v>
          </cell>
          <cell r="F424" t="str">
            <v>Industrial</v>
          </cell>
          <cell r="G424" t="str">
            <v>All time usage</v>
          </cell>
        </row>
        <row r="425">
          <cell r="B425" t="str">
            <v>NEE76</v>
          </cell>
          <cell r="E425" t="str">
            <v>kWh</v>
          </cell>
          <cell r="F425" t="str">
            <v>Industrial</v>
          </cell>
          <cell r="G425" t="str">
            <v>All time usage</v>
          </cell>
        </row>
        <row r="426">
          <cell r="B426" t="str">
            <v>NEE76</v>
          </cell>
          <cell r="E426" t="str">
            <v>kVA</v>
          </cell>
          <cell r="F426" t="str">
            <v>Industrial</v>
          </cell>
          <cell r="G426" t="str">
            <v>All time usage</v>
          </cell>
        </row>
        <row r="427">
          <cell r="B427" t="str">
            <v>NSP76</v>
          </cell>
          <cell r="E427" t="str">
            <v>Number</v>
          </cell>
          <cell r="F427" t="str">
            <v>Industrial</v>
          </cell>
          <cell r="G427" t="str">
            <v>All time usage</v>
          </cell>
        </row>
        <row r="428">
          <cell r="B428" t="str">
            <v>NSP76</v>
          </cell>
          <cell r="E428" t="str">
            <v>kWh</v>
          </cell>
          <cell r="F428" t="str">
            <v>Industrial</v>
          </cell>
          <cell r="G428" t="str">
            <v>All time usage</v>
          </cell>
        </row>
        <row r="429">
          <cell r="B429" t="str">
            <v>NSP76</v>
          </cell>
          <cell r="E429" t="str">
            <v>kWh</v>
          </cell>
          <cell r="F429" t="str">
            <v>Industrial</v>
          </cell>
          <cell r="G429" t="str">
            <v>All time usage</v>
          </cell>
        </row>
        <row r="430">
          <cell r="B430" t="str">
            <v>NSP76</v>
          </cell>
          <cell r="E430" t="str">
            <v>kWh</v>
          </cell>
          <cell r="F430" t="str">
            <v>Industrial</v>
          </cell>
          <cell r="G430" t="str">
            <v>All time usage</v>
          </cell>
        </row>
        <row r="431">
          <cell r="B431" t="str">
            <v>NSP76</v>
          </cell>
          <cell r="E431" t="str">
            <v>kVA</v>
          </cell>
          <cell r="F431" t="str">
            <v>Industrial</v>
          </cell>
          <cell r="G431" t="str">
            <v>All time usage</v>
          </cell>
        </row>
        <row r="432">
          <cell r="B432" t="str">
            <v>NSP76</v>
          </cell>
          <cell r="E432" t="str">
            <v>kVA</v>
          </cell>
          <cell r="F432" t="str">
            <v>Industrial</v>
          </cell>
          <cell r="G432" t="str">
            <v>All time usage</v>
          </cell>
        </row>
        <row r="433">
          <cell r="B433" t="str">
            <v>NEE77</v>
          </cell>
          <cell r="E433" t="str">
            <v>Number</v>
          </cell>
          <cell r="F433" t="str">
            <v>Industrial</v>
          </cell>
          <cell r="G433" t="str">
            <v>All time usage</v>
          </cell>
        </row>
        <row r="434">
          <cell r="B434" t="str">
            <v>NEE77</v>
          </cell>
          <cell r="E434" t="str">
            <v>kWh</v>
          </cell>
          <cell r="F434" t="str">
            <v>Industrial</v>
          </cell>
          <cell r="G434" t="str">
            <v>All time usage</v>
          </cell>
        </row>
        <row r="435">
          <cell r="B435" t="str">
            <v>NEE77</v>
          </cell>
          <cell r="E435" t="str">
            <v>kWh</v>
          </cell>
          <cell r="F435" t="str">
            <v>Industrial</v>
          </cell>
          <cell r="G435" t="str">
            <v>All time usage</v>
          </cell>
        </row>
        <row r="436">
          <cell r="B436" t="str">
            <v>NEE77</v>
          </cell>
          <cell r="E436" t="str">
            <v>kWh</v>
          </cell>
          <cell r="F436" t="str">
            <v>Industrial</v>
          </cell>
          <cell r="G436" t="str">
            <v>All time usage</v>
          </cell>
        </row>
        <row r="437">
          <cell r="B437" t="str">
            <v>NEE77</v>
          </cell>
          <cell r="E437" t="str">
            <v>Number</v>
          </cell>
          <cell r="F437" t="str">
            <v>Industrial</v>
          </cell>
          <cell r="G437" t="str">
            <v>All time usage</v>
          </cell>
        </row>
        <row r="438">
          <cell r="B438" t="str">
            <v>NSP77</v>
          </cell>
          <cell r="E438" t="str">
            <v>Number</v>
          </cell>
          <cell r="F438" t="str">
            <v>Industrial</v>
          </cell>
          <cell r="G438" t="str">
            <v>All time usage</v>
          </cell>
        </row>
        <row r="439">
          <cell r="B439" t="str">
            <v>NSP77</v>
          </cell>
          <cell r="E439" t="str">
            <v>kWh</v>
          </cell>
          <cell r="F439" t="str">
            <v>Industrial</v>
          </cell>
          <cell r="G439" t="str">
            <v>All time usage</v>
          </cell>
        </row>
        <row r="440">
          <cell r="B440" t="str">
            <v>NSP77</v>
          </cell>
          <cell r="E440" t="str">
            <v>kWh</v>
          </cell>
          <cell r="F440" t="str">
            <v>Industrial</v>
          </cell>
          <cell r="G440" t="str">
            <v>All time usage</v>
          </cell>
        </row>
        <row r="441">
          <cell r="B441" t="str">
            <v>NSP77</v>
          </cell>
          <cell r="E441" t="str">
            <v>kWh</v>
          </cell>
          <cell r="F441" t="str">
            <v>Industrial</v>
          </cell>
          <cell r="G441" t="str">
            <v>All time usage</v>
          </cell>
        </row>
        <row r="442">
          <cell r="B442" t="str">
            <v>NSP77</v>
          </cell>
          <cell r="E442" t="str">
            <v>kVA</v>
          </cell>
          <cell r="F442" t="str">
            <v>Industrial</v>
          </cell>
          <cell r="G442" t="str">
            <v>All time usage</v>
          </cell>
        </row>
        <row r="443">
          <cell r="B443" t="str">
            <v>NSP77</v>
          </cell>
          <cell r="E443" t="str">
            <v>kVA</v>
          </cell>
          <cell r="F443" t="str">
            <v>Industrial</v>
          </cell>
          <cell r="G443" t="str">
            <v>All time usage</v>
          </cell>
        </row>
        <row r="444">
          <cell r="B444" t="str">
            <v>NEE78</v>
          </cell>
          <cell r="E444" t="str">
            <v>Number</v>
          </cell>
          <cell r="F444" t="str">
            <v>Industrial</v>
          </cell>
          <cell r="G444" t="str">
            <v>All time usage</v>
          </cell>
        </row>
        <row r="445">
          <cell r="B445" t="str">
            <v>NEE78</v>
          </cell>
          <cell r="E445" t="str">
            <v>kWh</v>
          </cell>
          <cell r="F445" t="str">
            <v>Industrial</v>
          </cell>
          <cell r="G445" t="str">
            <v>All time usage</v>
          </cell>
        </row>
        <row r="446">
          <cell r="B446" t="str">
            <v>NEE78</v>
          </cell>
          <cell r="E446" t="str">
            <v>kWh</v>
          </cell>
          <cell r="F446" t="str">
            <v>Industrial</v>
          </cell>
          <cell r="G446" t="str">
            <v>All time usage</v>
          </cell>
        </row>
        <row r="447">
          <cell r="B447" t="str">
            <v>NEE78</v>
          </cell>
          <cell r="E447" t="str">
            <v>kWh</v>
          </cell>
          <cell r="F447" t="str">
            <v>Industrial</v>
          </cell>
          <cell r="G447" t="str">
            <v>All time usage</v>
          </cell>
        </row>
        <row r="448">
          <cell r="B448" t="str">
            <v>NEE78</v>
          </cell>
          <cell r="E448" t="str">
            <v>Number</v>
          </cell>
          <cell r="F448" t="str">
            <v>Industrial</v>
          </cell>
          <cell r="G448" t="str">
            <v>All time usage</v>
          </cell>
        </row>
        <row r="449">
          <cell r="B449" t="str">
            <v>NSP78</v>
          </cell>
          <cell r="E449" t="str">
            <v>Number</v>
          </cell>
          <cell r="F449" t="str">
            <v>Industrial</v>
          </cell>
          <cell r="G449" t="str">
            <v>All time usage</v>
          </cell>
        </row>
        <row r="450">
          <cell r="B450" t="str">
            <v>NSP78</v>
          </cell>
          <cell r="E450" t="str">
            <v>kWh</v>
          </cell>
          <cell r="F450" t="str">
            <v>Industrial</v>
          </cell>
          <cell r="G450" t="str">
            <v>All time usage</v>
          </cell>
        </row>
        <row r="451">
          <cell r="B451" t="str">
            <v>NSP78</v>
          </cell>
          <cell r="E451" t="str">
            <v>kWh</v>
          </cell>
          <cell r="F451" t="str">
            <v>Industrial</v>
          </cell>
          <cell r="G451" t="str">
            <v>All time usage</v>
          </cell>
        </row>
        <row r="452">
          <cell r="B452" t="str">
            <v>NSP78</v>
          </cell>
          <cell r="E452" t="str">
            <v>kWh</v>
          </cell>
          <cell r="F452" t="str">
            <v>Industrial</v>
          </cell>
          <cell r="G452" t="str">
            <v>All time usage</v>
          </cell>
        </row>
        <row r="453">
          <cell r="B453" t="str">
            <v>NSP78</v>
          </cell>
          <cell r="E453" t="str">
            <v>kVA</v>
          </cell>
          <cell r="F453" t="str">
            <v>Industrial</v>
          </cell>
          <cell r="G453" t="str">
            <v>All time usage</v>
          </cell>
        </row>
        <row r="454">
          <cell r="B454" t="str">
            <v>NSP78</v>
          </cell>
          <cell r="E454" t="str">
            <v>kVA</v>
          </cell>
          <cell r="F454" t="str">
            <v>Industrial</v>
          </cell>
          <cell r="G454" t="str">
            <v>All time usage</v>
          </cell>
        </row>
        <row r="455">
          <cell r="B455" t="str">
            <v>NEE81</v>
          </cell>
          <cell r="E455" t="str">
            <v>Number</v>
          </cell>
          <cell r="F455" t="str">
            <v>Industrial</v>
          </cell>
          <cell r="G455" t="str">
            <v>All time usage</v>
          </cell>
        </row>
        <row r="456">
          <cell r="B456" t="str">
            <v>NEE81</v>
          </cell>
          <cell r="E456" t="str">
            <v>kWh</v>
          </cell>
          <cell r="F456" t="str">
            <v>Industrial</v>
          </cell>
          <cell r="G456" t="str">
            <v>All time usage</v>
          </cell>
        </row>
        <row r="457">
          <cell r="B457" t="str">
            <v>NEE81</v>
          </cell>
          <cell r="E457" t="str">
            <v>kWh</v>
          </cell>
          <cell r="F457" t="str">
            <v>Industrial</v>
          </cell>
          <cell r="G457" t="str">
            <v>All time usage</v>
          </cell>
        </row>
        <row r="458">
          <cell r="B458" t="str">
            <v>NEE81</v>
          </cell>
          <cell r="E458" t="str">
            <v>kVA</v>
          </cell>
          <cell r="F458" t="str">
            <v>Industrial</v>
          </cell>
          <cell r="G458" t="str">
            <v>All time usage</v>
          </cell>
        </row>
        <row r="459">
          <cell r="B459" t="str">
            <v>NSP81</v>
          </cell>
          <cell r="E459" t="str">
            <v>Number</v>
          </cell>
          <cell r="F459" t="str">
            <v>Industrial</v>
          </cell>
          <cell r="G459" t="str">
            <v>All time usage</v>
          </cell>
        </row>
        <row r="460">
          <cell r="B460" t="str">
            <v>NSP81</v>
          </cell>
          <cell r="E460" t="str">
            <v>kWh</v>
          </cell>
          <cell r="F460" t="str">
            <v>Industrial</v>
          </cell>
          <cell r="G460" t="str">
            <v>All time usage</v>
          </cell>
        </row>
        <row r="461">
          <cell r="B461" t="str">
            <v>NSP81</v>
          </cell>
          <cell r="E461" t="str">
            <v>kWh</v>
          </cell>
          <cell r="F461" t="str">
            <v>Industrial</v>
          </cell>
          <cell r="G461" t="str">
            <v>All time usage</v>
          </cell>
        </row>
        <row r="462">
          <cell r="B462" t="str">
            <v>NSP81</v>
          </cell>
          <cell r="E462" t="str">
            <v>kVA</v>
          </cell>
          <cell r="F462" t="str">
            <v>Industrial</v>
          </cell>
          <cell r="G462" t="str">
            <v>All time usage</v>
          </cell>
        </row>
        <row r="463">
          <cell r="B463" t="str">
            <v>NSP81</v>
          </cell>
          <cell r="E463" t="str">
            <v>kVA</v>
          </cell>
          <cell r="F463" t="str">
            <v>Industrial</v>
          </cell>
          <cell r="G463" t="str">
            <v>All time usage</v>
          </cell>
        </row>
        <row r="464">
          <cell r="B464" t="str">
            <v>NEE82</v>
          </cell>
          <cell r="E464" t="str">
            <v>Number</v>
          </cell>
          <cell r="F464" t="str">
            <v>Industrial</v>
          </cell>
          <cell r="G464" t="str">
            <v>All time usage</v>
          </cell>
        </row>
        <row r="465">
          <cell r="B465" t="str">
            <v>NEE82</v>
          </cell>
          <cell r="E465" t="str">
            <v>kWh</v>
          </cell>
          <cell r="F465" t="str">
            <v>Industrial</v>
          </cell>
          <cell r="G465" t="str">
            <v>All time usage</v>
          </cell>
        </row>
        <row r="466">
          <cell r="B466" t="str">
            <v>NEE82</v>
          </cell>
          <cell r="E466" t="str">
            <v>kWh</v>
          </cell>
          <cell r="F466" t="str">
            <v>Industrial</v>
          </cell>
          <cell r="G466" t="str">
            <v>All time usage</v>
          </cell>
        </row>
        <row r="467">
          <cell r="B467" t="str">
            <v>NEE82</v>
          </cell>
          <cell r="E467" t="str">
            <v>kWh</v>
          </cell>
          <cell r="F467" t="str">
            <v>Industrial</v>
          </cell>
          <cell r="G467" t="str">
            <v>All time usage</v>
          </cell>
        </row>
        <row r="468">
          <cell r="B468" t="str">
            <v>NEE82</v>
          </cell>
          <cell r="E468" t="str">
            <v>kVA</v>
          </cell>
          <cell r="F468" t="str">
            <v>Industrial</v>
          </cell>
          <cell r="G468" t="str">
            <v>All time usage</v>
          </cell>
        </row>
        <row r="469">
          <cell r="B469" t="str">
            <v>NSP82</v>
          </cell>
          <cell r="E469" t="str">
            <v>Number</v>
          </cell>
          <cell r="F469" t="str">
            <v>Industrial</v>
          </cell>
          <cell r="G469" t="str">
            <v>All time usage</v>
          </cell>
        </row>
        <row r="470">
          <cell r="B470" t="str">
            <v>NSP82</v>
          </cell>
          <cell r="E470" t="str">
            <v>kWh</v>
          </cell>
          <cell r="F470" t="str">
            <v>Industrial</v>
          </cell>
          <cell r="G470" t="str">
            <v>All time usage</v>
          </cell>
        </row>
        <row r="471">
          <cell r="B471" t="str">
            <v>NSP82</v>
          </cell>
          <cell r="E471" t="str">
            <v>kWh</v>
          </cell>
          <cell r="F471" t="str">
            <v>Industrial</v>
          </cell>
          <cell r="G471" t="str">
            <v>All time usage</v>
          </cell>
        </row>
        <row r="472">
          <cell r="B472" t="str">
            <v>NSP82</v>
          </cell>
          <cell r="E472" t="str">
            <v>kWh</v>
          </cell>
          <cell r="F472" t="str">
            <v>Industrial</v>
          </cell>
          <cell r="G472" t="str">
            <v>All time usage</v>
          </cell>
        </row>
        <row r="473">
          <cell r="B473" t="str">
            <v>NSP82</v>
          </cell>
          <cell r="E473" t="str">
            <v>kVA</v>
          </cell>
          <cell r="F473" t="str">
            <v>Industrial</v>
          </cell>
          <cell r="G473" t="str">
            <v>All time usage</v>
          </cell>
        </row>
        <row r="474">
          <cell r="B474" t="str">
            <v>NSP82</v>
          </cell>
          <cell r="E474" t="str">
            <v>kVA</v>
          </cell>
          <cell r="F474" t="str">
            <v>Industrial</v>
          </cell>
          <cell r="G474" t="str">
            <v>All time usage</v>
          </cell>
        </row>
        <row r="475">
          <cell r="B475" t="str">
            <v>NEE83</v>
          </cell>
          <cell r="E475" t="str">
            <v>Number</v>
          </cell>
          <cell r="F475" t="str">
            <v>Industrial</v>
          </cell>
          <cell r="G475" t="str">
            <v>All time usage</v>
          </cell>
        </row>
        <row r="476">
          <cell r="B476" t="str">
            <v>NEE83</v>
          </cell>
          <cell r="E476" t="str">
            <v>kWh</v>
          </cell>
          <cell r="F476" t="str">
            <v>Industrial</v>
          </cell>
          <cell r="G476" t="str">
            <v>All time usage</v>
          </cell>
        </row>
        <row r="477">
          <cell r="B477" t="str">
            <v>NEE83</v>
          </cell>
          <cell r="E477" t="str">
            <v>kWh</v>
          </cell>
          <cell r="F477" t="str">
            <v>Industrial</v>
          </cell>
          <cell r="G477" t="str">
            <v>All time usage</v>
          </cell>
        </row>
        <row r="478">
          <cell r="B478" t="str">
            <v>NEE83</v>
          </cell>
          <cell r="E478" t="str">
            <v>kWh</v>
          </cell>
          <cell r="F478" t="str">
            <v>Industrial</v>
          </cell>
          <cell r="G478" t="str">
            <v>All time usage</v>
          </cell>
        </row>
        <row r="479">
          <cell r="B479" t="str">
            <v>NEE83</v>
          </cell>
          <cell r="E479" t="str">
            <v>Number</v>
          </cell>
          <cell r="F479" t="str">
            <v>Industrial</v>
          </cell>
          <cell r="G479" t="str">
            <v>All time usage</v>
          </cell>
        </row>
        <row r="480">
          <cell r="B480" t="str">
            <v>NSP83</v>
          </cell>
          <cell r="E480" t="str">
            <v>Number</v>
          </cell>
          <cell r="F480" t="str">
            <v>Industrial</v>
          </cell>
          <cell r="G480" t="str">
            <v>All time usage</v>
          </cell>
        </row>
        <row r="481">
          <cell r="B481" t="str">
            <v>NSP83</v>
          </cell>
          <cell r="E481" t="str">
            <v>kWh</v>
          </cell>
          <cell r="F481" t="str">
            <v>Industrial</v>
          </cell>
          <cell r="G481" t="str">
            <v>All time usage</v>
          </cell>
        </row>
        <row r="482">
          <cell r="B482" t="str">
            <v>NSP83</v>
          </cell>
          <cell r="E482" t="str">
            <v>kWh</v>
          </cell>
          <cell r="F482" t="str">
            <v>Industrial</v>
          </cell>
          <cell r="G482" t="str">
            <v>All time usage</v>
          </cell>
        </row>
        <row r="483">
          <cell r="B483" t="str">
            <v>NSP83</v>
          </cell>
          <cell r="E483" t="str">
            <v>kWh</v>
          </cell>
          <cell r="F483" t="str">
            <v>Industrial</v>
          </cell>
          <cell r="G483" t="str">
            <v>All time usage</v>
          </cell>
        </row>
        <row r="484">
          <cell r="B484" t="str">
            <v>NSP83</v>
          </cell>
          <cell r="E484" t="str">
            <v>kVA</v>
          </cell>
          <cell r="F484" t="str">
            <v>Industrial</v>
          </cell>
          <cell r="G484" t="str">
            <v>All time usage</v>
          </cell>
        </row>
        <row r="485">
          <cell r="B485" t="str">
            <v>NSP83</v>
          </cell>
          <cell r="E485" t="str">
            <v>kVA</v>
          </cell>
          <cell r="F485" t="str">
            <v>Industrial</v>
          </cell>
          <cell r="G485" t="str">
            <v>All time usage</v>
          </cell>
        </row>
        <row r="486">
          <cell r="B486" t="str">
            <v>NEE91</v>
          </cell>
          <cell r="E486" t="str">
            <v>Number</v>
          </cell>
          <cell r="F486" t="str">
            <v>Industrial</v>
          </cell>
          <cell r="G486" t="str">
            <v>All time usage</v>
          </cell>
        </row>
        <row r="487">
          <cell r="B487" t="str">
            <v>NEE91</v>
          </cell>
          <cell r="E487" t="str">
            <v>kWh</v>
          </cell>
          <cell r="F487" t="str">
            <v>Industrial</v>
          </cell>
          <cell r="G487" t="str">
            <v>All time usage</v>
          </cell>
        </row>
        <row r="488">
          <cell r="B488" t="str">
            <v>NEE91</v>
          </cell>
          <cell r="E488" t="str">
            <v>kWh</v>
          </cell>
          <cell r="F488" t="str">
            <v>Industrial</v>
          </cell>
          <cell r="G488" t="str">
            <v>All time usage</v>
          </cell>
        </row>
        <row r="489">
          <cell r="B489" t="str">
            <v>NEE91</v>
          </cell>
          <cell r="E489" t="str">
            <v>kVA</v>
          </cell>
          <cell r="F489" t="str">
            <v>Industrial</v>
          </cell>
          <cell r="G489" t="str">
            <v>All time usage</v>
          </cell>
        </row>
        <row r="490">
          <cell r="B490" t="str">
            <v>NSP91</v>
          </cell>
          <cell r="E490" t="str">
            <v>Number</v>
          </cell>
          <cell r="F490" t="str">
            <v>Industrial</v>
          </cell>
          <cell r="G490" t="str">
            <v>All time usage</v>
          </cell>
        </row>
        <row r="491">
          <cell r="B491" t="str">
            <v>NSP91</v>
          </cell>
          <cell r="E491" t="str">
            <v>kWh</v>
          </cell>
          <cell r="F491" t="str">
            <v>Industrial</v>
          </cell>
          <cell r="G491" t="str">
            <v>All time usage</v>
          </cell>
        </row>
        <row r="492">
          <cell r="B492" t="str">
            <v>NSP91</v>
          </cell>
          <cell r="E492" t="str">
            <v>kWh</v>
          </cell>
          <cell r="F492" t="str">
            <v>Industrial</v>
          </cell>
          <cell r="G492" t="str">
            <v>All time usage</v>
          </cell>
        </row>
        <row r="493">
          <cell r="B493" t="str">
            <v>NSP91</v>
          </cell>
          <cell r="E493" t="str">
            <v>kVA</v>
          </cell>
          <cell r="F493" t="str">
            <v>Industrial</v>
          </cell>
          <cell r="G493" t="str">
            <v>All time usage</v>
          </cell>
        </row>
        <row r="494">
          <cell r="B494" t="str">
            <v>NSP91</v>
          </cell>
          <cell r="E494" t="str">
            <v>kVA</v>
          </cell>
          <cell r="F494" t="str">
            <v>Industrial</v>
          </cell>
          <cell r="G494" t="str">
            <v>All time usage</v>
          </cell>
        </row>
        <row r="495">
          <cell r="B495" t="str">
            <v>NEE93</v>
          </cell>
          <cell r="E495" t="str">
            <v>Number</v>
          </cell>
          <cell r="F495" t="str">
            <v>Industrial</v>
          </cell>
          <cell r="G495" t="str">
            <v>All time usage</v>
          </cell>
        </row>
        <row r="496">
          <cell r="B496" t="str">
            <v>NEE93</v>
          </cell>
          <cell r="E496" t="str">
            <v>kWh</v>
          </cell>
          <cell r="F496" t="str">
            <v>Industrial</v>
          </cell>
          <cell r="G496" t="str">
            <v>All time usage</v>
          </cell>
        </row>
        <row r="497">
          <cell r="B497" t="str">
            <v>NEE93</v>
          </cell>
          <cell r="E497" t="str">
            <v>kWh</v>
          </cell>
          <cell r="F497" t="str">
            <v>Industrial</v>
          </cell>
          <cell r="G497" t="str">
            <v>All time usage</v>
          </cell>
        </row>
        <row r="498">
          <cell r="B498" t="str">
            <v>NSP93</v>
          </cell>
          <cell r="E498" t="str">
            <v>Number</v>
          </cell>
          <cell r="F498" t="str">
            <v>Industrial</v>
          </cell>
          <cell r="G498" t="str">
            <v>All time usage</v>
          </cell>
        </row>
        <row r="499">
          <cell r="B499" t="str">
            <v>NSP93</v>
          </cell>
          <cell r="E499" t="str">
            <v>kWh</v>
          </cell>
          <cell r="F499" t="str">
            <v>Industrial</v>
          </cell>
          <cell r="G499" t="str">
            <v>All time usage</v>
          </cell>
        </row>
        <row r="500">
          <cell r="B500" t="str">
            <v>NSP93</v>
          </cell>
          <cell r="E500" t="str">
            <v>kWh</v>
          </cell>
          <cell r="F500" t="str">
            <v>Industrial</v>
          </cell>
          <cell r="G500" t="str">
            <v>All time usage</v>
          </cell>
        </row>
        <row r="501">
          <cell r="B501" t="str">
            <v>NEE94</v>
          </cell>
          <cell r="E501" t="str">
            <v>Number</v>
          </cell>
          <cell r="F501" t="str">
            <v>Industrial</v>
          </cell>
          <cell r="G501" t="str">
            <v>All time usage</v>
          </cell>
        </row>
        <row r="502">
          <cell r="B502" t="str">
            <v>NEE94</v>
          </cell>
          <cell r="E502" t="str">
            <v>kWh</v>
          </cell>
          <cell r="F502" t="str">
            <v>Industrial</v>
          </cell>
          <cell r="G502" t="str">
            <v>All time usage</v>
          </cell>
        </row>
        <row r="503">
          <cell r="B503" t="str">
            <v>NEE94</v>
          </cell>
          <cell r="E503" t="str">
            <v>kWh</v>
          </cell>
          <cell r="F503" t="str">
            <v>Industrial</v>
          </cell>
          <cell r="G503" t="str">
            <v>All time usage</v>
          </cell>
        </row>
        <row r="504">
          <cell r="B504" t="str">
            <v>NEE94</v>
          </cell>
          <cell r="E504" t="str">
            <v>kVA</v>
          </cell>
          <cell r="F504" t="str">
            <v>Industrial</v>
          </cell>
          <cell r="G504" t="str">
            <v>All time usage</v>
          </cell>
        </row>
        <row r="505">
          <cell r="B505" t="str">
            <v>NSP94</v>
          </cell>
          <cell r="E505" t="str">
            <v>Number</v>
          </cell>
          <cell r="F505" t="str">
            <v>Industrial</v>
          </cell>
          <cell r="G505" t="str">
            <v>All time usage</v>
          </cell>
        </row>
        <row r="506">
          <cell r="B506" t="str">
            <v>NSP94</v>
          </cell>
          <cell r="E506" t="str">
            <v>kWh</v>
          </cell>
          <cell r="F506" t="str">
            <v>Industrial</v>
          </cell>
          <cell r="G506" t="str">
            <v>All time usage</v>
          </cell>
        </row>
        <row r="507">
          <cell r="B507" t="str">
            <v>NSP94</v>
          </cell>
          <cell r="E507" t="str">
            <v>kWh</v>
          </cell>
          <cell r="F507" t="str">
            <v>Industrial</v>
          </cell>
          <cell r="G507" t="str">
            <v>All time usage</v>
          </cell>
        </row>
        <row r="508">
          <cell r="B508" t="str">
            <v>NSP94</v>
          </cell>
          <cell r="E508" t="str">
            <v>kVA</v>
          </cell>
          <cell r="F508" t="str">
            <v>Industrial</v>
          </cell>
          <cell r="G508" t="str">
            <v>All time usage</v>
          </cell>
        </row>
        <row r="509">
          <cell r="B509" t="str">
            <v>NSP94</v>
          </cell>
          <cell r="E509" t="str">
            <v>kVA</v>
          </cell>
          <cell r="F509" t="str">
            <v>Industrial</v>
          </cell>
          <cell r="G509" t="str">
            <v>All time usage</v>
          </cell>
        </row>
        <row r="510">
          <cell r="B510" t="str">
            <v>NEE95</v>
          </cell>
          <cell r="E510" t="str">
            <v>Number</v>
          </cell>
          <cell r="F510" t="str">
            <v>Industrial</v>
          </cell>
          <cell r="G510" t="str">
            <v>All time usage</v>
          </cell>
        </row>
        <row r="511">
          <cell r="B511" t="str">
            <v>NEE95</v>
          </cell>
          <cell r="E511" t="str">
            <v>kWh</v>
          </cell>
          <cell r="F511" t="str">
            <v>Industrial</v>
          </cell>
          <cell r="G511" t="str">
            <v>All time usage</v>
          </cell>
        </row>
        <row r="512">
          <cell r="B512" t="str">
            <v>NEE95</v>
          </cell>
          <cell r="E512" t="str">
            <v>kWh</v>
          </cell>
          <cell r="F512" t="str">
            <v>Industrial</v>
          </cell>
          <cell r="G512" t="str">
            <v>All time usage</v>
          </cell>
        </row>
        <row r="513">
          <cell r="B513" t="str">
            <v>NEE95</v>
          </cell>
          <cell r="E513" t="str">
            <v>kVA</v>
          </cell>
          <cell r="F513" t="str">
            <v>Industrial</v>
          </cell>
          <cell r="G513" t="str">
            <v>All time usage</v>
          </cell>
        </row>
        <row r="514">
          <cell r="B514" t="str">
            <v>NSP95</v>
          </cell>
          <cell r="E514" t="str">
            <v>Number</v>
          </cell>
          <cell r="F514" t="str">
            <v>Industrial</v>
          </cell>
          <cell r="G514" t="str">
            <v>All time usage</v>
          </cell>
        </row>
        <row r="515">
          <cell r="B515" t="str">
            <v>NSP95</v>
          </cell>
          <cell r="E515" t="str">
            <v>kWh</v>
          </cell>
          <cell r="F515" t="str">
            <v>Industrial</v>
          </cell>
          <cell r="G515" t="str">
            <v>All time usage</v>
          </cell>
        </row>
        <row r="516">
          <cell r="B516" t="str">
            <v>NSP95</v>
          </cell>
          <cell r="E516" t="str">
            <v>kWh</v>
          </cell>
          <cell r="F516" t="str">
            <v>Industrial</v>
          </cell>
          <cell r="G516" t="str">
            <v>All time usage</v>
          </cell>
        </row>
        <row r="517">
          <cell r="B517" t="str">
            <v>NSP95</v>
          </cell>
          <cell r="E517" t="str">
            <v>kVA</v>
          </cell>
          <cell r="F517" t="str">
            <v>Industrial</v>
          </cell>
          <cell r="G517" t="str">
            <v>All time usage</v>
          </cell>
        </row>
        <row r="518">
          <cell r="B518" t="str">
            <v>NSP95</v>
          </cell>
          <cell r="E518" t="str">
            <v>kVA</v>
          </cell>
          <cell r="F518" t="str">
            <v>Industrial</v>
          </cell>
          <cell r="G518" t="str">
            <v>All time usage</v>
          </cell>
        </row>
        <row r="519">
          <cell r="B519" t="str">
            <v>NEE26</v>
          </cell>
          <cell r="E519" t="str">
            <v>Number</v>
          </cell>
          <cell r="F519" t="str">
            <v>Residential</v>
          </cell>
          <cell r="G519" t="str">
            <v>All time usage</v>
          </cell>
        </row>
        <row r="520">
          <cell r="B520" t="str">
            <v>NEE26</v>
          </cell>
          <cell r="E520" t="str">
            <v>kWh</v>
          </cell>
          <cell r="F520" t="str">
            <v>Residential</v>
          </cell>
          <cell r="G520" t="str">
            <v>All time usage</v>
          </cell>
        </row>
        <row r="521">
          <cell r="B521" t="str">
            <v>NEE26</v>
          </cell>
          <cell r="E521" t="str">
            <v>kWh</v>
          </cell>
          <cell r="F521" t="str">
            <v>Residential</v>
          </cell>
          <cell r="G521" t="str">
            <v>All time usage</v>
          </cell>
        </row>
        <row r="522">
          <cell r="B522" t="str">
            <v>NEE26</v>
          </cell>
          <cell r="E522" t="str">
            <v>Summer Export kWh</v>
          </cell>
          <cell r="F522" t="str">
            <v>Residential</v>
          </cell>
          <cell r="G522" t="str">
            <v>All time usage</v>
          </cell>
        </row>
        <row r="523">
          <cell r="B523" t="str">
            <v>NEE27</v>
          </cell>
          <cell r="E523" t="str">
            <v>Number</v>
          </cell>
          <cell r="F523" t="str">
            <v>Small Commercial</v>
          </cell>
          <cell r="G523" t="str">
            <v>All time usage</v>
          </cell>
        </row>
        <row r="524">
          <cell r="B524" t="str">
            <v>NEE27</v>
          </cell>
          <cell r="E524" t="str">
            <v>kWh</v>
          </cell>
          <cell r="F524" t="str">
            <v>Small Commercial</v>
          </cell>
          <cell r="G524" t="str">
            <v>All time usage</v>
          </cell>
        </row>
        <row r="525">
          <cell r="B525" t="str">
            <v>NEE27</v>
          </cell>
          <cell r="E525" t="str">
            <v>kWh</v>
          </cell>
          <cell r="F525" t="str">
            <v>Small Commercial</v>
          </cell>
          <cell r="G525" t="str">
            <v>All time usage</v>
          </cell>
        </row>
        <row r="526">
          <cell r="B526" t="str">
            <v>NEE27</v>
          </cell>
          <cell r="E526" t="str">
            <v>Summer Export kWh</v>
          </cell>
          <cell r="F526" t="str">
            <v>Small Commercial</v>
          </cell>
          <cell r="G526" t="str">
            <v>All time usage</v>
          </cell>
        </row>
        <row r="527">
          <cell r="B527" t="str">
            <v>NEE28</v>
          </cell>
          <cell r="E527" t="str">
            <v>Number</v>
          </cell>
          <cell r="F527" t="str">
            <v>Small Commercial</v>
          </cell>
          <cell r="G527" t="str">
            <v>All time usage</v>
          </cell>
        </row>
        <row r="528">
          <cell r="B528" t="str">
            <v>NEE28</v>
          </cell>
          <cell r="E528" t="str">
            <v>kWh</v>
          </cell>
          <cell r="F528" t="str">
            <v>Small Commercial</v>
          </cell>
          <cell r="G528" t="str">
            <v>All time usage</v>
          </cell>
        </row>
        <row r="529">
          <cell r="B529" t="str">
            <v>NEE28</v>
          </cell>
          <cell r="E529" t="str">
            <v>kWh</v>
          </cell>
          <cell r="F529" t="str">
            <v>Small Commercial</v>
          </cell>
          <cell r="G529" t="str">
            <v>All time usage</v>
          </cell>
        </row>
        <row r="530">
          <cell r="B530" t="str">
            <v>NEE28</v>
          </cell>
          <cell r="E530" t="str">
            <v>Summer Export kWh</v>
          </cell>
          <cell r="F530" t="str">
            <v>Small Commercial</v>
          </cell>
          <cell r="G530" t="str">
            <v>All time usage</v>
          </cell>
        </row>
      </sheetData>
      <sheetData sheetId="11"/>
      <sheetData sheetId="12"/>
      <sheetData sheetId="13">
        <row r="2376">
          <cell r="B2376" t="str">
            <v>Electric Vehicles</v>
          </cell>
        </row>
        <row r="2768">
          <cell r="B2768" t="str">
            <v>MEPS scheme</v>
          </cell>
        </row>
        <row r="3162">
          <cell r="B3162" t="str">
            <v>One Watt Standby</v>
          </cell>
        </row>
        <row r="3556">
          <cell r="B3556" t="str">
            <v>6 Star Energy Rating</v>
          </cell>
        </row>
      </sheetData>
      <sheetData sheetId="14"/>
      <sheetData sheetId="15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port"/>
      <sheetName val="E13"/>
      <sheetName val="E23"/>
      <sheetName val="Bud Elim"/>
    </sheetNames>
    <sheetDataSet>
      <sheetData sheetId="0" refreshError="1"/>
      <sheetData sheetId="1" refreshError="1"/>
      <sheetData sheetId="2" refreshError="1">
        <row r="2">
          <cell r="I2" t="str">
            <v>11925S TXU Trading</v>
          </cell>
          <cell r="J2" t="str">
            <v>11925S TXU Trading</v>
          </cell>
          <cell r="V2" t="str">
            <v>As of Date: 31 Jul 2001</v>
          </cell>
        </row>
        <row r="4">
          <cell r="C4" t="str">
            <v>PROFIT AND LOSS DETAIL REPORT</v>
          </cell>
          <cell r="V4" t="str">
            <v>CONFIDENTIAL</v>
          </cell>
        </row>
        <row r="6">
          <cell r="C6" t="str">
            <v>7 MONTHS TO JULY 2001</v>
          </cell>
        </row>
        <row r="7">
          <cell r="D7" t="str">
            <v/>
          </cell>
        </row>
        <row r="8">
          <cell r="C8" t="str">
            <v>TXU Electricity Ltd (Trading)</v>
          </cell>
        </row>
        <row r="9">
          <cell r="G9" t="str">
            <v>CURRENT MONTH</v>
          </cell>
          <cell r="H9" t="str">
            <v>CURRENT MONTH</v>
          </cell>
          <cell r="N9" t="str">
            <v>YEAR TO DATE</v>
          </cell>
          <cell r="O9" t="str">
            <v>YEAR TO DATE</v>
          </cell>
          <cell r="S9" t="str">
            <v>ANNUAL BUDGET</v>
          </cell>
          <cell r="T9" t="str">
            <v>ANNUAL BUDGET</v>
          </cell>
          <cell r="V9" t="str">
            <v>FORECAST</v>
          </cell>
        </row>
        <row r="10">
          <cell r="D10" t="str">
            <v/>
          </cell>
        </row>
        <row r="11">
          <cell r="E11" t="str">
            <v>Actual</v>
          </cell>
          <cell r="F11" t="str">
            <v>Actual</v>
          </cell>
          <cell r="G11" t="str">
            <v>Budget</v>
          </cell>
          <cell r="H11" t="str">
            <v>Budget</v>
          </cell>
          <cell r="I11" t="str">
            <v>Variation</v>
          </cell>
          <cell r="J11" t="str">
            <v>Variation</v>
          </cell>
          <cell r="L11" t="str">
            <v>Actual</v>
          </cell>
          <cell r="M11" t="str">
            <v>Actual</v>
          </cell>
          <cell r="N11" t="str">
            <v>Budget</v>
          </cell>
          <cell r="O11" t="str">
            <v>Budget</v>
          </cell>
          <cell r="P11" t="str">
            <v>Variation</v>
          </cell>
          <cell r="Q11" t="str">
            <v>Variation</v>
          </cell>
          <cell r="S11" t="str">
            <v>Budget</v>
          </cell>
          <cell r="T11" t="str">
            <v>Budget</v>
          </cell>
          <cell r="V11" t="str">
            <v>Forecast</v>
          </cell>
        </row>
        <row r="12">
          <cell r="E12" t="str">
            <v>$</v>
          </cell>
          <cell r="F12" t="str">
            <v>$</v>
          </cell>
          <cell r="G12" t="str">
            <v>$</v>
          </cell>
          <cell r="H12" t="str">
            <v>$</v>
          </cell>
          <cell r="I12" t="str">
            <v>$</v>
          </cell>
          <cell r="J12" t="str">
            <v>$</v>
          </cell>
          <cell r="L12" t="str">
            <v>$</v>
          </cell>
          <cell r="M12" t="str">
            <v>$</v>
          </cell>
          <cell r="N12" t="str">
            <v>$</v>
          </cell>
          <cell r="O12" t="str">
            <v>$</v>
          </cell>
          <cell r="P12" t="str">
            <v>$</v>
          </cell>
          <cell r="Q12" t="str">
            <v>$</v>
          </cell>
          <cell r="S12" t="str">
            <v>$</v>
          </cell>
          <cell r="T12" t="str">
            <v>$</v>
          </cell>
          <cell r="V12" t="str">
            <v>$</v>
          </cell>
        </row>
        <row r="15">
          <cell r="C15">
            <v>504450</v>
          </cell>
          <cell r="D15" t="str">
            <v>Cross Boundary Sales</v>
          </cell>
          <cell r="E15">
            <v>5367.99</v>
          </cell>
          <cell r="F15">
            <v>5367.99</v>
          </cell>
          <cell r="G15">
            <v>0</v>
          </cell>
          <cell r="H15">
            <v>0</v>
          </cell>
          <cell r="I15">
            <v>5367.99</v>
          </cell>
          <cell r="J15">
            <v>5367.99</v>
          </cell>
          <cell r="L15">
            <v>240551.99</v>
          </cell>
          <cell r="M15">
            <v>240551.99</v>
          </cell>
          <cell r="N15">
            <v>0</v>
          </cell>
          <cell r="O15">
            <v>0</v>
          </cell>
          <cell r="P15">
            <v>240551.99</v>
          </cell>
          <cell r="Q15">
            <v>240551.99</v>
          </cell>
          <cell r="S15">
            <v>0</v>
          </cell>
          <cell r="T15">
            <v>0</v>
          </cell>
          <cell r="V15">
            <v>0</v>
          </cell>
        </row>
        <row r="16">
          <cell r="C16">
            <v>504460</v>
          </cell>
          <cell r="D16" t="str">
            <v>Wholesale Trading</v>
          </cell>
          <cell r="E16">
            <v>8071696.3099999996</v>
          </cell>
          <cell r="F16">
            <v>8071696.3099999996</v>
          </cell>
          <cell r="G16">
            <v>6998333.3300000001</v>
          </cell>
          <cell r="H16">
            <v>6998333.3300000001</v>
          </cell>
          <cell r="I16">
            <v>1073362.9799999995</v>
          </cell>
          <cell r="J16">
            <v>1073362.9799999995</v>
          </cell>
          <cell r="L16">
            <v>47896680.399999999</v>
          </cell>
          <cell r="M16">
            <v>47896680.399999999</v>
          </cell>
          <cell r="N16">
            <v>53991299.899999999</v>
          </cell>
          <cell r="O16">
            <v>53991299.899999999</v>
          </cell>
          <cell r="P16">
            <v>-6094619.5</v>
          </cell>
          <cell r="Q16">
            <v>-6094619.5</v>
          </cell>
          <cell r="S16">
            <v>53991299.899999999</v>
          </cell>
          <cell r="T16">
            <v>53991299.899999999</v>
          </cell>
          <cell r="V16">
            <v>113700000</v>
          </cell>
        </row>
        <row r="17">
          <cell r="C17">
            <v>504465</v>
          </cell>
          <cell r="D17" t="str">
            <v>AES MHA Revenue</v>
          </cell>
          <cell r="E17">
            <v>2356027.79</v>
          </cell>
          <cell r="F17">
            <v>2356027.79</v>
          </cell>
          <cell r="G17">
            <v>1930000</v>
          </cell>
          <cell r="H17">
            <v>1930000</v>
          </cell>
          <cell r="I17">
            <v>426027.79000000004</v>
          </cell>
          <cell r="J17">
            <v>426027.79000000004</v>
          </cell>
          <cell r="L17">
            <v>59828713.659999996</v>
          </cell>
          <cell r="M17">
            <v>59828713.659999996</v>
          </cell>
          <cell r="N17">
            <v>51033000</v>
          </cell>
          <cell r="O17">
            <v>51033000</v>
          </cell>
          <cell r="P17">
            <v>8795713.6599999964</v>
          </cell>
          <cell r="Q17">
            <v>8795713.6599999964</v>
          </cell>
          <cell r="S17">
            <v>51033000</v>
          </cell>
          <cell r="T17">
            <v>51033000</v>
          </cell>
          <cell r="V17">
            <v>0</v>
          </cell>
        </row>
        <row r="18">
          <cell r="C18">
            <v>504470</v>
          </cell>
          <cell r="D18" t="str">
            <v>Option Fees Revenue</v>
          </cell>
          <cell r="E18">
            <v>1684253.33</v>
          </cell>
          <cell r="F18">
            <v>1684253.33</v>
          </cell>
          <cell r="G18">
            <v>0</v>
          </cell>
          <cell r="H18">
            <v>0</v>
          </cell>
          <cell r="I18">
            <v>1684253.33</v>
          </cell>
          <cell r="J18">
            <v>1684253.33</v>
          </cell>
          <cell r="L18">
            <v>18248299.98</v>
          </cell>
          <cell r="M18">
            <v>18248299.98</v>
          </cell>
          <cell r="N18">
            <v>0</v>
          </cell>
          <cell r="O18">
            <v>0</v>
          </cell>
          <cell r="P18">
            <v>18248299.98</v>
          </cell>
          <cell r="Q18">
            <v>18248299.98</v>
          </cell>
          <cell r="S18">
            <v>0</v>
          </cell>
          <cell r="T18">
            <v>0</v>
          </cell>
          <cell r="V18">
            <v>0</v>
          </cell>
        </row>
        <row r="19">
          <cell r="C19">
            <v>504485</v>
          </cell>
          <cell r="D19" t="str">
            <v>Ancillary Services Revenue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3976155.07</v>
          </cell>
          <cell r="M19">
            <v>3976155.07</v>
          </cell>
          <cell r="N19">
            <v>0</v>
          </cell>
          <cell r="O19">
            <v>0</v>
          </cell>
          <cell r="P19">
            <v>3976155.07</v>
          </cell>
          <cell r="Q19">
            <v>3976155.07</v>
          </cell>
          <cell r="S19">
            <v>0</v>
          </cell>
          <cell r="T19">
            <v>0</v>
          </cell>
          <cell r="V19">
            <v>0</v>
          </cell>
        </row>
        <row r="20">
          <cell r="C20" t="str">
            <v>Revenue-Energy Supply Industry</v>
          </cell>
          <cell r="E20">
            <v>12117345.42</v>
          </cell>
          <cell r="F20">
            <v>12117345.42</v>
          </cell>
          <cell r="G20">
            <v>8928333.3300000001</v>
          </cell>
          <cell r="H20">
            <v>8928333.3300000001</v>
          </cell>
          <cell r="I20">
            <v>3189012.09</v>
          </cell>
          <cell r="J20">
            <v>3189012.09</v>
          </cell>
          <cell r="L20">
            <v>130190401.09999999</v>
          </cell>
          <cell r="M20">
            <v>130190401.09999999</v>
          </cell>
          <cell r="N20">
            <v>105024299.90000001</v>
          </cell>
          <cell r="O20">
            <v>105024299.90000001</v>
          </cell>
          <cell r="P20">
            <v>25166101.199999988</v>
          </cell>
          <cell r="Q20">
            <v>25166101.199999988</v>
          </cell>
          <cell r="S20">
            <v>105024299.90000001</v>
          </cell>
          <cell r="T20">
            <v>105024299.90000001</v>
          </cell>
          <cell r="V20">
            <v>113700000</v>
          </cell>
        </row>
        <row r="22">
          <cell r="C22">
            <v>519000</v>
          </cell>
          <cell r="D22" t="str">
            <v>Elec Income - Other</v>
          </cell>
          <cell r="E22">
            <v>3508.87</v>
          </cell>
          <cell r="F22">
            <v>3508.87</v>
          </cell>
          <cell r="G22">
            <v>0</v>
          </cell>
          <cell r="H22">
            <v>0</v>
          </cell>
          <cell r="I22">
            <v>3508.87</v>
          </cell>
          <cell r="J22">
            <v>3508.87</v>
          </cell>
          <cell r="L22">
            <v>40647.230000000003</v>
          </cell>
          <cell r="M22">
            <v>40647.230000000003</v>
          </cell>
          <cell r="N22">
            <v>0</v>
          </cell>
          <cell r="O22">
            <v>0</v>
          </cell>
          <cell r="P22">
            <v>40647.230000000003</v>
          </cell>
          <cell r="Q22">
            <v>40647.230000000003</v>
          </cell>
          <cell r="S22">
            <v>0</v>
          </cell>
          <cell r="T22">
            <v>0</v>
          </cell>
          <cell r="V22">
            <v>0</v>
          </cell>
        </row>
        <row r="23">
          <cell r="C23">
            <v>522012</v>
          </cell>
          <cell r="D23" t="str">
            <v>Gas Sales Accrual Com General</v>
          </cell>
          <cell r="E23">
            <v>0</v>
          </cell>
          <cell r="F23">
            <v>0</v>
          </cell>
          <cell r="G23">
            <v>477050</v>
          </cell>
          <cell r="H23">
            <v>477050</v>
          </cell>
          <cell r="I23">
            <v>-477050</v>
          </cell>
          <cell r="J23">
            <v>-477050</v>
          </cell>
          <cell r="L23">
            <v>0</v>
          </cell>
          <cell r="M23">
            <v>0</v>
          </cell>
          <cell r="N23">
            <v>19374900</v>
          </cell>
          <cell r="O23">
            <v>19374900</v>
          </cell>
          <cell r="P23">
            <v>-19374900</v>
          </cell>
          <cell r="Q23">
            <v>-19374900</v>
          </cell>
          <cell r="S23">
            <v>19374900</v>
          </cell>
          <cell r="T23">
            <v>19374900</v>
          </cell>
          <cell r="V23">
            <v>0</v>
          </cell>
        </row>
        <row r="24">
          <cell r="C24">
            <v>523120</v>
          </cell>
          <cell r="D24" t="str">
            <v>Toll processing-complying gas</v>
          </cell>
          <cell r="E24">
            <v>0</v>
          </cell>
          <cell r="F24">
            <v>0</v>
          </cell>
          <cell r="G24">
            <v>167400</v>
          </cell>
          <cell r="H24">
            <v>167400</v>
          </cell>
          <cell r="I24">
            <v>-167400</v>
          </cell>
          <cell r="J24">
            <v>-167400</v>
          </cell>
          <cell r="L24">
            <v>0</v>
          </cell>
          <cell r="M24">
            <v>0</v>
          </cell>
          <cell r="N24">
            <v>2008800</v>
          </cell>
          <cell r="O24">
            <v>2008800</v>
          </cell>
          <cell r="P24">
            <v>-2008800</v>
          </cell>
          <cell r="Q24">
            <v>-2008800</v>
          </cell>
          <cell r="S24">
            <v>2008800</v>
          </cell>
          <cell r="T24">
            <v>2008800</v>
          </cell>
          <cell r="V24">
            <v>0</v>
          </cell>
        </row>
        <row r="25">
          <cell r="C25">
            <v>523170</v>
          </cell>
          <cell r="D25" t="str">
            <v>Storage Availability Charge</v>
          </cell>
          <cell r="E25">
            <v>0</v>
          </cell>
          <cell r="F25">
            <v>0</v>
          </cell>
          <cell r="G25">
            <v>368833</v>
          </cell>
          <cell r="H25">
            <v>368833</v>
          </cell>
          <cell r="I25">
            <v>-368833</v>
          </cell>
          <cell r="J25">
            <v>-368833</v>
          </cell>
          <cell r="L25">
            <v>0</v>
          </cell>
          <cell r="M25">
            <v>0</v>
          </cell>
          <cell r="N25">
            <v>4425996</v>
          </cell>
          <cell r="O25">
            <v>4425996</v>
          </cell>
          <cell r="P25">
            <v>-4425996</v>
          </cell>
          <cell r="Q25">
            <v>-4425996</v>
          </cell>
          <cell r="S25">
            <v>4425996</v>
          </cell>
          <cell r="T25">
            <v>4425996</v>
          </cell>
          <cell r="V25">
            <v>0</v>
          </cell>
        </row>
        <row r="26">
          <cell r="C26" t="str">
            <v>Energy Sales</v>
          </cell>
          <cell r="E26">
            <v>3508.87</v>
          </cell>
          <cell r="F26">
            <v>3508.87</v>
          </cell>
          <cell r="G26">
            <v>1013283</v>
          </cell>
          <cell r="H26">
            <v>1013283</v>
          </cell>
          <cell r="I26">
            <v>-1009774.13</v>
          </cell>
          <cell r="J26">
            <v>-1009774.13</v>
          </cell>
          <cell r="L26">
            <v>40647.230000000003</v>
          </cell>
          <cell r="M26">
            <v>40647.230000000003</v>
          </cell>
          <cell r="N26">
            <v>25809696</v>
          </cell>
          <cell r="O26">
            <v>25809696</v>
          </cell>
          <cell r="P26">
            <v>-25769048.77</v>
          </cell>
          <cell r="Q26">
            <v>-25769048.77</v>
          </cell>
          <cell r="S26">
            <v>25809696</v>
          </cell>
          <cell r="T26">
            <v>25809696</v>
          </cell>
          <cell r="V26">
            <v>0</v>
          </cell>
        </row>
        <row r="28">
          <cell r="C28">
            <v>530060</v>
          </cell>
          <cell r="D28" t="str">
            <v>Other Interest Revenue</v>
          </cell>
          <cell r="E28">
            <v>613.65</v>
          </cell>
          <cell r="F28">
            <v>613.65</v>
          </cell>
          <cell r="G28">
            <v>0</v>
          </cell>
          <cell r="H28">
            <v>0</v>
          </cell>
          <cell r="I28">
            <v>613.65</v>
          </cell>
          <cell r="J28">
            <v>613.65</v>
          </cell>
          <cell r="L28">
            <v>120030.57</v>
          </cell>
          <cell r="M28">
            <v>120030.57</v>
          </cell>
          <cell r="N28">
            <v>0</v>
          </cell>
          <cell r="O28">
            <v>0</v>
          </cell>
          <cell r="P28">
            <v>120030.57</v>
          </cell>
          <cell r="Q28">
            <v>120030.57</v>
          </cell>
          <cell r="S28">
            <v>0</v>
          </cell>
          <cell r="T28">
            <v>0</v>
          </cell>
          <cell r="V28">
            <v>0</v>
          </cell>
        </row>
        <row r="29">
          <cell r="C29" t="str">
            <v>Interest Revenue</v>
          </cell>
          <cell r="E29">
            <v>613.65</v>
          </cell>
          <cell r="F29">
            <v>613.65</v>
          </cell>
          <cell r="G29">
            <v>0</v>
          </cell>
          <cell r="H29">
            <v>0</v>
          </cell>
          <cell r="I29">
            <v>613.65</v>
          </cell>
          <cell r="J29">
            <v>613.65</v>
          </cell>
          <cell r="L29">
            <v>120030.57</v>
          </cell>
          <cell r="M29">
            <v>120030.57</v>
          </cell>
          <cell r="N29">
            <v>0</v>
          </cell>
          <cell r="O29">
            <v>0</v>
          </cell>
          <cell r="P29">
            <v>120030.57</v>
          </cell>
          <cell r="Q29">
            <v>120030.57</v>
          </cell>
          <cell r="S29">
            <v>0</v>
          </cell>
          <cell r="T29">
            <v>0</v>
          </cell>
          <cell r="V29">
            <v>0</v>
          </cell>
        </row>
        <row r="31">
          <cell r="C31">
            <v>540800</v>
          </cell>
          <cell r="D31" t="str">
            <v>Inter-company Revenue</v>
          </cell>
          <cell r="E31">
            <v>0</v>
          </cell>
          <cell r="F31">
            <v>0</v>
          </cell>
          <cell r="G31">
            <v>166666</v>
          </cell>
          <cell r="H31">
            <v>166666</v>
          </cell>
          <cell r="I31">
            <v>-166666</v>
          </cell>
          <cell r="J31">
            <v>-166666</v>
          </cell>
          <cell r="L31">
            <v>76929.490000000005</v>
          </cell>
          <cell r="M31">
            <v>76929.490000000005</v>
          </cell>
          <cell r="N31">
            <v>1999992</v>
          </cell>
          <cell r="O31">
            <v>1999992</v>
          </cell>
          <cell r="P31">
            <v>-1923062.51</v>
          </cell>
          <cell r="Q31">
            <v>-1923062.51</v>
          </cell>
          <cell r="S31">
            <v>1999992</v>
          </cell>
          <cell r="T31">
            <v>1999992</v>
          </cell>
          <cell r="V31">
            <v>0</v>
          </cell>
        </row>
        <row r="32">
          <cell r="C32">
            <v>540873</v>
          </cell>
          <cell r="D32" t="str">
            <v>Revenue Trading - Gas</v>
          </cell>
          <cell r="E32">
            <v>10712788.439999999</v>
          </cell>
          <cell r="F32">
            <v>10712788.439999999</v>
          </cell>
          <cell r="G32">
            <v>11091900</v>
          </cell>
          <cell r="H32">
            <v>11091900</v>
          </cell>
          <cell r="I32">
            <v>-379111.56000000052</v>
          </cell>
          <cell r="J32">
            <v>-379111.56000000052</v>
          </cell>
          <cell r="L32">
            <v>131160699.09</v>
          </cell>
          <cell r="M32">
            <v>131160699.09</v>
          </cell>
          <cell r="N32">
            <v>124209700</v>
          </cell>
          <cell r="O32">
            <v>124209700</v>
          </cell>
          <cell r="P32">
            <v>6950999.0900000036</v>
          </cell>
          <cell r="Q32">
            <v>6950999.0900000036</v>
          </cell>
          <cell r="S32">
            <v>124209700</v>
          </cell>
          <cell r="T32">
            <v>124209700</v>
          </cell>
          <cell r="V32">
            <v>137000000</v>
          </cell>
        </row>
        <row r="33">
          <cell r="C33">
            <v>540877</v>
          </cell>
          <cell r="D33" t="str">
            <v>Revenue Trading - Electricity</v>
          </cell>
          <cell r="E33">
            <v>25885854.890000001</v>
          </cell>
          <cell r="F33">
            <v>25885854.890000001</v>
          </cell>
          <cell r="G33">
            <v>20343100</v>
          </cell>
          <cell r="H33">
            <v>20343100</v>
          </cell>
          <cell r="I33">
            <v>5542754.8900000006</v>
          </cell>
          <cell r="J33">
            <v>5542754.8900000006</v>
          </cell>
          <cell r="L33">
            <v>268779361.12</v>
          </cell>
          <cell r="M33">
            <v>268779361.12</v>
          </cell>
          <cell r="N33">
            <v>247937000</v>
          </cell>
          <cell r="O33">
            <v>247937000</v>
          </cell>
          <cell r="P33">
            <v>20842361.120000005</v>
          </cell>
          <cell r="Q33">
            <v>20842361.120000005</v>
          </cell>
          <cell r="S33">
            <v>247937000</v>
          </cell>
          <cell r="T33">
            <v>247937000</v>
          </cell>
          <cell r="V33">
            <v>269900000</v>
          </cell>
        </row>
        <row r="34">
          <cell r="C34" t="str">
            <v>Inter-Company Revenue</v>
          </cell>
          <cell r="E34">
            <v>36598643.329999998</v>
          </cell>
          <cell r="F34">
            <v>36598643.329999998</v>
          </cell>
          <cell r="G34">
            <v>31601666</v>
          </cell>
          <cell r="H34">
            <v>31601666</v>
          </cell>
          <cell r="I34">
            <v>4996977.3299999982</v>
          </cell>
          <cell r="J34">
            <v>4996977.3299999982</v>
          </cell>
          <cell r="L34">
            <v>400016989.69999999</v>
          </cell>
          <cell r="M34">
            <v>400016989.69999999</v>
          </cell>
          <cell r="N34">
            <v>374146692</v>
          </cell>
          <cell r="O34">
            <v>374146692</v>
          </cell>
          <cell r="P34">
            <v>25870297.699999988</v>
          </cell>
          <cell r="Q34">
            <v>25870297.699999988</v>
          </cell>
          <cell r="S34">
            <v>374146692</v>
          </cell>
          <cell r="T34">
            <v>374146692</v>
          </cell>
          <cell r="V34">
            <v>406900000</v>
          </cell>
        </row>
        <row r="36">
          <cell r="C36" t="str">
            <v>Proceeds from Sale Of Assets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V36">
            <v>0</v>
          </cell>
        </row>
        <row r="38">
          <cell r="C38">
            <v>560162</v>
          </cell>
          <cell r="D38" t="str">
            <v>Co-Gen Contributions Revenue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78907.14</v>
          </cell>
          <cell r="M38">
            <v>78907.14</v>
          </cell>
          <cell r="N38">
            <v>0</v>
          </cell>
          <cell r="O38">
            <v>0</v>
          </cell>
          <cell r="P38">
            <v>78907.14</v>
          </cell>
          <cell r="Q38">
            <v>78907.14</v>
          </cell>
          <cell r="S38">
            <v>0</v>
          </cell>
          <cell r="T38">
            <v>0</v>
          </cell>
          <cell r="V38">
            <v>0</v>
          </cell>
        </row>
        <row r="39">
          <cell r="C39">
            <v>560190</v>
          </cell>
          <cell r="D39" t="str">
            <v>Unrealised gains - derivatives</v>
          </cell>
          <cell r="E39">
            <v>-3652579.39</v>
          </cell>
          <cell r="F39">
            <v>-3652579.39</v>
          </cell>
          <cell r="G39">
            <v>-395166</v>
          </cell>
          <cell r="H39">
            <v>-395166</v>
          </cell>
          <cell r="I39">
            <v>-3257413.39</v>
          </cell>
          <cell r="J39">
            <v>-3257413.39</v>
          </cell>
          <cell r="L39">
            <v>2100135.4700000002</v>
          </cell>
          <cell r="M39">
            <v>2100135.4700000002</v>
          </cell>
          <cell r="N39">
            <v>-10047642</v>
          </cell>
          <cell r="O39">
            <v>-10047642</v>
          </cell>
          <cell r="P39">
            <v>12147777.470000001</v>
          </cell>
          <cell r="Q39">
            <v>12147777.470000001</v>
          </cell>
          <cell r="S39">
            <v>-10047642</v>
          </cell>
          <cell r="T39">
            <v>-10047642</v>
          </cell>
          <cell r="V39">
            <v>20000000</v>
          </cell>
        </row>
        <row r="40">
          <cell r="C40">
            <v>560199</v>
          </cell>
          <cell r="D40" t="str">
            <v>Other Revenue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V40">
            <v>3500000</v>
          </cell>
        </row>
        <row r="41">
          <cell r="C41" t="str">
            <v>Other Revenue</v>
          </cell>
          <cell r="E41">
            <v>-3652579.39</v>
          </cell>
          <cell r="F41">
            <v>-3652579.39</v>
          </cell>
          <cell r="G41">
            <v>-395166</v>
          </cell>
          <cell r="H41">
            <v>-395166</v>
          </cell>
          <cell r="I41">
            <v>-3257413.39</v>
          </cell>
          <cell r="J41">
            <v>-3257413.39</v>
          </cell>
          <cell r="L41">
            <v>2179042.61</v>
          </cell>
          <cell r="M41">
            <v>2179042.61</v>
          </cell>
          <cell r="N41">
            <v>-10047642</v>
          </cell>
          <cell r="O41">
            <v>-10047642</v>
          </cell>
          <cell r="P41">
            <v>12226684.609999999</v>
          </cell>
          <cell r="Q41">
            <v>12226684.609999999</v>
          </cell>
          <cell r="S41">
            <v>-10047642</v>
          </cell>
          <cell r="T41">
            <v>-10047642</v>
          </cell>
          <cell r="V41">
            <v>23500000</v>
          </cell>
        </row>
        <row r="43">
          <cell r="C43">
            <v>560150</v>
          </cell>
          <cell r="D43" t="str">
            <v>Project External Revenue</v>
          </cell>
          <cell r="E43">
            <v>43921.919999999998</v>
          </cell>
          <cell r="F43">
            <v>43921.919999999998</v>
          </cell>
          <cell r="G43">
            <v>1000000</v>
          </cell>
          <cell r="H43">
            <v>1000000</v>
          </cell>
          <cell r="I43">
            <v>-956078.07999999996</v>
          </cell>
          <cell r="J43">
            <v>-956078.07999999996</v>
          </cell>
          <cell r="L43">
            <v>671166.5</v>
          </cell>
          <cell r="M43">
            <v>671166.5</v>
          </cell>
          <cell r="N43">
            <v>3000000</v>
          </cell>
          <cell r="O43">
            <v>3000000</v>
          </cell>
          <cell r="P43">
            <v>-2328833.5</v>
          </cell>
          <cell r="Q43">
            <v>-2328833.5</v>
          </cell>
          <cell r="S43">
            <v>3000000</v>
          </cell>
          <cell r="T43">
            <v>3000000</v>
          </cell>
          <cell r="V43">
            <v>0</v>
          </cell>
        </row>
        <row r="44">
          <cell r="C44" t="str">
            <v>Project Revenue</v>
          </cell>
          <cell r="E44">
            <v>43921.919999999998</v>
          </cell>
          <cell r="F44">
            <v>43921.919999999998</v>
          </cell>
          <cell r="G44">
            <v>1000000</v>
          </cell>
          <cell r="H44">
            <v>1000000</v>
          </cell>
          <cell r="I44">
            <v>-956078.07999999996</v>
          </cell>
          <cell r="J44">
            <v>-956078.07999999996</v>
          </cell>
          <cell r="L44">
            <v>671166.5</v>
          </cell>
          <cell r="M44">
            <v>671166.5</v>
          </cell>
          <cell r="N44">
            <v>3000000</v>
          </cell>
          <cell r="O44">
            <v>3000000</v>
          </cell>
          <cell r="P44">
            <v>-2328833.5</v>
          </cell>
          <cell r="Q44">
            <v>-2328833.5</v>
          </cell>
          <cell r="S44">
            <v>3000000</v>
          </cell>
          <cell r="T44">
            <v>3000000</v>
          </cell>
          <cell r="V44">
            <v>0</v>
          </cell>
        </row>
        <row r="46">
          <cell r="C46" t="str">
            <v>Customer Contributions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V46">
            <v>0</v>
          </cell>
        </row>
        <row r="48">
          <cell r="C48" t="str">
            <v>Margins On Inter-Co Transactns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V48">
            <v>0</v>
          </cell>
        </row>
        <row r="50">
          <cell r="E50">
            <v>45111453.799999997</v>
          </cell>
          <cell r="F50">
            <v>45111453.799999997</v>
          </cell>
          <cell r="G50">
            <v>42148116.329999998</v>
          </cell>
          <cell r="H50">
            <v>42148116.329999998</v>
          </cell>
          <cell r="I50">
            <v>2963337.4699999974</v>
          </cell>
          <cell r="J50">
            <v>2963337.4699999974</v>
          </cell>
          <cell r="L50">
            <v>533218277.70999998</v>
          </cell>
          <cell r="M50">
            <v>533218277.70999998</v>
          </cell>
          <cell r="N50">
            <v>497933045.89999998</v>
          </cell>
          <cell r="O50">
            <v>497933045.89999998</v>
          </cell>
          <cell r="P50">
            <v>35285231.809999973</v>
          </cell>
          <cell r="Q50">
            <v>35285231.809999973</v>
          </cell>
          <cell r="S50">
            <v>497933045.89999998</v>
          </cell>
          <cell r="T50">
            <v>497933045.89999998</v>
          </cell>
          <cell r="V50">
            <v>544100000</v>
          </cell>
        </row>
        <row r="54">
          <cell r="C54">
            <v>600100</v>
          </cell>
          <cell r="D54" t="str">
            <v>Cost of Sales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N54">
            <v>19887000</v>
          </cell>
          <cell r="O54">
            <v>19887000</v>
          </cell>
          <cell r="P54">
            <v>-19887000</v>
          </cell>
          <cell r="Q54">
            <v>-19887000</v>
          </cell>
          <cell r="S54">
            <v>19887000</v>
          </cell>
          <cell r="T54">
            <v>19887000</v>
          </cell>
          <cell r="V54">
            <v>0</v>
          </cell>
        </row>
        <row r="55">
          <cell r="C55" t="str">
            <v>Cost Of Sales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19887000</v>
          </cell>
          <cell r="O55">
            <v>19887000</v>
          </cell>
          <cell r="P55">
            <v>-19887000</v>
          </cell>
          <cell r="Q55">
            <v>-19887000</v>
          </cell>
          <cell r="S55">
            <v>19887000</v>
          </cell>
          <cell r="T55">
            <v>19887000</v>
          </cell>
          <cell r="V55">
            <v>0</v>
          </cell>
        </row>
        <row r="57">
          <cell r="C57">
            <v>602020</v>
          </cell>
          <cell r="D57" t="str">
            <v>Cost of Gas</v>
          </cell>
          <cell r="E57">
            <v>0</v>
          </cell>
          <cell r="F57">
            <v>0</v>
          </cell>
          <cell r="G57">
            <v>2519800</v>
          </cell>
          <cell r="H57">
            <v>2519800</v>
          </cell>
          <cell r="I57">
            <v>-2519800</v>
          </cell>
          <cell r="J57">
            <v>-2519800</v>
          </cell>
          <cell r="L57">
            <v>27244.16</v>
          </cell>
          <cell r="M57">
            <v>27244.16</v>
          </cell>
          <cell r="N57">
            <v>21646959</v>
          </cell>
          <cell r="O57">
            <v>21646959</v>
          </cell>
          <cell r="P57">
            <v>-21619714.84</v>
          </cell>
          <cell r="Q57">
            <v>-21619714.84</v>
          </cell>
          <cell r="S57">
            <v>21646959</v>
          </cell>
          <cell r="T57">
            <v>21646959</v>
          </cell>
          <cell r="V57">
            <v>0</v>
          </cell>
        </row>
        <row r="58">
          <cell r="C58">
            <v>602021</v>
          </cell>
          <cell r="D58" t="str">
            <v>Cost of Gas-Iona injections</v>
          </cell>
          <cell r="E58">
            <v>413.77</v>
          </cell>
          <cell r="F58">
            <v>413.77</v>
          </cell>
          <cell r="G58">
            <v>0</v>
          </cell>
          <cell r="H58">
            <v>0</v>
          </cell>
          <cell r="I58">
            <v>413.77</v>
          </cell>
          <cell r="J58">
            <v>413.77</v>
          </cell>
          <cell r="L58">
            <v>13214216.609999999</v>
          </cell>
          <cell r="M58">
            <v>13214216.609999999</v>
          </cell>
          <cell r="N58">
            <v>0</v>
          </cell>
          <cell r="O58">
            <v>0</v>
          </cell>
          <cell r="P58">
            <v>13214216.609999999</v>
          </cell>
          <cell r="Q58">
            <v>13214216.609999999</v>
          </cell>
          <cell r="S58">
            <v>0</v>
          </cell>
          <cell r="T58">
            <v>0</v>
          </cell>
          <cell r="V58">
            <v>0</v>
          </cell>
        </row>
        <row r="59">
          <cell r="C59">
            <v>602025</v>
          </cell>
          <cell r="D59" t="str">
            <v>COGS ESSO BHP (QB)</v>
          </cell>
          <cell r="E59">
            <v>9542009.4800000004</v>
          </cell>
          <cell r="F59">
            <v>9542009.4800000004</v>
          </cell>
          <cell r="G59">
            <v>7711900</v>
          </cell>
          <cell r="H59">
            <v>7711900</v>
          </cell>
          <cell r="I59">
            <v>1830109.4800000004</v>
          </cell>
          <cell r="J59">
            <v>1830109.4800000004</v>
          </cell>
          <cell r="L59">
            <v>82614767.780000001</v>
          </cell>
          <cell r="M59">
            <v>82614767.780000001</v>
          </cell>
          <cell r="N59">
            <v>90330900</v>
          </cell>
          <cell r="O59">
            <v>90330900</v>
          </cell>
          <cell r="P59">
            <v>-7716132.2199999988</v>
          </cell>
          <cell r="Q59">
            <v>-7716132.2199999988</v>
          </cell>
          <cell r="S59">
            <v>90330900</v>
          </cell>
          <cell r="T59">
            <v>90330900</v>
          </cell>
          <cell r="V59">
            <v>147100000</v>
          </cell>
        </row>
        <row r="60">
          <cell r="C60">
            <v>602041</v>
          </cell>
          <cell r="D60" t="str">
            <v>Int-Cost of Gas</v>
          </cell>
          <cell r="E60">
            <v>155469.76000000001</v>
          </cell>
          <cell r="F60">
            <v>155469.76000000001</v>
          </cell>
          <cell r="G60">
            <v>0</v>
          </cell>
          <cell r="H60">
            <v>0</v>
          </cell>
          <cell r="I60">
            <v>155469.76000000001</v>
          </cell>
          <cell r="J60">
            <v>155469.76000000001</v>
          </cell>
          <cell r="L60">
            <v>2029559.28</v>
          </cell>
          <cell r="M60">
            <v>2029559.28</v>
          </cell>
          <cell r="N60">
            <v>0</v>
          </cell>
          <cell r="O60">
            <v>0</v>
          </cell>
          <cell r="P60">
            <v>2029559.28</v>
          </cell>
          <cell r="Q60">
            <v>2029559.28</v>
          </cell>
          <cell r="S60">
            <v>0</v>
          </cell>
          <cell r="T60">
            <v>0</v>
          </cell>
          <cell r="V60">
            <v>0</v>
          </cell>
        </row>
        <row r="61">
          <cell r="C61">
            <v>602050</v>
          </cell>
          <cell r="D61" t="str">
            <v>COGS Vencorp Trading Amounts</v>
          </cell>
          <cell r="E61">
            <v>905226.36</v>
          </cell>
          <cell r="F61">
            <v>905226.36</v>
          </cell>
          <cell r="G61">
            <v>0</v>
          </cell>
          <cell r="H61">
            <v>0</v>
          </cell>
          <cell r="I61">
            <v>905226.36</v>
          </cell>
          <cell r="J61">
            <v>905226.36</v>
          </cell>
          <cell r="L61">
            <v>31347719.379999999</v>
          </cell>
          <cell r="M61">
            <v>31347719.379999999</v>
          </cell>
          <cell r="N61">
            <v>0</v>
          </cell>
          <cell r="O61">
            <v>0</v>
          </cell>
          <cell r="P61">
            <v>31347719.379999999</v>
          </cell>
          <cell r="Q61">
            <v>31347719.379999999</v>
          </cell>
          <cell r="S61">
            <v>0</v>
          </cell>
          <cell r="T61">
            <v>0</v>
          </cell>
          <cell r="V61">
            <v>0</v>
          </cell>
        </row>
        <row r="62">
          <cell r="C62">
            <v>602052</v>
          </cell>
          <cell r="D62" t="str">
            <v>ESSO BHP Additional MDQ</v>
          </cell>
          <cell r="E62">
            <v>0</v>
          </cell>
          <cell r="F62">
            <v>0</v>
          </cell>
          <cell r="G62">
            <v>24032</v>
          </cell>
          <cell r="H62">
            <v>24032</v>
          </cell>
          <cell r="I62">
            <v>-24032</v>
          </cell>
          <cell r="J62">
            <v>-24032</v>
          </cell>
          <cell r="L62">
            <v>0</v>
          </cell>
          <cell r="M62">
            <v>0</v>
          </cell>
          <cell r="N62">
            <v>372059</v>
          </cell>
          <cell r="O62">
            <v>372059</v>
          </cell>
          <cell r="P62">
            <v>-372059</v>
          </cell>
          <cell r="Q62">
            <v>-372059</v>
          </cell>
          <cell r="S62">
            <v>372059</v>
          </cell>
          <cell r="T62">
            <v>372059</v>
          </cell>
          <cell r="V62">
            <v>0</v>
          </cell>
        </row>
        <row r="63">
          <cell r="C63">
            <v>602055</v>
          </cell>
          <cell r="D63" t="str">
            <v>Gas fixed costs</v>
          </cell>
          <cell r="E63">
            <v>31832.98</v>
          </cell>
          <cell r="F63">
            <v>31832.98</v>
          </cell>
          <cell r="G63">
            <v>362900</v>
          </cell>
          <cell r="H63">
            <v>362900</v>
          </cell>
          <cell r="I63">
            <v>-331067.02</v>
          </cell>
          <cell r="J63">
            <v>-331067.02</v>
          </cell>
          <cell r="L63">
            <v>5395341.1900000004</v>
          </cell>
          <cell r="M63">
            <v>5395341.1900000004</v>
          </cell>
          <cell r="N63">
            <v>6253300</v>
          </cell>
          <cell r="O63">
            <v>6253300</v>
          </cell>
          <cell r="P63">
            <v>-857958.80999999959</v>
          </cell>
          <cell r="Q63">
            <v>-857958.80999999959</v>
          </cell>
          <cell r="S63">
            <v>6253300</v>
          </cell>
          <cell r="T63">
            <v>6253300</v>
          </cell>
          <cell r="V63">
            <v>0</v>
          </cell>
        </row>
        <row r="64">
          <cell r="C64">
            <v>602200</v>
          </cell>
          <cell r="D64" t="str">
            <v>Gascor Agency Expense</v>
          </cell>
          <cell r="E64">
            <v>58078.02</v>
          </cell>
          <cell r="F64">
            <v>58078.02</v>
          </cell>
          <cell r="G64">
            <v>0</v>
          </cell>
          <cell r="H64">
            <v>0</v>
          </cell>
          <cell r="I64">
            <v>58078.02</v>
          </cell>
          <cell r="J64">
            <v>58078.02</v>
          </cell>
          <cell r="L64">
            <v>696869.06</v>
          </cell>
          <cell r="M64">
            <v>696869.06</v>
          </cell>
          <cell r="N64">
            <v>0</v>
          </cell>
          <cell r="O64">
            <v>0</v>
          </cell>
          <cell r="P64">
            <v>696869.06</v>
          </cell>
          <cell r="Q64">
            <v>696869.06</v>
          </cell>
          <cell r="S64">
            <v>0</v>
          </cell>
          <cell r="T64">
            <v>0</v>
          </cell>
          <cell r="V64">
            <v>0</v>
          </cell>
        </row>
        <row r="65">
          <cell r="C65">
            <v>605200</v>
          </cell>
          <cell r="D65" t="str">
            <v>EITP Energy from Other DB's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>
            <v>11480.65</v>
          </cell>
          <cell r="M65">
            <v>11480.65</v>
          </cell>
          <cell r="N65">
            <v>0</v>
          </cell>
          <cell r="O65">
            <v>0</v>
          </cell>
          <cell r="P65">
            <v>11480.65</v>
          </cell>
          <cell r="Q65">
            <v>11480.65</v>
          </cell>
          <cell r="S65">
            <v>0</v>
          </cell>
          <cell r="T65">
            <v>0</v>
          </cell>
          <cell r="V65">
            <v>0</v>
          </cell>
        </row>
        <row r="66">
          <cell r="C66">
            <v>605600</v>
          </cell>
          <cell r="D66" t="str">
            <v>Franchise Pool Energy</v>
          </cell>
          <cell r="E66">
            <v>8844208.0800000001</v>
          </cell>
          <cell r="F66">
            <v>8844208.0800000001</v>
          </cell>
          <cell r="G66">
            <v>15656500</v>
          </cell>
          <cell r="H66">
            <v>15656500</v>
          </cell>
          <cell r="I66">
            <v>-6812291.9199999999</v>
          </cell>
          <cell r="J66">
            <v>-6812291.9199999999</v>
          </cell>
          <cell r="L66">
            <v>157962161.63</v>
          </cell>
          <cell r="M66">
            <v>157962161.63</v>
          </cell>
          <cell r="N66">
            <v>197245400</v>
          </cell>
          <cell r="O66">
            <v>197245400</v>
          </cell>
          <cell r="P66">
            <v>-39283238.370000005</v>
          </cell>
          <cell r="Q66">
            <v>-39283238.370000005</v>
          </cell>
          <cell r="S66">
            <v>197245400</v>
          </cell>
          <cell r="T66">
            <v>197245400</v>
          </cell>
          <cell r="V66">
            <v>285500000</v>
          </cell>
        </row>
        <row r="67">
          <cell r="C67">
            <v>605610</v>
          </cell>
          <cell r="D67" t="str">
            <v>Franchise 1+2 Way Hedges</v>
          </cell>
          <cell r="E67">
            <v>168861.32</v>
          </cell>
          <cell r="F67">
            <v>168861.32</v>
          </cell>
          <cell r="G67">
            <v>0</v>
          </cell>
          <cell r="H67">
            <v>0</v>
          </cell>
          <cell r="I67">
            <v>168861.32</v>
          </cell>
          <cell r="J67">
            <v>168861.32</v>
          </cell>
          <cell r="L67">
            <v>446212.62</v>
          </cell>
          <cell r="M67">
            <v>446212.62</v>
          </cell>
          <cell r="N67">
            <v>0</v>
          </cell>
          <cell r="O67">
            <v>0</v>
          </cell>
          <cell r="P67">
            <v>446212.62</v>
          </cell>
          <cell r="Q67">
            <v>446212.62</v>
          </cell>
          <cell r="S67">
            <v>0</v>
          </cell>
          <cell r="T67">
            <v>0</v>
          </cell>
          <cell r="V67">
            <v>0</v>
          </cell>
        </row>
        <row r="68">
          <cell r="C68">
            <v>605620</v>
          </cell>
          <cell r="D68" t="str">
            <v>Embedded Generation</v>
          </cell>
          <cell r="E68">
            <v>1349355.03</v>
          </cell>
          <cell r="F68">
            <v>1349355.03</v>
          </cell>
          <cell r="G68">
            <v>0</v>
          </cell>
          <cell r="H68">
            <v>0</v>
          </cell>
          <cell r="I68">
            <v>1349355.03</v>
          </cell>
          <cell r="J68">
            <v>1349355.03</v>
          </cell>
          <cell r="L68">
            <v>17558720.940000001</v>
          </cell>
          <cell r="M68">
            <v>17558720.940000001</v>
          </cell>
          <cell r="N68">
            <v>0</v>
          </cell>
          <cell r="O68">
            <v>0</v>
          </cell>
          <cell r="P68">
            <v>17558720.940000001</v>
          </cell>
          <cell r="Q68">
            <v>17558720.940000001</v>
          </cell>
          <cell r="S68">
            <v>0</v>
          </cell>
          <cell r="T68">
            <v>0</v>
          </cell>
          <cell r="V68">
            <v>0</v>
          </cell>
        </row>
        <row r="69">
          <cell r="C69">
            <v>605630</v>
          </cell>
          <cell r="D69" t="str">
            <v>Cost of RECs</v>
          </cell>
          <cell r="E69">
            <v>80000</v>
          </cell>
          <cell r="F69">
            <v>80000</v>
          </cell>
          <cell r="G69">
            <v>0</v>
          </cell>
          <cell r="H69">
            <v>0</v>
          </cell>
          <cell r="I69">
            <v>80000</v>
          </cell>
          <cell r="J69">
            <v>80000</v>
          </cell>
          <cell r="L69">
            <v>360000</v>
          </cell>
          <cell r="M69">
            <v>360000</v>
          </cell>
          <cell r="N69">
            <v>0</v>
          </cell>
          <cell r="O69">
            <v>0</v>
          </cell>
          <cell r="P69">
            <v>360000</v>
          </cell>
          <cell r="Q69">
            <v>360000</v>
          </cell>
          <cell r="S69">
            <v>0</v>
          </cell>
          <cell r="T69">
            <v>0</v>
          </cell>
          <cell r="V69">
            <v>0</v>
          </cell>
        </row>
        <row r="70">
          <cell r="C70">
            <v>605700</v>
          </cell>
          <cell r="D70" t="str">
            <v>Contestable Pool Energy</v>
          </cell>
          <cell r="E70">
            <v>5813214.6900000004</v>
          </cell>
          <cell r="F70">
            <v>5813214.6900000004</v>
          </cell>
          <cell r="G70">
            <v>5864200</v>
          </cell>
          <cell r="H70">
            <v>5864200</v>
          </cell>
          <cell r="I70">
            <v>-50985.30999999959</v>
          </cell>
          <cell r="J70">
            <v>-50985.30999999959</v>
          </cell>
          <cell r="L70">
            <v>66790823.710000001</v>
          </cell>
          <cell r="M70">
            <v>66790823.710000001</v>
          </cell>
          <cell r="N70">
            <v>69723000</v>
          </cell>
          <cell r="O70">
            <v>69723000</v>
          </cell>
          <cell r="P70">
            <v>-2932176.2899999991</v>
          </cell>
          <cell r="Q70">
            <v>-2932176.2899999991</v>
          </cell>
          <cell r="S70">
            <v>69723000</v>
          </cell>
          <cell r="T70">
            <v>69723000</v>
          </cell>
          <cell r="V70">
            <v>0</v>
          </cell>
        </row>
        <row r="71">
          <cell r="C71">
            <v>605710</v>
          </cell>
          <cell r="D71" t="str">
            <v>Contestable 1+2 Way Hedges</v>
          </cell>
          <cell r="E71">
            <v>-92683.88</v>
          </cell>
          <cell r="F71">
            <v>-92683.88</v>
          </cell>
          <cell r="G71">
            <v>0</v>
          </cell>
          <cell r="H71">
            <v>0</v>
          </cell>
          <cell r="I71">
            <v>-92683.88</v>
          </cell>
          <cell r="J71">
            <v>-92683.88</v>
          </cell>
          <cell r="L71">
            <v>-4834321.17</v>
          </cell>
          <cell r="M71">
            <v>-4834321.17</v>
          </cell>
          <cell r="N71">
            <v>0</v>
          </cell>
          <cell r="O71">
            <v>0</v>
          </cell>
          <cell r="P71">
            <v>-4834321.17</v>
          </cell>
          <cell r="Q71">
            <v>-4834321.17</v>
          </cell>
          <cell r="S71">
            <v>0</v>
          </cell>
          <cell r="T71">
            <v>0</v>
          </cell>
          <cell r="V71">
            <v>0</v>
          </cell>
        </row>
        <row r="72">
          <cell r="C72">
            <v>605800</v>
          </cell>
          <cell r="D72" t="str">
            <v>Energy Fees</v>
          </cell>
          <cell r="E72">
            <v>73158.27</v>
          </cell>
          <cell r="F72">
            <v>73158.27</v>
          </cell>
          <cell r="G72">
            <v>0</v>
          </cell>
          <cell r="H72">
            <v>0</v>
          </cell>
          <cell r="I72">
            <v>73158.27</v>
          </cell>
          <cell r="J72">
            <v>73158.27</v>
          </cell>
          <cell r="L72">
            <v>3371533.42</v>
          </cell>
          <cell r="M72">
            <v>3371533.42</v>
          </cell>
          <cell r="N72">
            <v>0</v>
          </cell>
          <cell r="O72">
            <v>0</v>
          </cell>
          <cell r="P72">
            <v>3371533.42</v>
          </cell>
          <cell r="Q72">
            <v>3371533.42</v>
          </cell>
          <cell r="S72">
            <v>0</v>
          </cell>
          <cell r="T72">
            <v>0</v>
          </cell>
          <cell r="V72">
            <v>0</v>
          </cell>
        </row>
        <row r="73">
          <cell r="C73">
            <v>605805</v>
          </cell>
          <cell r="D73" t="str">
            <v>NEMMCO Charges</v>
          </cell>
          <cell r="E73">
            <v>9520.73</v>
          </cell>
          <cell r="F73">
            <v>9520.73</v>
          </cell>
          <cell r="G73">
            <v>0</v>
          </cell>
          <cell r="H73">
            <v>0</v>
          </cell>
          <cell r="I73">
            <v>9520.73</v>
          </cell>
          <cell r="J73">
            <v>9520.73</v>
          </cell>
          <cell r="L73">
            <v>1368085.51</v>
          </cell>
          <cell r="M73">
            <v>1368085.51</v>
          </cell>
          <cell r="N73">
            <v>0</v>
          </cell>
          <cell r="O73">
            <v>0</v>
          </cell>
          <cell r="P73">
            <v>1368085.51</v>
          </cell>
          <cell r="Q73">
            <v>1368085.51</v>
          </cell>
          <cell r="S73">
            <v>0</v>
          </cell>
          <cell r="T73">
            <v>0</v>
          </cell>
          <cell r="V73">
            <v>0</v>
          </cell>
        </row>
        <row r="74">
          <cell r="C74">
            <v>605815</v>
          </cell>
          <cell r="D74" t="str">
            <v>Green Energy Market (GEM) Cost</v>
          </cell>
          <cell r="E74">
            <v>3333.34</v>
          </cell>
          <cell r="F74">
            <v>3333.34</v>
          </cell>
          <cell r="G74">
            <v>0</v>
          </cell>
          <cell r="H74">
            <v>0</v>
          </cell>
          <cell r="I74">
            <v>3333.34</v>
          </cell>
          <cell r="J74">
            <v>3333.34</v>
          </cell>
          <cell r="L74">
            <v>6666.68</v>
          </cell>
          <cell r="M74">
            <v>6666.68</v>
          </cell>
          <cell r="N74">
            <v>0</v>
          </cell>
          <cell r="O74">
            <v>0</v>
          </cell>
          <cell r="P74">
            <v>6666.68</v>
          </cell>
          <cell r="Q74">
            <v>6666.68</v>
          </cell>
          <cell r="S74">
            <v>0</v>
          </cell>
          <cell r="T74">
            <v>0</v>
          </cell>
          <cell r="V74">
            <v>0</v>
          </cell>
        </row>
        <row r="75">
          <cell r="C75">
            <v>605820</v>
          </cell>
          <cell r="D75" t="str">
            <v>Ancillary Charges</v>
          </cell>
          <cell r="E75">
            <v>293473.15999999997</v>
          </cell>
          <cell r="F75">
            <v>293473.15999999997</v>
          </cell>
          <cell r="G75">
            <v>0</v>
          </cell>
          <cell r="H75">
            <v>0</v>
          </cell>
          <cell r="I75">
            <v>293473.15999999997</v>
          </cell>
          <cell r="J75">
            <v>293473.15999999997</v>
          </cell>
          <cell r="L75">
            <v>3386556.94</v>
          </cell>
          <cell r="M75">
            <v>3386556.94</v>
          </cell>
          <cell r="N75">
            <v>0</v>
          </cell>
          <cell r="O75">
            <v>0</v>
          </cell>
          <cell r="P75">
            <v>3386556.94</v>
          </cell>
          <cell r="Q75">
            <v>3386556.94</v>
          </cell>
          <cell r="S75">
            <v>0</v>
          </cell>
          <cell r="T75">
            <v>0</v>
          </cell>
          <cell r="V75">
            <v>0</v>
          </cell>
        </row>
        <row r="76">
          <cell r="C76">
            <v>605825</v>
          </cell>
          <cell r="D76" t="str">
            <v>Option Fees</v>
          </cell>
          <cell r="E76">
            <v>129675</v>
          </cell>
          <cell r="F76">
            <v>129675</v>
          </cell>
          <cell r="G76">
            <v>0</v>
          </cell>
          <cell r="H76">
            <v>0</v>
          </cell>
          <cell r="I76">
            <v>129675</v>
          </cell>
          <cell r="J76">
            <v>129675</v>
          </cell>
          <cell r="L76">
            <v>850475.82</v>
          </cell>
          <cell r="M76">
            <v>850475.82</v>
          </cell>
          <cell r="N76">
            <v>0</v>
          </cell>
          <cell r="O76">
            <v>0</v>
          </cell>
          <cell r="P76">
            <v>850475.82</v>
          </cell>
          <cell r="Q76">
            <v>850475.82</v>
          </cell>
          <cell r="S76">
            <v>0</v>
          </cell>
          <cell r="T76">
            <v>0</v>
          </cell>
          <cell r="V76">
            <v>0</v>
          </cell>
        </row>
        <row r="77">
          <cell r="C77">
            <v>606000</v>
          </cell>
          <cell r="D77" t="str">
            <v>Smelter Reduction Levy</v>
          </cell>
          <cell r="E77">
            <v>685411.7</v>
          </cell>
          <cell r="F77">
            <v>685411.7</v>
          </cell>
          <cell r="G77">
            <v>0</v>
          </cell>
          <cell r="H77">
            <v>0</v>
          </cell>
          <cell r="I77">
            <v>685411.7</v>
          </cell>
          <cell r="J77">
            <v>685411.7</v>
          </cell>
          <cell r="L77">
            <v>10998348.92</v>
          </cell>
          <cell r="M77">
            <v>10998348.92</v>
          </cell>
          <cell r="N77">
            <v>0</v>
          </cell>
          <cell r="O77">
            <v>0</v>
          </cell>
          <cell r="P77">
            <v>10998348.92</v>
          </cell>
          <cell r="Q77">
            <v>10998348.92</v>
          </cell>
          <cell r="S77">
            <v>0</v>
          </cell>
          <cell r="T77">
            <v>0</v>
          </cell>
          <cell r="V77">
            <v>0</v>
          </cell>
        </row>
        <row r="78">
          <cell r="C78">
            <v>606100</v>
          </cell>
          <cell r="D78" t="str">
            <v>Cross Boundary Purchases</v>
          </cell>
          <cell r="E78">
            <v>0.79</v>
          </cell>
          <cell r="F78">
            <v>0.79</v>
          </cell>
          <cell r="G78">
            <v>0</v>
          </cell>
          <cell r="H78">
            <v>0</v>
          </cell>
          <cell r="I78">
            <v>0.79</v>
          </cell>
          <cell r="J78">
            <v>0.79</v>
          </cell>
          <cell r="L78">
            <v>0.79</v>
          </cell>
          <cell r="M78">
            <v>0.79</v>
          </cell>
          <cell r="N78">
            <v>0</v>
          </cell>
          <cell r="O78">
            <v>0</v>
          </cell>
          <cell r="P78">
            <v>0.79</v>
          </cell>
          <cell r="Q78">
            <v>0.79</v>
          </cell>
          <cell r="S78">
            <v>0</v>
          </cell>
          <cell r="T78">
            <v>0</v>
          </cell>
          <cell r="V78">
            <v>0</v>
          </cell>
        </row>
        <row r="79">
          <cell r="C79">
            <v>606200</v>
          </cell>
          <cell r="D79" t="str">
            <v>Energy Brokerage</v>
          </cell>
          <cell r="E79">
            <v>33550.239999999998</v>
          </cell>
          <cell r="F79">
            <v>33550.239999999998</v>
          </cell>
          <cell r="G79">
            <v>0</v>
          </cell>
          <cell r="H79">
            <v>0</v>
          </cell>
          <cell r="I79">
            <v>33550.239999999998</v>
          </cell>
          <cell r="J79">
            <v>33550.239999999998</v>
          </cell>
          <cell r="L79">
            <v>667384.24</v>
          </cell>
          <cell r="M79">
            <v>667384.24</v>
          </cell>
          <cell r="N79">
            <v>0</v>
          </cell>
          <cell r="O79">
            <v>0</v>
          </cell>
          <cell r="P79">
            <v>667384.24</v>
          </cell>
          <cell r="Q79">
            <v>667384.24</v>
          </cell>
          <cell r="S79">
            <v>0</v>
          </cell>
          <cell r="T79">
            <v>0</v>
          </cell>
          <cell r="V79">
            <v>0</v>
          </cell>
        </row>
        <row r="80">
          <cell r="C80">
            <v>607000</v>
          </cell>
          <cell r="D80" t="str">
            <v>AES MHA Premiums</v>
          </cell>
          <cell r="E80">
            <v>2758572</v>
          </cell>
          <cell r="F80">
            <v>2758572</v>
          </cell>
          <cell r="G80">
            <v>2780000</v>
          </cell>
          <cell r="H80">
            <v>2780000</v>
          </cell>
          <cell r="I80">
            <v>-21428</v>
          </cell>
          <cell r="J80">
            <v>-21428</v>
          </cell>
          <cell r="L80">
            <v>32952653</v>
          </cell>
          <cell r="M80">
            <v>32952653</v>
          </cell>
          <cell r="N80">
            <v>33060000</v>
          </cell>
          <cell r="O80">
            <v>33060000</v>
          </cell>
          <cell r="P80">
            <v>-107347</v>
          </cell>
          <cell r="Q80">
            <v>-107347</v>
          </cell>
          <cell r="S80">
            <v>33060000</v>
          </cell>
          <cell r="T80">
            <v>33060000</v>
          </cell>
          <cell r="V80">
            <v>33100000</v>
          </cell>
        </row>
        <row r="81">
          <cell r="C81">
            <v>607010</v>
          </cell>
          <cell r="D81" t="str">
            <v>AES MHA Expenditure</v>
          </cell>
          <cell r="E81">
            <v>80144.31</v>
          </cell>
          <cell r="F81">
            <v>80144.31</v>
          </cell>
          <cell r="G81">
            <v>0</v>
          </cell>
          <cell r="H81">
            <v>0</v>
          </cell>
          <cell r="I81">
            <v>80144.31</v>
          </cell>
          <cell r="J81">
            <v>80144.31</v>
          </cell>
          <cell r="L81">
            <v>4675690.05</v>
          </cell>
          <cell r="M81">
            <v>4675690.05</v>
          </cell>
          <cell r="N81">
            <v>0</v>
          </cell>
          <cell r="O81">
            <v>0</v>
          </cell>
          <cell r="P81">
            <v>4675690.05</v>
          </cell>
          <cell r="Q81">
            <v>4675690.05</v>
          </cell>
          <cell r="S81">
            <v>0</v>
          </cell>
          <cell r="T81">
            <v>0</v>
          </cell>
          <cell r="V81">
            <v>0</v>
          </cell>
        </row>
        <row r="82">
          <cell r="C82">
            <v>607190</v>
          </cell>
          <cell r="D82" t="str">
            <v>Unrealised losses-derivatives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  <cell r="T82">
            <v>0</v>
          </cell>
          <cell r="V82">
            <v>8400000</v>
          </cell>
        </row>
        <row r="83">
          <cell r="C83" t="str">
            <v>Energy Cost of Sales</v>
          </cell>
          <cell r="E83">
            <v>30922825.149999999</v>
          </cell>
          <cell r="F83">
            <v>30922825.149999999</v>
          </cell>
          <cell r="G83">
            <v>34919332</v>
          </cell>
          <cell r="H83">
            <v>34919332</v>
          </cell>
          <cell r="I83">
            <v>-3996506.8500000015</v>
          </cell>
          <cell r="J83">
            <v>-3996506.8500000015</v>
          </cell>
          <cell r="L83">
            <v>431898191.21000004</v>
          </cell>
          <cell r="M83">
            <v>431898191.21000004</v>
          </cell>
          <cell r="N83">
            <v>418631618</v>
          </cell>
          <cell r="O83">
            <v>418631618</v>
          </cell>
          <cell r="P83">
            <v>13266573.210000038</v>
          </cell>
          <cell r="Q83">
            <v>13266573.210000038</v>
          </cell>
          <cell r="S83">
            <v>418631618</v>
          </cell>
          <cell r="T83">
            <v>418631618</v>
          </cell>
          <cell r="V83">
            <v>474100000</v>
          </cell>
        </row>
        <row r="85">
          <cell r="C85">
            <v>611000</v>
          </cell>
          <cell r="D85" t="str">
            <v>Salaries Ordinary Time</v>
          </cell>
          <cell r="E85">
            <v>639318.79</v>
          </cell>
          <cell r="F85">
            <v>639318.79</v>
          </cell>
          <cell r="G85">
            <v>470313</v>
          </cell>
          <cell r="H85">
            <v>470313</v>
          </cell>
          <cell r="I85">
            <v>169005.79000000004</v>
          </cell>
          <cell r="J85">
            <v>169005.79000000004</v>
          </cell>
          <cell r="L85">
            <v>5210055.2</v>
          </cell>
          <cell r="M85">
            <v>5210055.2</v>
          </cell>
          <cell r="N85">
            <v>5643756</v>
          </cell>
          <cell r="O85">
            <v>5643756</v>
          </cell>
          <cell r="P85">
            <v>-433700.79999999981</v>
          </cell>
          <cell r="Q85">
            <v>-433700.79999999981</v>
          </cell>
          <cell r="S85">
            <v>5643756</v>
          </cell>
          <cell r="T85">
            <v>5643756</v>
          </cell>
          <cell r="V85">
            <v>5850000</v>
          </cell>
        </row>
        <row r="86">
          <cell r="C86">
            <v>611090</v>
          </cell>
          <cell r="D86" t="str">
            <v>Salaries Suspense Normal Time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56502.37</v>
          </cell>
          <cell r="M86">
            <v>56502.37</v>
          </cell>
          <cell r="N86">
            <v>0</v>
          </cell>
          <cell r="O86">
            <v>0</v>
          </cell>
          <cell r="P86">
            <v>56502.37</v>
          </cell>
          <cell r="Q86">
            <v>56502.37</v>
          </cell>
          <cell r="S86">
            <v>0</v>
          </cell>
          <cell r="T86">
            <v>0</v>
          </cell>
          <cell r="V86">
            <v>0</v>
          </cell>
        </row>
        <row r="87">
          <cell r="C87">
            <v>611200</v>
          </cell>
          <cell r="D87" t="str">
            <v>Oncosts Expense</v>
          </cell>
          <cell r="E87">
            <v>240038.42</v>
          </cell>
          <cell r="F87">
            <v>240038.42</v>
          </cell>
          <cell r="G87">
            <v>0</v>
          </cell>
          <cell r="H87">
            <v>0</v>
          </cell>
          <cell r="I87">
            <v>240038.42</v>
          </cell>
          <cell r="J87">
            <v>240038.42</v>
          </cell>
          <cell r="L87">
            <v>1409619.78</v>
          </cell>
          <cell r="M87">
            <v>1409619.78</v>
          </cell>
          <cell r="N87">
            <v>0</v>
          </cell>
          <cell r="O87">
            <v>0</v>
          </cell>
          <cell r="P87">
            <v>1409619.78</v>
          </cell>
          <cell r="Q87">
            <v>1409619.78</v>
          </cell>
          <cell r="S87">
            <v>0</v>
          </cell>
          <cell r="T87">
            <v>0</v>
          </cell>
          <cell r="V87">
            <v>0</v>
          </cell>
        </row>
        <row r="88">
          <cell r="C88">
            <v>611910</v>
          </cell>
          <cell r="D88" t="str">
            <v>Salaries Redundancy Payments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89353.88</v>
          </cell>
          <cell r="M88">
            <v>89353.88</v>
          </cell>
          <cell r="N88">
            <v>0</v>
          </cell>
          <cell r="O88">
            <v>0</v>
          </cell>
          <cell r="P88">
            <v>89353.88</v>
          </cell>
          <cell r="Q88">
            <v>89353.88</v>
          </cell>
          <cell r="S88">
            <v>0</v>
          </cell>
          <cell r="T88">
            <v>0</v>
          </cell>
          <cell r="V88">
            <v>0</v>
          </cell>
        </row>
        <row r="89">
          <cell r="C89">
            <v>614000</v>
          </cell>
          <cell r="D89" t="str">
            <v>Contracts Labour Non-Payroll</v>
          </cell>
          <cell r="E89">
            <v>-38454.01</v>
          </cell>
          <cell r="F89">
            <v>-38454.01</v>
          </cell>
          <cell r="G89">
            <v>0</v>
          </cell>
          <cell r="H89">
            <v>0</v>
          </cell>
          <cell r="I89">
            <v>-38454.01</v>
          </cell>
          <cell r="J89">
            <v>-38454.01</v>
          </cell>
          <cell r="L89">
            <v>188089.60000000001</v>
          </cell>
          <cell r="M89">
            <v>188089.60000000001</v>
          </cell>
          <cell r="N89">
            <v>0</v>
          </cell>
          <cell r="O89">
            <v>0</v>
          </cell>
          <cell r="P89">
            <v>188089.60000000001</v>
          </cell>
          <cell r="Q89">
            <v>188089.60000000001</v>
          </cell>
          <cell r="S89">
            <v>0</v>
          </cell>
          <cell r="T89">
            <v>0</v>
          </cell>
          <cell r="V89">
            <v>0</v>
          </cell>
        </row>
        <row r="90">
          <cell r="C90">
            <v>614050</v>
          </cell>
          <cell r="D90" t="str">
            <v>Temporary Staff - Agency</v>
          </cell>
          <cell r="E90">
            <v>5795.2</v>
          </cell>
          <cell r="F90">
            <v>5795.2</v>
          </cell>
          <cell r="G90">
            <v>0</v>
          </cell>
          <cell r="H90">
            <v>0</v>
          </cell>
          <cell r="I90">
            <v>5795.2</v>
          </cell>
          <cell r="J90">
            <v>5795.2</v>
          </cell>
          <cell r="L90">
            <v>142171.01</v>
          </cell>
          <cell r="M90">
            <v>142171.01</v>
          </cell>
          <cell r="N90">
            <v>0</v>
          </cell>
          <cell r="O90">
            <v>0</v>
          </cell>
          <cell r="P90">
            <v>142171.01</v>
          </cell>
          <cell r="Q90">
            <v>142171.01</v>
          </cell>
          <cell r="S90">
            <v>0</v>
          </cell>
          <cell r="T90">
            <v>0</v>
          </cell>
          <cell r="V90">
            <v>0</v>
          </cell>
        </row>
        <row r="91">
          <cell r="C91">
            <v>614055</v>
          </cell>
          <cell r="D91" t="str">
            <v>Payroll Tax -Agency</v>
          </cell>
          <cell r="E91">
            <v>397.56</v>
          </cell>
          <cell r="F91">
            <v>397.56</v>
          </cell>
          <cell r="G91">
            <v>0</v>
          </cell>
          <cell r="H91">
            <v>0</v>
          </cell>
          <cell r="I91">
            <v>397.56</v>
          </cell>
          <cell r="J91">
            <v>397.56</v>
          </cell>
          <cell r="L91">
            <v>6926.64</v>
          </cell>
          <cell r="M91">
            <v>6926.64</v>
          </cell>
          <cell r="N91">
            <v>0</v>
          </cell>
          <cell r="O91">
            <v>0</v>
          </cell>
          <cell r="P91">
            <v>6926.64</v>
          </cell>
          <cell r="Q91">
            <v>6926.64</v>
          </cell>
          <cell r="S91">
            <v>0</v>
          </cell>
          <cell r="T91">
            <v>0</v>
          </cell>
          <cell r="V91">
            <v>0</v>
          </cell>
        </row>
        <row r="92">
          <cell r="C92">
            <v>615130</v>
          </cell>
          <cell r="D92" t="str">
            <v>Sick Leave O-C Crdts Sals</v>
          </cell>
          <cell r="E92">
            <v>-10896.94</v>
          </cell>
          <cell r="F92">
            <v>-10896.94</v>
          </cell>
          <cell r="G92">
            <v>0</v>
          </cell>
          <cell r="H92">
            <v>0</v>
          </cell>
          <cell r="I92">
            <v>-10896.94</v>
          </cell>
          <cell r="J92">
            <v>-10896.94</v>
          </cell>
          <cell r="L92">
            <v>-65021.34</v>
          </cell>
          <cell r="M92">
            <v>-65021.34</v>
          </cell>
          <cell r="N92">
            <v>0</v>
          </cell>
          <cell r="O92">
            <v>0</v>
          </cell>
          <cell r="P92">
            <v>-65021.34</v>
          </cell>
          <cell r="Q92">
            <v>-65021.34</v>
          </cell>
          <cell r="S92">
            <v>0</v>
          </cell>
          <cell r="T92">
            <v>0</v>
          </cell>
          <cell r="V92">
            <v>0</v>
          </cell>
        </row>
        <row r="93">
          <cell r="C93">
            <v>615135</v>
          </cell>
          <cell r="D93" t="str">
            <v>Sick Leave Taken - Salaries</v>
          </cell>
          <cell r="E93">
            <v>7298.89</v>
          </cell>
          <cell r="F93">
            <v>7298.89</v>
          </cell>
          <cell r="G93">
            <v>0</v>
          </cell>
          <cell r="H93">
            <v>0</v>
          </cell>
          <cell r="I93">
            <v>7298.89</v>
          </cell>
          <cell r="J93">
            <v>7298.89</v>
          </cell>
          <cell r="L93">
            <v>27842.82</v>
          </cell>
          <cell r="M93">
            <v>27842.82</v>
          </cell>
          <cell r="N93">
            <v>0</v>
          </cell>
          <cell r="O93">
            <v>0</v>
          </cell>
          <cell r="P93">
            <v>27842.82</v>
          </cell>
          <cell r="Q93">
            <v>27842.82</v>
          </cell>
          <cell r="S93">
            <v>0</v>
          </cell>
          <cell r="T93">
            <v>0</v>
          </cell>
          <cell r="V93">
            <v>0</v>
          </cell>
        </row>
        <row r="94">
          <cell r="C94">
            <v>615140</v>
          </cell>
          <cell r="D94" t="str">
            <v>O/Paid Lv O-C Crdts Sals</v>
          </cell>
          <cell r="E94">
            <v>-28204.09</v>
          </cell>
          <cell r="F94">
            <v>-28204.09</v>
          </cell>
          <cell r="G94">
            <v>0</v>
          </cell>
          <cell r="H94">
            <v>0</v>
          </cell>
          <cell r="I94">
            <v>-28204.09</v>
          </cell>
          <cell r="J94">
            <v>-28204.09</v>
          </cell>
          <cell r="L94">
            <v>-173826.03</v>
          </cell>
          <cell r="M94">
            <v>-173826.03</v>
          </cell>
          <cell r="N94">
            <v>0</v>
          </cell>
          <cell r="O94">
            <v>0</v>
          </cell>
          <cell r="P94">
            <v>-173826.03</v>
          </cell>
          <cell r="Q94">
            <v>-173826.03</v>
          </cell>
          <cell r="S94">
            <v>0</v>
          </cell>
          <cell r="T94">
            <v>0</v>
          </cell>
          <cell r="V94">
            <v>0</v>
          </cell>
        </row>
        <row r="95">
          <cell r="C95">
            <v>615145</v>
          </cell>
          <cell r="D95" t="str">
            <v>O/Paid Lv Taken Sals</v>
          </cell>
          <cell r="E95">
            <v>41844.47</v>
          </cell>
          <cell r="F95">
            <v>41844.47</v>
          </cell>
          <cell r="G95">
            <v>0</v>
          </cell>
          <cell r="H95">
            <v>0</v>
          </cell>
          <cell r="I95">
            <v>41844.47</v>
          </cell>
          <cell r="J95">
            <v>41844.47</v>
          </cell>
          <cell r="L95">
            <v>170146.48</v>
          </cell>
          <cell r="M95">
            <v>170146.48</v>
          </cell>
          <cell r="N95">
            <v>0</v>
          </cell>
          <cell r="O95">
            <v>0</v>
          </cell>
          <cell r="P95">
            <v>170146.48</v>
          </cell>
          <cell r="Q95">
            <v>170146.48</v>
          </cell>
          <cell r="S95">
            <v>0</v>
          </cell>
          <cell r="T95">
            <v>0</v>
          </cell>
          <cell r="V95">
            <v>0</v>
          </cell>
        </row>
        <row r="96">
          <cell r="C96">
            <v>615160</v>
          </cell>
          <cell r="D96" t="str">
            <v>Workcover O-C Crdts Sals</v>
          </cell>
          <cell r="E96">
            <v>-8637.49</v>
          </cell>
          <cell r="F96">
            <v>-8637.49</v>
          </cell>
          <cell r="G96">
            <v>0</v>
          </cell>
          <cell r="H96">
            <v>0</v>
          </cell>
          <cell r="I96">
            <v>-8637.49</v>
          </cell>
          <cell r="J96">
            <v>-8637.49</v>
          </cell>
          <cell r="L96">
            <v>-60714.879999999997</v>
          </cell>
          <cell r="M96">
            <v>-60714.879999999997</v>
          </cell>
          <cell r="N96">
            <v>0</v>
          </cell>
          <cell r="O96">
            <v>0</v>
          </cell>
          <cell r="P96">
            <v>-60714.879999999997</v>
          </cell>
          <cell r="Q96">
            <v>-60714.879999999997</v>
          </cell>
          <cell r="S96">
            <v>0</v>
          </cell>
          <cell r="T96">
            <v>0</v>
          </cell>
          <cell r="V96">
            <v>0</v>
          </cell>
        </row>
        <row r="97">
          <cell r="C97">
            <v>615169</v>
          </cell>
          <cell r="D97" t="str">
            <v>Workcover Levy Sals</v>
          </cell>
          <cell r="E97">
            <v>2089.69</v>
          </cell>
          <cell r="F97">
            <v>2089.69</v>
          </cell>
          <cell r="G97">
            <v>0</v>
          </cell>
          <cell r="H97">
            <v>0</v>
          </cell>
          <cell r="I97">
            <v>2089.69</v>
          </cell>
          <cell r="J97">
            <v>2089.69</v>
          </cell>
          <cell r="L97">
            <v>40735.410000000003</v>
          </cell>
          <cell r="M97">
            <v>40735.410000000003</v>
          </cell>
          <cell r="N97">
            <v>0</v>
          </cell>
          <cell r="O97">
            <v>0</v>
          </cell>
          <cell r="P97">
            <v>40735.410000000003</v>
          </cell>
          <cell r="Q97">
            <v>40735.410000000003</v>
          </cell>
          <cell r="S97">
            <v>0</v>
          </cell>
          <cell r="T97">
            <v>0</v>
          </cell>
          <cell r="V97">
            <v>0</v>
          </cell>
        </row>
        <row r="98">
          <cell r="C98">
            <v>615170</v>
          </cell>
          <cell r="D98" t="str">
            <v>SuperA - Oncost Credit Sals</v>
          </cell>
          <cell r="E98">
            <v>-64002.3</v>
          </cell>
          <cell r="F98">
            <v>-64002.3</v>
          </cell>
          <cell r="G98">
            <v>0</v>
          </cell>
          <cell r="H98">
            <v>0</v>
          </cell>
          <cell r="I98">
            <v>-64002.3</v>
          </cell>
          <cell r="J98">
            <v>-64002.3</v>
          </cell>
          <cell r="L98">
            <v>-398865.43</v>
          </cell>
          <cell r="M98">
            <v>-398865.43</v>
          </cell>
          <cell r="N98">
            <v>0</v>
          </cell>
          <cell r="O98">
            <v>0</v>
          </cell>
          <cell r="P98">
            <v>-398865.43</v>
          </cell>
          <cell r="Q98">
            <v>-398865.43</v>
          </cell>
          <cell r="S98">
            <v>0</v>
          </cell>
          <cell r="T98">
            <v>0</v>
          </cell>
          <cell r="V98">
            <v>0</v>
          </cell>
        </row>
        <row r="99">
          <cell r="C99">
            <v>615173</v>
          </cell>
          <cell r="D99" t="str">
            <v>SuperA - Employer Contn Sals</v>
          </cell>
          <cell r="E99">
            <v>60855.46</v>
          </cell>
          <cell r="F99">
            <v>60855.46</v>
          </cell>
          <cell r="G99">
            <v>0</v>
          </cell>
          <cell r="H99">
            <v>0</v>
          </cell>
          <cell r="I99">
            <v>60855.46</v>
          </cell>
          <cell r="J99">
            <v>60855.46</v>
          </cell>
          <cell r="L99">
            <v>388243.57</v>
          </cell>
          <cell r="M99">
            <v>388243.57</v>
          </cell>
          <cell r="N99">
            <v>0</v>
          </cell>
          <cell r="O99">
            <v>0</v>
          </cell>
          <cell r="P99">
            <v>388243.57</v>
          </cell>
          <cell r="Q99">
            <v>388243.57</v>
          </cell>
          <cell r="S99">
            <v>0</v>
          </cell>
          <cell r="T99">
            <v>0</v>
          </cell>
          <cell r="V99">
            <v>0</v>
          </cell>
        </row>
        <row r="100">
          <cell r="C100">
            <v>615180</v>
          </cell>
          <cell r="D100" t="str">
            <v>Payroll Tax Oncost Credit Sals</v>
          </cell>
          <cell r="E100">
            <v>-35382.699999999997</v>
          </cell>
          <cell r="F100">
            <v>-35382.699999999997</v>
          </cell>
          <cell r="G100">
            <v>0</v>
          </cell>
          <cell r="H100">
            <v>0</v>
          </cell>
          <cell r="I100">
            <v>-35382.699999999997</v>
          </cell>
          <cell r="J100">
            <v>-35382.699999999997</v>
          </cell>
          <cell r="L100">
            <v>-295667.99</v>
          </cell>
          <cell r="M100">
            <v>-295667.99</v>
          </cell>
          <cell r="N100">
            <v>0</v>
          </cell>
          <cell r="O100">
            <v>0</v>
          </cell>
          <cell r="P100">
            <v>-295667.99</v>
          </cell>
          <cell r="Q100">
            <v>-295667.99</v>
          </cell>
          <cell r="S100">
            <v>0</v>
          </cell>
          <cell r="T100">
            <v>0</v>
          </cell>
          <cell r="V100">
            <v>0</v>
          </cell>
        </row>
        <row r="101">
          <cell r="C101">
            <v>615183</v>
          </cell>
          <cell r="D101" t="str">
            <v>Payroll Tax Payments Sals</v>
          </cell>
          <cell r="E101">
            <v>27932.33</v>
          </cell>
          <cell r="F101">
            <v>27932.33</v>
          </cell>
          <cell r="G101">
            <v>0</v>
          </cell>
          <cell r="H101">
            <v>0</v>
          </cell>
          <cell r="I101">
            <v>27932.33</v>
          </cell>
          <cell r="J101">
            <v>27932.33</v>
          </cell>
          <cell r="L101">
            <v>283457.53000000003</v>
          </cell>
          <cell r="M101">
            <v>283457.53000000003</v>
          </cell>
          <cell r="N101">
            <v>0</v>
          </cell>
          <cell r="O101">
            <v>0</v>
          </cell>
          <cell r="P101">
            <v>283457.53000000003</v>
          </cell>
          <cell r="Q101">
            <v>283457.53000000003</v>
          </cell>
          <cell r="S101">
            <v>0</v>
          </cell>
          <cell r="T101">
            <v>0</v>
          </cell>
          <cell r="V101">
            <v>0</v>
          </cell>
        </row>
        <row r="102">
          <cell r="C102" t="str">
            <v>Salaries</v>
          </cell>
          <cell r="E102">
            <v>839993.28</v>
          </cell>
          <cell r="F102">
            <v>839993.28</v>
          </cell>
          <cell r="G102">
            <v>470313</v>
          </cell>
          <cell r="H102">
            <v>470313</v>
          </cell>
          <cell r="I102">
            <v>369680.28</v>
          </cell>
          <cell r="J102">
            <v>369680.28</v>
          </cell>
          <cell r="L102">
            <v>7019048.620000001</v>
          </cell>
          <cell r="M102">
            <v>7019048.620000001</v>
          </cell>
          <cell r="N102">
            <v>5643756</v>
          </cell>
          <cell r="O102">
            <v>5643756</v>
          </cell>
          <cell r="P102">
            <v>1375292.620000001</v>
          </cell>
          <cell r="Q102">
            <v>1375292.620000001</v>
          </cell>
          <cell r="S102">
            <v>5643756</v>
          </cell>
          <cell r="T102">
            <v>5643756</v>
          </cell>
          <cell r="V102">
            <v>5850000</v>
          </cell>
        </row>
        <row r="104">
          <cell r="C104" t="str">
            <v>Wages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  <cell r="V104">
            <v>0</v>
          </cell>
        </row>
        <row r="106">
          <cell r="C106">
            <v>630000</v>
          </cell>
          <cell r="D106" t="str">
            <v>Materials General</v>
          </cell>
          <cell r="E106">
            <v>11305.78</v>
          </cell>
          <cell r="F106">
            <v>11305.78</v>
          </cell>
          <cell r="G106">
            <v>11100</v>
          </cell>
          <cell r="H106">
            <v>11100</v>
          </cell>
          <cell r="I106">
            <v>205.78000000000065</v>
          </cell>
          <cell r="J106">
            <v>205.78000000000065</v>
          </cell>
          <cell r="L106">
            <v>67337.320000000007</v>
          </cell>
          <cell r="M106">
            <v>67337.320000000007</v>
          </cell>
          <cell r="N106">
            <v>133200</v>
          </cell>
          <cell r="O106">
            <v>133200</v>
          </cell>
          <cell r="P106">
            <v>-65862.679999999993</v>
          </cell>
          <cell r="Q106">
            <v>-65862.679999999993</v>
          </cell>
          <cell r="S106">
            <v>133200</v>
          </cell>
          <cell r="T106">
            <v>133200</v>
          </cell>
          <cell r="V106">
            <v>100000</v>
          </cell>
        </row>
        <row r="107">
          <cell r="C107">
            <v>631100</v>
          </cell>
          <cell r="D107" t="str">
            <v>Fuel &amp; Oil Vehicles and Plant</v>
          </cell>
          <cell r="E107">
            <v>79.400000000000006</v>
          </cell>
          <cell r="F107">
            <v>79.400000000000006</v>
          </cell>
          <cell r="G107">
            <v>0</v>
          </cell>
          <cell r="H107">
            <v>0</v>
          </cell>
          <cell r="I107">
            <v>79.400000000000006</v>
          </cell>
          <cell r="J107">
            <v>79.400000000000006</v>
          </cell>
          <cell r="L107">
            <v>1093.8800000000001</v>
          </cell>
          <cell r="M107">
            <v>1093.8800000000001</v>
          </cell>
          <cell r="N107">
            <v>0</v>
          </cell>
          <cell r="O107">
            <v>0</v>
          </cell>
          <cell r="P107">
            <v>1093.8800000000001</v>
          </cell>
          <cell r="Q107">
            <v>1093.8800000000001</v>
          </cell>
          <cell r="S107">
            <v>0</v>
          </cell>
          <cell r="T107">
            <v>0</v>
          </cell>
          <cell r="V107">
            <v>0</v>
          </cell>
        </row>
        <row r="108">
          <cell r="C108">
            <v>632100</v>
          </cell>
          <cell r="D108" t="str">
            <v>Printing and Stationery</v>
          </cell>
          <cell r="E108">
            <v>7114.18</v>
          </cell>
          <cell r="F108">
            <v>7114.18</v>
          </cell>
          <cell r="G108">
            <v>0</v>
          </cell>
          <cell r="H108">
            <v>0</v>
          </cell>
          <cell r="I108">
            <v>7114.18</v>
          </cell>
          <cell r="J108">
            <v>7114.18</v>
          </cell>
          <cell r="L108">
            <v>48342.87</v>
          </cell>
          <cell r="M108">
            <v>48342.87</v>
          </cell>
          <cell r="N108">
            <v>0</v>
          </cell>
          <cell r="O108">
            <v>0</v>
          </cell>
          <cell r="P108">
            <v>48342.87</v>
          </cell>
          <cell r="Q108">
            <v>48342.87</v>
          </cell>
          <cell r="S108">
            <v>0</v>
          </cell>
          <cell r="T108">
            <v>0</v>
          </cell>
          <cell r="V108">
            <v>0</v>
          </cell>
        </row>
        <row r="109">
          <cell r="C109" t="str">
            <v>Materials</v>
          </cell>
          <cell r="E109">
            <v>18499.36</v>
          </cell>
          <cell r="F109">
            <v>18499.36</v>
          </cell>
          <cell r="G109">
            <v>11100</v>
          </cell>
          <cell r="H109">
            <v>11100</v>
          </cell>
          <cell r="I109">
            <v>7399.3600000000006</v>
          </cell>
          <cell r="J109">
            <v>7399.3600000000006</v>
          </cell>
          <cell r="L109">
            <v>116774.07</v>
          </cell>
          <cell r="M109">
            <v>116774.07</v>
          </cell>
          <cell r="N109">
            <v>133200</v>
          </cell>
          <cell r="O109">
            <v>133200</v>
          </cell>
          <cell r="P109">
            <v>-16425.929999999993</v>
          </cell>
          <cell r="Q109">
            <v>-16425.929999999993</v>
          </cell>
          <cell r="S109">
            <v>133200</v>
          </cell>
          <cell r="T109">
            <v>133200</v>
          </cell>
          <cell r="V109">
            <v>100000</v>
          </cell>
        </row>
        <row r="111">
          <cell r="C111" t="str">
            <v>Contracts &amp; Miscellaneous</v>
          </cell>
        </row>
        <row r="113">
          <cell r="C113">
            <v>640000</v>
          </cell>
          <cell r="D113" t="str">
            <v>Contracts</v>
          </cell>
          <cell r="E113">
            <v>54987.79</v>
          </cell>
          <cell r="F113">
            <v>54987.79</v>
          </cell>
          <cell r="G113">
            <v>208100</v>
          </cell>
          <cell r="H113">
            <v>208100</v>
          </cell>
          <cell r="I113">
            <v>-153112.21</v>
          </cell>
          <cell r="J113">
            <v>-153112.21</v>
          </cell>
          <cell r="L113">
            <v>544559.97</v>
          </cell>
          <cell r="M113">
            <v>544559.97</v>
          </cell>
          <cell r="N113">
            <v>2497200</v>
          </cell>
          <cell r="O113">
            <v>2497200</v>
          </cell>
          <cell r="P113">
            <v>-1952640.03</v>
          </cell>
          <cell r="Q113">
            <v>-1952640.03</v>
          </cell>
          <cell r="S113">
            <v>2497200</v>
          </cell>
          <cell r="T113">
            <v>2497200</v>
          </cell>
          <cell r="V113">
            <v>4650000</v>
          </cell>
        </row>
        <row r="114">
          <cell r="C114">
            <v>640510</v>
          </cell>
          <cell r="D114" t="str">
            <v>Contracts - Meter Reading</v>
          </cell>
          <cell r="E114">
            <v>24.5</v>
          </cell>
          <cell r="F114">
            <v>24.5</v>
          </cell>
          <cell r="G114">
            <v>0</v>
          </cell>
          <cell r="H114">
            <v>0</v>
          </cell>
          <cell r="I114">
            <v>24.5</v>
          </cell>
          <cell r="J114">
            <v>24.5</v>
          </cell>
          <cell r="L114">
            <v>553.67999999999995</v>
          </cell>
          <cell r="M114">
            <v>553.67999999999995</v>
          </cell>
          <cell r="N114">
            <v>0</v>
          </cell>
          <cell r="O114">
            <v>0</v>
          </cell>
          <cell r="P114">
            <v>553.67999999999995</v>
          </cell>
          <cell r="Q114">
            <v>553.67999999999995</v>
          </cell>
          <cell r="S114">
            <v>0</v>
          </cell>
          <cell r="T114">
            <v>0</v>
          </cell>
          <cell r="V114">
            <v>0</v>
          </cell>
        </row>
        <row r="115">
          <cell r="C115">
            <v>640560</v>
          </cell>
          <cell r="D115" t="str">
            <v>Contracts Local Service Agents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969</v>
          </cell>
          <cell r="M115">
            <v>969</v>
          </cell>
          <cell r="N115">
            <v>0</v>
          </cell>
          <cell r="O115">
            <v>0</v>
          </cell>
          <cell r="P115">
            <v>969</v>
          </cell>
          <cell r="Q115">
            <v>969</v>
          </cell>
          <cell r="S115">
            <v>0</v>
          </cell>
          <cell r="T115">
            <v>0</v>
          </cell>
          <cell r="V115">
            <v>0</v>
          </cell>
        </row>
        <row r="116">
          <cell r="C116">
            <v>640600</v>
          </cell>
          <cell r="D116" t="str">
            <v>Repairs and Maintenance</v>
          </cell>
          <cell r="E116">
            <v>198.22</v>
          </cell>
          <cell r="F116">
            <v>198.22</v>
          </cell>
          <cell r="G116">
            <v>0</v>
          </cell>
          <cell r="H116">
            <v>0</v>
          </cell>
          <cell r="I116">
            <v>198.22</v>
          </cell>
          <cell r="J116">
            <v>198.22</v>
          </cell>
          <cell r="L116">
            <v>2069.0500000000002</v>
          </cell>
          <cell r="M116">
            <v>2069.0500000000002</v>
          </cell>
          <cell r="N116">
            <v>0</v>
          </cell>
          <cell r="O116">
            <v>0</v>
          </cell>
          <cell r="P116">
            <v>2069.0500000000002</v>
          </cell>
          <cell r="Q116">
            <v>2069.0500000000002</v>
          </cell>
          <cell r="S116">
            <v>0</v>
          </cell>
          <cell r="T116">
            <v>0</v>
          </cell>
          <cell r="V116">
            <v>0</v>
          </cell>
        </row>
        <row r="117">
          <cell r="C117">
            <v>640845</v>
          </cell>
          <cell r="D117" t="str">
            <v>External Audit Expense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61667</v>
          </cell>
          <cell r="M117">
            <v>61667</v>
          </cell>
          <cell r="N117">
            <v>0</v>
          </cell>
          <cell r="O117">
            <v>0</v>
          </cell>
          <cell r="P117">
            <v>61667</v>
          </cell>
          <cell r="Q117">
            <v>61667</v>
          </cell>
          <cell r="S117">
            <v>0</v>
          </cell>
          <cell r="T117">
            <v>0</v>
          </cell>
          <cell r="V117">
            <v>0</v>
          </cell>
        </row>
        <row r="118">
          <cell r="C118">
            <v>640855</v>
          </cell>
          <cell r="D118" t="str">
            <v>Legal Expenses Tax Deductible</v>
          </cell>
          <cell r="E118">
            <v>260252.53</v>
          </cell>
          <cell r="F118">
            <v>260252.53</v>
          </cell>
          <cell r="G118">
            <v>0</v>
          </cell>
          <cell r="H118">
            <v>0</v>
          </cell>
          <cell r="I118">
            <v>260252.53</v>
          </cell>
          <cell r="J118">
            <v>260252.53</v>
          </cell>
          <cell r="L118">
            <v>633995.31999999995</v>
          </cell>
          <cell r="M118">
            <v>633995.31999999995</v>
          </cell>
          <cell r="N118">
            <v>0</v>
          </cell>
          <cell r="O118">
            <v>0</v>
          </cell>
          <cell r="P118">
            <v>633995.31999999995</v>
          </cell>
          <cell r="Q118">
            <v>633995.31999999995</v>
          </cell>
          <cell r="S118">
            <v>0</v>
          </cell>
          <cell r="T118">
            <v>0</v>
          </cell>
          <cell r="V118">
            <v>0</v>
          </cell>
        </row>
        <row r="119">
          <cell r="C119">
            <v>640865</v>
          </cell>
          <cell r="D119" t="str">
            <v>Legal Expenses Non Tax Ded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-62973.599999999999</v>
          </cell>
          <cell r="M119">
            <v>-62973.599999999999</v>
          </cell>
          <cell r="N119">
            <v>0</v>
          </cell>
          <cell r="O119">
            <v>0</v>
          </cell>
          <cell r="P119">
            <v>-62973.599999999999</v>
          </cell>
          <cell r="Q119">
            <v>-62973.599999999999</v>
          </cell>
          <cell r="S119">
            <v>0</v>
          </cell>
          <cell r="T119">
            <v>0</v>
          </cell>
          <cell r="V119">
            <v>0</v>
          </cell>
        </row>
        <row r="120">
          <cell r="C120">
            <v>640910</v>
          </cell>
          <cell r="D120" t="str">
            <v>Consultancy - Computing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89848.86</v>
          </cell>
          <cell r="M120">
            <v>89848.86</v>
          </cell>
          <cell r="N120">
            <v>0</v>
          </cell>
          <cell r="O120">
            <v>0</v>
          </cell>
          <cell r="P120">
            <v>89848.86</v>
          </cell>
          <cell r="Q120">
            <v>89848.86</v>
          </cell>
          <cell r="S120">
            <v>0</v>
          </cell>
          <cell r="T120">
            <v>0</v>
          </cell>
          <cell r="V120">
            <v>0</v>
          </cell>
        </row>
        <row r="121">
          <cell r="C121">
            <v>640912</v>
          </cell>
          <cell r="D121" t="str">
            <v>Consultancy Non Comp Tax Ded</v>
          </cell>
          <cell r="E121">
            <v>530854.97</v>
          </cell>
          <cell r="F121">
            <v>530854.97</v>
          </cell>
          <cell r="G121">
            <v>0</v>
          </cell>
          <cell r="H121">
            <v>0</v>
          </cell>
          <cell r="I121">
            <v>530854.97</v>
          </cell>
          <cell r="J121">
            <v>530854.97</v>
          </cell>
          <cell r="L121">
            <v>1063599.31</v>
          </cell>
          <cell r="M121">
            <v>1063599.31</v>
          </cell>
          <cell r="N121">
            <v>0</v>
          </cell>
          <cell r="O121">
            <v>0</v>
          </cell>
          <cell r="P121">
            <v>1063599.31</v>
          </cell>
          <cell r="Q121">
            <v>1063599.31</v>
          </cell>
          <cell r="S121">
            <v>0</v>
          </cell>
          <cell r="T121">
            <v>0</v>
          </cell>
          <cell r="V121">
            <v>0</v>
          </cell>
        </row>
        <row r="122">
          <cell r="C122">
            <v>640915</v>
          </cell>
          <cell r="D122" t="str">
            <v>Consultancy Non-Tax Ded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L122">
            <v>36250</v>
          </cell>
          <cell r="M122">
            <v>36250</v>
          </cell>
          <cell r="N122">
            <v>0</v>
          </cell>
          <cell r="O122">
            <v>0</v>
          </cell>
          <cell r="P122">
            <v>36250</v>
          </cell>
          <cell r="Q122">
            <v>36250</v>
          </cell>
          <cell r="S122">
            <v>0</v>
          </cell>
          <cell r="T122">
            <v>0</v>
          </cell>
          <cell r="V122">
            <v>0</v>
          </cell>
        </row>
        <row r="123">
          <cell r="C123" t="str">
            <v>Contracts, Consult &amp; Prof Exp</v>
          </cell>
          <cell r="E123">
            <v>846318.01</v>
          </cell>
          <cell r="F123">
            <v>846318.01</v>
          </cell>
          <cell r="G123">
            <v>208100</v>
          </cell>
          <cell r="H123">
            <v>208100</v>
          </cell>
          <cell r="I123">
            <v>638218.01</v>
          </cell>
          <cell r="J123">
            <v>638218.01</v>
          </cell>
          <cell r="L123">
            <v>2370538.59</v>
          </cell>
          <cell r="M123">
            <v>2370538.59</v>
          </cell>
          <cell r="N123">
            <v>2497200</v>
          </cell>
          <cell r="O123">
            <v>2497200</v>
          </cell>
          <cell r="P123">
            <v>-126661.41000000015</v>
          </cell>
          <cell r="Q123">
            <v>-126661.41000000015</v>
          </cell>
          <cell r="S123">
            <v>2497200</v>
          </cell>
          <cell r="T123">
            <v>2497200</v>
          </cell>
          <cell r="V123">
            <v>4650000</v>
          </cell>
        </row>
        <row r="125">
          <cell r="C125" t="str">
            <v>Inter Company Margins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T125">
            <v>0</v>
          </cell>
          <cell r="V125">
            <v>0</v>
          </cell>
        </row>
        <row r="127">
          <cell r="C127">
            <v>641800</v>
          </cell>
          <cell r="D127" t="str">
            <v>Inter-company contracts</v>
          </cell>
          <cell r="E127">
            <v>1719858.13</v>
          </cell>
          <cell r="F127">
            <v>1719858.13</v>
          </cell>
          <cell r="G127">
            <v>1085000</v>
          </cell>
          <cell r="H127">
            <v>1085000</v>
          </cell>
          <cell r="I127">
            <v>634858.12999999989</v>
          </cell>
          <cell r="J127">
            <v>634858.12999999989</v>
          </cell>
          <cell r="L127">
            <v>15349743.050000001</v>
          </cell>
          <cell r="M127">
            <v>15349743.050000001</v>
          </cell>
          <cell r="N127">
            <v>13020000</v>
          </cell>
          <cell r="O127">
            <v>13020000</v>
          </cell>
          <cell r="P127">
            <v>2329743.0500000007</v>
          </cell>
          <cell r="Q127">
            <v>2329743.0500000007</v>
          </cell>
          <cell r="S127">
            <v>13020000</v>
          </cell>
          <cell r="T127">
            <v>13020000</v>
          </cell>
          <cell r="V127">
            <v>1400000</v>
          </cell>
        </row>
        <row r="128">
          <cell r="C128">
            <v>641858</v>
          </cell>
          <cell r="D128" t="str">
            <v>Contracts TXU SA</v>
          </cell>
          <cell r="E128">
            <v>3902783</v>
          </cell>
          <cell r="F128">
            <v>3902783</v>
          </cell>
          <cell r="G128">
            <v>3823000</v>
          </cell>
          <cell r="H128">
            <v>3823000</v>
          </cell>
          <cell r="I128">
            <v>79783</v>
          </cell>
          <cell r="J128">
            <v>79783</v>
          </cell>
          <cell r="L128">
            <v>47172408.93</v>
          </cell>
          <cell r="M128">
            <v>47172408.93</v>
          </cell>
          <cell r="N128">
            <v>45876000</v>
          </cell>
          <cell r="O128">
            <v>45876000</v>
          </cell>
          <cell r="P128">
            <v>1296408.9299999997</v>
          </cell>
          <cell r="Q128">
            <v>1296408.9299999997</v>
          </cell>
          <cell r="S128">
            <v>45876000</v>
          </cell>
          <cell r="T128">
            <v>45876000</v>
          </cell>
          <cell r="V128">
            <v>0</v>
          </cell>
        </row>
        <row r="129">
          <cell r="C129" t="str">
            <v>Inter Co Contract Expenditure</v>
          </cell>
          <cell r="E129">
            <v>5622641.1299999999</v>
          </cell>
          <cell r="F129">
            <v>5622641.1299999999</v>
          </cell>
          <cell r="G129">
            <v>4908000</v>
          </cell>
          <cell r="H129">
            <v>4908000</v>
          </cell>
          <cell r="I129">
            <v>714641.12999999989</v>
          </cell>
          <cell r="J129">
            <v>714641.12999999989</v>
          </cell>
          <cell r="L129">
            <v>62522151.980000004</v>
          </cell>
          <cell r="M129">
            <v>62522151.980000004</v>
          </cell>
          <cell r="N129">
            <v>58896000</v>
          </cell>
          <cell r="O129">
            <v>58896000</v>
          </cell>
          <cell r="P129">
            <v>3626151.9800000042</v>
          </cell>
          <cell r="Q129">
            <v>3626151.9800000042</v>
          </cell>
          <cell r="S129">
            <v>58896000</v>
          </cell>
          <cell r="T129">
            <v>58896000</v>
          </cell>
          <cell r="V129">
            <v>1400000</v>
          </cell>
        </row>
        <row r="131">
          <cell r="C131">
            <v>642040</v>
          </cell>
          <cell r="D131" t="str">
            <v>Insurance premiums</v>
          </cell>
          <cell r="E131">
            <v>185162.78</v>
          </cell>
          <cell r="F131">
            <v>185162.78</v>
          </cell>
          <cell r="G131">
            <v>0</v>
          </cell>
          <cell r="H131">
            <v>0</v>
          </cell>
          <cell r="I131">
            <v>185162.78</v>
          </cell>
          <cell r="J131">
            <v>185162.78</v>
          </cell>
          <cell r="L131">
            <v>1169173.46</v>
          </cell>
          <cell r="M131">
            <v>1169173.46</v>
          </cell>
          <cell r="N131">
            <v>0</v>
          </cell>
          <cell r="O131">
            <v>0</v>
          </cell>
          <cell r="P131">
            <v>1169173.46</v>
          </cell>
          <cell r="Q131">
            <v>1169173.46</v>
          </cell>
          <cell r="S131">
            <v>0</v>
          </cell>
          <cell r="T131">
            <v>0</v>
          </cell>
          <cell r="V131">
            <v>0</v>
          </cell>
        </row>
        <row r="132">
          <cell r="C132" t="str">
            <v>Insurance Expenditure</v>
          </cell>
          <cell r="E132">
            <v>185162.78</v>
          </cell>
          <cell r="F132">
            <v>185162.78</v>
          </cell>
          <cell r="G132">
            <v>0</v>
          </cell>
          <cell r="H132">
            <v>0</v>
          </cell>
          <cell r="I132">
            <v>185162.78</v>
          </cell>
          <cell r="J132">
            <v>185162.78</v>
          </cell>
          <cell r="L132">
            <v>1169173.46</v>
          </cell>
          <cell r="M132">
            <v>1169173.46</v>
          </cell>
          <cell r="N132">
            <v>0</v>
          </cell>
          <cell r="O132">
            <v>0</v>
          </cell>
          <cell r="P132">
            <v>1169173.46</v>
          </cell>
          <cell r="Q132">
            <v>1169173.46</v>
          </cell>
          <cell r="S132">
            <v>0</v>
          </cell>
          <cell r="T132">
            <v>0</v>
          </cell>
          <cell r="V132">
            <v>0</v>
          </cell>
        </row>
        <row r="134">
          <cell r="C134">
            <v>643000</v>
          </cell>
          <cell r="D134" t="str">
            <v>Lease - Vehicles</v>
          </cell>
          <cell r="E134">
            <v>0</v>
          </cell>
          <cell r="F134">
            <v>0</v>
          </cell>
          <cell r="G134">
            <v>26575</v>
          </cell>
          <cell r="H134">
            <v>26575</v>
          </cell>
          <cell r="I134">
            <v>-26575</v>
          </cell>
          <cell r="J134">
            <v>-26575</v>
          </cell>
          <cell r="L134">
            <v>73656.3</v>
          </cell>
          <cell r="M134">
            <v>73656.3</v>
          </cell>
          <cell r="N134">
            <v>318900</v>
          </cell>
          <cell r="O134">
            <v>318900</v>
          </cell>
          <cell r="P134">
            <v>-245243.7</v>
          </cell>
          <cell r="Q134">
            <v>-245243.7</v>
          </cell>
          <cell r="S134">
            <v>318900</v>
          </cell>
          <cell r="T134">
            <v>318900</v>
          </cell>
          <cell r="V134">
            <v>0</v>
          </cell>
        </row>
        <row r="135">
          <cell r="C135">
            <v>643020</v>
          </cell>
          <cell r="D135" t="str">
            <v>Novated Lease Vehicles</v>
          </cell>
          <cell r="E135">
            <v>1283.8499999999999</v>
          </cell>
          <cell r="F135">
            <v>1283.8499999999999</v>
          </cell>
          <cell r="G135">
            <v>0</v>
          </cell>
          <cell r="H135">
            <v>0</v>
          </cell>
          <cell r="I135">
            <v>1283.8499999999999</v>
          </cell>
          <cell r="J135">
            <v>1283.8499999999999</v>
          </cell>
          <cell r="L135">
            <v>5135.3999999999996</v>
          </cell>
          <cell r="M135">
            <v>5135.3999999999996</v>
          </cell>
          <cell r="N135">
            <v>0</v>
          </cell>
          <cell r="O135">
            <v>0</v>
          </cell>
          <cell r="P135">
            <v>5135.3999999999996</v>
          </cell>
          <cell r="Q135">
            <v>5135.3999999999996</v>
          </cell>
          <cell r="S135">
            <v>0</v>
          </cell>
          <cell r="T135">
            <v>0</v>
          </cell>
          <cell r="V135">
            <v>0</v>
          </cell>
        </row>
        <row r="136">
          <cell r="C136">
            <v>643050</v>
          </cell>
          <cell r="D136" t="str">
            <v>Hire - Vehicles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4793.49</v>
          </cell>
          <cell r="M136">
            <v>4793.49</v>
          </cell>
          <cell r="N136">
            <v>0</v>
          </cell>
          <cell r="O136">
            <v>0</v>
          </cell>
          <cell r="P136">
            <v>4793.49</v>
          </cell>
          <cell r="Q136">
            <v>4793.49</v>
          </cell>
          <cell r="S136">
            <v>0</v>
          </cell>
          <cell r="T136">
            <v>0</v>
          </cell>
          <cell r="V136">
            <v>0</v>
          </cell>
        </row>
        <row r="137">
          <cell r="C137">
            <v>643150</v>
          </cell>
          <cell r="D137" t="str">
            <v>Hire - Plant and Equipment</v>
          </cell>
          <cell r="E137">
            <v>718.95</v>
          </cell>
          <cell r="F137">
            <v>718.95</v>
          </cell>
          <cell r="G137">
            <v>0</v>
          </cell>
          <cell r="H137">
            <v>0</v>
          </cell>
          <cell r="I137">
            <v>718.95</v>
          </cell>
          <cell r="J137">
            <v>718.95</v>
          </cell>
          <cell r="L137">
            <v>5749.26</v>
          </cell>
          <cell r="M137">
            <v>5749.26</v>
          </cell>
          <cell r="N137">
            <v>0</v>
          </cell>
          <cell r="O137">
            <v>0</v>
          </cell>
          <cell r="P137">
            <v>5749.26</v>
          </cell>
          <cell r="Q137">
            <v>5749.26</v>
          </cell>
          <cell r="S137">
            <v>0</v>
          </cell>
          <cell r="T137">
            <v>0</v>
          </cell>
          <cell r="V137">
            <v>0</v>
          </cell>
        </row>
        <row r="138">
          <cell r="C138">
            <v>643300</v>
          </cell>
          <cell r="D138" t="str">
            <v>Lease - Land and Buildings</v>
          </cell>
          <cell r="E138">
            <v>38850.730000000003</v>
          </cell>
          <cell r="F138">
            <v>38850.730000000003</v>
          </cell>
          <cell r="G138">
            <v>0</v>
          </cell>
          <cell r="H138">
            <v>0</v>
          </cell>
          <cell r="I138">
            <v>38850.730000000003</v>
          </cell>
          <cell r="J138">
            <v>38850.730000000003</v>
          </cell>
          <cell r="L138">
            <v>500300.66</v>
          </cell>
          <cell r="M138">
            <v>500300.66</v>
          </cell>
          <cell r="N138">
            <v>0</v>
          </cell>
          <cell r="O138">
            <v>0</v>
          </cell>
          <cell r="P138">
            <v>500300.66</v>
          </cell>
          <cell r="Q138">
            <v>500300.66</v>
          </cell>
          <cell r="S138">
            <v>0</v>
          </cell>
          <cell r="T138">
            <v>0</v>
          </cell>
          <cell r="V138">
            <v>0</v>
          </cell>
        </row>
        <row r="139">
          <cell r="C139">
            <v>643400</v>
          </cell>
          <cell r="D139" t="str">
            <v>Lease - Computer Equipment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70127.14</v>
          </cell>
          <cell r="M139">
            <v>70127.14</v>
          </cell>
          <cell r="N139">
            <v>0</v>
          </cell>
          <cell r="O139">
            <v>0</v>
          </cell>
          <cell r="P139">
            <v>70127.14</v>
          </cell>
          <cell r="Q139">
            <v>70127.14</v>
          </cell>
          <cell r="S139">
            <v>0</v>
          </cell>
          <cell r="T139">
            <v>0</v>
          </cell>
          <cell r="V139">
            <v>0</v>
          </cell>
        </row>
        <row r="140">
          <cell r="C140">
            <v>643600</v>
          </cell>
          <cell r="D140" t="str">
            <v>Lease - Office Equipment</v>
          </cell>
          <cell r="E140">
            <v>2413.25</v>
          </cell>
          <cell r="F140">
            <v>2413.25</v>
          </cell>
          <cell r="G140">
            <v>0</v>
          </cell>
          <cell r="H140">
            <v>0</v>
          </cell>
          <cell r="I140">
            <v>2413.25</v>
          </cell>
          <cell r="J140">
            <v>2413.25</v>
          </cell>
          <cell r="L140">
            <v>7771.52</v>
          </cell>
          <cell r="M140">
            <v>7771.52</v>
          </cell>
          <cell r="N140">
            <v>0</v>
          </cell>
          <cell r="O140">
            <v>0</v>
          </cell>
          <cell r="P140">
            <v>7771.52</v>
          </cell>
          <cell r="Q140">
            <v>7771.52</v>
          </cell>
          <cell r="S140">
            <v>0</v>
          </cell>
          <cell r="T140">
            <v>0</v>
          </cell>
          <cell r="V140">
            <v>0</v>
          </cell>
        </row>
        <row r="141">
          <cell r="C141">
            <v>643690</v>
          </cell>
          <cell r="D141" t="str">
            <v>M/Vehicle Service and Maint</v>
          </cell>
          <cell r="E141">
            <v>375.73</v>
          </cell>
          <cell r="F141">
            <v>375.73</v>
          </cell>
          <cell r="G141">
            <v>0</v>
          </cell>
          <cell r="H141">
            <v>0</v>
          </cell>
          <cell r="I141">
            <v>375.73</v>
          </cell>
          <cell r="J141">
            <v>375.73</v>
          </cell>
          <cell r="L141">
            <v>1128.48</v>
          </cell>
          <cell r="M141">
            <v>1128.48</v>
          </cell>
          <cell r="N141">
            <v>0</v>
          </cell>
          <cell r="O141">
            <v>0</v>
          </cell>
          <cell r="P141">
            <v>1128.48</v>
          </cell>
          <cell r="Q141">
            <v>1128.48</v>
          </cell>
          <cell r="S141">
            <v>0</v>
          </cell>
          <cell r="T141">
            <v>0</v>
          </cell>
          <cell r="V141">
            <v>0</v>
          </cell>
        </row>
        <row r="142">
          <cell r="C142">
            <v>643720</v>
          </cell>
          <cell r="D142" t="str">
            <v>Motor Vehicle Usage</v>
          </cell>
          <cell r="E142">
            <v>7949.03</v>
          </cell>
          <cell r="F142">
            <v>7949.03</v>
          </cell>
          <cell r="G142">
            <v>0</v>
          </cell>
          <cell r="H142">
            <v>0</v>
          </cell>
          <cell r="I142">
            <v>7949.03</v>
          </cell>
          <cell r="J142">
            <v>7949.03</v>
          </cell>
          <cell r="L142">
            <v>41739.58</v>
          </cell>
          <cell r="M142">
            <v>41739.58</v>
          </cell>
          <cell r="N142">
            <v>0</v>
          </cell>
          <cell r="O142">
            <v>0</v>
          </cell>
          <cell r="P142">
            <v>41739.58</v>
          </cell>
          <cell r="Q142">
            <v>41739.58</v>
          </cell>
          <cell r="S142">
            <v>0</v>
          </cell>
          <cell r="T142">
            <v>0</v>
          </cell>
          <cell r="V142">
            <v>0</v>
          </cell>
        </row>
        <row r="143">
          <cell r="C143">
            <v>643750</v>
          </cell>
          <cell r="D143" t="str">
            <v>M/Vehicle and 3rd Party Reg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1362.97</v>
          </cell>
          <cell r="M143">
            <v>1362.97</v>
          </cell>
          <cell r="N143">
            <v>0</v>
          </cell>
          <cell r="O143">
            <v>0</v>
          </cell>
          <cell r="P143">
            <v>1362.97</v>
          </cell>
          <cell r="Q143">
            <v>1362.97</v>
          </cell>
          <cell r="S143">
            <v>0</v>
          </cell>
          <cell r="T143">
            <v>0</v>
          </cell>
          <cell r="V143">
            <v>0</v>
          </cell>
        </row>
        <row r="144">
          <cell r="C144">
            <v>643755</v>
          </cell>
          <cell r="D144" t="str">
            <v>Vehicle Toll Expense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1324.56</v>
          </cell>
          <cell r="M144">
            <v>1324.56</v>
          </cell>
          <cell r="N144">
            <v>0</v>
          </cell>
          <cell r="O144">
            <v>0</v>
          </cell>
          <cell r="P144">
            <v>1324.56</v>
          </cell>
          <cell r="Q144">
            <v>1324.56</v>
          </cell>
          <cell r="S144">
            <v>0</v>
          </cell>
          <cell r="T144">
            <v>0</v>
          </cell>
          <cell r="V144">
            <v>0</v>
          </cell>
        </row>
        <row r="145">
          <cell r="C145">
            <v>643908</v>
          </cell>
          <cell r="D145" t="str">
            <v>Freight &amp; Courier Fees</v>
          </cell>
          <cell r="E145">
            <v>54.6</v>
          </cell>
          <cell r="F145">
            <v>54.6</v>
          </cell>
          <cell r="G145">
            <v>0</v>
          </cell>
          <cell r="H145">
            <v>0</v>
          </cell>
          <cell r="I145">
            <v>54.6</v>
          </cell>
          <cell r="J145">
            <v>54.6</v>
          </cell>
          <cell r="L145">
            <v>5322.83</v>
          </cell>
          <cell r="M145">
            <v>5322.83</v>
          </cell>
          <cell r="N145">
            <v>0</v>
          </cell>
          <cell r="O145">
            <v>0</v>
          </cell>
          <cell r="P145">
            <v>5322.83</v>
          </cell>
          <cell r="Q145">
            <v>5322.83</v>
          </cell>
          <cell r="S145">
            <v>0</v>
          </cell>
          <cell r="T145">
            <v>0</v>
          </cell>
          <cell r="V145">
            <v>0</v>
          </cell>
        </row>
        <row r="146">
          <cell r="C146">
            <v>643925</v>
          </cell>
          <cell r="D146" t="str">
            <v>Car Parking Permanent</v>
          </cell>
          <cell r="E146">
            <v>392.67</v>
          </cell>
          <cell r="F146">
            <v>392.67</v>
          </cell>
          <cell r="G146">
            <v>0</v>
          </cell>
          <cell r="H146">
            <v>0</v>
          </cell>
          <cell r="I146">
            <v>392.67</v>
          </cell>
          <cell r="J146">
            <v>392.67</v>
          </cell>
          <cell r="L146">
            <v>17734.72</v>
          </cell>
          <cell r="M146">
            <v>17734.72</v>
          </cell>
          <cell r="N146">
            <v>0</v>
          </cell>
          <cell r="O146">
            <v>0</v>
          </cell>
          <cell r="P146">
            <v>17734.72</v>
          </cell>
          <cell r="Q146">
            <v>17734.72</v>
          </cell>
          <cell r="S146">
            <v>0</v>
          </cell>
          <cell r="T146">
            <v>0</v>
          </cell>
          <cell r="V146">
            <v>0</v>
          </cell>
        </row>
        <row r="147">
          <cell r="C147">
            <v>643930</v>
          </cell>
          <cell r="D147" t="str">
            <v>Car Parking Non Permanent</v>
          </cell>
          <cell r="E147">
            <v>2104.8200000000002</v>
          </cell>
          <cell r="F147">
            <v>2104.8200000000002</v>
          </cell>
          <cell r="G147">
            <v>0</v>
          </cell>
          <cell r="H147">
            <v>0</v>
          </cell>
          <cell r="I147">
            <v>2104.8200000000002</v>
          </cell>
          <cell r="J147">
            <v>2104.8200000000002</v>
          </cell>
          <cell r="L147">
            <v>109240.28</v>
          </cell>
          <cell r="M147">
            <v>109240.28</v>
          </cell>
          <cell r="N147">
            <v>0</v>
          </cell>
          <cell r="O147">
            <v>0</v>
          </cell>
          <cell r="P147">
            <v>109240.28</v>
          </cell>
          <cell r="Q147">
            <v>109240.28</v>
          </cell>
          <cell r="S147">
            <v>0</v>
          </cell>
          <cell r="T147">
            <v>0</v>
          </cell>
          <cell r="V147">
            <v>0</v>
          </cell>
        </row>
        <row r="148">
          <cell r="C148">
            <v>643940</v>
          </cell>
          <cell r="D148" t="str">
            <v>Taxi Charges</v>
          </cell>
          <cell r="E148">
            <v>3396.19</v>
          </cell>
          <cell r="F148">
            <v>3396.19</v>
          </cell>
          <cell r="G148">
            <v>0</v>
          </cell>
          <cell r="H148">
            <v>0</v>
          </cell>
          <cell r="I148">
            <v>3396.19</v>
          </cell>
          <cell r="J148">
            <v>3396.19</v>
          </cell>
          <cell r="L148">
            <v>32758.48</v>
          </cell>
          <cell r="M148">
            <v>32758.48</v>
          </cell>
          <cell r="N148">
            <v>0</v>
          </cell>
          <cell r="O148">
            <v>0</v>
          </cell>
          <cell r="P148">
            <v>32758.48</v>
          </cell>
          <cell r="Q148">
            <v>32758.48</v>
          </cell>
          <cell r="S148">
            <v>0</v>
          </cell>
          <cell r="T148">
            <v>0</v>
          </cell>
          <cell r="V148">
            <v>0</v>
          </cell>
        </row>
        <row r="149">
          <cell r="C149">
            <v>643960</v>
          </cell>
          <cell r="D149" t="str">
            <v>Internal Plant/Veh/Asset Hire</v>
          </cell>
          <cell r="E149">
            <v>2235.12</v>
          </cell>
          <cell r="F149">
            <v>2235.12</v>
          </cell>
          <cell r="G149">
            <v>0</v>
          </cell>
          <cell r="H149">
            <v>0</v>
          </cell>
          <cell r="I149">
            <v>2235.12</v>
          </cell>
          <cell r="J149">
            <v>2235.12</v>
          </cell>
          <cell r="L149">
            <v>4023.12</v>
          </cell>
          <cell r="M149">
            <v>4023.12</v>
          </cell>
          <cell r="N149">
            <v>0</v>
          </cell>
          <cell r="O149">
            <v>0</v>
          </cell>
          <cell r="P149">
            <v>4023.12</v>
          </cell>
          <cell r="Q149">
            <v>4023.12</v>
          </cell>
          <cell r="S149">
            <v>0</v>
          </cell>
          <cell r="T149">
            <v>0</v>
          </cell>
          <cell r="V149">
            <v>0</v>
          </cell>
        </row>
        <row r="150">
          <cell r="C150" t="str">
            <v>Motor Vehicle &amp; Lease Exp</v>
          </cell>
          <cell r="E150">
            <v>59774.94</v>
          </cell>
          <cell r="F150">
            <v>59774.94</v>
          </cell>
          <cell r="G150">
            <v>26575</v>
          </cell>
          <cell r="H150">
            <v>26575</v>
          </cell>
          <cell r="I150">
            <v>33199.94</v>
          </cell>
          <cell r="J150">
            <v>33199.94</v>
          </cell>
          <cell r="L150">
            <v>882168.79</v>
          </cell>
          <cell r="M150">
            <v>882168.79</v>
          </cell>
          <cell r="N150">
            <v>318900</v>
          </cell>
          <cell r="O150">
            <v>318900</v>
          </cell>
          <cell r="P150">
            <v>563268.79</v>
          </cell>
          <cell r="Q150">
            <v>563268.79</v>
          </cell>
          <cell r="S150">
            <v>318900</v>
          </cell>
          <cell r="T150">
            <v>318900</v>
          </cell>
          <cell r="V150">
            <v>0</v>
          </cell>
        </row>
        <row r="152">
          <cell r="C152">
            <v>644070</v>
          </cell>
          <cell r="D152" t="str">
            <v>Bad Debts Expense</v>
          </cell>
          <cell r="E152">
            <v>0.64</v>
          </cell>
          <cell r="F152">
            <v>0.64</v>
          </cell>
          <cell r="G152">
            <v>0</v>
          </cell>
          <cell r="H152">
            <v>0</v>
          </cell>
          <cell r="I152">
            <v>0.64</v>
          </cell>
          <cell r="J152">
            <v>0.64</v>
          </cell>
          <cell r="L152">
            <v>197502.93</v>
          </cell>
          <cell r="M152">
            <v>197502.93</v>
          </cell>
          <cell r="N152">
            <v>0</v>
          </cell>
          <cell r="O152">
            <v>0</v>
          </cell>
          <cell r="P152">
            <v>197502.93</v>
          </cell>
          <cell r="Q152">
            <v>197502.93</v>
          </cell>
          <cell r="S152">
            <v>0</v>
          </cell>
          <cell r="T152">
            <v>0</v>
          </cell>
          <cell r="V152">
            <v>0</v>
          </cell>
        </row>
        <row r="153">
          <cell r="C153">
            <v>644080</v>
          </cell>
          <cell r="D153" t="str">
            <v>Doubtful Debts Expense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-395329.51</v>
          </cell>
          <cell r="M153">
            <v>-395329.51</v>
          </cell>
          <cell r="N153">
            <v>0</v>
          </cell>
          <cell r="O153">
            <v>0</v>
          </cell>
          <cell r="P153">
            <v>-395329.51</v>
          </cell>
          <cell r="Q153">
            <v>-395329.51</v>
          </cell>
          <cell r="S153">
            <v>0</v>
          </cell>
          <cell r="T153">
            <v>0</v>
          </cell>
          <cell r="V153">
            <v>0</v>
          </cell>
        </row>
        <row r="154">
          <cell r="C154" t="str">
            <v>Customer Expenses</v>
          </cell>
          <cell r="E154">
            <v>0.64</v>
          </cell>
          <cell r="F154">
            <v>0.64</v>
          </cell>
          <cell r="G154">
            <v>0</v>
          </cell>
          <cell r="H154">
            <v>0</v>
          </cell>
          <cell r="I154">
            <v>0.64</v>
          </cell>
          <cell r="J154">
            <v>0.64</v>
          </cell>
          <cell r="L154">
            <v>-197826.58</v>
          </cell>
          <cell r="M154">
            <v>-197826.58</v>
          </cell>
          <cell r="N154">
            <v>0</v>
          </cell>
          <cell r="O154">
            <v>0</v>
          </cell>
          <cell r="P154">
            <v>-197826.58</v>
          </cell>
          <cell r="Q154">
            <v>-197826.58</v>
          </cell>
          <cell r="S154">
            <v>0</v>
          </cell>
          <cell r="T154">
            <v>0</v>
          </cell>
          <cell r="V154">
            <v>0</v>
          </cell>
        </row>
        <row r="156">
          <cell r="C156">
            <v>645110</v>
          </cell>
          <cell r="D156" t="str">
            <v>General Computing</v>
          </cell>
          <cell r="E156">
            <v>1001.57</v>
          </cell>
          <cell r="F156">
            <v>1001.57</v>
          </cell>
          <cell r="G156">
            <v>12750</v>
          </cell>
          <cell r="H156">
            <v>12750</v>
          </cell>
          <cell r="I156">
            <v>-11748.43</v>
          </cell>
          <cell r="J156">
            <v>-11748.43</v>
          </cell>
          <cell r="L156">
            <v>13068.09</v>
          </cell>
          <cell r="M156">
            <v>13068.09</v>
          </cell>
          <cell r="N156">
            <v>153000</v>
          </cell>
          <cell r="O156">
            <v>153000</v>
          </cell>
          <cell r="P156">
            <v>-139931.91</v>
          </cell>
          <cell r="Q156">
            <v>-139931.91</v>
          </cell>
          <cell r="S156">
            <v>153000</v>
          </cell>
          <cell r="T156">
            <v>153000</v>
          </cell>
          <cell r="V156">
            <v>0</v>
          </cell>
        </row>
        <row r="157">
          <cell r="C157">
            <v>645150</v>
          </cell>
          <cell r="D157" t="str">
            <v>IT Licence Costs</v>
          </cell>
          <cell r="E157">
            <v>10367.76</v>
          </cell>
          <cell r="F157">
            <v>10367.76</v>
          </cell>
          <cell r="G157">
            <v>0</v>
          </cell>
          <cell r="H157">
            <v>0</v>
          </cell>
          <cell r="I157">
            <v>10367.76</v>
          </cell>
          <cell r="J157">
            <v>10367.76</v>
          </cell>
          <cell r="L157">
            <v>15721.88</v>
          </cell>
          <cell r="M157">
            <v>15721.88</v>
          </cell>
          <cell r="N157">
            <v>0</v>
          </cell>
          <cell r="O157">
            <v>0</v>
          </cell>
          <cell r="P157">
            <v>15721.88</v>
          </cell>
          <cell r="Q157">
            <v>15721.88</v>
          </cell>
          <cell r="S157">
            <v>0</v>
          </cell>
          <cell r="T157">
            <v>0</v>
          </cell>
          <cell r="V157">
            <v>0</v>
          </cell>
        </row>
        <row r="158">
          <cell r="C158">
            <v>645250</v>
          </cell>
          <cell r="D158" t="str">
            <v>Hardware</v>
          </cell>
          <cell r="E158">
            <v>45</v>
          </cell>
          <cell r="F158">
            <v>45</v>
          </cell>
          <cell r="G158">
            <v>0</v>
          </cell>
          <cell r="H158">
            <v>0</v>
          </cell>
          <cell r="I158">
            <v>45</v>
          </cell>
          <cell r="J158">
            <v>45</v>
          </cell>
          <cell r="L158">
            <v>9174.31</v>
          </cell>
          <cell r="M158">
            <v>9174.31</v>
          </cell>
          <cell r="N158">
            <v>0</v>
          </cell>
          <cell r="O158">
            <v>0</v>
          </cell>
          <cell r="P158">
            <v>9174.31</v>
          </cell>
          <cell r="Q158">
            <v>9174.31</v>
          </cell>
          <cell r="S158">
            <v>0</v>
          </cell>
          <cell r="T158">
            <v>0</v>
          </cell>
          <cell r="V158">
            <v>0</v>
          </cell>
        </row>
        <row r="159">
          <cell r="C159">
            <v>645300</v>
          </cell>
          <cell r="D159" t="str">
            <v>Data Networks Expense</v>
          </cell>
          <cell r="E159">
            <v>47594.75</v>
          </cell>
          <cell r="F159">
            <v>47594.75</v>
          </cell>
          <cell r="G159">
            <v>0</v>
          </cell>
          <cell r="H159">
            <v>0</v>
          </cell>
          <cell r="I159">
            <v>47594.75</v>
          </cell>
          <cell r="J159">
            <v>47594.75</v>
          </cell>
          <cell r="L159">
            <v>403085.33</v>
          </cell>
          <cell r="M159">
            <v>403085.33</v>
          </cell>
          <cell r="N159">
            <v>0</v>
          </cell>
          <cell r="O159">
            <v>0</v>
          </cell>
          <cell r="P159">
            <v>403085.33</v>
          </cell>
          <cell r="Q159">
            <v>403085.33</v>
          </cell>
          <cell r="S159">
            <v>0</v>
          </cell>
          <cell r="T159">
            <v>0</v>
          </cell>
          <cell r="V159">
            <v>0</v>
          </cell>
        </row>
        <row r="160">
          <cell r="C160">
            <v>645400</v>
          </cell>
          <cell r="D160" t="str">
            <v>PC Software and Upgrades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L160">
            <v>57305.16</v>
          </cell>
          <cell r="M160">
            <v>57305.16</v>
          </cell>
          <cell r="N160">
            <v>0</v>
          </cell>
          <cell r="O160">
            <v>0</v>
          </cell>
          <cell r="P160">
            <v>57305.16</v>
          </cell>
          <cell r="Q160">
            <v>57305.16</v>
          </cell>
          <cell r="S160">
            <v>0</v>
          </cell>
          <cell r="T160">
            <v>0</v>
          </cell>
          <cell r="V160">
            <v>0</v>
          </cell>
        </row>
        <row r="161">
          <cell r="C161" t="str">
            <v>Computing Expenses</v>
          </cell>
          <cell r="E161">
            <v>59009.08</v>
          </cell>
          <cell r="F161">
            <v>59009.08</v>
          </cell>
          <cell r="G161">
            <v>12750</v>
          </cell>
          <cell r="H161">
            <v>12750</v>
          </cell>
          <cell r="I161">
            <v>46259.08</v>
          </cell>
          <cell r="J161">
            <v>46259.08</v>
          </cell>
          <cell r="L161">
            <v>498354.77</v>
          </cell>
          <cell r="M161">
            <v>498354.77</v>
          </cell>
          <cell r="N161">
            <v>153000</v>
          </cell>
          <cell r="O161">
            <v>153000</v>
          </cell>
          <cell r="P161">
            <v>345354.77</v>
          </cell>
          <cell r="Q161">
            <v>345354.77</v>
          </cell>
          <cell r="S161">
            <v>153000</v>
          </cell>
          <cell r="T161">
            <v>153000</v>
          </cell>
          <cell r="V161">
            <v>0</v>
          </cell>
        </row>
        <row r="163">
          <cell r="C163">
            <v>646010</v>
          </cell>
          <cell r="D163" t="str">
            <v>Communications Charges</v>
          </cell>
          <cell r="E163">
            <v>33.35</v>
          </cell>
          <cell r="F163">
            <v>33.35</v>
          </cell>
          <cell r="G163">
            <v>0</v>
          </cell>
          <cell r="H163">
            <v>0</v>
          </cell>
          <cell r="I163">
            <v>33.35</v>
          </cell>
          <cell r="J163">
            <v>33.35</v>
          </cell>
          <cell r="L163">
            <v>9201.17</v>
          </cell>
          <cell r="M163">
            <v>9201.17</v>
          </cell>
          <cell r="N163">
            <v>0</v>
          </cell>
          <cell r="O163">
            <v>0</v>
          </cell>
          <cell r="P163">
            <v>9201.17</v>
          </cell>
          <cell r="Q163">
            <v>9201.17</v>
          </cell>
          <cell r="S163">
            <v>0</v>
          </cell>
          <cell r="T163">
            <v>0</v>
          </cell>
          <cell r="V163">
            <v>0</v>
          </cell>
        </row>
        <row r="164">
          <cell r="C164">
            <v>646050</v>
          </cell>
          <cell r="D164" t="str">
            <v>Internet Useage Expense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30.95</v>
          </cell>
          <cell r="M164">
            <v>30.95</v>
          </cell>
          <cell r="N164">
            <v>0</v>
          </cell>
          <cell r="O164">
            <v>0</v>
          </cell>
          <cell r="P164">
            <v>30.95</v>
          </cell>
          <cell r="Q164">
            <v>30.95</v>
          </cell>
          <cell r="S164">
            <v>0</v>
          </cell>
          <cell r="T164">
            <v>0</v>
          </cell>
          <cell r="V164">
            <v>0</v>
          </cell>
        </row>
        <row r="165">
          <cell r="C165">
            <v>646400</v>
          </cell>
          <cell r="D165" t="str">
            <v>Postal Charges</v>
          </cell>
          <cell r="E165">
            <v>1020.07</v>
          </cell>
          <cell r="F165">
            <v>1020.07</v>
          </cell>
          <cell r="G165">
            <v>0</v>
          </cell>
          <cell r="H165">
            <v>0</v>
          </cell>
          <cell r="I165">
            <v>1020.07</v>
          </cell>
          <cell r="J165">
            <v>1020.07</v>
          </cell>
          <cell r="L165">
            <v>3436.44</v>
          </cell>
          <cell r="M165">
            <v>3436.44</v>
          </cell>
          <cell r="N165">
            <v>0</v>
          </cell>
          <cell r="O165">
            <v>0</v>
          </cell>
          <cell r="P165">
            <v>3436.44</v>
          </cell>
          <cell r="Q165">
            <v>3436.44</v>
          </cell>
          <cell r="S165">
            <v>0</v>
          </cell>
          <cell r="T165">
            <v>0</v>
          </cell>
          <cell r="V165">
            <v>0</v>
          </cell>
        </row>
        <row r="166">
          <cell r="C166">
            <v>646500</v>
          </cell>
          <cell r="D166" t="str">
            <v>Telephones, Mobiles &amp; Pagers</v>
          </cell>
          <cell r="E166">
            <v>6037.81</v>
          </cell>
          <cell r="F166">
            <v>6037.81</v>
          </cell>
          <cell r="G166">
            <v>15375</v>
          </cell>
          <cell r="H166">
            <v>15375</v>
          </cell>
          <cell r="I166">
            <v>-9337.1899999999987</v>
          </cell>
          <cell r="J166">
            <v>-9337.1899999999987</v>
          </cell>
          <cell r="L166">
            <v>134965.48000000001</v>
          </cell>
          <cell r="M166">
            <v>134965.48000000001</v>
          </cell>
          <cell r="N166">
            <v>184500</v>
          </cell>
          <cell r="O166">
            <v>184500</v>
          </cell>
          <cell r="P166">
            <v>-49534.51999999999</v>
          </cell>
          <cell r="Q166">
            <v>-49534.51999999999</v>
          </cell>
          <cell r="S166">
            <v>184500</v>
          </cell>
          <cell r="T166">
            <v>184500</v>
          </cell>
          <cell r="V166">
            <v>0</v>
          </cell>
        </row>
        <row r="167">
          <cell r="C167" t="str">
            <v>Communications Expenditure</v>
          </cell>
          <cell r="E167">
            <v>7091.23</v>
          </cell>
          <cell r="F167">
            <v>7091.23</v>
          </cell>
          <cell r="G167">
            <v>15375</v>
          </cell>
          <cell r="H167">
            <v>15375</v>
          </cell>
          <cell r="I167">
            <v>-8283.77</v>
          </cell>
          <cell r="J167">
            <v>-8283.77</v>
          </cell>
          <cell r="L167">
            <v>147634.04</v>
          </cell>
          <cell r="M167">
            <v>147634.04</v>
          </cell>
          <cell r="N167">
            <v>184500</v>
          </cell>
          <cell r="O167">
            <v>184500</v>
          </cell>
          <cell r="P167">
            <v>-36865.959999999992</v>
          </cell>
          <cell r="Q167">
            <v>-36865.959999999992</v>
          </cell>
          <cell r="S167">
            <v>184500</v>
          </cell>
          <cell r="T167">
            <v>184500</v>
          </cell>
          <cell r="V167">
            <v>0</v>
          </cell>
        </row>
        <row r="169">
          <cell r="C169">
            <v>647100</v>
          </cell>
          <cell r="D169" t="str">
            <v>Hot Water Marketing Rebates</v>
          </cell>
          <cell r="E169">
            <v>0</v>
          </cell>
          <cell r="F169">
            <v>0</v>
          </cell>
          <cell r="G169">
            <v>1083</v>
          </cell>
          <cell r="H169">
            <v>1083</v>
          </cell>
          <cell r="I169">
            <v>-1083</v>
          </cell>
          <cell r="J169">
            <v>-1083</v>
          </cell>
          <cell r="L169">
            <v>0</v>
          </cell>
          <cell r="M169">
            <v>0</v>
          </cell>
          <cell r="N169">
            <v>12996</v>
          </cell>
          <cell r="O169">
            <v>12996</v>
          </cell>
          <cell r="P169">
            <v>-12996</v>
          </cell>
          <cell r="Q169">
            <v>-12996</v>
          </cell>
          <cell r="S169">
            <v>12996</v>
          </cell>
          <cell r="T169">
            <v>12996</v>
          </cell>
          <cell r="V169">
            <v>0</v>
          </cell>
        </row>
        <row r="170">
          <cell r="C170">
            <v>647200</v>
          </cell>
          <cell r="D170" t="str">
            <v>Advertising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L170">
            <v>62602.22</v>
          </cell>
          <cell r="M170">
            <v>62602.22</v>
          </cell>
          <cell r="N170">
            <v>0</v>
          </cell>
          <cell r="O170">
            <v>0</v>
          </cell>
          <cell r="P170">
            <v>62602.22</v>
          </cell>
          <cell r="Q170">
            <v>62602.22</v>
          </cell>
          <cell r="S170">
            <v>0</v>
          </cell>
          <cell r="T170">
            <v>0</v>
          </cell>
          <cell r="V170">
            <v>0</v>
          </cell>
        </row>
        <row r="171">
          <cell r="C171">
            <v>647400</v>
          </cell>
          <cell r="D171" t="str">
            <v>Photographic Expenditure</v>
          </cell>
          <cell r="E171">
            <v>20.7</v>
          </cell>
          <cell r="F171">
            <v>20.7</v>
          </cell>
          <cell r="G171">
            <v>0</v>
          </cell>
          <cell r="H171">
            <v>0</v>
          </cell>
          <cell r="I171">
            <v>20.7</v>
          </cell>
          <cell r="J171">
            <v>20.7</v>
          </cell>
          <cell r="L171">
            <v>103.45</v>
          </cell>
          <cell r="M171">
            <v>103.45</v>
          </cell>
          <cell r="N171">
            <v>0</v>
          </cell>
          <cell r="O171">
            <v>0</v>
          </cell>
          <cell r="P171">
            <v>103.45</v>
          </cell>
          <cell r="Q171">
            <v>103.45</v>
          </cell>
          <cell r="S171">
            <v>0</v>
          </cell>
          <cell r="T171">
            <v>0</v>
          </cell>
          <cell r="V171">
            <v>0</v>
          </cell>
        </row>
        <row r="172">
          <cell r="C172">
            <v>647600</v>
          </cell>
          <cell r="D172" t="str">
            <v>Promotional Products</v>
          </cell>
          <cell r="E172">
            <v>3293.42</v>
          </cell>
          <cell r="F172">
            <v>3293.42</v>
          </cell>
          <cell r="G172">
            <v>0</v>
          </cell>
          <cell r="H172">
            <v>0</v>
          </cell>
          <cell r="I172">
            <v>3293.42</v>
          </cell>
          <cell r="J172">
            <v>3293.42</v>
          </cell>
          <cell r="L172">
            <v>3388.78</v>
          </cell>
          <cell r="M172">
            <v>3388.78</v>
          </cell>
          <cell r="N172">
            <v>0</v>
          </cell>
          <cell r="O172">
            <v>0</v>
          </cell>
          <cell r="P172">
            <v>3388.78</v>
          </cell>
          <cell r="Q172">
            <v>3388.78</v>
          </cell>
          <cell r="S172">
            <v>0</v>
          </cell>
          <cell r="T172">
            <v>0</v>
          </cell>
          <cell r="V172">
            <v>0</v>
          </cell>
        </row>
        <row r="173">
          <cell r="C173" t="str">
            <v>Marketing Expenses</v>
          </cell>
          <cell r="E173">
            <v>3314.12</v>
          </cell>
          <cell r="F173">
            <v>3314.12</v>
          </cell>
          <cell r="G173">
            <v>1083</v>
          </cell>
          <cell r="H173">
            <v>1083</v>
          </cell>
          <cell r="I173">
            <v>2231.12</v>
          </cell>
          <cell r="J173">
            <v>2231.12</v>
          </cell>
          <cell r="L173">
            <v>66094.45</v>
          </cell>
          <cell r="M173">
            <v>66094.45</v>
          </cell>
          <cell r="N173">
            <v>12996</v>
          </cell>
          <cell r="O173">
            <v>12996</v>
          </cell>
          <cell r="P173">
            <v>53098.45</v>
          </cell>
          <cell r="Q173">
            <v>53098.45</v>
          </cell>
          <cell r="S173">
            <v>12996</v>
          </cell>
          <cell r="T173">
            <v>12996</v>
          </cell>
          <cell r="V173">
            <v>0</v>
          </cell>
        </row>
        <row r="175">
          <cell r="C175">
            <v>648030</v>
          </cell>
          <cell r="D175" t="str">
            <v>Bank Fees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L175">
            <v>312639.02</v>
          </cell>
          <cell r="M175">
            <v>312639.02</v>
          </cell>
          <cell r="N175">
            <v>0</v>
          </cell>
          <cell r="O175">
            <v>0</v>
          </cell>
          <cell r="P175">
            <v>312639.02</v>
          </cell>
          <cell r="Q175">
            <v>312639.02</v>
          </cell>
          <cell r="S175">
            <v>0</v>
          </cell>
          <cell r="T175">
            <v>0</v>
          </cell>
          <cell r="V175">
            <v>0</v>
          </cell>
        </row>
        <row r="176">
          <cell r="C176">
            <v>648100</v>
          </cell>
          <cell r="D176" t="str">
            <v>Fringe Benefits Tax</v>
          </cell>
          <cell r="E176">
            <v>2560.0100000000002</v>
          </cell>
          <cell r="F176">
            <v>2560.0100000000002</v>
          </cell>
          <cell r="G176">
            <v>0</v>
          </cell>
          <cell r="H176">
            <v>0</v>
          </cell>
          <cell r="I176">
            <v>2560.0100000000002</v>
          </cell>
          <cell r="J176">
            <v>2560.0100000000002</v>
          </cell>
          <cell r="L176">
            <v>23205.439999999999</v>
          </cell>
          <cell r="M176">
            <v>23205.439999999999</v>
          </cell>
          <cell r="N176">
            <v>0</v>
          </cell>
          <cell r="O176">
            <v>0</v>
          </cell>
          <cell r="P176">
            <v>23205.439999999999</v>
          </cell>
          <cell r="Q176">
            <v>23205.439999999999</v>
          </cell>
          <cell r="S176">
            <v>0</v>
          </cell>
          <cell r="T176">
            <v>0</v>
          </cell>
          <cell r="V176">
            <v>0</v>
          </cell>
        </row>
        <row r="177">
          <cell r="C177">
            <v>648230</v>
          </cell>
          <cell r="D177" t="str">
            <v>Elec Expense</v>
          </cell>
          <cell r="E177">
            <v>0</v>
          </cell>
          <cell r="F177">
            <v>0</v>
          </cell>
          <cell r="G177">
            <v>18570</v>
          </cell>
          <cell r="H177">
            <v>18570</v>
          </cell>
          <cell r="I177">
            <v>-18570</v>
          </cell>
          <cell r="J177">
            <v>-18570</v>
          </cell>
          <cell r="L177">
            <v>18622</v>
          </cell>
          <cell r="M177">
            <v>18622</v>
          </cell>
          <cell r="N177">
            <v>222840</v>
          </cell>
          <cell r="O177">
            <v>222840</v>
          </cell>
          <cell r="P177">
            <v>-204218</v>
          </cell>
          <cell r="Q177">
            <v>-204218</v>
          </cell>
          <cell r="S177">
            <v>222840</v>
          </cell>
          <cell r="T177">
            <v>222840</v>
          </cell>
          <cell r="V177">
            <v>0</v>
          </cell>
        </row>
        <row r="178">
          <cell r="C178">
            <v>648300</v>
          </cell>
          <cell r="D178" t="str">
            <v>Stamp Duty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96122</v>
          </cell>
          <cell r="M178">
            <v>96122</v>
          </cell>
          <cell r="N178">
            <v>0</v>
          </cell>
          <cell r="O178">
            <v>0</v>
          </cell>
          <cell r="P178">
            <v>96122</v>
          </cell>
          <cell r="Q178">
            <v>96122</v>
          </cell>
          <cell r="S178">
            <v>0</v>
          </cell>
          <cell r="T178">
            <v>0</v>
          </cell>
          <cell r="V178">
            <v>0</v>
          </cell>
        </row>
        <row r="179">
          <cell r="C179" t="str">
            <v>Rates Taxes Licences &amp; Charges</v>
          </cell>
          <cell r="E179">
            <v>2560.0100000000002</v>
          </cell>
          <cell r="F179">
            <v>2560.0100000000002</v>
          </cell>
          <cell r="G179">
            <v>18570</v>
          </cell>
          <cell r="H179">
            <v>18570</v>
          </cell>
          <cell r="I179">
            <v>-16009.99</v>
          </cell>
          <cell r="J179">
            <v>-16009.99</v>
          </cell>
          <cell r="L179">
            <v>450588.46</v>
          </cell>
          <cell r="M179">
            <v>450588.46</v>
          </cell>
          <cell r="N179">
            <v>222840</v>
          </cell>
          <cell r="O179">
            <v>222840</v>
          </cell>
          <cell r="P179">
            <v>227748.46000000002</v>
          </cell>
          <cell r="Q179">
            <v>227748.46000000002</v>
          </cell>
          <cell r="S179">
            <v>222840</v>
          </cell>
          <cell r="T179">
            <v>222840</v>
          </cell>
          <cell r="V179">
            <v>0</v>
          </cell>
        </row>
        <row r="181">
          <cell r="C181" t="str">
            <v>Financial Adjustments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0</v>
          </cell>
          <cell r="T181">
            <v>0</v>
          </cell>
          <cell r="V181">
            <v>0</v>
          </cell>
        </row>
        <row r="183">
          <cell r="C183">
            <v>659000</v>
          </cell>
          <cell r="D183" t="str">
            <v>Miscellaneous General</v>
          </cell>
          <cell r="E183">
            <v>13026.13</v>
          </cell>
          <cell r="F183">
            <v>13026.13</v>
          </cell>
          <cell r="G183">
            <v>84450</v>
          </cell>
          <cell r="H183">
            <v>84450</v>
          </cell>
          <cell r="I183">
            <v>-71423.87</v>
          </cell>
          <cell r="J183">
            <v>-71423.87</v>
          </cell>
          <cell r="L183">
            <v>64589.8</v>
          </cell>
          <cell r="M183">
            <v>64589.8</v>
          </cell>
          <cell r="N183">
            <v>1013400</v>
          </cell>
          <cell r="O183">
            <v>1013400</v>
          </cell>
          <cell r="P183">
            <v>-948810.2</v>
          </cell>
          <cell r="Q183">
            <v>-948810.2</v>
          </cell>
          <cell r="S183">
            <v>1013400</v>
          </cell>
          <cell r="T183">
            <v>1013400</v>
          </cell>
          <cell r="V183">
            <v>0</v>
          </cell>
        </row>
        <row r="184">
          <cell r="C184">
            <v>659005</v>
          </cell>
          <cell r="D184" t="str">
            <v>Awards Safety, Long Service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718.9</v>
          </cell>
          <cell r="M184">
            <v>718.9</v>
          </cell>
          <cell r="N184">
            <v>0</v>
          </cell>
          <cell r="O184">
            <v>0</v>
          </cell>
          <cell r="P184">
            <v>718.9</v>
          </cell>
          <cell r="Q184">
            <v>718.9</v>
          </cell>
          <cell r="S184">
            <v>0</v>
          </cell>
          <cell r="T184">
            <v>0</v>
          </cell>
          <cell r="V184">
            <v>0</v>
          </cell>
        </row>
        <row r="185">
          <cell r="C185">
            <v>659008</v>
          </cell>
          <cell r="D185" t="str">
            <v>Employee Assistance Programs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L185">
            <v>3000</v>
          </cell>
          <cell r="M185">
            <v>3000</v>
          </cell>
          <cell r="N185">
            <v>0</v>
          </cell>
          <cell r="O185">
            <v>0</v>
          </cell>
          <cell r="P185">
            <v>3000</v>
          </cell>
          <cell r="Q185">
            <v>3000</v>
          </cell>
          <cell r="S185">
            <v>0</v>
          </cell>
          <cell r="T185">
            <v>0</v>
          </cell>
          <cell r="V185">
            <v>0</v>
          </cell>
        </row>
        <row r="186">
          <cell r="C186">
            <v>659010</v>
          </cell>
          <cell r="D186" t="str">
            <v>Light Meals On Premises/Site</v>
          </cell>
          <cell r="E186">
            <v>1323.82</v>
          </cell>
          <cell r="F186">
            <v>1323.82</v>
          </cell>
          <cell r="G186">
            <v>0</v>
          </cell>
          <cell r="H186">
            <v>0</v>
          </cell>
          <cell r="I186">
            <v>1323.82</v>
          </cell>
          <cell r="J186">
            <v>1323.82</v>
          </cell>
          <cell r="L186">
            <v>27679.4</v>
          </cell>
          <cell r="M186">
            <v>27679.4</v>
          </cell>
          <cell r="N186">
            <v>0</v>
          </cell>
          <cell r="O186">
            <v>0</v>
          </cell>
          <cell r="P186">
            <v>27679.4</v>
          </cell>
          <cell r="Q186">
            <v>27679.4</v>
          </cell>
          <cell r="S186">
            <v>0</v>
          </cell>
          <cell r="T186">
            <v>0</v>
          </cell>
          <cell r="V186">
            <v>0</v>
          </cell>
        </row>
        <row r="187">
          <cell r="C187">
            <v>659015</v>
          </cell>
          <cell r="D187" t="str">
            <v>Entertainment FBT</v>
          </cell>
          <cell r="E187">
            <v>3855.87</v>
          </cell>
          <cell r="F187">
            <v>3855.87</v>
          </cell>
          <cell r="G187">
            <v>0</v>
          </cell>
          <cell r="H187">
            <v>0</v>
          </cell>
          <cell r="I187">
            <v>3855.87</v>
          </cell>
          <cell r="J187">
            <v>3855.87</v>
          </cell>
          <cell r="L187">
            <v>82259.02</v>
          </cell>
          <cell r="M187">
            <v>82259.02</v>
          </cell>
          <cell r="N187">
            <v>0</v>
          </cell>
          <cell r="O187">
            <v>0</v>
          </cell>
          <cell r="P187">
            <v>82259.02</v>
          </cell>
          <cell r="Q187">
            <v>82259.02</v>
          </cell>
          <cell r="S187">
            <v>0</v>
          </cell>
          <cell r="T187">
            <v>0</v>
          </cell>
          <cell r="V187">
            <v>0</v>
          </cell>
        </row>
        <row r="188">
          <cell r="C188">
            <v>659017</v>
          </cell>
          <cell r="D188" t="str">
            <v>Entertainment Non FBT</v>
          </cell>
          <cell r="E188">
            <v>6416.1</v>
          </cell>
          <cell r="F188">
            <v>6416.1</v>
          </cell>
          <cell r="G188">
            <v>0</v>
          </cell>
          <cell r="H188">
            <v>0</v>
          </cell>
          <cell r="I188">
            <v>6416.1</v>
          </cell>
          <cell r="J188">
            <v>6416.1</v>
          </cell>
          <cell r="L188">
            <v>77163.53</v>
          </cell>
          <cell r="M188">
            <v>77163.53</v>
          </cell>
          <cell r="N188">
            <v>0</v>
          </cell>
          <cell r="O188">
            <v>0</v>
          </cell>
          <cell r="P188">
            <v>77163.53</v>
          </cell>
          <cell r="Q188">
            <v>77163.53</v>
          </cell>
          <cell r="S188">
            <v>0</v>
          </cell>
          <cell r="T188">
            <v>0</v>
          </cell>
          <cell r="V188">
            <v>0</v>
          </cell>
        </row>
        <row r="189">
          <cell r="C189">
            <v>659020</v>
          </cell>
          <cell r="D189" t="str">
            <v>Subscriptions Tax Deductible</v>
          </cell>
          <cell r="E189">
            <v>11212.4</v>
          </cell>
          <cell r="F189">
            <v>11212.4</v>
          </cell>
          <cell r="G189">
            <v>0</v>
          </cell>
          <cell r="H189">
            <v>0</v>
          </cell>
          <cell r="I189">
            <v>11212.4</v>
          </cell>
          <cell r="J189">
            <v>11212.4</v>
          </cell>
          <cell r="L189">
            <v>87788.01</v>
          </cell>
          <cell r="M189">
            <v>87788.01</v>
          </cell>
          <cell r="N189">
            <v>0</v>
          </cell>
          <cell r="O189">
            <v>0</v>
          </cell>
          <cell r="P189">
            <v>87788.01</v>
          </cell>
          <cell r="Q189">
            <v>87788.01</v>
          </cell>
          <cell r="S189">
            <v>0</v>
          </cell>
          <cell r="T189">
            <v>0</v>
          </cell>
          <cell r="V189">
            <v>0</v>
          </cell>
        </row>
        <row r="190">
          <cell r="C190">
            <v>659025</v>
          </cell>
          <cell r="D190" t="str">
            <v>Subscrip - Newspapers/Magazine</v>
          </cell>
          <cell r="E190">
            <v>279.2</v>
          </cell>
          <cell r="F190">
            <v>279.2</v>
          </cell>
          <cell r="G190">
            <v>0</v>
          </cell>
          <cell r="H190">
            <v>0</v>
          </cell>
          <cell r="I190">
            <v>279.2</v>
          </cell>
          <cell r="J190">
            <v>279.2</v>
          </cell>
          <cell r="L190">
            <v>11995.44</v>
          </cell>
          <cell r="M190">
            <v>11995.44</v>
          </cell>
          <cell r="N190">
            <v>0</v>
          </cell>
          <cell r="O190">
            <v>0</v>
          </cell>
          <cell r="P190">
            <v>11995.44</v>
          </cell>
          <cell r="Q190">
            <v>11995.44</v>
          </cell>
          <cell r="S190">
            <v>0</v>
          </cell>
          <cell r="T190">
            <v>0</v>
          </cell>
          <cell r="V190">
            <v>0</v>
          </cell>
        </row>
        <row r="191">
          <cell r="C191">
            <v>659032</v>
          </cell>
          <cell r="D191" t="str">
            <v>Sponsorship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L191">
            <v>3272.73</v>
          </cell>
          <cell r="M191">
            <v>3272.73</v>
          </cell>
          <cell r="N191">
            <v>0</v>
          </cell>
          <cell r="O191">
            <v>0</v>
          </cell>
          <cell r="P191">
            <v>3272.73</v>
          </cell>
          <cell r="Q191">
            <v>3272.73</v>
          </cell>
          <cell r="S191">
            <v>0</v>
          </cell>
          <cell r="T191">
            <v>0</v>
          </cell>
          <cell r="V191">
            <v>0</v>
          </cell>
        </row>
        <row r="192">
          <cell r="C192">
            <v>659060</v>
          </cell>
          <cell r="D192" t="str">
            <v>Donations Tax Deductible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864.14</v>
          </cell>
          <cell r="M192">
            <v>864.14</v>
          </cell>
          <cell r="N192">
            <v>0</v>
          </cell>
          <cell r="O192">
            <v>0</v>
          </cell>
          <cell r="P192">
            <v>864.14</v>
          </cell>
          <cell r="Q192">
            <v>864.14</v>
          </cell>
          <cell r="S192">
            <v>0</v>
          </cell>
          <cell r="T192">
            <v>0</v>
          </cell>
          <cell r="V192">
            <v>0</v>
          </cell>
        </row>
        <row r="193">
          <cell r="C193">
            <v>659070</v>
          </cell>
          <cell r="D193" t="str">
            <v>Employee Relocation Expense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14922.94</v>
          </cell>
          <cell r="M193">
            <v>14922.94</v>
          </cell>
          <cell r="N193">
            <v>0</v>
          </cell>
          <cell r="O193">
            <v>0</v>
          </cell>
          <cell r="P193">
            <v>14922.94</v>
          </cell>
          <cell r="Q193">
            <v>14922.94</v>
          </cell>
          <cell r="S193">
            <v>0</v>
          </cell>
          <cell r="T193">
            <v>0</v>
          </cell>
          <cell r="V193">
            <v>0</v>
          </cell>
        </row>
        <row r="194">
          <cell r="C194">
            <v>659080</v>
          </cell>
          <cell r="D194" t="str">
            <v>Expense Reimbt FBT</v>
          </cell>
          <cell r="E194">
            <v>1827.27</v>
          </cell>
          <cell r="F194">
            <v>1827.27</v>
          </cell>
          <cell r="G194">
            <v>0</v>
          </cell>
          <cell r="H194">
            <v>0</v>
          </cell>
          <cell r="I194">
            <v>1827.27</v>
          </cell>
          <cell r="J194">
            <v>1827.27</v>
          </cell>
          <cell r="L194">
            <v>7017.63</v>
          </cell>
          <cell r="M194">
            <v>7017.63</v>
          </cell>
          <cell r="N194">
            <v>0</v>
          </cell>
          <cell r="O194">
            <v>0</v>
          </cell>
          <cell r="P194">
            <v>7017.63</v>
          </cell>
          <cell r="Q194">
            <v>7017.63</v>
          </cell>
          <cell r="S194">
            <v>0</v>
          </cell>
          <cell r="T194">
            <v>0</v>
          </cell>
          <cell r="V194">
            <v>0</v>
          </cell>
        </row>
        <row r="195">
          <cell r="C195">
            <v>659082</v>
          </cell>
          <cell r="D195" t="str">
            <v>Expense Reimbt Non FBT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L195">
            <v>771.1</v>
          </cell>
          <cell r="M195">
            <v>771.1</v>
          </cell>
          <cell r="N195">
            <v>0</v>
          </cell>
          <cell r="O195">
            <v>0</v>
          </cell>
          <cell r="P195">
            <v>771.1</v>
          </cell>
          <cell r="Q195">
            <v>771.1</v>
          </cell>
          <cell r="S195">
            <v>0</v>
          </cell>
          <cell r="T195">
            <v>0</v>
          </cell>
          <cell r="V195">
            <v>0</v>
          </cell>
        </row>
        <row r="196">
          <cell r="C196">
            <v>659105</v>
          </cell>
          <cell r="D196" t="str">
            <v>Training Courses</v>
          </cell>
          <cell r="E196">
            <v>117985.25</v>
          </cell>
          <cell r="F196">
            <v>117985.25</v>
          </cell>
          <cell r="G196">
            <v>0</v>
          </cell>
          <cell r="H196">
            <v>0</v>
          </cell>
          <cell r="I196">
            <v>117985.25</v>
          </cell>
          <cell r="J196">
            <v>117985.25</v>
          </cell>
          <cell r="L196">
            <v>376013.17</v>
          </cell>
          <cell r="M196">
            <v>376013.17</v>
          </cell>
          <cell r="N196">
            <v>0</v>
          </cell>
          <cell r="O196">
            <v>0</v>
          </cell>
          <cell r="P196">
            <v>376013.17</v>
          </cell>
          <cell r="Q196">
            <v>376013.17</v>
          </cell>
          <cell r="S196">
            <v>0</v>
          </cell>
          <cell r="T196">
            <v>0</v>
          </cell>
          <cell r="V196">
            <v>0</v>
          </cell>
        </row>
        <row r="197">
          <cell r="C197">
            <v>659110</v>
          </cell>
          <cell r="D197" t="str">
            <v>External Seminars &amp;Conferences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1962.33</v>
          </cell>
          <cell r="M197">
            <v>1962.33</v>
          </cell>
          <cell r="N197">
            <v>0</v>
          </cell>
          <cell r="O197">
            <v>0</v>
          </cell>
          <cell r="P197">
            <v>1962.33</v>
          </cell>
          <cell r="Q197">
            <v>1962.33</v>
          </cell>
          <cell r="S197">
            <v>0</v>
          </cell>
          <cell r="T197">
            <v>0</v>
          </cell>
          <cell r="V197">
            <v>0</v>
          </cell>
        </row>
        <row r="198">
          <cell r="C198">
            <v>659320</v>
          </cell>
          <cell r="D198" t="str">
            <v>Overseas Travel (-Spouse)</v>
          </cell>
          <cell r="E198">
            <v>20050.93</v>
          </cell>
          <cell r="F198">
            <v>20050.93</v>
          </cell>
          <cell r="G198">
            <v>0</v>
          </cell>
          <cell r="H198">
            <v>0</v>
          </cell>
          <cell r="I198">
            <v>20050.93</v>
          </cell>
          <cell r="J198">
            <v>20050.93</v>
          </cell>
          <cell r="L198">
            <v>44860.78</v>
          </cell>
          <cell r="M198">
            <v>44860.78</v>
          </cell>
          <cell r="N198">
            <v>0</v>
          </cell>
          <cell r="O198">
            <v>0</v>
          </cell>
          <cell r="P198">
            <v>44860.78</v>
          </cell>
          <cell r="Q198">
            <v>44860.78</v>
          </cell>
          <cell r="S198">
            <v>0</v>
          </cell>
          <cell r="T198">
            <v>0</v>
          </cell>
          <cell r="V198">
            <v>0</v>
          </cell>
        </row>
        <row r="199">
          <cell r="C199">
            <v>659322</v>
          </cell>
          <cell r="D199" t="str">
            <v>Domestic Travel (-Spouse)</v>
          </cell>
          <cell r="E199">
            <v>5408.12</v>
          </cell>
          <cell r="F199">
            <v>5408.12</v>
          </cell>
          <cell r="G199">
            <v>0</v>
          </cell>
          <cell r="H199">
            <v>0</v>
          </cell>
          <cell r="I199">
            <v>5408.12</v>
          </cell>
          <cell r="J199">
            <v>5408.12</v>
          </cell>
          <cell r="L199">
            <v>286860.76</v>
          </cell>
          <cell r="M199">
            <v>286860.76</v>
          </cell>
          <cell r="N199">
            <v>0</v>
          </cell>
          <cell r="O199">
            <v>0</v>
          </cell>
          <cell r="P199">
            <v>286860.76</v>
          </cell>
          <cell r="Q199">
            <v>286860.76</v>
          </cell>
          <cell r="S199">
            <v>0</v>
          </cell>
          <cell r="T199">
            <v>0</v>
          </cell>
          <cell r="V199">
            <v>0</v>
          </cell>
        </row>
        <row r="200">
          <cell r="C200">
            <v>659330</v>
          </cell>
          <cell r="D200" t="str">
            <v>Overseas Accom (-Spouse)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L200">
            <v>52332.35</v>
          </cell>
          <cell r="M200">
            <v>52332.35</v>
          </cell>
          <cell r="N200">
            <v>0</v>
          </cell>
          <cell r="O200">
            <v>0</v>
          </cell>
          <cell r="P200">
            <v>52332.35</v>
          </cell>
          <cell r="Q200">
            <v>52332.35</v>
          </cell>
          <cell r="S200">
            <v>0</v>
          </cell>
          <cell r="T200">
            <v>0</v>
          </cell>
          <cell r="V200">
            <v>0</v>
          </cell>
        </row>
        <row r="201">
          <cell r="C201">
            <v>659332</v>
          </cell>
          <cell r="D201" t="str">
            <v>Domestic Accom (-Spouse)</v>
          </cell>
          <cell r="E201">
            <v>8469.07</v>
          </cell>
          <cell r="F201">
            <v>8469.07</v>
          </cell>
          <cell r="G201">
            <v>0</v>
          </cell>
          <cell r="H201">
            <v>0</v>
          </cell>
          <cell r="I201">
            <v>8469.07</v>
          </cell>
          <cell r="J201">
            <v>8469.07</v>
          </cell>
          <cell r="L201">
            <v>60689.57</v>
          </cell>
          <cell r="M201">
            <v>60689.57</v>
          </cell>
          <cell r="N201">
            <v>0</v>
          </cell>
          <cell r="O201">
            <v>0</v>
          </cell>
          <cell r="P201">
            <v>60689.57</v>
          </cell>
          <cell r="Q201">
            <v>60689.57</v>
          </cell>
          <cell r="S201">
            <v>0</v>
          </cell>
          <cell r="T201">
            <v>0</v>
          </cell>
          <cell r="V201">
            <v>0</v>
          </cell>
        </row>
        <row r="202">
          <cell r="C202">
            <v>659333</v>
          </cell>
          <cell r="D202" t="str">
            <v>Domestic Accom (+Spouse)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L202">
            <v>1317.27</v>
          </cell>
          <cell r="M202">
            <v>1317.27</v>
          </cell>
          <cell r="N202">
            <v>0</v>
          </cell>
          <cell r="O202">
            <v>0</v>
          </cell>
          <cell r="P202">
            <v>1317.27</v>
          </cell>
          <cell r="Q202">
            <v>1317.27</v>
          </cell>
          <cell r="S202">
            <v>0</v>
          </cell>
          <cell r="T202">
            <v>0</v>
          </cell>
          <cell r="V202">
            <v>0</v>
          </cell>
        </row>
        <row r="203">
          <cell r="C203" t="str">
            <v>Employee &amp; Misc Expenses</v>
          </cell>
          <cell r="E203">
            <v>189854.16</v>
          </cell>
          <cell r="F203">
            <v>189854.16</v>
          </cell>
          <cell r="G203">
            <v>84450</v>
          </cell>
          <cell r="H203">
            <v>84450</v>
          </cell>
          <cell r="I203">
            <v>105404.16</v>
          </cell>
          <cell r="J203">
            <v>105404.16</v>
          </cell>
          <cell r="L203">
            <v>1206078.8700000001</v>
          </cell>
          <cell r="M203">
            <v>1206078.8700000001</v>
          </cell>
          <cell r="N203">
            <v>1013400</v>
          </cell>
          <cell r="O203">
            <v>1013400</v>
          </cell>
          <cell r="P203">
            <v>192678.87000000011</v>
          </cell>
          <cell r="Q203">
            <v>192678.87000000011</v>
          </cell>
          <cell r="S203">
            <v>1013400</v>
          </cell>
          <cell r="T203">
            <v>1013400</v>
          </cell>
          <cell r="V203">
            <v>0</v>
          </cell>
        </row>
        <row r="205">
          <cell r="C205" t="str">
            <v>Total Contracts &amp; Miscellaneous</v>
          </cell>
          <cell r="E205">
            <v>6975726.1000000006</v>
          </cell>
          <cell r="F205">
            <v>6975726.1000000006</v>
          </cell>
          <cell r="G205">
            <v>5274903</v>
          </cell>
          <cell r="H205">
            <v>5274903</v>
          </cell>
          <cell r="I205">
            <v>1700823.0999999999</v>
          </cell>
          <cell r="J205">
            <v>1700823.0999999999</v>
          </cell>
          <cell r="L205">
            <v>69114956.830000013</v>
          </cell>
          <cell r="M205">
            <v>69114956.830000013</v>
          </cell>
          <cell r="N205">
            <v>63298836</v>
          </cell>
          <cell r="O205">
            <v>63298836</v>
          </cell>
          <cell r="P205">
            <v>5816120.8300000038</v>
          </cell>
          <cell r="Q205">
            <v>5816120.8300000038</v>
          </cell>
          <cell r="S205">
            <v>63298836</v>
          </cell>
          <cell r="T205">
            <v>63298836</v>
          </cell>
          <cell r="V205">
            <v>6050000</v>
          </cell>
        </row>
        <row r="207">
          <cell r="C207">
            <v>660040</v>
          </cell>
          <cell r="D207" t="str">
            <v>WDV Fixed Assets Retired</v>
          </cell>
          <cell r="E207">
            <v>389869.41</v>
          </cell>
          <cell r="F207">
            <v>389869.41</v>
          </cell>
          <cell r="G207">
            <v>0</v>
          </cell>
          <cell r="H207">
            <v>0</v>
          </cell>
          <cell r="I207">
            <v>389869.41</v>
          </cell>
          <cell r="J207">
            <v>389869.41</v>
          </cell>
          <cell r="L207">
            <v>389869.41</v>
          </cell>
          <cell r="M207">
            <v>389869.41</v>
          </cell>
          <cell r="N207">
            <v>0</v>
          </cell>
          <cell r="O207">
            <v>0</v>
          </cell>
          <cell r="P207">
            <v>389869.41</v>
          </cell>
          <cell r="Q207">
            <v>389869.41</v>
          </cell>
          <cell r="S207">
            <v>0</v>
          </cell>
          <cell r="T207">
            <v>0</v>
          </cell>
          <cell r="V207">
            <v>0</v>
          </cell>
        </row>
        <row r="208">
          <cell r="C208" t="str">
            <v>General Corporate Accounts</v>
          </cell>
          <cell r="E208">
            <v>389869.41</v>
          </cell>
          <cell r="F208">
            <v>389869.41</v>
          </cell>
          <cell r="G208">
            <v>0</v>
          </cell>
          <cell r="H208">
            <v>0</v>
          </cell>
          <cell r="I208">
            <v>389869.41</v>
          </cell>
          <cell r="J208">
            <v>389869.41</v>
          </cell>
          <cell r="L208">
            <v>389869.41</v>
          </cell>
          <cell r="M208">
            <v>389869.41</v>
          </cell>
          <cell r="N208">
            <v>0</v>
          </cell>
          <cell r="O208">
            <v>0</v>
          </cell>
          <cell r="P208">
            <v>389869.41</v>
          </cell>
          <cell r="Q208">
            <v>389869.41</v>
          </cell>
          <cell r="S208">
            <v>0</v>
          </cell>
          <cell r="T208">
            <v>0</v>
          </cell>
          <cell r="V208">
            <v>0</v>
          </cell>
        </row>
        <row r="210">
          <cell r="C210" t="str">
            <v>Overheads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S210">
            <v>0</v>
          </cell>
          <cell r="T210">
            <v>0</v>
          </cell>
          <cell r="V210">
            <v>0</v>
          </cell>
        </row>
        <row r="212">
          <cell r="C212" t="str">
            <v>Work In Progress Clearance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  <cell r="V212">
            <v>0</v>
          </cell>
        </row>
        <row r="214">
          <cell r="E214">
            <v>39146913.299999997</v>
          </cell>
          <cell r="F214">
            <v>39146913.299999997</v>
          </cell>
          <cell r="G214">
            <v>40675648</v>
          </cell>
          <cell r="H214">
            <v>40675648</v>
          </cell>
          <cell r="I214">
            <v>-1528734.7000000016</v>
          </cell>
          <cell r="J214">
            <v>-1528734.7000000016</v>
          </cell>
          <cell r="L214">
            <v>508538840.14000005</v>
          </cell>
          <cell r="M214">
            <v>508538840.14000005</v>
          </cell>
          <cell r="N214">
            <v>507594410</v>
          </cell>
          <cell r="O214">
            <v>507594410</v>
          </cell>
          <cell r="P214">
            <v>944430.1400000432</v>
          </cell>
          <cell r="Q214">
            <v>944430.1400000432</v>
          </cell>
          <cell r="S214">
            <v>507594410</v>
          </cell>
          <cell r="T214">
            <v>507594410</v>
          </cell>
          <cell r="V214">
            <v>486100000</v>
          </cell>
        </row>
        <row r="216">
          <cell r="E216">
            <v>5964540.5</v>
          </cell>
          <cell r="F216">
            <v>5964540.5</v>
          </cell>
          <cell r="G216">
            <v>1472468.3299999982</v>
          </cell>
          <cell r="H216">
            <v>1472468.3299999982</v>
          </cell>
          <cell r="I216">
            <v>4492072.169999999</v>
          </cell>
          <cell r="J216">
            <v>4492072.169999999</v>
          </cell>
          <cell r="L216">
            <v>24679437.569999933</v>
          </cell>
          <cell r="M216">
            <v>24679437.569999933</v>
          </cell>
          <cell r="N216">
            <v>-9661364.1000000238</v>
          </cell>
          <cell r="O216">
            <v>-9661364.1000000238</v>
          </cell>
          <cell r="P216">
            <v>34340801.669999927</v>
          </cell>
          <cell r="Q216">
            <v>34340801.669999927</v>
          </cell>
          <cell r="S216">
            <v>-9661364.1000000238</v>
          </cell>
          <cell r="T216">
            <v>-9661364.1000000238</v>
          </cell>
          <cell r="V216">
            <v>58000000</v>
          </cell>
        </row>
        <row r="219">
          <cell r="C219">
            <v>681000</v>
          </cell>
          <cell r="D219" t="str">
            <v>Depreciation</v>
          </cell>
          <cell r="E219">
            <v>124086.21</v>
          </cell>
          <cell r="F219">
            <v>124086.21</v>
          </cell>
          <cell r="G219">
            <v>58300</v>
          </cell>
          <cell r="H219">
            <v>58300</v>
          </cell>
          <cell r="I219">
            <v>65786.210000000006</v>
          </cell>
          <cell r="J219">
            <v>65786.210000000006</v>
          </cell>
          <cell r="L219">
            <v>257589.7</v>
          </cell>
          <cell r="M219">
            <v>257589.7</v>
          </cell>
          <cell r="N219">
            <v>699600</v>
          </cell>
          <cell r="O219">
            <v>699600</v>
          </cell>
          <cell r="P219">
            <v>-442010.3</v>
          </cell>
          <cell r="Q219">
            <v>-442010.3</v>
          </cell>
          <cell r="S219">
            <v>699600</v>
          </cell>
          <cell r="T219">
            <v>699600</v>
          </cell>
          <cell r="V219">
            <v>100000</v>
          </cell>
        </row>
        <row r="220">
          <cell r="C220" t="str">
            <v>Depreciation &amp; Amortisation</v>
          </cell>
          <cell r="E220">
            <v>124086.21</v>
          </cell>
          <cell r="F220">
            <v>124086.21</v>
          </cell>
          <cell r="G220">
            <v>58300</v>
          </cell>
          <cell r="H220">
            <v>58300</v>
          </cell>
          <cell r="I220">
            <v>65786.210000000006</v>
          </cell>
          <cell r="J220">
            <v>65786.210000000006</v>
          </cell>
          <cell r="K220">
            <v>65786.210000000006</v>
          </cell>
          <cell r="L220">
            <v>257589.7</v>
          </cell>
          <cell r="M220">
            <v>257589.7</v>
          </cell>
          <cell r="N220">
            <v>699600</v>
          </cell>
          <cell r="O220">
            <v>699600</v>
          </cell>
          <cell r="P220">
            <v>-442010.3</v>
          </cell>
          <cell r="Q220">
            <v>-442010.3</v>
          </cell>
          <cell r="R220">
            <v>-442010.3</v>
          </cell>
          <cell r="S220">
            <v>699600</v>
          </cell>
          <cell r="T220">
            <v>699600</v>
          </cell>
          <cell r="V220">
            <v>100000</v>
          </cell>
        </row>
        <row r="222">
          <cell r="E222">
            <v>5840454.29</v>
          </cell>
          <cell r="F222">
            <v>5840454.29</v>
          </cell>
          <cell r="G222">
            <v>1414168.3299999982</v>
          </cell>
          <cell r="H222">
            <v>1414168.3299999982</v>
          </cell>
          <cell r="I222">
            <v>4426285.959999999</v>
          </cell>
          <cell r="J222">
            <v>4426285.959999999</v>
          </cell>
          <cell r="K222">
            <v>4426285.959999999</v>
          </cell>
          <cell r="L222">
            <v>24421847.869999934</v>
          </cell>
          <cell r="M222">
            <v>24421847.869999934</v>
          </cell>
          <cell r="N222">
            <v>-10360964.100000024</v>
          </cell>
          <cell r="O222">
            <v>-10360964.100000024</v>
          </cell>
          <cell r="P222">
            <v>34782811.969999924</v>
          </cell>
          <cell r="Q222">
            <v>34782811.969999924</v>
          </cell>
          <cell r="R222">
            <v>34782811.969999924</v>
          </cell>
          <cell r="S222">
            <v>-10360964.100000024</v>
          </cell>
          <cell r="T222">
            <v>-10360964.100000024</v>
          </cell>
          <cell r="V222">
            <v>57900000</v>
          </cell>
        </row>
        <row r="225">
          <cell r="C225">
            <v>672400</v>
          </cell>
          <cell r="D225" t="str">
            <v>Interco interest to subs</v>
          </cell>
          <cell r="E225">
            <v>1861173.44</v>
          </cell>
          <cell r="F225">
            <v>1861173.44</v>
          </cell>
          <cell r="G225">
            <v>0</v>
          </cell>
          <cell r="H225">
            <v>0</v>
          </cell>
          <cell r="I225">
            <v>1861173.44</v>
          </cell>
          <cell r="J225">
            <v>1861173.44</v>
          </cell>
          <cell r="L225">
            <v>25205766.48</v>
          </cell>
          <cell r="M225">
            <v>25205766.48</v>
          </cell>
          <cell r="N225">
            <v>0</v>
          </cell>
          <cell r="O225">
            <v>0</v>
          </cell>
          <cell r="P225">
            <v>25205766.48</v>
          </cell>
          <cell r="Q225">
            <v>25205766.48</v>
          </cell>
          <cell r="S225">
            <v>0</v>
          </cell>
          <cell r="T225">
            <v>0</v>
          </cell>
          <cell r="V225">
            <v>0</v>
          </cell>
        </row>
        <row r="226">
          <cell r="C226" t="str">
            <v>Finance Charges</v>
          </cell>
          <cell r="E226">
            <v>1861173.44</v>
          </cell>
          <cell r="F226">
            <v>1861173.44</v>
          </cell>
          <cell r="G226">
            <v>0</v>
          </cell>
          <cell r="H226">
            <v>0</v>
          </cell>
          <cell r="I226">
            <v>1861173.44</v>
          </cell>
          <cell r="J226">
            <v>1861173.44</v>
          </cell>
          <cell r="K226">
            <v>1861173.44</v>
          </cell>
          <cell r="L226">
            <v>25205766.48</v>
          </cell>
          <cell r="M226">
            <v>25205766.48</v>
          </cell>
          <cell r="N226">
            <v>0</v>
          </cell>
          <cell r="O226">
            <v>0</v>
          </cell>
          <cell r="P226">
            <v>25205766.48</v>
          </cell>
          <cell r="Q226">
            <v>25205766.48</v>
          </cell>
          <cell r="R226">
            <v>25205766.48</v>
          </cell>
          <cell r="S226">
            <v>0</v>
          </cell>
          <cell r="T226">
            <v>0</v>
          </cell>
          <cell r="V226">
            <v>0</v>
          </cell>
        </row>
        <row r="228">
          <cell r="E228">
            <v>3979280.85</v>
          </cell>
          <cell r="F228">
            <v>3979280.85</v>
          </cell>
          <cell r="G228">
            <v>1414168.3299999982</v>
          </cell>
          <cell r="H228">
            <v>1414168.3299999982</v>
          </cell>
          <cell r="I228">
            <v>2565112.5199999991</v>
          </cell>
          <cell r="J228">
            <v>2565112.5199999991</v>
          </cell>
          <cell r="K228">
            <v>2565112.5199999991</v>
          </cell>
          <cell r="L228">
            <v>-783918.61000006646</v>
          </cell>
          <cell r="M228">
            <v>-783918.61000006646</v>
          </cell>
          <cell r="N228">
            <v>-10360964.100000024</v>
          </cell>
          <cell r="O228">
            <v>-10360964.100000024</v>
          </cell>
          <cell r="P228">
            <v>9577045.4899999239</v>
          </cell>
          <cell r="Q228">
            <v>9577045.4899999239</v>
          </cell>
          <cell r="R228">
            <v>9577045.4899999239</v>
          </cell>
          <cell r="S228">
            <v>-10360964.100000024</v>
          </cell>
          <cell r="T228">
            <v>-10360964.100000024</v>
          </cell>
          <cell r="V228">
            <v>57900000</v>
          </cell>
        </row>
        <row r="231">
          <cell r="C231" t="str">
            <v>Abnormal Items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</row>
        <row r="233">
          <cell r="E233">
            <v>3979280.85</v>
          </cell>
          <cell r="F233">
            <v>3979280.85</v>
          </cell>
          <cell r="G233">
            <v>1414168.3299999982</v>
          </cell>
          <cell r="H233">
            <v>1414168.3299999982</v>
          </cell>
          <cell r="I233">
            <v>2565112.5199999991</v>
          </cell>
          <cell r="J233">
            <v>2565112.5199999991</v>
          </cell>
          <cell r="K233">
            <v>2565112.5199999991</v>
          </cell>
          <cell r="L233">
            <v>-783918.61000006646</v>
          </cell>
          <cell r="M233">
            <v>-783918.61000006646</v>
          </cell>
          <cell r="N233">
            <v>-10360964.100000024</v>
          </cell>
          <cell r="O233">
            <v>-10360964.100000024</v>
          </cell>
          <cell r="P233">
            <v>9577045.4899999239</v>
          </cell>
          <cell r="Q233">
            <v>9577045.4899999239</v>
          </cell>
          <cell r="R233">
            <v>9577045.4899999239</v>
          </cell>
          <cell r="S233">
            <v>-10360964.100000024</v>
          </cell>
          <cell r="T233">
            <v>-10360964.100000024</v>
          </cell>
          <cell r="V233">
            <v>57900000</v>
          </cell>
        </row>
        <row r="236">
          <cell r="C236">
            <v>697000</v>
          </cell>
          <cell r="D236" t="str">
            <v>Income Tax Expense</v>
          </cell>
          <cell r="E236">
            <v>980696.55</v>
          </cell>
          <cell r="F236">
            <v>980696.55</v>
          </cell>
          <cell r="G236">
            <v>0</v>
          </cell>
          <cell r="H236">
            <v>0</v>
          </cell>
          <cell r="I236">
            <v>980696.55</v>
          </cell>
          <cell r="J236">
            <v>980696.55</v>
          </cell>
          <cell r="L236">
            <v>-427039.45</v>
          </cell>
          <cell r="M236">
            <v>-427039.45</v>
          </cell>
          <cell r="N236">
            <v>0</v>
          </cell>
          <cell r="O236">
            <v>0</v>
          </cell>
          <cell r="P236">
            <v>-427039.45</v>
          </cell>
          <cell r="Q236">
            <v>-427039.45</v>
          </cell>
          <cell r="S236">
            <v>0</v>
          </cell>
          <cell r="T236">
            <v>0</v>
          </cell>
          <cell r="V236">
            <v>0</v>
          </cell>
        </row>
        <row r="237">
          <cell r="C237" t="str">
            <v>Income Tax Expense</v>
          </cell>
          <cell r="E237">
            <v>980696.55</v>
          </cell>
          <cell r="F237">
            <v>980696.55</v>
          </cell>
          <cell r="G237">
            <v>0</v>
          </cell>
          <cell r="H237">
            <v>0</v>
          </cell>
          <cell r="I237">
            <v>980696.55</v>
          </cell>
          <cell r="J237">
            <v>980696.55</v>
          </cell>
          <cell r="K237">
            <v>980696.55</v>
          </cell>
          <cell r="L237">
            <v>-427039.45</v>
          </cell>
          <cell r="M237">
            <v>-427039.45</v>
          </cell>
          <cell r="N237">
            <v>0</v>
          </cell>
          <cell r="O237">
            <v>0</v>
          </cell>
          <cell r="P237">
            <v>-427039.45</v>
          </cell>
          <cell r="Q237">
            <v>-427039.45</v>
          </cell>
          <cell r="R237">
            <v>-427039.45</v>
          </cell>
          <cell r="S237">
            <v>0</v>
          </cell>
          <cell r="T237">
            <v>0</v>
          </cell>
          <cell r="V237">
            <v>0</v>
          </cell>
        </row>
        <row r="239">
          <cell r="E239">
            <v>2998584.3</v>
          </cell>
          <cell r="F239">
            <v>2998584.3</v>
          </cell>
          <cell r="G239">
            <v>1414168.3299999982</v>
          </cell>
          <cell r="H239">
            <v>1414168.3299999982</v>
          </cell>
          <cell r="I239">
            <v>1584415.969999999</v>
          </cell>
          <cell r="J239">
            <v>1584415.969999999</v>
          </cell>
          <cell r="K239">
            <v>1584415.969999999</v>
          </cell>
          <cell r="L239">
            <v>-356879.16000006645</v>
          </cell>
          <cell r="M239">
            <v>-356879.16000006645</v>
          </cell>
          <cell r="N239">
            <v>-10360964.100000024</v>
          </cell>
          <cell r="O239">
            <v>-10360964.100000024</v>
          </cell>
          <cell r="P239">
            <v>10004084.939999923</v>
          </cell>
          <cell r="Q239">
            <v>10004084.939999923</v>
          </cell>
          <cell r="R239">
            <v>10004084.939999923</v>
          </cell>
          <cell r="S239">
            <v>-10360964.100000024</v>
          </cell>
          <cell r="T239">
            <v>-10360964.100000024</v>
          </cell>
          <cell r="V239">
            <v>57900000</v>
          </cell>
        </row>
      </sheetData>
      <sheetData sheetId="3" refreshError="1">
        <row r="15">
          <cell r="C15">
            <v>504475</v>
          </cell>
          <cell r="D15" t="str">
            <v>Electricity Market Revenue</v>
          </cell>
          <cell r="E15">
            <v>4858780.79</v>
          </cell>
          <cell r="F15" t="e">
            <v>#DIV/0!</v>
          </cell>
          <cell r="G15">
            <v>5113333.33</v>
          </cell>
          <cell r="H15" t="e">
            <v>#DIV/0!</v>
          </cell>
          <cell r="I15">
            <v>-254552.54000000004</v>
          </cell>
          <cell r="J15" t="e">
            <v>#DIV/0!</v>
          </cell>
          <cell r="L15">
            <v>180345005.19999999</v>
          </cell>
          <cell r="M15" t="e">
            <v>#DIV/0!</v>
          </cell>
          <cell r="N15">
            <v>101995699.91</v>
          </cell>
          <cell r="O15" t="e">
            <v>#DIV/0!</v>
          </cell>
          <cell r="P15">
            <v>78349305.289999992</v>
          </cell>
          <cell r="Q15" t="e">
            <v>#DIV/0!</v>
          </cell>
          <cell r="S15">
            <v>101995699.91</v>
          </cell>
        </row>
        <row r="16">
          <cell r="C16">
            <v>504480</v>
          </cell>
          <cell r="D16" t="str">
            <v>Oil Burn Compensation Revenue</v>
          </cell>
          <cell r="E16">
            <v>0</v>
          </cell>
          <cell r="F16" t="e">
            <v>#DIV/0!</v>
          </cell>
          <cell r="G16">
            <v>0</v>
          </cell>
          <cell r="H16" t="e">
            <v>#DIV/0!</v>
          </cell>
          <cell r="I16">
            <v>0</v>
          </cell>
          <cell r="J16" t="e">
            <v>#DIV/0!</v>
          </cell>
          <cell r="L16">
            <v>-33000</v>
          </cell>
          <cell r="M16" t="e">
            <v>#DIV/0!</v>
          </cell>
          <cell r="N16">
            <v>0</v>
          </cell>
          <cell r="O16" t="e">
            <v>#DIV/0!</v>
          </cell>
          <cell r="P16">
            <v>-33000</v>
          </cell>
          <cell r="Q16" t="e">
            <v>#DIV/0!</v>
          </cell>
          <cell r="S16">
            <v>0</v>
          </cell>
        </row>
        <row r="17">
          <cell r="C17">
            <v>504485</v>
          </cell>
          <cell r="D17" t="str">
            <v>Ancillary Services Revenue</v>
          </cell>
          <cell r="E17">
            <v>300810.53000000003</v>
          </cell>
          <cell r="F17" t="e">
            <v>#DIV/0!</v>
          </cell>
          <cell r="G17">
            <v>0</v>
          </cell>
          <cell r="H17" t="e">
            <v>#DIV/0!</v>
          </cell>
          <cell r="I17">
            <v>300810.53000000003</v>
          </cell>
          <cell r="J17" t="e">
            <v>#DIV/0!</v>
          </cell>
          <cell r="L17">
            <v>12632109.67</v>
          </cell>
          <cell r="M17" t="e">
            <v>#DIV/0!</v>
          </cell>
          <cell r="N17">
            <v>0</v>
          </cell>
          <cell r="O17" t="e">
            <v>#DIV/0!</v>
          </cell>
          <cell r="P17">
            <v>12632109.67</v>
          </cell>
          <cell r="Q17" t="e">
            <v>#DIV/0!</v>
          </cell>
          <cell r="S17">
            <v>0</v>
          </cell>
        </row>
        <row r="18">
          <cell r="C18">
            <v>504655</v>
          </cell>
          <cell r="D18" t="str">
            <v>Cont. 1&amp;2 Way Hedge Receipts</v>
          </cell>
          <cell r="E18">
            <v>947254.93</v>
          </cell>
          <cell r="F18" t="e">
            <v>#DIV/0!</v>
          </cell>
          <cell r="G18">
            <v>875000</v>
          </cell>
          <cell r="H18" t="e">
            <v>#DIV/0!</v>
          </cell>
          <cell r="I18">
            <v>72254.930000000051</v>
          </cell>
          <cell r="J18" t="e">
            <v>#DIV/0!</v>
          </cell>
          <cell r="L18">
            <v>-75821531.439999998</v>
          </cell>
          <cell r="M18" t="e">
            <v>#DIV/0!</v>
          </cell>
          <cell r="N18">
            <v>12066000</v>
          </cell>
          <cell r="O18" t="e">
            <v>#DIV/0!</v>
          </cell>
          <cell r="P18">
            <v>-87887531.439999998</v>
          </cell>
          <cell r="Q18" t="e">
            <v>#DIV/0!</v>
          </cell>
          <cell r="S18">
            <v>12066000</v>
          </cell>
        </row>
        <row r="19">
          <cell r="C19" t="str">
            <v>Revenue-Energy Supply Industry</v>
          </cell>
          <cell r="E19">
            <v>6106846.25</v>
          </cell>
          <cell r="F19" t="e">
            <v>#DIV/0!</v>
          </cell>
          <cell r="G19">
            <v>5988333.3300000001</v>
          </cell>
          <cell r="H19" t="e">
            <v>#DIV/0!</v>
          </cell>
          <cell r="I19">
            <v>118512.91999999993</v>
          </cell>
          <cell r="J19" t="e">
            <v>#DIV/0!</v>
          </cell>
          <cell r="L19">
            <v>117122583.42999998</v>
          </cell>
          <cell r="M19" t="e">
            <v>#DIV/0!</v>
          </cell>
          <cell r="N19">
            <v>114061699.91</v>
          </cell>
          <cell r="O19" t="e">
            <v>#DIV/0!</v>
          </cell>
          <cell r="P19">
            <v>3060883.5199999809</v>
          </cell>
          <cell r="Q19" t="e">
            <v>#DIV/0!</v>
          </cell>
          <cell r="S19">
            <v>114061699.91</v>
          </cell>
        </row>
        <row r="21">
          <cell r="C21" t="str">
            <v>Energy Sales</v>
          </cell>
          <cell r="E21">
            <v>0</v>
          </cell>
          <cell r="F21" t="e">
            <v>#DIV/0!</v>
          </cell>
          <cell r="G21">
            <v>0</v>
          </cell>
          <cell r="H21" t="e">
            <v>#DIV/0!</v>
          </cell>
          <cell r="I21">
            <v>0</v>
          </cell>
          <cell r="J21" t="e">
            <v>#DIV/0!</v>
          </cell>
          <cell r="L21">
            <v>0</v>
          </cell>
          <cell r="M21" t="e">
            <v>#DIV/0!</v>
          </cell>
          <cell r="N21">
            <v>0</v>
          </cell>
          <cell r="O21" t="e">
            <v>#DIV/0!</v>
          </cell>
          <cell r="P21">
            <v>0</v>
          </cell>
          <cell r="Q21" t="e">
            <v>#DIV/0!</v>
          </cell>
          <cell r="S21">
            <v>0</v>
          </cell>
        </row>
        <row r="23">
          <cell r="C23">
            <v>530000</v>
          </cell>
          <cell r="D23" t="str">
            <v>Interest Income</v>
          </cell>
          <cell r="E23">
            <v>731.55</v>
          </cell>
          <cell r="F23" t="e">
            <v>#DIV/0!</v>
          </cell>
          <cell r="G23">
            <v>0</v>
          </cell>
          <cell r="H23" t="e">
            <v>#DIV/0!</v>
          </cell>
          <cell r="I23">
            <v>731.55</v>
          </cell>
          <cell r="J23" t="e">
            <v>#DIV/0!</v>
          </cell>
          <cell r="L23">
            <v>2214.16</v>
          </cell>
          <cell r="M23" t="e">
            <v>#DIV/0!</v>
          </cell>
          <cell r="N23">
            <v>0</v>
          </cell>
          <cell r="O23" t="e">
            <v>#DIV/0!</v>
          </cell>
          <cell r="P23">
            <v>2214.16</v>
          </cell>
          <cell r="Q23" t="e">
            <v>#DIV/0!</v>
          </cell>
          <cell r="S23">
            <v>0</v>
          </cell>
        </row>
        <row r="24">
          <cell r="C24" t="str">
            <v>Interest Revenue</v>
          </cell>
          <cell r="E24">
            <v>731.55</v>
          </cell>
          <cell r="F24" t="e">
            <v>#DIV/0!</v>
          </cell>
          <cell r="G24">
            <v>0</v>
          </cell>
          <cell r="H24" t="e">
            <v>#DIV/0!</v>
          </cell>
          <cell r="I24">
            <v>731.55</v>
          </cell>
          <cell r="J24" t="e">
            <v>#DIV/0!</v>
          </cell>
          <cell r="L24">
            <v>2214.16</v>
          </cell>
          <cell r="M24" t="e">
            <v>#DIV/0!</v>
          </cell>
          <cell r="N24">
            <v>0</v>
          </cell>
          <cell r="O24" t="e">
            <v>#DIV/0!</v>
          </cell>
          <cell r="P24">
            <v>2214.16</v>
          </cell>
          <cell r="Q24" t="e">
            <v>#DIV/0!</v>
          </cell>
          <cell r="S24">
            <v>0</v>
          </cell>
        </row>
        <row r="26">
          <cell r="C26" t="str">
            <v>Inter-Company Revenue</v>
          </cell>
          <cell r="E26">
            <v>0</v>
          </cell>
          <cell r="F26" t="e">
            <v>#DIV/0!</v>
          </cell>
          <cell r="G26">
            <v>0</v>
          </cell>
          <cell r="H26" t="e">
            <v>#DIV/0!</v>
          </cell>
          <cell r="I26">
            <v>0</v>
          </cell>
          <cell r="J26" t="e">
            <v>#DIV/0!</v>
          </cell>
          <cell r="L26">
            <v>0</v>
          </cell>
          <cell r="M26" t="e">
            <v>#DIV/0!</v>
          </cell>
          <cell r="N26">
            <v>0</v>
          </cell>
          <cell r="O26" t="e">
            <v>#DIV/0!</v>
          </cell>
          <cell r="P26">
            <v>0</v>
          </cell>
          <cell r="Q26" t="e">
            <v>#DIV/0!</v>
          </cell>
          <cell r="S26">
            <v>0</v>
          </cell>
        </row>
        <row r="28">
          <cell r="C28" t="str">
            <v>Proceeds from Sale Of Assets</v>
          </cell>
          <cell r="E28">
            <v>0</v>
          </cell>
          <cell r="F28" t="e">
            <v>#DIV/0!</v>
          </cell>
          <cell r="G28">
            <v>0</v>
          </cell>
          <cell r="H28" t="e">
            <v>#DIV/0!</v>
          </cell>
          <cell r="I28">
            <v>0</v>
          </cell>
          <cell r="J28" t="e">
            <v>#DIV/0!</v>
          </cell>
          <cell r="L28">
            <v>0</v>
          </cell>
          <cell r="M28" t="e">
            <v>#DIV/0!</v>
          </cell>
          <cell r="N28">
            <v>0</v>
          </cell>
          <cell r="O28" t="e">
            <v>#DIV/0!</v>
          </cell>
          <cell r="P28">
            <v>0</v>
          </cell>
          <cell r="Q28" t="e">
            <v>#DIV/0!</v>
          </cell>
          <cell r="S28">
            <v>0</v>
          </cell>
        </row>
        <row r="30">
          <cell r="C30">
            <v>560190</v>
          </cell>
          <cell r="D30" t="str">
            <v>Unrealised gains - derivatives</v>
          </cell>
          <cell r="E30">
            <v>0</v>
          </cell>
          <cell r="F30" t="e">
            <v>#DIV/0!</v>
          </cell>
          <cell r="G30">
            <v>0</v>
          </cell>
          <cell r="H30" t="e">
            <v>#DIV/0!</v>
          </cell>
          <cell r="I30">
            <v>0</v>
          </cell>
          <cell r="J30" t="e">
            <v>#DIV/0!</v>
          </cell>
          <cell r="L30">
            <v>5300000</v>
          </cell>
          <cell r="M30" t="e">
            <v>#DIV/0!</v>
          </cell>
          <cell r="N30">
            <v>0</v>
          </cell>
          <cell r="O30" t="e">
            <v>#DIV/0!</v>
          </cell>
          <cell r="P30">
            <v>5300000</v>
          </cell>
          <cell r="Q30" t="e">
            <v>#DIV/0!</v>
          </cell>
          <cell r="S30">
            <v>0</v>
          </cell>
        </row>
        <row r="31">
          <cell r="C31">
            <v>560192</v>
          </cell>
          <cell r="D31" t="str">
            <v>Vesting Contract Provn Release</v>
          </cell>
          <cell r="E31">
            <v>4000000</v>
          </cell>
          <cell r="F31" t="e">
            <v>#DIV/0!</v>
          </cell>
          <cell r="G31">
            <v>4000000</v>
          </cell>
          <cell r="H31" t="e">
            <v>#DIV/0!</v>
          </cell>
          <cell r="I31">
            <v>0</v>
          </cell>
          <cell r="J31" t="e">
            <v>#DIV/0!</v>
          </cell>
          <cell r="L31">
            <v>48000000</v>
          </cell>
          <cell r="M31" t="e">
            <v>#DIV/0!</v>
          </cell>
          <cell r="N31">
            <v>48000000</v>
          </cell>
          <cell r="O31" t="e">
            <v>#DIV/0!</v>
          </cell>
          <cell r="P31">
            <v>0</v>
          </cell>
          <cell r="Q31" t="e">
            <v>#DIV/0!</v>
          </cell>
          <cell r="S31">
            <v>48000000</v>
          </cell>
        </row>
        <row r="32">
          <cell r="C32" t="str">
            <v>Other Revenue</v>
          </cell>
          <cell r="E32">
            <v>4000000</v>
          </cell>
          <cell r="F32" t="e">
            <v>#DIV/0!</v>
          </cell>
          <cell r="G32">
            <v>4000000</v>
          </cell>
          <cell r="H32" t="e">
            <v>#DIV/0!</v>
          </cell>
          <cell r="I32">
            <v>0</v>
          </cell>
          <cell r="J32" t="e">
            <v>#DIV/0!</v>
          </cell>
          <cell r="L32">
            <v>53300000</v>
          </cell>
          <cell r="M32" t="e">
            <v>#DIV/0!</v>
          </cell>
          <cell r="N32">
            <v>48000000</v>
          </cell>
          <cell r="O32" t="e">
            <v>#DIV/0!</v>
          </cell>
          <cell r="P32">
            <v>5300000</v>
          </cell>
          <cell r="Q32" t="e">
            <v>#DIV/0!</v>
          </cell>
          <cell r="S32">
            <v>48000000</v>
          </cell>
        </row>
        <row r="34">
          <cell r="C34" t="str">
            <v>Project Revenue</v>
          </cell>
          <cell r="E34">
            <v>0</v>
          </cell>
          <cell r="F34" t="e">
            <v>#DIV/0!</v>
          </cell>
          <cell r="G34">
            <v>0</v>
          </cell>
          <cell r="H34" t="e">
            <v>#DIV/0!</v>
          </cell>
          <cell r="I34">
            <v>0</v>
          </cell>
          <cell r="J34" t="e">
            <v>#DIV/0!</v>
          </cell>
          <cell r="L34">
            <v>0</v>
          </cell>
          <cell r="M34" t="e">
            <v>#DIV/0!</v>
          </cell>
          <cell r="N34">
            <v>0</v>
          </cell>
          <cell r="O34" t="e">
            <v>#DIV/0!</v>
          </cell>
          <cell r="P34">
            <v>0</v>
          </cell>
          <cell r="Q34" t="e">
            <v>#DIV/0!</v>
          </cell>
          <cell r="S34">
            <v>0</v>
          </cell>
        </row>
        <row r="36">
          <cell r="C36" t="str">
            <v>Customer Contributions</v>
          </cell>
          <cell r="E36">
            <v>0</v>
          </cell>
          <cell r="F36" t="e">
            <v>#DIV/0!</v>
          </cell>
          <cell r="G36">
            <v>0</v>
          </cell>
          <cell r="H36" t="e">
            <v>#DIV/0!</v>
          </cell>
          <cell r="I36">
            <v>0</v>
          </cell>
          <cell r="J36" t="e">
            <v>#DIV/0!</v>
          </cell>
          <cell r="L36">
            <v>0</v>
          </cell>
          <cell r="M36" t="e">
            <v>#DIV/0!</v>
          </cell>
          <cell r="N36">
            <v>0</v>
          </cell>
          <cell r="O36" t="e">
            <v>#DIV/0!</v>
          </cell>
          <cell r="P36">
            <v>0</v>
          </cell>
          <cell r="Q36" t="e">
            <v>#DIV/0!</v>
          </cell>
          <cell r="S36">
            <v>0</v>
          </cell>
        </row>
        <row r="38">
          <cell r="C38" t="str">
            <v>Margins On Inter-Co Transactns</v>
          </cell>
          <cell r="E38">
            <v>0</v>
          </cell>
          <cell r="F38" t="e">
            <v>#DIV/0!</v>
          </cell>
          <cell r="G38">
            <v>0</v>
          </cell>
          <cell r="H38" t="e">
            <v>#DIV/0!</v>
          </cell>
          <cell r="I38">
            <v>0</v>
          </cell>
          <cell r="J38" t="e">
            <v>#DIV/0!</v>
          </cell>
          <cell r="L38">
            <v>0</v>
          </cell>
          <cell r="M38" t="e">
            <v>#DIV/0!</v>
          </cell>
          <cell r="N38">
            <v>0</v>
          </cell>
          <cell r="O38" t="e">
            <v>#DIV/0!</v>
          </cell>
          <cell r="P38">
            <v>0</v>
          </cell>
          <cell r="Q38" t="e">
            <v>#DIV/0!</v>
          </cell>
          <cell r="S38">
            <v>0</v>
          </cell>
        </row>
        <row r="40">
          <cell r="E40">
            <v>10107577.800000001</v>
          </cell>
          <cell r="F40" t="e">
            <v>#DIV/0!</v>
          </cell>
          <cell r="G40">
            <v>9988333.3300000001</v>
          </cell>
          <cell r="H40" t="e">
            <v>#DIV/0!</v>
          </cell>
          <cell r="I40">
            <v>119244.46999999993</v>
          </cell>
          <cell r="J40" t="e">
            <v>#DIV/0!</v>
          </cell>
          <cell r="L40">
            <v>170424797.58999997</v>
          </cell>
          <cell r="M40" t="e">
            <v>#DIV/0!</v>
          </cell>
          <cell r="N40">
            <v>162061699.91</v>
          </cell>
          <cell r="O40" t="e">
            <v>#DIV/0!</v>
          </cell>
          <cell r="P40">
            <v>8363097.6799999811</v>
          </cell>
          <cell r="Q40" t="e">
            <v>#DIV/0!</v>
          </cell>
          <cell r="S40">
            <v>162061699.91</v>
          </cell>
        </row>
        <row r="44">
          <cell r="C44" t="str">
            <v>Cost Of Sales</v>
          </cell>
          <cell r="E44">
            <v>0</v>
          </cell>
          <cell r="F44" t="e">
            <v>#DIV/0!</v>
          </cell>
          <cell r="G44">
            <v>0</v>
          </cell>
          <cell r="H44" t="e">
            <v>#DIV/0!</v>
          </cell>
          <cell r="I44">
            <v>0</v>
          </cell>
          <cell r="J44" t="e">
            <v>#DIV/0!</v>
          </cell>
          <cell r="L44">
            <v>0</v>
          </cell>
          <cell r="M44" t="e">
            <v>#DIV/0!</v>
          </cell>
          <cell r="N44">
            <v>0</v>
          </cell>
          <cell r="O44" t="e">
            <v>#DIV/0!</v>
          </cell>
          <cell r="P44">
            <v>0</v>
          </cell>
          <cell r="Q44" t="e">
            <v>#DIV/0!</v>
          </cell>
          <cell r="S44">
            <v>0</v>
          </cell>
        </row>
        <row r="46">
          <cell r="C46">
            <v>602020</v>
          </cell>
          <cell r="D46" t="str">
            <v>Cost of Gas</v>
          </cell>
          <cell r="E46">
            <v>5121901.6399999997</v>
          </cell>
          <cell r="F46" t="e">
            <v>#DIV/0!</v>
          </cell>
          <cell r="G46">
            <v>4113000</v>
          </cell>
          <cell r="H46" t="e">
            <v>#DIV/0!</v>
          </cell>
          <cell r="I46">
            <v>1008901.6399999997</v>
          </cell>
          <cell r="J46" t="e">
            <v>#DIV/0!</v>
          </cell>
          <cell r="L46">
            <v>75397868.629999995</v>
          </cell>
          <cell r="M46" t="e">
            <v>#DIV/0!</v>
          </cell>
          <cell r="N46">
            <v>83018000</v>
          </cell>
          <cell r="O46" t="e">
            <v>#DIV/0!</v>
          </cell>
          <cell r="P46">
            <v>-7620131.3700000048</v>
          </cell>
          <cell r="Q46" t="e">
            <v>#DIV/0!</v>
          </cell>
          <cell r="S46">
            <v>83018000</v>
          </cell>
        </row>
        <row r="47">
          <cell r="C47">
            <v>602055</v>
          </cell>
          <cell r="D47" t="str">
            <v>Gas fixed costs</v>
          </cell>
          <cell r="E47">
            <v>1350082.64</v>
          </cell>
          <cell r="F47" t="e">
            <v>#DIV/0!</v>
          </cell>
          <cell r="G47">
            <v>0</v>
          </cell>
          <cell r="H47" t="e">
            <v>#DIV/0!</v>
          </cell>
          <cell r="I47">
            <v>1350082.64</v>
          </cell>
          <cell r="J47" t="e">
            <v>#DIV/0!</v>
          </cell>
          <cell r="L47">
            <v>16868996.010000002</v>
          </cell>
          <cell r="M47" t="e">
            <v>#DIV/0!</v>
          </cell>
          <cell r="N47">
            <v>0</v>
          </cell>
          <cell r="O47" t="e">
            <v>#DIV/0!</v>
          </cell>
          <cell r="P47">
            <v>16868996.010000002</v>
          </cell>
          <cell r="Q47" t="e">
            <v>#DIV/0!</v>
          </cell>
          <cell r="S47">
            <v>0</v>
          </cell>
        </row>
        <row r="48">
          <cell r="C48">
            <v>602260</v>
          </cell>
          <cell r="D48" t="str">
            <v>COGS Fuel Oil</v>
          </cell>
          <cell r="E48">
            <v>-10829.23</v>
          </cell>
          <cell r="F48" t="e">
            <v>#DIV/0!</v>
          </cell>
          <cell r="G48">
            <v>0</v>
          </cell>
          <cell r="H48" t="e">
            <v>#DIV/0!</v>
          </cell>
          <cell r="I48">
            <v>-10829.23</v>
          </cell>
          <cell r="J48" t="e">
            <v>#DIV/0!</v>
          </cell>
          <cell r="L48">
            <v>2038392.61</v>
          </cell>
          <cell r="M48" t="e">
            <v>#DIV/0!</v>
          </cell>
          <cell r="N48">
            <v>0</v>
          </cell>
          <cell r="O48" t="e">
            <v>#DIV/0!</v>
          </cell>
          <cell r="P48">
            <v>2038392.61</v>
          </cell>
          <cell r="Q48" t="e">
            <v>#DIV/0!</v>
          </cell>
          <cell r="S48">
            <v>0</v>
          </cell>
        </row>
        <row r="49">
          <cell r="C49">
            <v>605800</v>
          </cell>
          <cell r="D49" t="str">
            <v>Energy Fees</v>
          </cell>
          <cell r="E49">
            <v>61479.66</v>
          </cell>
          <cell r="F49" t="e">
            <v>#DIV/0!</v>
          </cell>
          <cell r="G49">
            <v>0</v>
          </cell>
          <cell r="H49" t="e">
            <v>#DIV/0!</v>
          </cell>
          <cell r="I49">
            <v>61479.66</v>
          </cell>
          <cell r="J49" t="e">
            <v>#DIV/0!</v>
          </cell>
          <cell r="L49">
            <v>553760.9</v>
          </cell>
          <cell r="M49" t="e">
            <v>#DIV/0!</v>
          </cell>
          <cell r="N49">
            <v>0</v>
          </cell>
          <cell r="O49" t="e">
            <v>#DIV/0!</v>
          </cell>
          <cell r="P49">
            <v>553760.9</v>
          </cell>
          <cell r="Q49" t="e">
            <v>#DIV/0!</v>
          </cell>
          <cell r="S49">
            <v>0</v>
          </cell>
        </row>
        <row r="50">
          <cell r="C50">
            <v>605820</v>
          </cell>
          <cell r="D50" t="str">
            <v>Ancillary Charges</v>
          </cell>
          <cell r="E50">
            <v>18630.57</v>
          </cell>
          <cell r="F50" t="e">
            <v>#DIV/0!</v>
          </cell>
          <cell r="G50">
            <v>0</v>
          </cell>
          <cell r="H50" t="e">
            <v>#DIV/0!</v>
          </cell>
          <cell r="I50">
            <v>18630.57</v>
          </cell>
          <cell r="J50" t="e">
            <v>#DIV/0!</v>
          </cell>
          <cell r="L50">
            <v>5049097.33</v>
          </cell>
          <cell r="M50" t="e">
            <v>#DIV/0!</v>
          </cell>
          <cell r="N50">
            <v>0</v>
          </cell>
          <cell r="O50" t="e">
            <v>#DIV/0!</v>
          </cell>
          <cell r="P50">
            <v>5049097.33</v>
          </cell>
          <cell r="Q50" t="e">
            <v>#DIV/0!</v>
          </cell>
          <cell r="S50">
            <v>0</v>
          </cell>
        </row>
        <row r="51">
          <cell r="C51">
            <v>607015</v>
          </cell>
          <cell r="D51" t="str">
            <v>Network Fees</v>
          </cell>
          <cell r="E51">
            <v>169960.69</v>
          </cell>
          <cell r="F51" t="e">
            <v>#DIV/0!</v>
          </cell>
          <cell r="G51">
            <v>0</v>
          </cell>
          <cell r="H51" t="e">
            <v>#DIV/0!</v>
          </cell>
          <cell r="I51">
            <v>169960.69</v>
          </cell>
          <cell r="J51" t="e">
            <v>#DIV/0!</v>
          </cell>
          <cell r="L51">
            <v>1981645.1</v>
          </cell>
          <cell r="M51" t="e">
            <v>#DIV/0!</v>
          </cell>
          <cell r="N51">
            <v>0</v>
          </cell>
          <cell r="O51" t="e">
            <v>#DIV/0!</v>
          </cell>
          <cell r="P51">
            <v>1981645.1</v>
          </cell>
          <cell r="Q51" t="e">
            <v>#DIV/0!</v>
          </cell>
          <cell r="S51">
            <v>0</v>
          </cell>
        </row>
        <row r="52">
          <cell r="C52" t="str">
            <v>Energy Cost of Sales</v>
          </cell>
          <cell r="E52">
            <v>6711225.9699999997</v>
          </cell>
          <cell r="F52" t="e">
            <v>#DIV/0!</v>
          </cell>
          <cell r="G52">
            <v>4113000</v>
          </cell>
          <cell r="H52" t="e">
            <v>#DIV/0!</v>
          </cell>
          <cell r="I52">
            <v>2598225.9699999997</v>
          </cell>
          <cell r="J52" t="e">
            <v>#DIV/0!</v>
          </cell>
          <cell r="L52">
            <v>101889760.58</v>
          </cell>
          <cell r="M52" t="e">
            <v>#DIV/0!</v>
          </cell>
          <cell r="N52">
            <v>83018000</v>
          </cell>
          <cell r="O52" t="e">
            <v>#DIV/0!</v>
          </cell>
          <cell r="P52">
            <v>18871760.579999998</v>
          </cell>
          <cell r="Q52" t="e">
            <v>#DIV/0!</v>
          </cell>
          <cell r="S52">
            <v>83018000</v>
          </cell>
        </row>
        <row r="54">
          <cell r="C54" t="str">
            <v>Salaries</v>
          </cell>
          <cell r="E54">
            <v>0</v>
          </cell>
          <cell r="F54" t="e">
            <v>#DIV/0!</v>
          </cell>
          <cell r="G54">
            <v>0</v>
          </cell>
          <cell r="H54" t="e">
            <v>#DIV/0!</v>
          </cell>
          <cell r="I54">
            <v>0</v>
          </cell>
          <cell r="J54" t="e">
            <v>#DIV/0!</v>
          </cell>
          <cell r="L54">
            <v>0</v>
          </cell>
          <cell r="M54" t="e">
            <v>#DIV/0!</v>
          </cell>
          <cell r="N54">
            <v>0</v>
          </cell>
          <cell r="O54" t="e">
            <v>#DIV/0!</v>
          </cell>
          <cell r="P54">
            <v>0</v>
          </cell>
          <cell r="Q54" t="e">
            <v>#DIV/0!</v>
          </cell>
          <cell r="S54">
            <v>0</v>
          </cell>
        </row>
        <row r="56">
          <cell r="C56" t="str">
            <v>Wages</v>
          </cell>
          <cell r="E56">
            <v>0</v>
          </cell>
          <cell r="F56" t="e">
            <v>#DIV/0!</v>
          </cell>
          <cell r="G56">
            <v>0</v>
          </cell>
          <cell r="H56" t="e">
            <v>#DIV/0!</v>
          </cell>
          <cell r="I56">
            <v>0</v>
          </cell>
          <cell r="J56" t="e">
            <v>#DIV/0!</v>
          </cell>
          <cell r="L56">
            <v>0</v>
          </cell>
          <cell r="M56" t="e">
            <v>#DIV/0!</v>
          </cell>
          <cell r="N56">
            <v>0</v>
          </cell>
          <cell r="O56" t="e">
            <v>#DIV/0!</v>
          </cell>
          <cell r="P56">
            <v>0</v>
          </cell>
          <cell r="Q56" t="e">
            <v>#DIV/0!</v>
          </cell>
          <cell r="S56">
            <v>0</v>
          </cell>
        </row>
        <row r="58">
          <cell r="C58" t="str">
            <v>Materials</v>
          </cell>
          <cell r="E58">
            <v>0</v>
          </cell>
          <cell r="F58" t="e">
            <v>#DIV/0!</v>
          </cell>
          <cell r="G58">
            <v>0</v>
          </cell>
          <cell r="H58" t="e">
            <v>#DIV/0!</v>
          </cell>
          <cell r="I58">
            <v>0</v>
          </cell>
          <cell r="J58" t="e">
            <v>#DIV/0!</v>
          </cell>
          <cell r="L58">
            <v>0</v>
          </cell>
          <cell r="M58" t="e">
            <v>#DIV/0!</v>
          </cell>
          <cell r="N58">
            <v>0</v>
          </cell>
          <cell r="O58" t="e">
            <v>#DIV/0!</v>
          </cell>
          <cell r="P58">
            <v>0</v>
          </cell>
          <cell r="Q58" t="e">
            <v>#DIV/0!</v>
          </cell>
          <cell r="S58">
            <v>0</v>
          </cell>
        </row>
        <row r="60">
          <cell r="C60" t="str">
            <v>Contracts &amp; Miscellaneous</v>
          </cell>
        </row>
        <row r="62">
          <cell r="C62">
            <v>640000</v>
          </cell>
          <cell r="D62" t="str">
            <v>Contracts</v>
          </cell>
          <cell r="E62">
            <v>345</v>
          </cell>
          <cell r="F62" t="e">
            <v>#DIV/0!</v>
          </cell>
          <cell r="G62">
            <v>0</v>
          </cell>
          <cell r="H62" t="e">
            <v>#DIV/0!</v>
          </cell>
          <cell r="I62">
            <v>345</v>
          </cell>
          <cell r="J62" t="e">
            <v>#DIV/0!</v>
          </cell>
          <cell r="L62">
            <v>4843</v>
          </cell>
          <cell r="M62" t="e">
            <v>#DIV/0!</v>
          </cell>
          <cell r="N62">
            <v>0</v>
          </cell>
          <cell r="O62" t="e">
            <v>#DIV/0!</v>
          </cell>
          <cell r="P62">
            <v>4843</v>
          </cell>
          <cell r="Q62" t="e">
            <v>#DIV/0!</v>
          </cell>
          <cell r="S62">
            <v>0</v>
          </cell>
        </row>
        <row r="63">
          <cell r="C63">
            <v>640510</v>
          </cell>
          <cell r="D63" t="str">
            <v>Contracts - Meter Reading</v>
          </cell>
          <cell r="E63">
            <v>1024.5899999999999</v>
          </cell>
          <cell r="F63" t="e">
            <v>#DIV/0!</v>
          </cell>
          <cell r="G63">
            <v>0</v>
          </cell>
          <cell r="H63" t="e">
            <v>#DIV/0!</v>
          </cell>
          <cell r="I63">
            <v>1024.5899999999999</v>
          </cell>
          <cell r="J63" t="e">
            <v>#DIV/0!</v>
          </cell>
          <cell r="L63">
            <v>13524.57</v>
          </cell>
          <cell r="M63" t="e">
            <v>#DIV/0!</v>
          </cell>
          <cell r="N63">
            <v>0</v>
          </cell>
          <cell r="O63" t="e">
            <v>#DIV/0!</v>
          </cell>
          <cell r="P63">
            <v>13524.57</v>
          </cell>
          <cell r="Q63" t="e">
            <v>#DIV/0!</v>
          </cell>
          <cell r="S63">
            <v>0</v>
          </cell>
        </row>
        <row r="64">
          <cell r="C64">
            <v>640855</v>
          </cell>
          <cell r="D64" t="str">
            <v>Legal Expenses Tax Deductible</v>
          </cell>
          <cell r="E64">
            <v>2205</v>
          </cell>
          <cell r="F64" t="e">
            <v>#DIV/0!</v>
          </cell>
          <cell r="G64">
            <v>0</v>
          </cell>
          <cell r="H64" t="e">
            <v>#DIV/0!</v>
          </cell>
          <cell r="I64">
            <v>2205</v>
          </cell>
          <cell r="J64" t="e">
            <v>#DIV/0!</v>
          </cell>
          <cell r="L64">
            <v>2205</v>
          </cell>
          <cell r="M64" t="e">
            <v>#DIV/0!</v>
          </cell>
          <cell r="N64">
            <v>0</v>
          </cell>
          <cell r="O64" t="e">
            <v>#DIV/0!</v>
          </cell>
          <cell r="P64">
            <v>2205</v>
          </cell>
          <cell r="Q64" t="e">
            <v>#DIV/0!</v>
          </cell>
          <cell r="S64">
            <v>0</v>
          </cell>
        </row>
        <row r="65">
          <cell r="C65" t="str">
            <v>Contracts, Consult &amp; Prof Exp</v>
          </cell>
          <cell r="E65">
            <v>3574.59</v>
          </cell>
          <cell r="F65" t="e">
            <v>#DIV/0!</v>
          </cell>
          <cell r="G65">
            <v>0</v>
          </cell>
          <cell r="H65" t="e">
            <v>#DIV/0!</v>
          </cell>
          <cell r="I65">
            <v>3574.59</v>
          </cell>
          <cell r="J65" t="e">
            <v>#DIV/0!</v>
          </cell>
          <cell r="L65">
            <v>20572.57</v>
          </cell>
          <cell r="M65" t="e">
            <v>#DIV/0!</v>
          </cell>
          <cell r="N65">
            <v>0</v>
          </cell>
          <cell r="O65" t="e">
            <v>#DIV/0!</v>
          </cell>
          <cell r="P65">
            <v>20572.57</v>
          </cell>
          <cell r="Q65" t="e">
            <v>#DIV/0!</v>
          </cell>
          <cell r="S65">
            <v>0</v>
          </cell>
        </row>
        <row r="67">
          <cell r="C67" t="str">
            <v>Inter Company Margins</v>
          </cell>
          <cell r="E67">
            <v>0</v>
          </cell>
          <cell r="F67" t="e">
            <v>#DIV/0!</v>
          </cell>
          <cell r="G67">
            <v>0</v>
          </cell>
          <cell r="H67" t="e">
            <v>#DIV/0!</v>
          </cell>
          <cell r="I67">
            <v>0</v>
          </cell>
          <cell r="J67" t="e">
            <v>#DIV/0!</v>
          </cell>
          <cell r="L67">
            <v>0</v>
          </cell>
          <cell r="M67" t="e">
            <v>#DIV/0!</v>
          </cell>
          <cell r="N67">
            <v>0</v>
          </cell>
          <cell r="O67" t="e">
            <v>#DIV/0!</v>
          </cell>
          <cell r="P67">
            <v>0</v>
          </cell>
          <cell r="Q67" t="e">
            <v>#DIV/0!</v>
          </cell>
          <cell r="S67">
            <v>0</v>
          </cell>
        </row>
        <row r="69">
          <cell r="C69">
            <v>641858</v>
          </cell>
          <cell r="D69" t="str">
            <v>Contracts TXU SA</v>
          </cell>
          <cell r="E69">
            <v>0</v>
          </cell>
          <cell r="F69" t="e">
            <v>#DIV/0!</v>
          </cell>
          <cell r="G69">
            <v>0</v>
          </cell>
          <cell r="H69" t="e">
            <v>#DIV/0!</v>
          </cell>
          <cell r="I69">
            <v>0</v>
          </cell>
          <cell r="J69" t="e">
            <v>#DIV/0!</v>
          </cell>
          <cell r="L69">
            <v>0</v>
          </cell>
          <cell r="M69" t="e">
            <v>#DIV/0!</v>
          </cell>
          <cell r="N69">
            <v>0</v>
          </cell>
          <cell r="O69" t="e">
            <v>#DIV/0!</v>
          </cell>
          <cell r="P69">
            <v>0</v>
          </cell>
          <cell r="Q69" t="e">
            <v>#DIV/0!</v>
          </cell>
          <cell r="S69">
            <v>0</v>
          </cell>
        </row>
        <row r="70">
          <cell r="C70" t="str">
            <v>Inter Co Contract Expenditure</v>
          </cell>
          <cell r="E70">
            <v>0</v>
          </cell>
          <cell r="F70" t="e">
            <v>#DIV/0!</v>
          </cell>
          <cell r="G70">
            <v>0</v>
          </cell>
          <cell r="H70" t="e">
            <v>#DIV/0!</v>
          </cell>
          <cell r="I70">
            <v>0</v>
          </cell>
          <cell r="J70" t="e">
            <v>#DIV/0!</v>
          </cell>
          <cell r="L70">
            <v>0</v>
          </cell>
          <cell r="M70" t="e">
            <v>#DIV/0!</v>
          </cell>
          <cell r="N70">
            <v>0</v>
          </cell>
          <cell r="O70" t="e">
            <v>#DIV/0!</v>
          </cell>
          <cell r="P70">
            <v>0</v>
          </cell>
          <cell r="Q70" t="e">
            <v>#DIV/0!</v>
          </cell>
          <cell r="S70">
            <v>0</v>
          </cell>
        </row>
        <row r="72">
          <cell r="C72">
            <v>642040</v>
          </cell>
          <cell r="D72" t="str">
            <v>Insurance premiums</v>
          </cell>
          <cell r="E72">
            <v>75268.820000000007</v>
          </cell>
          <cell r="F72" t="e">
            <v>#DIV/0!</v>
          </cell>
          <cell r="G72">
            <v>0</v>
          </cell>
          <cell r="H72" t="e">
            <v>#DIV/0!</v>
          </cell>
          <cell r="I72">
            <v>75268.820000000007</v>
          </cell>
          <cell r="J72" t="e">
            <v>#DIV/0!</v>
          </cell>
          <cell r="L72">
            <v>75268.820000000007</v>
          </cell>
          <cell r="M72" t="e">
            <v>#DIV/0!</v>
          </cell>
          <cell r="N72">
            <v>0</v>
          </cell>
          <cell r="O72" t="e">
            <v>#DIV/0!</v>
          </cell>
          <cell r="P72">
            <v>75268.820000000007</v>
          </cell>
          <cell r="Q72" t="e">
            <v>#DIV/0!</v>
          </cell>
          <cell r="S72">
            <v>0</v>
          </cell>
        </row>
        <row r="73">
          <cell r="C73" t="str">
            <v>Insurance Expenditure</v>
          </cell>
          <cell r="E73">
            <v>75268.820000000007</v>
          </cell>
          <cell r="F73" t="e">
            <v>#DIV/0!</v>
          </cell>
          <cell r="G73">
            <v>0</v>
          </cell>
          <cell r="H73" t="e">
            <v>#DIV/0!</v>
          </cell>
          <cell r="I73">
            <v>75268.820000000007</v>
          </cell>
          <cell r="J73" t="e">
            <v>#DIV/0!</v>
          </cell>
          <cell r="L73">
            <v>75268.820000000007</v>
          </cell>
          <cell r="M73" t="e">
            <v>#DIV/0!</v>
          </cell>
          <cell r="N73">
            <v>0</v>
          </cell>
          <cell r="O73" t="e">
            <v>#DIV/0!</v>
          </cell>
          <cell r="P73">
            <v>75268.820000000007</v>
          </cell>
          <cell r="Q73" t="e">
            <v>#DIV/0!</v>
          </cell>
          <cell r="S73">
            <v>0</v>
          </cell>
        </row>
        <row r="75">
          <cell r="C75">
            <v>643050</v>
          </cell>
          <cell r="D75" t="str">
            <v>Hire - Vehicles</v>
          </cell>
          <cell r="E75">
            <v>0</v>
          </cell>
          <cell r="F75" t="e">
            <v>#DIV/0!</v>
          </cell>
          <cell r="G75">
            <v>0</v>
          </cell>
          <cell r="H75" t="e">
            <v>#DIV/0!</v>
          </cell>
          <cell r="I75">
            <v>0</v>
          </cell>
          <cell r="J75" t="e">
            <v>#DIV/0!</v>
          </cell>
          <cell r="L75">
            <v>216</v>
          </cell>
          <cell r="M75" t="e">
            <v>#DIV/0!</v>
          </cell>
          <cell r="N75">
            <v>0</v>
          </cell>
          <cell r="O75" t="e">
            <v>#DIV/0!</v>
          </cell>
          <cell r="P75">
            <v>216</v>
          </cell>
          <cell r="Q75" t="e">
            <v>#DIV/0!</v>
          </cell>
          <cell r="S75">
            <v>0</v>
          </cell>
        </row>
        <row r="76">
          <cell r="C76">
            <v>643908</v>
          </cell>
          <cell r="D76" t="str">
            <v>Freight &amp; Courier Fees</v>
          </cell>
          <cell r="E76">
            <v>0</v>
          </cell>
          <cell r="F76" t="e">
            <v>#DIV/0!</v>
          </cell>
          <cell r="G76">
            <v>0</v>
          </cell>
          <cell r="H76" t="e">
            <v>#DIV/0!</v>
          </cell>
          <cell r="I76">
            <v>0</v>
          </cell>
          <cell r="J76" t="e">
            <v>#DIV/0!</v>
          </cell>
          <cell r="L76">
            <v>21.65</v>
          </cell>
          <cell r="M76" t="e">
            <v>#DIV/0!</v>
          </cell>
          <cell r="N76">
            <v>0</v>
          </cell>
          <cell r="O76" t="e">
            <v>#DIV/0!</v>
          </cell>
          <cell r="P76">
            <v>21.65</v>
          </cell>
          <cell r="Q76" t="e">
            <v>#DIV/0!</v>
          </cell>
          <cell r="S76">
            <v>0</v>
          </cell>
        </row>
        <row r="77">
          <cell r="C77" t="str">
            <v>Motor Vehicle &amp; Lease Exp</v>
          </cell>
          <cell r="E77">
            <v>0</v>
          </cell>
          <cell r="F77" t="e">
            <v>#DIV/0!</v>
          </cell>
          <cell r="G77">
            <v>0</v>
          </cell>
          <cell r="H77" t="e">
            <v>#DIV/0!</v>
          </cell>
          <cell r="I77">
            <v>0</v>
          </cell>
          <cell r="J77" t="e">
            <v>#DIV/0!</v>
          </cell>
          <cell r="L77">
            <v>237.65</v>
          </cell>
          <cell r="M77" t="e">
            <v>#DIV/0!</v>
          </cell>
          <cell r="N77">
            <v>0</v>
          </cell>
          <cell r="O77" t="e">
            <v>#DIV/0!</v>
          </cell>
          <cell r="P77">
            <v>237.65</v>
          </cell>
          <cell r="Q77" t="e">
            <v>#DIV/0!</v>
          </cell>
          <cell r="S77">
            <v>0</v>
          </cell>
        </row>
        <row r="79">
          <cell r="C79">
            <v>644070</v>
          </cell>
          <cell r="D79" t="str">
            <v>Bad Debts Expense</v>
          </cell>
          <cell r="E79">
            <v>0.01</v>
          </cell>
          <cell r="F79" t="e">
            <v>#DIV/0!</v>
          </cell>
          <cell r="G79">
            <v>0</v>
          </cell>
          <cell r="H79" t="e">
            <v>#DIV/0!</v>
          </cell>
          <cell r="I79">
            <v>0.01</v>
          </cell>
          <cell r="J79" t="e">
            <v>#DIV/0!</v>
          </cell>
          <cell r="L79">
            <v>0.06</v>
          </cell>
          <cell r="M79" t="e">
            <v>#DIV/0!</v>
          </cell>
          <cell r="N79">
            <v>0</v>
          </cell>
          <cell r="O79" t="e">
            <v>#DIV/0!</v>
          </cell>
          <cell r="P79">
            <v>0.06</v>
          </cell>
          <cell r="Q79" t="e">
            <v>#DIV/0!</v>
          </cell>
          <cell r="S79">
            <v>0</v>
          </cell>
        </row>
        <row r="80">
          <cell r="C80" t="str">
            <v>Customer Expenses</v>
          </cell>
          <cell r="E80">
            <v>0.01</v>
          </cell>
          <cell r="F80" t="e">
            <v>#DIV/0!</v>
          </cell>
          <cell r="G80">
            <v>0</v>
          </cell>
          <cell r="H80" t="e">
            <v>#DIV/0!</v>
          </cell>
          <cell r="I80">
            <v>0.01</v>
          </cell>
          <cell r="J80" t="e">
            <v>#DIV/0!</v>
          </cell>
          <cell r="L80">
            <v>0.06</v>
          </cell>
          <cell r="M80" t="e">
            <v>#DIV/0!</v>
          </cell>
          <cell r="N80">
            <v>0</v>
          </cell>
          <cell r="O80" t="e">
            <v>#DIV/0!</v>
          </cell>
          <cell r="P80">
            <v>0.06</v>
          </cell>
          <cell r="Q80" t="e">
            <v>#DIV/0!</v>
          </cell>
          <cell r="S80">
            <v>0</v>
          </cell>
        </row>
        <row r="82">
          <cell r="C82" t="str">
            <v>Computing Expenses</v>
          </cell>
          <cell r="E82">
            <v>0</v>
          </cell>
          <cell r="F82" t="e">
            <v>#DIV/0!</v>
          </cell>
          <cell r="G82">
            <v>0</v>
          </cell>
          <cell r="H82" t="e">
            <v>#DIV/0!</v>
          </cell>
          <cell r="I82">
            <v>0</v>
          </cell>
          <cell r="J82" t="e">
            <v>#DIV/0!</v>
          </cell>
          <cell r="L82">
            <v>0</v>
          </cell>
          <cell r="M82" t="e">
            <v>#DIV/0!</v>
          </cell>
          <cell r="N82">
            <v>0</v>
          </cell>
          <cell r="O82" t="e">
            <v>#DIV/0!</v>
          </cell>
          <cell r="P82">
            <v>0</v>
          </cell>
          <cell r="Q82" t="e">
            <v>#DIV/0!</v>
          </cell>
          <cell r="S82">
            <v>0</v>
          </cell>
        </row>
        <row r="84">
          <cell r="C84" t="str">
            <v>Communications Expenditure</v>
          </cell>
          <cell r="E84">
            <v>0</v>
          </cell>
          <cell r="F84" t="e">
            <v>#DIV/0!</v>
          </cell>
          <cell r="G84">
            <v>0</v>
          </cell>
          <cell r="H84" t="e">
            <v>#DIV/0!</v>
          </cell>
          <cell r="I84">
            <v>0</v>
          </cell>
          <cell r="J84" t="e">
            <v>#DIV/0!</v>
          </cell>
          <cell r="L84">
            <v>0</v>
          </cell>
          <cell r="M84" t="e">
            <v>#DIV/0!</v>
          </cell>
          <cell r="N84">
            <v>0</v>
          </cell>
          <cell r="O84" t="e">
            <v>#DIV/0!</v>
          </cell>
          <cell r="P84">
            <v>0</v>
          </cell>
          <cell r="Q84" t="e">
            <v>#DIV/0!</v>
          </cell>
          <cell r="S84">
            <v>0</v>
          </cell>
        </row>
        <row r="86">
          <cell r="C86" t="str">
            <v>Marketing Expenses</v>
          </cell>
          <cell r="E86">
            <v>0</v>
          </cell>
          <cell r="F86" t="e">
            <v>#DIV/0!</v>
          </cell>
          <cell r="G86">
            <v>0</v>
          </cell>
          <cell r="H86" t="e">
            <v>#DIV/0!</v>
          </cell>
          <cell r="I86">
            <v>0</v>
          </cell>
          <cell r="J86" t="e">
            <v>#DIV/0!</v>
          </cell>
          <cell r="L86">
            <v>0</v>
          </cell>
          <cell r="M86" t="e">
            <v>#DIV/0!</v>
          </cell>
          <cell r="N86">
            <v>0</v>
          </cell>
          <cell r="O86" t="e">
            <v>#DIV/0!</v>
          </cell>
          <cell r="P86">
            <v>0</v>
          </cell>
          <cell r="Q86" t="e">
            <v>#DIV/0!</v>
          </cell>
          <cell r="S86">
            <v>0</v>
          </cell>
        </row>
        <row r="88">
          <cell r="C88">
            <v>648030</v>
          </cell>
          <cell r="D88" t="str">
            <v>Bank Fees</v>
          </cell>
          <cell r="E88">
            <v>82</v>
          </cell>
          <cell r="F88" t="e">
            <v>#DIV/0!</v>
          </cell>
          <cell r="G88">
            <v>0</v>
          </cell>
          <cell r="H88" t="e">
            <v>#DIV/0!</v>
          </cell>
          <cell r="I88">
            <v>82</v>
          </cell>
          <cell r="J88" t="e">
            <v>#DIV/0!</v>
          </cell>
          <cell r="L88">
            <v>933</v>
          </cell>
          <cell r="M88" t="e">
            <v>#DIV/0!</v>
          </cell>
          <cell r="N88">
            <v>0</v>
          </cell>
          <cell r="O88" t="e">
            <v>#DIV/0!</v>
          </cell>
          <cell r="P88">
            <v>933</v>
          </cell>
          <cell r="Q88" t="e">
            <v>#DIV/0!</v>
          </cell>
          <cell r="S88">
            <v>0</v>
          </cell>
        </row>
        <row r="89">
          <cell r="C89">
            <v>648230</v>
          </cell>
          <cell r="D89" t="str">
            <v>Elec Expense</v>
          </cell>
          <cell r="E89">
            <v>53289.11</v>
          </cell>
          <cell r="F89" t="e">
            <v>#DIV/0!</v>
          </cell>
          <cell r="G89">
            <v>0</v>
          </cell>
          <cell r="H89" t="e">
            <v>#DIV/0!</v>
          </cell>
          <cell r="I89">
            <v>53289.11</v>
          </cell>
          <cell r="J89" t="e">
            <v>#DIV/0!</v>
          </cell>
          <cell r="L89">
            <v>1018182.39</v>
          </cell>
          <cell r="M89" t="e">
            <v>#DIV/0!</v>
          </cell>
          <cell r="N89">
            <v>0</v>
          </cell>
          <cell r="O89" t="e">
            <v>#DIV/0!</v>
          </cell>
          <cell r="P89">
            <v>1018182.39</v>
          </cell>
          <cell r="Q89" t="e">
            <v>#DIV/0!</v>
          </cell>
          <cell r="S89">
            <v>0</v>
          </cell>
        </row>
        <row r="90">
          <cell r="C90">
            <v>648300</v>
          </cell>
          <cell r="D90" t="str">
            <v>Stamp Duty</v>
          </cell>
          <cell r="E90">
            <v>8279.57</v>
          </cell>
          <cell r="F90" t="e">
            <v>#DIV/0!</v>
          </cell>
          <cell r="G90">
            <v>0</v>
          </cell>
          <cell r="H90" t="e">
            <v>#DIV/0!</v>
          </cell>
          <cell r="I90">
            <v>8279.57</v>
          </cell>
          <cell r="J90" t="e">
            <v>#DIV/0!</v>
          </cell>
          <cell r="L90">
            <v>8279.57</v>
          </cell>
          <cell r="M90" t="e">
            <v>#DIV/0!</v>
          </cell>
          <cell r="N90">
            <v>0</v>
          </cell>
          <cell r="O90" t="e">
            <v>#DIV/0!</v>
          </cell>
          <cell r="P90">
            <v>8279.57</v>
          </cell>
          <cell r="Q90" t="e">
            <v>#DIV/0!</v>
          </cell>
          <cell r="S90">
            <v>0</v>
          </cell>
        </row>
        <row r="91">
          <cell r="C91" t="str">
            <v>Rates Taxes Licences &amp; Charges</v>
          </cell>
          <cell r="E91">
            <v>61650.68</v>
          </cell>
          <cell r="F91" t="e">
            <v>#DIV/0!</v>
          </cell>
          <cell r="G91">
            <v>0</v>
          </cell>
          <cell r="H91" t="e">
            <v>#DIV/0!</v>
          </cell>
          <cell r="I91">
            <v>61650.68</v>
          </cell>
          <cell r="J91" t="e">
            <v>#DIV/0!</v>
          </cell>
          <cell r="L91">
            <v>1027394.96</v>
          </cell>
          <cell r="M91" t="e">
            <v>#DIV/0!</v>
          </cell>
          <cell r="N91">
            <v>0</v>
          </cell>
          <cell r="O91" t="e">
            <v>#DIV/0!</v>
          </cell>
          <cell r="P91">
            <v>1027394.96</v>
          </cell>
          <cell r="Q91" t="e">
            <v>#DIV/0!</v>
          </cell>
          <cell r="S91">
            <v>0</v>
          </cell>
        </row>
        <row r="93">
          <cell r="C93" t="str">
            <v>Financial Adjustments</v>
          </cell>
          <cell r="E93">
            <v>0</v>
          </cell>
          <cell r="F93" t="e">
            <v>#DIV/0!</v>
          </cell>
          <cell r="G93">
            <v>0</v>
          </cell>
          <cell r="H93" t="e">
            <v>#DIV/0!</v>
          </cell>
          <cell r="I93">
            <v>0</v>
          </cell>
          <cell r="J93" t="e">
            <v>#DIV/0!</v>
          </cell>
          <cell r="L93">
            <v>0</v>
          </cell>
          <cell r="M93" t="e">
            <v>#DIV/0!</v>
          </cell>
          <cell r="N93">
            <v>0</v>
          </cell>
          <cell r="O93" t="e">
            <v>#DIV/0!</v>
          </cell>
          <cell r="P93">
            <v>0</v>
          </cell>
          <cell r="Q93" t="e">
            <v>#DIV/0!</v>
          </cell>
          <cell r="S93">
            <v>0</v>
          </cell>
        </row>
        <row r="95">
          <cell r="C95">
            <v>659000</v>
          </cell>
          <cell r="D95" t="str">
            <v>Miscellaneous General</v>
          </cell>
          <cell r="E95">
            <v>0</v>
          </cell>
          <cell r="F95" t="e">
            <v>#DIV/0!</v>
          </cell>
          <cell r="G95">
            <v>0</v>
          </cell>
          <cell r="H95" t="e">
            <v>#DIV/0!</v>
          </cell>
          <cell r="I95">
            <v>0</v>
          </cell>
          <cell r="J95" t="e">
            <v>#DIV/0!</v>
          </cell>
          <cell r="L95">
            <v>956.91</v>
          </cell>
          <cell r="M95" t="e">
            <v>#DIV/0!</v>
          </cell>
          <cell r="N95">
            <v>0</v>
          </cell>
          <cell r="O95" t="e">
            <v>#DIV/0!</v>
          </cell>
          <cell r="P95">
            <v>956.91</v>
          </cell>
          <cell r="Q95" t="e">
            <v>#DIV/0!</v>
          </cell>
          <cell r="S95">
            <v>0</v>
          </cell>
        </row>
        <row r="96">
          <cell r="C96">
            <v>659020</v>
          </cell>
          <cell r="D96" t="str">
            <v>Subscriptions Tax Deductible</v>
          </cell>
          <cell r="E96">
            <v>0</v>
          </cell>
          <cell r="F96" t="e">
            <v>#DIV/0!</v>
          </cell>
          <cell r="G96">
            <v>0</v>
          </cell>
          <cell r="H96" t="e">
            <v>#DIV/0!</v>
          </cell>
          <cell r="I96">
            <v>0</v>
          </cell>
          <cell r="J96" t="e">
            <v>#DIV/0!</v>
          </cell>
          <cell r="L96">
            <v>1289</v>
          </cell>
          <cell r="M96" t="e">
            <v>#DIV/0!</v>
          </cell>
          <cell r="N96">
            <v>0</v>
          </cell>
          <cell r="O96" t="e">
            <v>#DIV/0!</v>
          </cell>
          <cell r="P96">
            <v>1289</v>
          </cell>
          <cell r="Q96" t="e">
            <v>#DIV/0!</v>
          </cell>
          <cell r="S96">
            <v>0</v>
          </cell>
        </row>
        <row r="97">
          <cell r="C97">
            <v>659030</v>
          </cell>
          <cell r="D97" t="str">
            <v>Employee Subscriptions Reimbt</v>
          </cell>
          <cell r="E97">
            <v>0</v>
          </cell>
          <cell r="F97" t="e">
            <v>#DIV/0!</v>
          </cell>
          <cell r="G97">
            <v>0</v>
          </cell>
          <cell r="H97" t="e">
            <v>#DIV/0!</v>
          </cell>
          <cell r="I97">
            <v>0</v>
          </cell>
          <cell r="J97" t="e">
            <v>#DIV/0!</v>
          </cell>
          <cell r="L97">
            <v>12</v>
          </cell>
          <cell r="M97" t="e">
            <v>#DIV/0!</v>
          </cell>
          <cell r="N97">
            <v>0</v>
          </cell>
          <cell r="O97" t="e">
            <v>#DIV/0!</v>
          </cell>
          <cell r="P97">
            <v>12</v>
          </cell>
          <cell r="Q97" t="e">
            <v>#DIV/0!</v>
          </cell>
          <cell r="S97">
            <v>0</v>
          </cell>
        </row>
        <row r="98">
          <cell r="C98">
            <v>659105</v>
          </cell>
          <cell r="D98" t="str">
            <v>Training Courses</v>
          </cell>
          <cell r="E98">
            <v>0</v>
          </cell>
          <cell r="F98" t="e">
            <v>#DIV/0!</v>
          </cell>
          <cell r="G98">
            <v>0</v>
          </cell>
          <cell r="H98" t="e">
            <v>#DIV/0!</v>
          </cell>
          <cell r="I98">
            <v>0</v>
          </cell>
          <cell r="J98" t="e">
            <v>#DIV/0!</v>
          </cell>
          <cell r="L98">
            <v>649.16</v>
          </cell>
          <cell r="M98" t="e">
            <v>#DIV/0!</v>
          </cell>
          <cell r="N98">
            <v>0</v>
          </cell>
          <cell r="O98" t="e">
            <v>#DIV/0!</v>
          </cell>
          <cell r="P98">
            <v>649.16</v>
          </cell>
          <cell r="Q98" t="e">
            <v>#DIV/0!</v>
          </cell>
          <cell r="S98">
            <v>0</v>
          </cell>
        </row>
        <row r="99">
          <cell r="C99" t="str">
            <v>Employee &amp; Misc Expenses</v>
          </cell>
          <cell r="E99">
            <v>0</v>
          </cell>
          <cell r="F99" t="e">
            <v>#DIV/0!</v>
          </cell>
          <cell r="G99">
            <v>0</v>
          </cell>
          <cell r="H99" t="e">
            <v>#DIV/0!</v>
          </cell>
          <cell r="I99">
            <v>0</v>
          </cell>
          <cell r="J99" t="e">
            <v>#DIV/0!</v>
          </cell>
          <cell r="L99">
            <v>2907.07</v>
          </cell>
          <cell r="M99" t="e">
            <v>#DIV/0!</v>
          </cell>
          <cell r="N99">
            <v>0</v>
          </cell>
          <cell r="O99" t="e">
            <v>#DIV/0!</v>
          </cell>
          <cell r="P99">
            <v>2907.07</v>
          </cell>
          <cell r="Q99" t="e">
            <v>#DIV/0!</v>
          </cell>
          <cell r="S99">
            <v>0</v>
          </cell>
        </row>
        <row r="101">
          <cell r="C101" t="str">
            <v>Total Contracts &amp; Miscellaneous</v>
          </cell>
          <cell r="E101">
            <v>140494.1</v>
          </cell>
          <cell r="F101" t="e">
            <v>#DIV/0!</v>
          </cell>
          <cell r="G101">
            <v>0</v>
          </cell>
          <cell r="H101" t="e">
            <v>#DIV/0!</v>
          </cell>
          <cell r="I101">
            <v>140494.1</v>
          </cell>
          <cell r="J101" t="e">
            <v>#DIV/0!</v>
          </cell>
          <cell r="L101">
            <v>1126381.1300000001</v>
          </cell>
          <cell r="M101" t="e">
            <v>#DIV/0!</v>
          </cell>
          <cell r="N101">
            <v>0</v>
          </cell>
          <cell r="O101" t="e">
            <v>#DIV/0!</v>
          </cell>
          <cell r="P101">
            <v>1126381.1300000001</v>
          </cell>
          <cell r="Q101" t="e">
            <v>#DIV/0!</v>
          </cell>
          <cell r="S101">
            <v>0</v>
          </cell>
        </row>
        <row r="103">
          <cell r="C103" t="str">
            <v>General Corporate Accounts</v>
          </cell>
          <cell r="E103">
            <v>0</v>
          </cell>
          <cell r="F103" t="e">
            <v>#DIV/0!</v>
          </cell>
          <cell r="G103">
            <v>0</v>
          </cell>
          <cell r="H103" t="e">
            <v>#DIV/0!</v>
          </cell>
          <cell r="I103">
            <v>0</v>
          </cell>
          <cell r="J103" t="e">
            <v>#DIV/0!</v>
          </cell>
          <cell r="L103">
            <v>0</v>
          </cell>
          <cell r="M103" t="e">
            <v>#DIV/0!</v>
          </cell>
          <cell r="N103">
            <v>0</v>
          </cell>
          <cell r="O103" t="e">
            <v>#DIV/0!</v>
          </cell>
          <cell r="P103">
            <v>0</v>
          </cell>
          <cell r="Q103" t="e">
            <v>#DIV/0!</v>
          </cell>
          <cell r="S103">
            <v>0</v>
          </cell>
        </row>
        <row r="105">
          <cell r="C105" t="str">
            <v>Overheads</v>
          </cell>
          <cell r="E105">
            <v>0</v>
          </cell>
          <cell r="F105" t="e">
            <v>#DIV/0!</v>
          </cell>
          <cell r="G105">
            <v>0</v>
          </cell>
          <cell r="H105" t="e">
            <v>#DIV/0!</v>
          </cell>
          <cell r="I105">
            <v>0</v>
          </cell>
          <cell r="J105" t="e">
            <v>#DIV/0!</v>
          </cell>
          <cell r="L105">
            <v>0</v>
          </cell>
          <cell r="M105" t="e">
            <v>#DIV/0!</v>
          </cell>
          <cell r="N105">
            <v>0</v>
          </cell>
          <cell r="O105" t="e">
            <v>#DIV/0!</v>
          </cell>
          <cell r="P105">
            <v>0</v>
          </cell>
          <cell r="Q105" t="e">
            <v>#DIV/0!</v>
          </cell>
          <cell r="S105">
            <v>0</v>
          </cell>
        </row>
        <row r="107">
          <cell r="C107" t="str">
            <v>Work In Progress Clearance</v>
          </cell>
          <cell r="E107">
            <v>0</v>
          </cell>
          <cell r="F107" t="e">
            <v>#DIV/0!</v>
          </cell>
          <cell r="G107">
            <v>0</v>
          </cell>
          <cell r="H107" t="e">
            <v>#DIV/0!</v>
          </cell>
          <cell r="I107">
            <v>0</v>
          </cell>
          <cell r="J107" t="e">
            <v>#DIV/0!</v>
          </cell>
          <cell r="L107">
            <v>0</v>
          </cell>
          <cell r="M107" t="e">
            <v>#DIV/0!</v>
          </cell>
          <cell r="N107">
            <v>0</v>
          </cell>
          <cell r="O107" t="e">
            <v>#DIV/0!</v>
          </cell>
          <cell r="P107">
            <v>0</v>
          </cell>
          <cell r="Q107" t="e">
            <v>#DIV/0!</v>
          </cell>
          <cell r="S107">
            <v>0</v>
          </cell>
        </row>
        <row r="109">
          <cell r="E109">
            <v>6851720.0699999994</v>
          </cell>
          <cell r="F109" t="e">
            <v>#DIV/0!</v>
          </cell>
          <cell r="G109">
            <v>4113000</v>
          </cell>
          <cell r="H109" t="e">
            <v>#DIV/0!</v>
          </cell>
          <cell r="I109">
            <v>2738720.07</v>
          </cell>
          <cell r="J109" t="e">
            <v>#DIV/0!</v>
          </cell>
          <cell r="L109">
            <v>103016141.70999999</v>
          </cell>
          <cell r="M109" t="e">
            <v>#DIV/0!</v>
          </cell>
          <cell r="N109">
            <v>83018000</v>
          </cell>
          <cell r="O109" t="e">
            <v>#DIV/0!</v>
          </cell>
          <cell r="P109">
            <v>19998141.709999997</v>
          </cell>
          <cell r="Q109" t="e">
            <v>#DIV/0!</v>
          </cell>
          <cell r="S109">
            <v>83018000</v>
          </cell>
        </row>
        <row r="111">
          <cell r="E111">
            <v>3255857.7300000014</v>
          </cell>
          <cell r="F111" t="e">
            <v>#DIV/0!</v>
          </cell>
          <cell r="G111">
            <v>5875333.3300000001</v>
          </cell>
          <cell r="H111" t="e">
            <v>#DIV/0!</v>
          </cell>
          <cell r="I111">
            <v>-2619475.6</v>
          </cell>
          <cell r="J111" t="e">
            <v>#DIV/0!</v>
          </cell>
          <cell r="L111">
            <v>67408655.87999998</v>
          </cell>
          <cell r="M111" t="e">
            <v>#DIV/0!</v>
          </cell>
          <cell r="N111">
            <v>79043699.909999996</v>
          </cell>
          <cell r="O111" t="e">
            <v>#DIV/0!</v>
          </cell>
          <cell r="P111">
            <v>-11635044.030000016</v>
          </cell>
          <cell r="Q111" t="e">
            <v>#DIV/0!</v>
          </cell>
          <cell r="S111">
            <v>79043699.909999996</v>
          </cell>
        </row>
        <row r="114">
          <cell r="C114" t="str">
            <v>Depreciation &amp; Amortisation</v>
          </cell>
          <cell r="E114">
            <v>0</v>
          </cell>
          <cell r="F114" t="e">
            <v>#DIV/0!</v>
          </cell>
          <cell r="G114">
            <v>0</v>
          </cell>
          <cell r="H114" t="e">
            <v>#DIV/0!</v>
          </cell>
          <cell r="I114">
            <v>0</v>
          </cell>
          <cell r="J114" t="e">
            <v>#DIV/0!</v>
          </cell>
          <cell r="K114" t="e">
            <v>#DIV/0!</v>
          </cell>
          <cell r="L114">
            <v>0</v>
          </cell>
          <cell r="M114" t="e">
            <v>#DIV/0!</v>
          </cell>
          <cell r="N114">
            <v>0</v>
          </cell>
          <cell r="O114" t="e">
            <v>#DIV/0!</v>
          </cell>
          <cell r="P114">
            <v>0</v>
          </cell>
          <cell r="Q114" t="e">
            <v>#DIV/0!</v>
          </cell>
          <cell r="R114" t="e">
            <v>#DIV/0!</v>
          </cell>
          <cell r="S114">
            <v>0</v>
          </cell>
        </row>
        <row r="116">
          <cell r="E116">
            <v>3255857.7300000014</v>
          </cell>
          <cell r="F116" t="e">
            <v>#DIV/0!</v>
          </cell>
          <cell r="G116">
            <v>5875333.3300000001</v>
          </cell>
          <cell r="H116" t="e">
            <v>#DIV/0!</v>
          </cell>
          <cell r="I116">
            <v>-2619475.6</v>
          </cell>
          <cell r="J116" t="e">
            <v>#DIV/0!</v>
          </cell>
          <cell r="K116" t="e">
            <v>#DIV/0!</v>
          </cell>
          <cell r="L116">
            <v>67408655.87999998</v>
          </cell>
          <cell r="M116" t="e">
            <v>#DIV/0!</v>
          </cell>
          <cell r="N116">
            <v>79043699.909999996</v>
          </cell>
          <cell r="O116" t="e">
            <v>#DIV/0!</v>
          </cell>
          <cell r="P116">
            <v>-11635044.030000016</v>
          </cell>
          <cell r="Q116" t="e">
            <v>#DIV/0!</v>
          </cell>
          <cell r="R116" t="e">
            <v>#DIV/0!</v>
          </cell>
          <cell r="S116">
            <v>79043699.909999996</v>
          </cell>
        </row>
        <row r="119">
          <cell r="C119">
            <v>672175</v>
          </cell>
          <cell r="D119" t="str">
            <v>Bank Overdraft Interest</v>
          </cell>
          <cell r="E119">
            <v>4.87</v>
          </cell>
          <cell r="F119" t="e">
            <v>#DIV/0!</v>
          </cell>
          <cell r="G119">
            <v>0</v>
          </cell>
          <cell r="H119" t="e">
            <v>#DIV/0!</v>
          </cell>
          <cell r="I119">
            <v>4.87</v>
          </cell>
          <cell r="J119" t="e">
            <v>#DIV/0!</v>
          </cell>
          <cell r="L119">
            <v>31.93</v>
          </cell>
          <cell r="M119" t="e">
            <v>#DIV/0!</v>
          </cell>
          <cell r="N119">
            <v>0</v>
          </cell>
          <cell r="O119" t="e">
            <v>#DIV/0!</v>
          </cell>
          <cell r="P119">
            <v>31.93</v>
          </cell>
          <cell r="Q119" t="e">
            <v>#DIV/0!</v>
          </cell>
          <cell r="S119">
            <v>0</v>
          </cell>
        </row>
        <row r="120">
          <cell r="C120">
            <v>672400</v>
          </cell>
          <cell r="D120" t="str">
            <v>Interco interest to subs</v>
          </cell>
          <cell r="E120">
            <v>-869179.13</v>
          </cell>
          <cell r="F120" t="e">
            <v>#DIV/0!</v>
          </cell>
          <cell r="G120">
            <v>0</v>
          </cell>
          <cell r="H120" t="e">
            <v>#DIV/0!</v>
          </cell>
          <cell r="I120">
            <v>-869179.13</v>
          </cell>
          <cell r="J120" t="e">
            <v>#DIV/0!</v>
          </cell>
          <cell r="L120">
            <v>-9550858.8000000007</v>
          </cell>
          <cell r="M120" t="e">
            <v>#DIV/0!</v>
          </cell>
          <cell r="N120">
            <v>0</v>
          </cell>
          <cell r="O120" t="e">
            <v>#DIV/0!</v>
          </cell>
          <cell r="P120">
            <v>-9550858.8000000007</v>
          </cell>
          <cell r="Q120" t="e">
            <v>#DIV/0!</v>
          </cell>
          <cell r="S120">
            <v>0</v>
          </cell>
        </row>
        <row r="121">
          <cell r="C121">
            <v>673000</v>
          </cell>
          <cell r="D121" t="str">
            <v>NPV interest expense(non-cash)</v>
          </cell>
          <cell r="E121">
            <v>353000</v>
          </cell>
          <cell r="F121" t="e">
            <v>#DIV/0!</v>
          </cell>
          <cell r="G121">
            <v>467000</v>
          </cell>
          <cell r="H121" t="e">
            <v>#DIV/0!</v>
          </cell>
          <cell r="I121">
            <v>-114000</v>
          </cell>
          <cell r="J121" t="e">
            <v>#DIV/0!</v>
          </cell>
          <cell r="L121">
            <v>5604000</v>
          </cell>
          <cell r="M121" t="e">
            <v>#DIV/0!</v>
          </cell>
          <cell r="N121">
            <v>5604000</v>
          </cell>
          <cell r="O121" t="e">
            <v>#DIV/0!</v>
          </cell>
          <cell r="P121">
            <v>0</v>
          </cell>
          <cell r="Q121" t="e">
            <v>#DIV/0!</v>
          </cell>
          <cell r="S121">
            <v>5604000</v>
          </cell>
        </row>
        <row r="122">
          <cell r="C122" t="str">
            <v>Finance Charges</v>
          </cell>
          <cell r="E122">
            <v>-516174.26</v>
          </cell>
          <cell r="F122" t="e">
            <v>#DIV/0!</v>
          </cell>
          <cell r="G122">
            <v>467000</v>
          </cell>
          <cell r="H122" t="e">
            <v>#DIV/0!</v>
          </cell>
          <cell r="I122">
            <v>-983174.26</v>
          </cell>
          <cell r="J122" t="e">
            <v>#DIV/0!</v>
          </cell>
          <cell r="K122" t="e">
            <v>#DIV/0!</v>
          </cell>
          <cell r="L122">
            <v>-3946826.87</v>
          </cell>
          <cell r="M122" t="e">
            <v>#DIV/0!</v>
          </cell>
          <cell r="N122">
            <v>5604000</v>
          </cell>
          <cell r="O122" t="e">
            <v>#DIV/0!</v>
          </cell>
          <cell r="P122">
            <v>-9550826.870000001</v>
          </cell>
          <cell r="Q122" t="e">
            <v>#DIV/0!</v>
          </cell>
          <cell r="R122" t="e">
            <v>#DIV/0!</v>
          </cell>
          <cell r="S122">
            <v>5604000</v>
          </cell>
        </row>
        <row r="124">
          <cell r="E124">
            <v>3772031.9900000012</v>
          </cell>
          <cell r="F124" t="e">
            <v>#DIV/0!</v>
          </cell>
          <cell r="G124">
            <v>5408333.3300000001</v>
          </cell>
          <cell r="H124" t="e">
            <v>#DIV/0!</v>
          </cell>
          <cell r="I124">
            <v>-1636301.34</v>
          </cell>
          <cell r="J124" t="e">
            <v>#DIV/0!</v>
          </cell>
          <cell r="K124" t="e">
            <v>#DIV/0!</v>
          </cell>
          <cell r="L124">
            <v>71355482.749999985</v>
          </cell>
          <cell r="M124" t="e">
            <v>#DIV/0!</v>
          </cell>
          <cell r="N124">
            <v>73439699.909999996</v>
          </cell>
          <cell r="O124" t="e">
            <v>#DIV/0!</v>
          </cell>
          <cell r="P124">
            <v>-2084217.1600000151</v>
          </cell>
          <cell r="Q124" t="e">
            <v>#DIV/0!</v>
          </cell>
          <cell r="R124" t="e">
            <v>#DIV/0!</v>
          </cell>
          <cell r="S124">
            <v>73439699.909999996</v>
          </cell>
        </row>
        <row r="127">
          <cell r="C127" t="str">
            <v>Abnormal Items</v>
          </cell>
          <cell r="E127">
            <v>0</v>
          </cell>
          <cell r="F127" t="e">
            <v>#DIV/0!</v>
          </cell>
          <cell r="G127">
            <v>0</v>
          </cell>
          <cell r="H127" t="e">
            <v>#DIV/0!</v>
          </cell>
          <cell r="I127">
            <v>0</v>
          </cell>
          <cell r="K127" t="e">
            <v>#DIV/0!</v>
          </cell>
          <cell r="L127">
            <v>0</v>
          </cell>
          <cell r="M127" t="e">
            <v>#DIV/0!</v>
          </cell>
          <cell r="N127">
            <v>0</v>
          </cell>
          <cell r="O127" t="e">
            <v>#DIV/0!</v>
          </cell>
          <cell r="P127">
            <v>0</v>
          </cell>
          <cell r="Q127" t="e">
            <v>#DIV/0!</v>
          </cell>
          <cell r="R127" t="e">
            <v>#DIV/0!</v>
          </cell>
          <cell r="S127">
            <v>0</v>
          </cell>
        </row>
      </sheetData>
      <sheetData sheetId="4" refreshError="1">
        <row r="8">
          <cell r="C8">
            <v>504550</v>
          </cell>
          <cell r="D8" t="str">
            <v>Distribution Revenue Franchise</v>
          </cell>
          <cell r="F8">
            <v>184761000</v>
          </cell>
        </row>
        <row r="9">
          <cell r="C9">
            <v>504551</v>
          </cell>
          <cell r="D9" t="str">
            <v>Distribution Revenue Contest</v>
          </cell>
          <cell r="F9">
            <v>33067000</v>
          </cell>
        </row>
        <row r="10">
          <cell r="C10">
            <v>504552</v>
          </cell>
          <cell r="F10">
            <v>-524</v>
          </cell>
        </row>
        <row r="11">
          <cell r="C11">
            <v>504600</v>
          </cell>
          <cell r="D11" t="str">
            <v>Regulated Rev Kinetik Tariff V</v>
          </cell>
          <cell r="F11">
            <v>50706000</v>
          </cell>
        </row>
        <row r="12">
          <cell r="C12">
            <v>504620</v>
          </cell>
          <cell r="D12" t="str">
            <v>Regulated Rev Kinetik Tariff D</v>
          </cell>
          <cell r="F12">
            <v>2906000</v>
          </cell>
        </row>
        <row r="13">
          <cell r="C13">
            <v>540800</v>
          </cell>
          <cell r="D13" t="str">
            <v>Rev Intercompany</v>
          </cell>
          <cell r="F13">
            <v>152758035.77000001</v>
          </cell>
        </row>
        <row r="14">
          <cell r="C14">
            <v>540820</v>
          </cell>
          <cell r="D14" t="str">
            <v>Other Rev Kinetik Tariff V</v>
          </cell>
          <cell r="F14">
            <v>215999.98</v>
          </cell>
        </row>
        <row r="15">
          <cell r="C15">
            <v>540823</v>
          </cell>
          <cell r="D15" t="str">
            <v>Other Rev Kinetik Tariff D</v>
          </cell>
          <cell r="F15">
            <v>2457006.85</v>
          </cell>
        </row>
        <row r="16">
          <cell r="C16">
            <v>540830</v>
          </cell>
          <cell r="D16" t="str">
            <v>Revenue EFM Mgt Fee</v>
          </cell>
          <cell r="F16">
            <v>0</v>
          </cell>
        </row>
        <row r="17">
          <cell r="C17">
            <v>540855</v>
          </cell>
          <cell r="D17" t="str">
            <v xml:space="preserve"> Rev DMS Franchise Metering</v>
          </cell>
          <cell r="F17">
            <v>6818000.2199999997</v>
          </cell>
        </row>
        <row r="18">
          <cell r="C18">
            <v>540862</v>
          </cell>
          <cell r="D18" t="str">
            <v>Rev Eastern Energy - Assets [EFM only]</v>
          </cell>
          <cell r="F18">
            <v>-1</v>
          </cell>
        </row>
        <row r="19">
          <cell r="C19">
            <v>540873</v>
          </cell>
          <cell r="D19" t="str">
            <v>Revenue Trading - Gas</v>
          </cell>
          <cell r="F19">
            <v>124209700</v>
          </cell>
        </row>
        <row r="20">
          <cell r="C20">
            <v>540877</v>
          </cell>
          <cell r="D20" t="str">
            <v>Revenue Trading - Electricity</v>
          </cell>
          <cell r="F20">
            <v>247937000</v>
          </cell>
        </row>
        <row r="21">
          <cell r="C21">
            <v>600100</v>
          </cell>
          <cell r="F21">
            <v>-1163053.7400000095</v>
          </cell>
        </row>
        <row r="22">
          <cell r="C22">
            <v>602041</v>
          </cell>
          <cell r="E22" t="str">
            <v>Int-Cost of Gas</v>
          </cell>
          <cell r="F22">
            <v>-120065561.11</v>
          </cell>
        </row>
        <row r="23">
          <cell r="C23">
            <v>602070</v>
          </cell>
          <cell r="E23" t="str">
            <v>Int-Gas DUOS Charges</v>
          </cell>
          <cell r="F23">
            <v>-56284999.869999997</v>
          </cell>
        </row>
        <row r="24">
          <cell r="C24">
            <v>602090</v>
          </cell>
          <cell r="E24" t="str">
            <v>Int-Vencorp Tariffs</v>
          </cell>
          <cell r="F24">
            <v>-4118629.53</v>
          </cell>
        </row>
        <row r="25">
          <cell r="C25">
            <v>604550</v>
          </cell>
          <cell r="E25" t="str">
            <v>Distribution Expense Franchise</v>
          </cell>
          <cell r="F25">
            <v>-184760000</v>
          </cell>
        </row>
        <row r="26">
          <cell r="C26">
            <v>604551</v>
          </cell>
          <cell r="E26" t="str">
            <v>Distribution Expense Contest</v>
          </cell>
          <cell r="F26">
            <v>-33067476</v>
          </cell>
        </row>
        <row r="27">
          <cell r="C27">
            <v>605602</v>
          </cell>
          <cell r="E27" t="str">
            <v>Int-Franchise Energy transfer</v>
          </cell>
          <cell r="F27">
            <v>-171998170.43000001</v>
          </cell>
        </row>
        <row r="28">
          <cell r="C28">
            <v>605702</v>
          </cell>
          <cell r="E28" t="str">
            <v>Int-Contestable Energy transfr</v>
          </cell>
          <cell r="F28">
            <v>-75964929.909999996</v>
          </cell>
        </row>
        <row r="29">
          <cell r="C29">
            <v>641800</v>
          </cell>
          <cell r="E29" t="str">
            <v>Contracts Intercompany</v>
          </cell>
          <cell r="F29">
            <v>-70761038.140000001</v>
          </cell>
        </row>
        <row r="30">
          <cell r="C30">
            <v>641830</v>
          </cell>
          <cell r="E30" t="str">
            <v>Contracts EFM Mgt Fee</v>
          </cell>
          <cell r="F30">
            <v>0</v>
          </cell>
        </row>
        <row r="31">
          <cell r="C31">
            <v>641855</v>
          </cell>
          <cell r="E31" t="str">
            <v>Int-DMS Franchise Metering</v>
          </cell>
          <cell r="F31">
            <v>-6688000.2400000002</v>
          </cell>
        </row>
        <row r="32">
          <cell r="C32">
            <v>641858</v>
          </cell>
          <cell r="E32" t="str">
            <v>Contracts TXU SA</v>
          </cell>
          <cell r="F32">
            <v>-45876000</v>
          </cell>
        </row>
        <row r="33">
          <cell r="C33">
            <v>641881</v>
          </cell>
          <cell r="E33" t="str">
            <v>Int-Meter Reading</v>
          </cell>
          <cell r="F33">
            <v>-2839752.84</v>
          </cell>
        </row>
        <row r="34">
          <cell r="C34">
            <v>641883</v>
          </cell>
          <cell r="E34" t="str">
            <v>Int - Metering</v>
          </cell>
          <cell r="F34">
            <v>-846000</v>
          </cell>
        </row>
        <row r="35">
          <cell r="C35">
            <v>641885</v>
          </cell>
          <cell r="E35" t="str">
            <v>Int - Customer Billing</v>
          </cell>
          <cell r="F35">
            <v>-7984169.04</v>
          </cell>
        </row>
        <row r="36">
          <cell r="C36">
            <v>641887</v>
          </cell>
          <cell r="E36" t="str">
            <v>Int-Customer Credit Mgt</v>
          </cell>
          <cell r="F36">
            <v>-9908255.0399999991</v>
          </cell>
        </row>
        <row r="37">
          <cell r="C37">
            <v>641889</v>
          </cell>
          <cell r="E37" t="str">
            <v>Int - Call Centre Services</v>
          </cell>
          <cell r="F37">
            <v>-10226630.039999999</v>
          </cell>
        </row>
        <row r="38">
          <cell r="C38">
            <v>641900</v>
          </cell>
          <cell r="E38" t="str">
            <v>Int - Management fee</v>
          </cell>
          <cell r="F38">
            <v>-3167352</v>
          </cell>
        </row>
        <row r="39">
          <cell r="C39">
            <v>680500</v>
          </cell>
          <cell r="E39" t="str">
            <v>Depreciation Transfer</v>
          </cell>
          <cell r="F39">
            <v>-115199.89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Sheet4"/>
      <sheetName val="CRITERIA1"/>
    </sheetNames>
    <sheetDataSet>
      <sheetData sheetId="0" refreshError="1"/>
      <sheetData sheetId="1" refreshError="1"/>
      <sheetData sheetId="2" refreshError="1">
        <row r="2">
          <cell r="B2" t="str">
            <v>Australia</v>
          </cell>
        </row>
        <row r="13">
          <cell r="B13" t="str">
            <v>BUDGET FINAL</v>
          </cell>
        </row>
        <row r="14">
          <cell r="B14" t="str">
            <v>Budget-SP AusNet</v>
          </cell>
        </row>
        <row r="16">
          <cell r="B16" t="str">
            <v>AUD</v>
          </cell>
        </row>
        <row r="39">
          <cell r="B39" t="str">
            <v>Production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8"/>
  <sheetViews>
    <sheetView tabSelected="1" zoomScale="85" zoomScaleNormal="85" workbookViewId="0">
      <selection activeCell="G3" sqref="G3"/>
    </sheetView>
  </sheetViews>
  <sheetFormatPr defaultColWidth="9.140625" defaultRowHeight="15" x14ac:dyDescent="0.25"/>
  <cols>
    <col min="1" max="1" width="5.5703125" style="41" customWidth="1"/>
    <col min="2" max="2" width="4" style="44" customWidth="1"/>
    <col min="3" max="3" width="3.5703125" style="42" customWidth="1"/>
    <col min="4" max="16384" width="9.140625" style="41"/>
  </cols>
  <sheetData>
    <row r="3" spans="2:7" ht="18.75" x14ac:dyDescent="0.3">
      <c r="G3" s="548" t="s">
        <v>431</v>
      </c>
    </row>
    <row r="6" spans="2:7" ht="21" x14ac:dyDescent="0.35">
      <c r="B6" s="47" t="s">
        <v>70</v>
      </c>
    </row>
    <row r="7" spans="2:7" ht="9.75" customHeight="1" x14ac:dyDescent="0.25"/>
    <row r="8" spans="2:7" x14ac:dyDescent="0.25">
      <c r="B8" s="44" t="s">
        <v>55</v>
      </c>
    </row>
    <row r="9" spans="2:7" ht="7.15" customHeight="1" x14ac:dyDescent="0.25"/>
    <row r="10" spans="2:7" x14ac:dyDescent="0.25">
      <c r="B10" s="44" t="s">
        <v>153</v>
      </c>
    </row>
    <row r="11" spans="2:7" ht="8.4499999999999993" customHeight="1" x14ac:dyDescent="0.25"/>
    <row r="12" spans="2:7" x14ac:dyDescent="0.25">
      <c r="B12" s="44" t="s">
        <v>154</v>
      </c>
    </row>
    <row r="13" spans="2:7" ht="7.9" customHeight="1" x14ac:dyDescent="0.25"/>
    <row r="14" spans="2:7" x14ac:dyDescent="0.25">
      <c r="B14" s="44" t="s">
        <v>155</v>
      </c>
    </row>
    <row r="15" spans="2:7" ht="7.9" customHeight="1" x14ac:dyDescent="0.25"/>
    <row r="16" spans="2:7" x14ac:dyDescent="0.25">
      <c r="B16" s="569" t="s">
        <v>425</v>
      </c>
      <c r="C16" s="41"/>
    </row>
    <row r="17" spans="2:4" ht="6" customHeight="1" x14ac:dyDescent="0.25">
      <c r="B17" s="569"/>
      <c r="C17" s="41"/>
    </row>
    <row r="18" spans="2:4" x14ac:dyDescent="0.25">
      <c r="C18" s="45" t="s">
        <v>57</v>
      </c>
      <c r="D18" s="43" t="s">
        <v>424</v>
      </c>
    </row>
    <row r="19" spans="2:4" x14ac:dyDescent="0.25">
      <c r="C19" s="45" t="s">
        <v>58</v>
      </c>
      <c r="D19" s="43" t="s">
        <v>423</v>
      </c>
    </row>
    <row r="20" spans="2:4" x14ac:dyDescent="0.25">
      <c r="C20" s="45" t="s">
        <v>59</v>
      </c>
      <c r="D20" s="43" t="s">
        <v>422</v>
      </c>
    </row>
    <row r="21" spans="2:4" ht="10.15" customHeight="1" x14ac:dyDescent="0.25">
      <c r="C21" s="45"/>
      <c r="D21" s="43"/>
    </row>
    <row r="22" spans="2:4" x14ac:dyDescent="0.25">
      <c r="B22" s="44" t="s">
        <v>426</v>
      </c>
    </row>
    <row r="23" spans="2:4" ht="5.25" customHeight="1" x14ac:dyDescent="0.25"/>
    <row r="24" spans="2:4" x14ac:dyDescent="0.25">
      <c r="C24" s="45" t="s">
        <v>57</v>
      </c>
      <c r="D24" s="43" t="s">
        <v>421</v>
      </c>
    </row>
    <row r="25" spans="2:4" x14ac:dyDescent="0.25">
      <c r="C25" s="45" t="s">
        <v>58</v>
      </c>
      <c r="D25" s="43" t="s">
        <v>67</v>
      </c>
    </row>
    <row r="26" spans="2:4" x14ac:dyDescent="0.25">
      <c r="C26" s="45" t="s">
        <v>59</v>
      </c>
      <c r="D26" s="43" t="s">
        <v>66</v>
      </c>
    </row>
    <row r="27" spans="2:4" x14ac:dyDescent="0.25">
      <c r="C27" s="45" t="s">
        <v>60</v>
      </c>
      <c r="D27" s="43" t="s">
        <v>192</v>
      </c>
    </row>
    <row r="28" spans="2:4" x14ac:dyDescent="0.25">
      <c r="C28" s="45" t="s">
        <v>414</v>
      </c>
      <c r="D28" s="43" t="s">
        <v>61</v>
      </c>
    </row>
    <row r="29" spans="2:4" ht="4.1500000000000004" customHeight="1" x14ac:dyDescent="0.25">
      <c r="C29" s="45"/>
    </row>
    <row r="30" spans="2:4" x14ac:dyDescent="0.25">
      <c r="B30" s="44" t="s">
        <v>427</v>
      </c>
      <c r="C30" s="45"/>
    </row>
    <row r="31" spans="2:4" ht="6" customHeight="1" x14ac:dyDescent="0.25">
      <c r="C31" s="45"/>
    </row>
    <row r="32" spans="2:4" x14ac:dyDescent="0.25">
      <c r="C32" s="45" t="s">
        <v>57</v>
      </c>
      <c r="D32" s="43" t="s">
        <v>62</v>
      </c>
    </row>
    <row r="33" spans="2:4" x14ac:dyDescent="0.25">
      <c r="C33" s="45" t="s">
        <v>58</v>
      </c>
      <c r="D33" s="43" t="s">
        <v>63</v>
      </c>
    </row>
    <row r="34" spans="2:4" ht="7.15" customHeight="1" x14ac:dyDescent="0.25">
      <c r="C34" s="45"/>
    </row>
    <row r="35" spans="2:4" x14ac:dyDescent="0.25">
      <c r="B35" s="44" t="s">
        <v>428</v>
      </c>
      <c r="C35" s="45"/>
    </row>
    <row r="36" spans="2:4" ht="5.25" customHeight="1" x14ac:dyDescent="0.25">
      <c r="C36" s="45"/>
    </row>
    <row r="37" spans="2:4" ht="15" customHeight="1" x14ac:dyDescent="0.25">
      <c r="C37" s="45" t="s">
        <v>57</v>
      </c>
      <c r="D37" s="43" t="s">
        <v>208</v>
      </c>
    </row>
    <row r="38" spans="2:4" ht="15" customHeight="1" x14ac:dyDescent="0.25">
      <c r="C38" s="45" t="s">
        <v>58</v>
      </c>
      <c r="D38" s="43" t="s">
        <v>209</v>
      </c>
    </row>
    <row r="39" spans="2:4" ht="6.6" customHeight="1" x14ac:dyDescent="0.25">
      <c r="C39" s="45"/>
    </row>
    <row r="40" spans="2:4" x14ac:dyDescent="0.25">
      <c r="B40" s="44" t="s">
        <v>429</v>
      </c>
      <c r="C40" s="45"/>
    </row>
    <row r="41" spans="2:4" ht="6" customHeight="1" x14ac:dyDescent="0.25">
      <c r="C41" s="45"/>
    </row>
    <row r="42" spans="2:4" x14ac:dyDescent="0.25">
      <c r="C42" s="45" t="s">
        <v>57</v>
      </c>
      <c r="D42" s="43" t="s">
        <v>56</v>
      </c>
    </row>
    <row r="43" spans="2:4" x14ac:dyDescent="0.25">
      <c r="C43" s="45" t="s">
        <v>58</v>
      </c>
      <c r="D43" s="43" t="s">
        <v>408</v>
      </c>
    </row>
    <row r="44" spans="2:4" x14ac:dyDescent="0.25">
      <c r="C44" s="45" t="s">
        <v>59</v>
      </c>
      <c r="D44" s="43" t="s">
        <v>409</v>
      </c>
    </row>
    <row r="45" spans="2:4" x14ac:dyDescent="0.25">
      <c r="C45" s="45" t="s">
        <v>60</v>
      </c>
      <c r="D45" s="43" t="s">
        <v>410</v>
      </c>
    </row>
    <row r="46" spans="2:4" x14ac:dyDescent="0.25">
      <c r="C46" s="45" t="s">
        <v>414</v>
      </c>
      <c r="D46" s="43" t="s">
        <v>411</v>
      </c>
    </row>
    <row r="47" spans="2:4" x14ac:dyDescent="0.25">
      <c r="C47" s="45" t="s">
        <v>415</v>
      </c>
      <c r="D47" s="43" t="s">
        <v>412</v>
      </c>
    </row>
    <row r="48" spans="2:4" x14ac:dyDescent="0.25">
      <c r="C48" s="45" t="s">
        <v>416</v>
      </c>
      <c r="D48" s="43" t="s">
        <v>413</v>
      </c>
    </row>
  </sheetData>
  <hyperlinks>
    <hyperlink ref="B40" location="RIN_Outputs!A1" display="7. EDPR RIN Outputs" xr:uid="{00000000-0004-0000-0000-000000000000}"/>
    <hyperlink ref="D42" location="'2.5 Connections'!A1" display="2.5 Connections" xr:uid="{00000000-0004-0000-0000-000001000000}"/>
    <hyperlink ref="D43" location="'2.17-2.18 CapCons'!A1" display="2.17-2.17 CapCons" xr:uid="{00000000-0004-0000-0000-000002000000}"/>
    <hyperlink ref="D33" location="Contr_Fcast!A1" display="Contributions Forecast" xr:uid="{00000000-0004-0000-0000-000003000000}"/>
    <hyperlink ref="D32" location="Cost_Recovery!A1" display="Historical Cost recovery" xr:uid="{00000000-0004-0000-0000-000004000000}"/>
    <hyperlink ref="D28" location="Capex_Fcast_Total!A1" display="Total Expenditure Forecast" xr:uid="{00000000-0004-0000-0000-000005000000}"/>
    <hyperlink ref="D27" location="'Downer Support'!A1" display="Tenix Overheads Allocations" xr:uid="{00000000-0004-0000-0000-000006000000}"/>
    <hyperlink ref="D26" location="Other_codes!A1" display="Non Connections Related Direct Expenditure Forecast" xr:uid="{00000000-0004-0000-0000-000007000000}"/>
    <hyperlink ref="D25" location="Capex_Fcast_Direct!A1" display="Connections Related Direct Expenditure Forecast" xr:uid="{00000000-0004-0000-0000-000008000000}"/>
    <hyperlink ref="B14" location="Connections!A1" display="3. Connections (Historical / Forecast)" xr:uid="{00000000-0004-0000-0000-000009000000}"/>
    <hyperlink ref="B12" location="Allocations!A1" display="2. Regulatory &amp; Financial Allocations" xr:uid="{00000000-0004-0000-0000-00000A000000}"/>
    <hyperlink ref="B8" location="Assumptions!A1" display="1.  Assumptions" xr:uid="{00000000-0004-0000-0000-00000B000000}"/>
    <hyperlink ref="B10" location="Escalation!A1" display="2.  Escalation" xr:uid="{00000000-0004-0000-0000-00000C000000}"/>
    <hyperlink ref="D37" location="Summary_Output!A1" display="Summary Output - Total Gross, Contributions &amp; Net Expenditure" xr:uid="{00000000-0004-0000-0000-00000D000000}"/>
    <hyperlink ref="D38" location="'RFM_PTRM Input'!A1" display="Capex &amp; Contributions by Asset Class" xr:uid="{00000000-0004-0000-0000-00000E000000}"/>
    <hyperlink ref="D44" location="Direct_view!A1" display="Direct_view" xr:uid="{0E08B15F-092E-4FCD-BB8B-9210C8266792}"/>
    <hyperlink ref="D45" location="CapCon_view!A1" display="CapCon_view" xr:uid="{F168CE01-1E83-4C87-8112-420D20366B4F}"/>
    <hyperlink ref="D46" location="Historical_CY!A1" display="Historical_CY" xr:uid="{C6769551-E3FE-408C-9BA2-4D9895D19B19}"/>
    <hyperlink ref="D47" location="'2.5.3 Volumes'!A1" display="2.5.3 Volumes" xr:uid="{268D87A6-2C58-485D-81E2-5F78B357CFD6}"/>
    <hyperlink ref="D48" location="'4.3 Connections'!A1" display="4.3 Fee Based Connections" xr:uid="{69D7F8AD-D12E-4068-888F-1928A1BBB2D3}"/>
    <hyperlink ref="D24" location="'Co-Gen F''cast'!A1" display="Co-generation capex forecast" xr:uid="{1DAE0A09-247E-427E-8DD2-69AF3259AD77}"/>
    <hyperlink ref="D18" location="'2015-19_Actuals'!A1" display="2015 to 2019 capex dissagregation" xr:uid="{5F018834-B33E-4ED7-9BC6-9B251E35EB91}"/>
    <hyperlink ref="D19" location="Capex_ActualCY18!A1" display="2018 capex and capital contributions" xr:uid="{0446F0CC-C2FC-44F0-A076-24608957BEDE}"/>
    <hyperlink ref="D20" location="Capex_ActualCY19!A1" display="2019 capex and capital contributions" xr:uid="{0AF02719-5133-4E43-9BB9-25520E25507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93"/>
  <sheetViews>
    <sheetView zoomScale="70" zoomScaleNormal="70" workbookViewId="0">
      <pane xSplit="2" ySplit="6" topLeftCell="I7" activePane="bottomRight" state="frozen"/>
      <selection activeCell="AZ19" sqref="AZ19:BE19"/>
      <selection pane="topRight" activeCell="AZ19" sqref="AZ19:BE19"/>
      <selection pane="bottomLeft" activeCell="AZ19" sqref="AZ19:BE19"/>
      <selection pane="bottomRight" activeCell="AG15" sqref="AG15"/>
    </sheetView>
  </sheetViews>
  <sheetFormatPr defaultColWidth="9.140625" defaultRowHeight="15" outlineLevelCol="1" x14ac:dyDescent="0.25"/>
  <cols>
    <col min="1" max="1" width="7.5703125" style="2" customWidth="1"/>
    <col min="2" max="2" width="39.7109375" style="2" customWidth="1"/>
    <col min="3" max="5" width="10.140625" style="2" customWidth="1" outlineLevel="1"/>
    <col min="6" max="7" width="10.140625" style="2" customWidth="1"/>
    <col min="8" max="8" width="11" style="2" customWidth="1"/>
    <col min="9" max="12" width="9.7109375" style="2" customWidth="1"/>
    <col min="13" max="13" width="10.85546875" style="2" customWidth="1" outlineLevel="1"/>
    <col min="14" max="15" width="9.7109375" style="2" customWidth="1" outlineLevel="1"/>
    <col min="16" max="16" width="9.85546875" style="2" customWidth="1" outlineLevel="1"/>
    <col min="17" max="17" width="9.85546875" style="2" bestFit="1" customWidth="1" outlineLevel="1"/>
    <col min="18" max="18" width="9.85546875" style="2" bestFit="1" customWidth="1"/>
    <col min="19" max="19" width="9.85546875" style="2" customWidth="1"/>
    <col min="20" max="20" width="9.85546875" style="2" bestFit="1" customWidth="1"/>
    <col min="21" max="21" width="10" style="2" customWidth="1"/>
    <col min="22" max="24" width="9.85546875" style="2" bestFit="1" customWidth="1"/>
    <col min="25" max="25" width="9.140625" style="2"/>
    <col min="26" max="26" width="11.140625" style="2" customWidth="1"/>
    <col min="27" max="28" width="10.85546875" style="2" bestFit="1" customWidth="1"/>
    <col min="29" max="29" width="9.140625" style="2" bestFit="1" customWidth="1"/>
    <col min="30" max="30" width="9.85546875" style="2" bestFit="1" customWidth="1"/>
    <col min="31" max="31" width="11" style="2" bestFit="1" customWidth="1"/>
    <col min="32" max="37" width="9.85546875" style="2" bestFit="1" customWidth="1"/>
    <col min="38" max="16384" width="9.140625" style="2"/>
  </cols>
  <sheetData>
    <row r="1" spans="1:48" ht="18.75" x14ac:dyDescent="0.3">
      <c r="B1" s="49" t="s">
        <v>27</v>
      </c>
      <c r="F1" s="96" t="s">
        <v>206</v>
      </c>
      <c r="R1" s="635" t="s">
        <v>389</v>
      </c>
      <c r="S1" s="635"/>
    </row>
    <row r="2" spans="1:48" x14ac:dyDescent="0.25">
      <c r="B2" s="51" t="s">
        <v>70</v>
      </c>
      <c r="F2" s="136"/>
      <c r="G2" s="104"/>
      <c r="H2" s="104"/>
      <c r="I2" s="104"/>
      <c r="J2" s="104"/>
      <c r="P2" s="514"/>
      <c r="Q2" s="514"/>
      <c r="T2" s="550">
        <f>Connections!P4</f>
        <v>0.57936616715399603</v>
      </c>
      <c r="U2" s="1" t="s">
        <v>393</v>
      </c>
      <c r="AE2" s="5"/>
      <c r="AF2" s="5"/>
      <c r="AG2" s="5"/>
      <c r="AH2" s="5"/>
      <c r="AI2" s="5"/>
      <c r="AJ2" s="5"/>
      <c r="AK2" s="5"/>
    </row>
    <row r="3" spans="1:48" x14ac:dyDescent="0.25">
      <c r="B3" s="2" t="s">
        <v>135</v>
      </c>
      <c r="C3" s="138"/>
      <c r="D3" s="138"/>
      <c r="E3" s="138"/>
      <c r="F3" s="138"/>
      <c r="G3" s="8">
        <f>Escalation!E8</f>
        <v>1.0706409055182704</v>
      </c>
      <c r="H3" s="8">
        <f>Escalation!F8</f>
        <v>1.0472416524432422</v>
      </c>
      <c r="I3" s="8">
        <f>Escalation!G8</f>
        <v>1.0276293766945241</v>
      </c>
      <c r="J3" s="8">
        <f>Escalation!H8</f>
        <v>1.0147745768693976</v>
      </c>
      <c r="K3" s="138">
        <f>Escalation!I8</f>
        <v>1</v>
      </c>
      <c r="L3" s="8">
        <f>Escalation!J8</f>
        <v>0.98033766983762027</v>
      </c>
    </row>
    <row r="4" spans="1:48" x14ac:dyDescent="0.25">
      <c r="C4" s="516" t="s">
        <v>126</v>
      </c>
      <c r="D4" s="516" t="s">
        <v>126</v>
      </c>
      <c r="E4" s="516" t="s">
        <v>126</v>
      </c>
      <c r="F4" s="516" t="s">
        <v>126</v>
      </c>
      <c r="G4" s="516" t="s">
        <v>126</v>
      </c>
      <c r="H4" s="516" t="s">
        <v>126</v>
      </c>
      <c r="I4" s="516" t="s">
        <v>126</v>
      </c>
      <c r="J4" s="516" t="s">
        <v>126</v>
      </c>
      <c r="K4" s="516" t="s">
        <v>126</v>
      </c>
      <c r="L4" s="516" t="s">
        <v>126</v>
      </c>
      <c r="Q4" s="636" t="s">
        <v>176</v>
      </c>
      <c r="R4" s="636"/>
      <c r="S4" s="636"/>
      <c r="T4" s="636"/>
      <c r="U4" s="636"/>
      <c r="V4" s="636"/>
      <c r="W4" s="636"/>
      <c r="X4" s="636"/>
      <c r="Z4" s="1" t="s">
        <v>177</v>
      </c>
    </row>
    <row r="5" spans="1:48" x14ac:dyDescent="0.25">
      <c r="B5" s="11" t="s">
        <v>54</v>
      </c>
      <c r="C5" s="10" t="s">
        <v>19</v>
      </c>
      <c r="D5" s="10" t="s">
        <v>19</v>
      </c>
      <c r="E5" s="10" t="s">
        <v>19</v>
      </c>
      <c r="F5" s="164" t="s">
        <v>19</v>
      </c>
      <c r="G5" s="164" t="s">
        <v>19</v>
      </c>
      <c r="H5" s="164" t="s">
        <v>19</v>
      </c>
      <c r="I5" s="164" t="s">
        <v>19</v>
      </c>
      <c r="J5" s="164" t="s">
        <v>19</v>
      </c>
      <c r="K5" s="207" t="s">
        <v>19</v>
      </c>
      <c r="L5" s="359" t="s">
        <v>19</v>
      </c>
      <c r="M5" s="164" t="s">
        <v>20</v>
      </c>
      <c r="N5" s="164" t="s">
        <v>20</v>
      </c>
      <c r="O5" s="164" t="s">
        <v>20</v>
      </c>
      <c r="P5" s="164" t="s">
        <v>20</v>
      </c>
      <c r="Q5" s="164" t="s">
        <v>20</v>
      </c>
      <c r="R5" s="164" t="s">
        <v>20</v>
      </c>
      <c r="S5" s="225" t="s">
        <v>20</v>
      </c>
      <c r="T5" s="164" t="s">
        <v>20</v>
      </c>
      <c r="U5" s="164" t="s">
        <v>20</v>
      </c>
      <c r="V5" s="164" t="s">
        <v>20</v>
      </c>
      <c r="W5" s="164" t="s">
        <v>20</v>
      </c>
      <c r="X5" s="164" t="s">
        <v>20</v>
      </c>
      <c r="Z5" s="105" t="s">
        <v>19</v>
      </c>
      <c r="AA5" s="105" t="s">
        <v>19</v>
      </c>
      <c r="AB5" s="105" t="s">
        <v>19</v>
      </c>
      <c r="AC5" s="105" t="s">
        <v>19</v>
      </c>
      <c r="AD5" s="105" t="s">
        <v>19</v>
      </c>
      <c r="AE5" s="164" t="s">
        <v>20</v>
      </c>
      <c r="AF5" s="225" t="s">
        <v>20</v>
      </c>
      <c r="AG5" s="164" t="s">
        <v>20</v>
      </c>
      <c r="AH5" s="164" t="s">
        <v>20</v>
      </c>
      <c r="AI5" s="164" t="s">
        <v>20</v>
      </c>
      <c r="AJ5" s="164" t="s">
        <v>20</v>
      </c>
      <c r="AK5" s="164" t="s">
        <v>20</v>
      </c>
    </row>
    <row r="6" spans="1:48" x14ac:dyDescent="0.25"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36" t="s">
        <v>7</v>
      </c>
      <c r="I6" s="36" t="s">
        <v>8</v>
      </c>
      <c r="J6" s="36" t="s">
        <v>9</v>
      </c>
      <c r="K6" s="206" t="s">
        <v>10</v>
      </c>
      <c r="L6" s="358" t="s">
        <v>11</v>
      </c>
      <c r="M6" s="4" t="s">
        <v>7</v>
      </c>
      <c r="N6" s="4" t="s">
        <v>8</v>
      </c>
      <c r="O6" s="4" t="s">
        <v>9</v>
      </c>
      <c r="P6" s="4" t="s">
        <v>10</v>
      </c>
      <c r="Q6" s="4" t="s">
        <v>11</v>
      </c>
      <c r="R6" s="4" t="s">
        <v>12</v>
      </c>
      <c r="S6" s="221">
        <v>44377</v>
      </c>
      <c r="T6" s="221">
        <f>EDATE(S6,12)</f>
        <v>44742</v>
      </c>
      <c r="U6" s="221">
        <f t="shared" ref="U6:X6" si="0">EDATE(T6,12)</f>
        <v>45107</v>
      </c>
      <c r="V6" s="221">
        <f t="shared" si="0"/>
        <v>45473</v>
      </c>
      <c r="W6" s="221">
        <f t="shared" si="0"/>
        <v>45838</v>
      </c>
      <c r="X6" s="221">
        <f t="shared" si="0"/>
        <v>46203</v>
      </c>
      <c r="Z6" s="4" t="s">
        <v>7</v>
      </c>
      <c r="AA6" s="4" t="s">
        <v>8</v>
      </c>
      <c r="AB6" s="4" t="s">
        <v>9</v>
      </c>
      <c r="AC6" s="4" t="s">
        <v>10</v>
      </c>
      <c r="AD6" s="4" t="s">
        <v>11</v>
      </c>
      <c r="AE6" s="4" t="s">
        <v>12</v>
      </c>
      <c r="AF6" s="221">
        <v>44377</v>
      </c>
      <c r="AG6" s="221">
        <f>EDATE(AF6,12)</f>
        <v>44742</v>
      </c>
      <c r="AH6" s="221">
        <f t="shared" ref="AH6:AK6" si="1">EDATE(AG6,12)</f>
        <v>45107</v>
      </c>
      <c r="AI6" s="221">
        <f t="shared" si="1"/>
        <v>45473</v>
      </c>
      <c r="AJ6" s="221">
        <f t="shared" si="1"/>
        <v>45838</v>
      </c>
      <c r="AK6" s="221">
        <f t="shared" si="1"/>
        <v>46203</v>
      </c>
      <c r="AM6" s="164" t="str">
        <f>AC6</f>
        <v>CY2018</v>
      </c>
      <c r="AN6" s="164" t="str">
        <f>AD6</f>
        <v>CY2019</v>
      </c>
      <c r="AO6" s="164" t="str">
        <f>AE6</f>
        <v>CY2020</v>
      </c>
      <c r="AP6" s="229">
        <f t="shared" ref="AP6:AU6" si="2">AF6</f>
        <v>44377</v>
      </c>
      <c r="AQ6" s="229">
        <f t="shared" si="2"/>
        <v>44742</v>
      </c>
      <c r="AR6" s="229">
        <f t="shared" si="2"/>
        <v>45107</v>
      </c>
      <c r="AS6" s="229">
        <f t="shared" si="2"/>
        <v>45473</v>
      </c>
      <c r="AT6" s="229">
        <f t="shared" si="2"/>
        <v>45838</v>
      </c>
      <c r="AU6" s="229">
        <f t="shared" si="2"/>
        <v>46203</v>
      </c>
    </row>
    <row r="7" spans="1:48" x14ac:dyDescent="0.25">
      <c r="B7" s="1" t="s">
        <v>130</v>
      </c>
      <c r="C7" s="10"/>
      <c r="D7" s="10"/>
      <c r="E7" s="10"/>
      <c r="F7" s="10"/>
      <c r="G7" s="10"/>
      <c r="H7" s="216"/>
      <c r="I7" s="216"/>
      <c r="J7" s="216"/>
      <c r="K7" s="216"/>
      <c r="L7" s="216"/>
      <c r="M7" s="10"/>
      <c r="N7" s="10"/>
      <c r="O7" s="10"/>
      <c r="P7" s="10"/>
      <c r="Q7" s="10"/>
      <c r="R7" s="10"/>
      <c r="S7" s="225"/>
      <c r="T7" s="10"/>
      <c r="U7" s="10"/>
      <c r="V7" s="10"/>
      <c r="W7" s="10"/>
      <c r="X7" s="10"/>
      <c r="Y7" s="16"/>
    </row>
    <row r="8" spans="1:48" x14ac:dyDescent="0.25">
      <c r="A8" s="2">
        <v>1012</v>
      </c>
      <c r="B8" s="2" t="s">
        <v>109</v>
      </c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92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M8" s="372">
        <v>0.15742809827327167</v>
      </c>
      <c r="AN8" s="372">
        <v>8.1519788219491768E-2</v>
      </c>
      <c r="AO8" s="15">
        <v>9.776426928984807E-4</v>
      </c>
      <c r="AP8" s="15">
        <v>1.008490049760095E-3</v>
      </c>
      <c r="AQ8" s="15">
        <v>0.44099765672966007</v>
      </c>
      <c r="AR8" s="15">
        <v>1.5414942966174136E-3</v>
      </c>
      <c r="AS8" s="15">
        <v>1.8172788227787575E-3</v>
      </c>
      <c r="AT8" s="15">
        <v>2.2404681019372857E-3</v>
      </c>
      <c r="AU8" s="15">
        <v>2.8021809795169476E-3</v>
      </c>
    </row>
    <row r="9" spans="1:48" x14ac:dyDescent="0.25">
      <c r="A9" s="2">
        <v>1012</v>
      </c>
      <c r="B9" s="64" t="s">
        <v>136</v>
      </c>
      <c r="C9" s="571"/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92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M9" s="372">
        <v>-1.6431146825135548E-16</v>
      </c>
      <c r="AN9" s="372">
        <v>0</v>
      </c>
      <c r="AO9" s="15">
        <v>1.1994135748159512E-3</v>
      </c>
      <c r="AP9" s="15">
        <v>1.2372584222593375E-3</v>
      </c>
      <c r="AQ9" s="15">
        <v>0.72884615263575037</v>
      </c>
      <c r="AR9" s="15">
        <v>1.8911246307031816E-3</v>
      </c>
      <c r="AS9" s="15">
        <v>2.229069611772801E-3</v>
      </c>
      <c r="AT9" s="15">
        <v>2.7479466410900875E-3</v>
      </c>
      <c r="AU9" s="15">
        <v>3.437648397063352E-3</v>
      </c>
    </row>
    <row r="10" spans="1:48" x14ac:dyDescent="0.25">
      <c r="A10" s="2">
        <v>1012</v>
      </c>
      <c r="B10" s="64" t="s">
        <v>215</v>
      </c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92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M10" s="372">
        <v>0.12192382727699012</v>
      </c>
      <c r="AN10" s="372">
        <v>0.10687643023745715</v>
      </c>
      <c r="AO10" s="15">
        <v>2.0334613916505317E-16</v>
      </c>
      <c r="AP10" s="15">
        <v>1.9514399915707959E-16</v>
      </c>
      <c r="AQ10" s="15">
        <v>0</v>
      </c>
      <c r="AR10" s="15">
        <v>0</v>
      </c>
      <c r="AS10" s="15">
        <v>0</v>
      </c>
      <c r="AT10" s="15">
        <v>0</v>
      </c>
      <c r="AU10" s="15">
        <v>-1.9077332151248803E-16</v>
      </c>
    </row>
    <row r="11" spans="1:48" x14ac:dyDescent="0.25">
      <c r="A11" s="2">
        <v>1012</v>
      </c>
      <c r="B11" s="515" t="s">
        <v>139</v>
      </c>
      <c r="C11" s="571"/>
      <c r="D11" s="571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92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  <c r="AK11" s="571"/>
      <c r="AM11" s="372">
        <v>8.0637402691456117</v>
      </c>
      <c r="AN11" s="372">
        <v>4.5684622908440051</v>
      </c>
      <c r="AO11" s="15">
        <v>1.9190617197055505E-3</v>
      </c>
      <c r="AP11" s="15">
        <v>1.9796134756148048E-3</v>
      </c>
      <c r="AQ11" s="15">
        <v>2.6159504824116104E-3</v>
      </c>
      <c r="AR11" s="15">
        <v>3.0257994091249449E-3</v>
      </c>
      <c r="AS11" s="15">
        <v>3.5665113788366336E-3</v>
      </c>
      <c r="AT11" s="15">
        <v>4.3967146257439518E-3</v>
      </c>
      <c r="AU11" s="15">
        <v>5.5002374353016036E-3</v>
      </c>
    </row>
    <row r="12" spans="1:48" x14ac:dyDescent="0.25">
      <c r="A12" s="2">
        <v>1012</v>
      </c>
      <c r="B12" s="515" t="s">
        <v>396</v>
      </c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92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M12" s="372">
        <v>0</v>
      </c>
      <c r="AN12" s="372">
        <v>0</v>
      </c>
      <c r="AO12" s="512">
        <v>1.9190617197055852E-3</v>
      </c>
      <c r="AP12" s="512">
        <v>1.9796134756147098E-3</v>
      </c>
      <c r="AQ12" s="512">
        <v>2.6159504824117183E-3</v>
      </c>
      <c r="AR12" s="512">
        <v>3.0257994091249462E-3</v>
      </c>
      <c r="AS12" s="512">
        <v>3.5665113788365703E-3</v>
      </c>
      <c r="AT12" s="512">
        <v>4.3967146257439596E-3</v>
      </c>
      <c r="AU12" s="512">
        <v>5.5002374353017467E-3</v>
      </c>
      <c r="AV12" s="3"/>
    </row>
    <row r="13" spans="1:48" x14ac:dyDescent="0.25">
      <c r="A13" s="2">
        <v>1013</v>
      </c>
      <c r="B13" s="2" t="s">
        <v>110</v>
      </c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92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M13" s="372">
        <v>0</v>
      </c>
      <c r="AN13" s="372">
        <v>0</v>
      </c>
      <c r="AO13" s="15">
        <v>1.0750222031772486E-3</v>
      </c>
      <c r="AP13" s="15">
        <v>1.1089421555035921E-3</v>
      </c>
      <c r="AQ13" s="15">
        <v>1.4654061524585452E-3</v>
      </c>
      <c r="AR13" s="15">
        <v>1.6949957960023638E-3</v>
      </c>
      <c r="AS13" s="15">
        <v>1.9978924496088855E-3</v>
      </c>
      <c r="AT13" s="15">
        <v>2.4629566601085139E-3</v>
      </c>
      <c r="AU13" s="15">
        <v>3.08112933783198E-3</v>
      </c>
    </row>
    <row r="14" spans="1:48" x14ac:dyDescent="0.25">
      <c r="A14" s="2">
        <v>1014</v>
      </c>
      <c r="B14" s="2" t="s">
        <v>111</v>
      </c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92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  <c r="AK14" s="571"/>
      <c r="AM14" s="372">
        <v>0</v>
      </c>
      <c r="AN14" s="372">
        <v>0</v>
      </c>
      <c r="AO14" s="15">
        <v>1.77846529504066E-3</v>
      </c>
      <c r="AP14" s="15">
        <v>1.8345808411602759E-3</v>
      </c>
      <c r="AQ14" s="15">
        <v>2.424297821555732E-3</v>
      </c>
      <c r="AR14" s="15">
        <v>2.8041199423790492E-3</v>
      </c>
      <c r="AS14" s="15">
        <v>3.3052176730412517E-3</v>
      </c>
      <c r="AT14" s="15">
        <v>4.0745976503988191E-3</v>
      </c>
      <c r="AU14" s="15">
        <v>5.0972729499637803E-3</v>
      </c>
    </row>
    <row r="15" spans="1:48" x14ac:dyDescent="0.25">
      <c r="B15" s="64" t="s">
        <v>375</v>
      </c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92"/>
      <c r="Z15" s="571"/>
      <c r="AA15" s="571"/>
      <c r="AB15" s="571"/>
      <c r="AC15" s="571"/>
      <c r="AD15" s="571"/>
      <c r="AE15" s="571"/>
      <c r="AF15" s="571"/>
      <c r="AG15" s="614"/>
      <c r="AH15" s="571"/>
      <c r="AI15" s="571"/>
      <c r="AJ15" s="571"/>
      <c r="AK15" s="571"/>
      <c r="AM15" s="372">
        <v>0</v>
      </c>
      <c r="AN15" s="372">
        <v>0</v>
      </c>
      <c r="AO15" s="15">
        <v>1.1994135748159998E-3</v>
      </c>
      <c r="AP15" s="15">
        <v>1.2372584222594036E-3</v>
      </c>
      <c r="AQ15" s="15">
        <v>1.6349690515072943E-3</v>
      </c>
      <c r="AR15" s="15">
        <v>1.8911246307032345E-3</v>
      </c>
      <c r="AS15" s="15">
        <v>2.2290696117730512E-3</v>
      </c>
      <c r="AT15" s="15">
        <v>2.7479466410900905E-3</v>
      </c>
      <c r="AU15" s="15">
        <v>3.4376483970634366E-3</v>
      </c>
    </row>
    <row r="16" spans="1:48" x14ac:dyDescent="0.25">
      <c r="A16" s="2">
        <v>1018</v>
      </c>
      <c r="B16" s="2" t="s">
        <v>112</v>
      </c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92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M16" s="372">
        <v>0</v>
      </c>
      <c r="AN16" s="372">
        <v>0</v>
      </c>
      <c r="AO16" s="15">
        <v>3.1523127882718076E-3</v>
      </c>
      <c r="AP16" s="15">
        <v>3.251777059037599E-3</v>
      </c>
      <c r="AQ16" s="15">
        <v>4.2970447873123411E-3</v>
      </c>
      <c r="AR16" s="15">
        <v>4.9702758771056248E-3</v>
      </c>
      <c r="AS16" s="15">
        <v>5.8584668296901522E-3</v>
      </c>
      <c r="AT16" s="15">
        <v>7.2221855080513422E-3</v>
      </c>
      <c r="AU16" s="15">
        <v>9.0348677313472764E-3</v>
      </c>
    </row>
    <row r="17" spans="1:50" x14ac:dyDescent="0.25">
      <c r="A17" s="2">
        <v>1019</v>
      </c>
      <c r="B17" s="2" t="s">
        <v>96</v>
      </c>
      <c r="C17" s="571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  <c r="R17" s="571"/>
      <c r="S17" s="571"/>
      <c r="T17" s="571"/>
      <c r="U17" s="571"/>
      <c r="V17" s="571"/>
      <c r="W17" s="571"/>
      <c r="X17" s="571"/>
      <c r="Y17" s="92"/>
      <c r="Z17" s="571"/>
      <c r="AA17" s="571"/>
      <c r="AB17" s="571"/>
      <c r="AC17" s="571"/>
      <c r="AD17" s="571"/>
      <c r="AE17" s="571"/>
      <c r="AF17" s="571"/>
      <c r="AG17" s="571"/>
      <c r="AH17" s="571"/>
      <c r="AI17" s="571"/>
      <c r="AJ17" s="571"/>
      <c r="AK17" s="571"/>
      <c r="AM17" s="372">
        <v>0</v>
      </c>
      <c r="AN17" s="372">
        <v>0</v>
      </c>
      <c r="AO17" s="15">
        <v>1.9297398498877021E-3</v>
      </c>
      <c r="AP17" s="15">
        <v>1.9906285306213974E-3</v>
      </c>
      <c r="AQ17" s="15">
        <v>2.6305062726264357E-3</v>
      </c>
      <c r="AR17" s="15">
        <v>3.0426356993102587E-3</v>
      </c>
      <c r="AS17" s="15">
        <v>3.5863563230657237E-3</v>
      </c>
      <c r="AT17" s="15">
        <v>4.4211790244998144E-3</v>
      </c>
      <c r="AU17" s="15">
        <v>5.5308421056801428E-3</v>
      </c>
    </row>
    <row r="18" spans="1:50" x14ac:dyDescent="0.25">
      <c r="A18" s="2">
        <v>1015</v>
      </c>
      <c r="B18" s="2" t="s">
        <v>113</v>
      </c>
      <c r="C18" s="571"/>
      <c r="D18" s="571"/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571"/>
      <c r="Y18" s="92"/>
      <c r="Z18" s="571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  <c r="AK18" s="571"/>
      <c r="AM18" s="372">
        <v>0</v>
      </c>
      <c r="AN18" s="372">
        <v>0</v>
      </c>
      <c r="AO18" s="15">
        <v>5.4105521660077318E-3</v>
      </c>
      <c r="AP18" s="15">
        <v>5.5812701948897998E-3</v>
      </c>
      <c r="AQ18" s="15">
        <v>7.3753420244096982E-3</v>
      </c>
      <c r="AR18" s="15">
        <v>8.5308593146538447E-3</v>
      </c>
      <c r="AS18" s="15">
        <v>1.0055328428319648E-2</v>
      </c>
      <c r="AT18" s="15">
        <v>1.2395981639030409E-2</v>
      </c>
      <c r="AU18" s="15">
        <v>1.550722483990399E-2</v>
      </c>
    </row>
    <row r="19" spans="1:50" x14ac:dyDescent="0.25"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92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575"/>
      <c r="AK19" s="575"/>
    </row>
    <row r="20" spans="1:50" x14ac:dyDescent="0.25">
      <c r="B20" s="2" t="s">
        <v>78</v>
      </c>
      <c r="C20" s="16"/>
      <c r="D20" s="16"/>
      <c r="E20" s="16"/>
      <c r="F20" s="383"/>
      <c r="G20" s="16"/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608"/>
      <c r="AA20" s="609"/>
      <c r="AB20" s="581"/>
      <c r="AC20" s="610"/>
      <c r="AD20" s="610"/>
      <c r="AE20" s="610"/>
      <c r="AF20" s="610"/>
      <c r="AG20" s="610"/>
      <c r="AH20" s="610"/>
      <c r="AI20" s="610"/>
      <c r="AJ20" s="610"/>
      <c r="AK20" s="610"/>
    </row>
    <row r="21" spans="1:50" x14ac:dyDescent="0.25">
      <c r="B21" s="1" t="s">
        <v>21</v>
      </c>
      <c r="C21" s="17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346"/>
      <c r="S21" s="16"/>
      <c r="T21" s="16"/>
      <c r="U21" s="16"/>
      <c r="V21" s="16"/>
      <c r="W21" s="16"/>
      <c r="X21" s="16"/>
      <c r="Y21" s="16"/>
      <c r="Z21" s="513"/>
      <c r="AA21" s="502"/>
      <c r="AB21" s="502"/>
      <c r="AC21" s="502"/>
      <c r="AD21" s="554"/>
      <c r="AE21" s="554"/>
      <c r="AF21" s="554"/>
      <c r="AG21" s="554"/>
      <c r="AH21" s="554"/>
      <c r="AI21" s="554"/>
      <c r="AJ21" s="554"/>
      <c r="AK21" s="554"/>
    </row>
    <row r="22" spans="1:50" x14ac:dyDescent="0.25">
      <c r="A22" s="2">
        <v>1012</v>
      </c>
      <c r="B22" s="2" t="s">
        <v>109</v>
      </c>
      <c r="C22" s="599"/>
      <c r="D22" s="599"/>
      <c r="E22" s="599"/>
      <c r="F22" s="599"/>
      <c r="G22" s="599"/>
      <c r="H22" s="599"/>
      <c r="I22" s="599"/>
      <c r="J22" s="599"/>
      <c r="K22" s="599"/>
      <c r="L22" s="600"/>
      <c r="M22" s="601"/>
      <c r="N22" s="601"/>
      <c r="O22" s="601"/>
      <c r="P22" s="601"/>
      <c r="Q22" s="601"/>
      <c r="R22" s="603"/>
      <c r="S22" s="602"/>
      <c r="T22" s="602"/>
      <c r="U22" s="602"/>
      <c r="V22" s="602"/>
      <c r="W22" s="602"/>
      <c r="X22" s="602"/>
      <c r="Y22" s="92"/>
      <c r="Z22" s="602"/>
      <c r="AA22" s="602"/>
      <c r="AB22" s="602"/>
      <c r="AC22" s="602"/>
      <c r="AD22" s="602"/>
      <c r="AE22" s="602"/>
      <c r="AF22" s="602"/>
      <c r="AG22" s="602"/>
      <c r="AH22" s="602"/>
      <c r="AI22" s="602"/>
      <c r="AJ22" s="602"/>
      <c r="AK22" s="602"/>
      <c r="AL22" s="23"/>
      <c r="AM22" s="15">
        <v>0</v>
      </c>
      <c r="AN22" s="15">
        <v>5.6386629395351311E-4</v>
      </c>
      <c r="AO22" s="15">
        <v>9.0738102035620345E-4</v>
      </c>
      <c r="AP22" s="15">
        <v>9.3601142525523895E-4</v>
      </c>
      <c r="AQ22" s="15">
        <v>1.2368876902489096E-3</v>
      </c>
      <c r="AR22" s="15">
        <v>1.4306746505610821E-3</v>
      </c>
      <c r="AS22" s="15">
        <v>1.6863369743715195E-3</v>
      </c>
      <c r="AT22" s="15">
        <v>2.0788781112961383E-3</v>
      </c>
      <c r="AU22" s="15">
        <v>2.6006516648200083E-3</v>
      </c>
      <c r="AV22" s="5"/>
    </row>
    <row r="23" spans="1:50" x14ac:dyDescent="0.25">
      <c r="A23" s="2">
        <v>1012</v>
      </c>
      <c r="B23" s="2" t="s">
        <v>136</v>
      </c>
      <c r="C23" s="599"/>
      <c r="D23" s="599"/>
      <c r="E23" s="599"/>
      <c r="F23" s="599"/>
      <c r="G23" s="599"/>
      <c r="H23" s="599"/>
      <c r="I23" s="599"/>
      <c r="J23" s="599"/>
      <c r="K23" s="599"/>
      <c r="L23" s="599"/>
      <c r="M23" s="601"/>
      <c r="N23" s="601"/>
      <c r="O23" s="601"/>
      <c r="P23" s="601"/>
      <c r="Q23" s="601"/>
      <c r="R23" s="603"/>
      <c r="S23" s="602"/>
      <c r="T23" s="602"/>
      <c r="U23" s="602"/>
      <c r="V23" s="602"/>
      <c r="W23" s="602"/>
      <c r="X23" s="602"/>
      <c r="Y23" s="92"/>
      <c r="Z23" s="602"/>
      <c r="AA23" s="602"/>
      <c r="AB23" s="602"/>
      <c r="AC23" s="602"/>
      <c r="AD23" s="602"/>
      <c r="AE23" s="602"/>
      <c r="AF23" s="602"/>
      <c r="AG23" s="602"/>
      <c r="AH23" s="602"/>
      <c r="AI23" s="602"/>
      <c r="AJ23" s="602"/>
      <c r="AK23" s="602"/>
      <c r="AL23" s="23"/>
      <c r="AM23" s="15">
        <v>0</v>
      </c>
      <c r="AN23" s="15">
        <v>7.4534167254627708E-4</v>
      </c>
      <c r="AO23" s="15">
        <v>1.1994135748160141E-3</v>
      </c>
      <c r="AP23" s="15">
        <v>1.2372584222592881E-3</v>
      </c>
      <c r="AQ23" s="15">
        <v>1.6349690515071792E-3</v>
      </c>
      <c r="AR23" s="15">
        <v>1.8911246307030561E-3</v>
      </c>
      <c r="AS23" s="15">
        <v>2.2290696117728947E-3</v>
      </c>
      <c r="AT23" s="15">
        <v>2.7479466410899999E-3</v>
      </c>
      <c r="AU23" s="15">
        <v>3.4376483970634092E-3</v>
      </c>
      <c r="AV23" s="5"/>
    </row>
    <row r="24" spans="1:50" x14ac:dyDescent="0.25">
      <c r="A24" s="2">
        <v>1012</v>
      </c>
      <c r="B24" s="2" t="s">
        <v>215</v>
      </c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601"/>
      <c r="N24" s="601"/>
      <c r="O24" s="601"/>
      <c r="P24" s="601"/>
      <c r="Q24" s="601"/>
      <c r="R24" s="603"/>
      <c r="S24" s="602"/>
      <c r="T24" s="602"/>
      <c r="U24" s="602"/>
      <c r="V24" s="602"/>
      <c r="W24" s="602"/>
      <c r="X24" s="602"/>
      <c r="Y24" s="92"/>
      <c r="Z24" s="602"/>
      <c r="AA24" s="602"/>
      <c r="AB24" s="602"/>
      <c r="AC24" s="602"/>
      <c r="AD24" s="602"/>
      <c r="AE24" s="602"/>
      <c r="AF24" s="602"/>
      <c r="AG24" s="602"/>
      <c r="AH24" s="602"/>
      <c r="AI24" s="602"/>
      <c r="AJ24" s="602"/>
      <c r="AK24" s="602"/>
      <c r="AL24" s="23"/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5"/>
    </row>
    <row r="25" spans="1:50" x14ac:dyDescent="0.25">
      <c r="A25" s="2">
        <v>1012</v>
      </c>
      <c r="B25" s="177" t="s">
        <v>137</v>
      </c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601"/>
      <c r="N25" s="602"/>
      <c r="O25" s="602"/>
      <c r="P25" s="601"/>
      <c r="Q25" s="601"/>
      <c r="R25" s="603"/>
      <c r="S25" s="602"/>
      <c r="T25" s="602"/>
      <c r="U25" s="602"/>
      <c r="V25" s="602"/>
      <c r="W25" s="602"/>
      <c r="X25" s="602"/>
      <c r="Y25" s="92"/>
      <c r="Z25" s="602"/>
      <c r="AA25" s="602"/>
      <c r="AB25" s="602"/>
      <c r="AC25" s="602"/>
      <c r="AD25" s="602"/>
      <c r="AE25" s="602"/>
      <c r="AF25" s="602"/>
      <c r="AG25" s="602"/>
      <c r="AH25" s="602"/>
      <c r="AI25" s="602"/>
      <c r="AJ25" s="602"/>
      <c r="AK25" s="602"/>
      <c r="AL25" s="23"/>
      <c r="AM25" s="15">
        <v>-1.1156260267363068E-16</v>
      </c>
      <c r="AN25" s="15">
        <v>1.1925466760740239E-3</v>
      </c>
      <c r="AO25" s="15">
        <v>1.9190617197054624E-3</v>
      </c>
      <c r="AP25" s="15">
        <v>1.9796134756148794E-3</v>
      </c>
      <c r="AQ25" s="15">
        <v>2.6159504824114777E-3</v>
      </c>
      <c r="AR25" s="15">
        <v>3.0257994091249128E-3</v>
      </c>
      <c r="AS25" s="15">
        <v>3.5665113788366028E-3</v>
      </c>
      <c r="AT25" s="15">
        <v>4.3967146257439796E-3</v>
      </c>
      <c r="AU25" s="15">
        <v>5.500237435301634E-3</v>
      </c>
      <c r="AV25" s="5"/>
    </row>
    <row r="26" spans="1:50" x14ac:dyDescent="0.25">
      <c r="A26" s="2">
        <v>1013</v>
      </c>
      <c r="B26" s="2" t="s">
        <v>110</v>
      </c>
      <c r="C26" s="599"/>
      <c r="D26" s="599"/>
      <c r="E26" s="599"/>
      <c r="F26" s="599"/>
      <c r="G26" s="599"/>
      <c r="H26" s="599"/>
      <c r="I26" s="599"/>
      <c r="J26" s="599"/>
      <c r="K26" s="599"/>
      <c r="L26" s="599"/>
      <c r="M26" s="601"/>
      <c r="N26" s="601"/>
      <c r="O26" s="601"/>
      <c r="P26" s="601"/>
      <c r="Q26" s="601"/>
      <c r="R26" s="603"/>
      <c r="S26" s="602"/>
      <c r="T26" s="602"/>
      <c r="U26" s="602"/>
      <c r="V26" s="602"/>
      <c r="W26" s="602"/>
      <c r="X26" s="602"/>
      <c r="Y26" s="92"/>
      <c r="Z26" s="602"/>
      <c r="AA26" s="602"/>
      <c r="AB26" s="602"/>
      <c r="AC26" s="602"/>
      <c r="AD26" s="602"/>
      <c r="AE26" s="602"/>
      <c r="AF26" s="602"/>
      <c r="AG26" s="602"/>
      <c r="AH26" s="602"/>
      <c r="AI26" s="602"/>
      <c r="AJ26" s="602"/>
      <c r="AK26" s="602"/>
      <c r="AL26" s="23"/>
      <c r="AM26" s="15">
        <v>1.5050592992032019E-16</v>
      </c>
      <c r="AN26" s="15">
        <v>6.6804216974395575E-4</v>
      </c>
      <c r="AO26" s="15">
        <v>1.075022203177184E-3</v>
      </c>
      <c r="AP26" s="15">
        <v>1.1089421555035845E-3</v>
      </c>
      <c r="AQ26" s="15">
        <v>1.4654061524585883E-3</v>
      </c>
      <c r="AR26" s="15">
        <v>1.6949957960022048E-3</v>
      </c>
      <c r="AS26" s="15">
        <v>1.9978924496088591E-3</v>
      </c>
      <c r="AT26" s="15">
        <v>2.4629566601086484E-3</v>
      </c>
      <c r="AU26" s="15">
        <v>3.0811293378319709E-3</v>
      </c>
      <c r="AV26" s="5"/>
      <c r="AX26" s="9"/>
    </row>
    <row r="27" spans="1:50" x14ac:dyDescent="0.25">
      <c r="A27" s="2">
        <v>1014</v>
      </c>
      <c r="B27" s="2" t="s">
        <v>111</v>
      </c>
      <c r="C27" s="599"/>
      <c r="D27" s="599"/>
      <c r="E27" s="599"/>
      <c r="F27" s="599"/>
      <c r="G27" s="599"/>
      <c r="H27" s="599"/>
      <c r="I27" s="599"/>
      <c r="J27" s="599"/>
      <c r="K27" s="599"/>
      <c r="L27" s="599"/>
      <c r="M27" s="601"/>
      <c r="N27" s="601"/>
      <c r="O27" s="601"/>
      <c r="P27" s="601"/>
      <c r="Q27" s="601"/>
      <c r="R27" s="603"/>
      <c r="S27" s="602"/>
      <c r="T27" s="602"/>
      <c r="U27" s="602"/>
      <c r="V27" s="602"/>
      <c r="W27" s="602"/>
      <c r="X27" s="602"/>
      <c r="Y27" s="92"/>
      <c r="Z27" s="602"/>
      <c r="AA27" s="602"/>
      <c r="AB27" s="602"/>
      <c r="AC27" s="602"/>
      <c r="AD27" s="602"/>
      <c r="AE27" s="602"/>
      <c r="AF27" s="602"/>
      <c r="AG27" s="602"/>
      <c r="AH27" s="602"/>
      <c r="AI27" s="602"/>
      <c r="AJ27" s="602"/>
      <c r="AK27" s="602"/>
      <c r="AL27" s="23"/>
      <c r="AM27" s="15">
        <v>1.2761464919473697E-16</v>
      </c>
      <c r="AN27" s="15">
        <v>1.1051770009978085E-3</v>
      </c>
      <c r="AO27" s="15">
        <v>1.7784652950406268E-3</v>
      </c>
      <c r="AP27" s="15">
        <v>1.8345808411602412E-3</v>
      </c>
      <c r="AQ27" s="15">
        <v>2.4242978215558569E-3</v>
      </c>
      <c r="AR27" s="15">
        <v>2.8041199423791303E-3</v>
      </c>
      <c r="AS27" s="15">
        <v>3.3052176730413298E-3</v>
      </c>
      <c r="AT27" s="15">
        <v>4.0745976503987489E-3</v>
      </c>
      <c r="AU27" s="15">
        <v>5.0972729499637066E-3</v>
      </c>
      <c r="AV27" s="5"/>
    </row>
    <row r="28" spans="1:50" x14ac:dyDescent="0.25">
      <c r="B28" s="2" t="s">
        <v>375</v>
      </c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601"/>
      <c r="N28" s="601"/>
      <c r="O28" s="601"/>
      <c r="P28" s="601"/>
      <c r="Q28" s="601"/>
      <c r="R28" s="603"/>
      <c r="S28" s="602"/>
      <c r="T28" s="602"/>
      <c r="U28" s="602"/>
      <c r="V28" s="602"/>
      <c r="W28" s="602"/>
      <c r="X28" s="602"/>
      <c r="Y28" s="92"/>
      <c r="Z28" s="602"/>
      <c r="AA28" s="602"/>
      <c r="AB28" s="602"/>
      <c r="AC28" s="602"/>
      <c r="AD28" s="602"/>
      <c r="AE28" s="602"/>
      <c r="AF28" s="602"/>
      <c r="AG28" s="602"/>
      <c r="AH28" s="602"/>
      <c r="AI28" s="602"/>
      <c r="AJ28" s="602"/>
      <c r="AK28" s="602"/>
      <c r="AL28" s="23"/>
      <c r="AM28" s="15">
        <v>0</v>
      </c>
      <c r="AN28" s="15">
        <v>0</v>
      </c>
      <c r="AO28" s="15">
        <v>1.1994135748160306E-3</v>
      </c>
      <c r="AP28" s="15">
        <v>1.2372584222593421E-3</v>
      </c>
      <c r="AQ28" s="15">
        <v>1.6349690515072737E-3</v>
      </c>
      <c r="AR28" s="15">
        <v>1.8911246307032037E-3</v>
      </c>
      <c r="AS28" s="15">
        <v>2.2290696117729897E-3</v>
      </c>
      <c r="AT28" s="15">
        <v>2.7479466410900598E-3</v>
      </c>
      <c r="AU28" s="15">
        <v>3.4376483970634981E-3</v>
      </c>
      <c r="AV28" s="5"/>
    </row>
    <row r="29" spans="1:50" x14ac:dyDescent="0.25">
      <c r="A29" s="2">
        <v>1018</v>
      </c>
      <c r="B29" s="2" t="s">
        <v>112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601"/>
      <c r="N29" s="601"/>
      <c r="O29" s="601"/>
      <c r="P29" s="601"/>
      <c r="Q29" s="601"/>
      <c r="R29" s="603"/>
      <c r="S29" s="602"/>
      <c r="T29" s="602"/>
      <c r="U29" s="602"/>
      <c r="V29" s="602"/>
      <c r="W29" s="602"/>
      <c r="X29" s="602"/>
      <c r="Y29" s="92"/>
      <c r="Z29" s="602"/>
      <c r="AA29" s="602"/>
      <c r="AB29" s="602"/>
      <c r="AC29" s="602"/>
      <c r="AD29" s="602"/>
      <c r="AE29" s="602"/>
      <c r="AF29" s="602"/>
      <c r="AG29" s="602"/>
      <c r="AH29" s="602"/>
      <c r="AI29" s="602"/>
      <c r="AJ29" s="602"/>
      <c r="AK29" s="602"/>
      <c r="AL29" s="23"/>
      <c r="AM29" s="15">
        <v>0</v>
      </c>
      <c r="AN29" s="15">
        <v>1.9589157029176853E-3</v>
      </c>
      <c r="AO29" s="15">
        <v>3.152312788271743E-3</v>
      </c>
      <c r="AP29" s="15">
        <v>3.2517770590376103E-3</v>
      </c>
      <c r="AQ29" s="15">
        <v>4.2970447873122725E-3</v>
      </c>
      <c r="AR29" s="15">
        <v>4.9702758771056552E-3</v>
      </c>
      <c r="AS29" s="15">
        <v>5.8584668296900585E-3</v>
      </c>
      <c r="AT29" s="15">
        <v>7.2221855080513379E-3</v>
      </c>
      <c r="AU29" s="15">
        <v>9.0348677313472486E-3</v>
      </c>
      <c r="AV29" s="5"/>
    </row>
    <row r="30" spans="1:50" ht="15.75" thickBot="1" x14ac:dyDescent="0.3">
      <c r="A30" s="2">
        <v>1019</v>
      </c>
      <c r="B30" s="2" t="s">
        <v>96</v>
      </c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602"/>
      <c r="N30" s="602"/>
      <c r="O30" s="602"/>
      <c r="P30" s="602"/>
      <c r="Q30" s="602"/>
      <c r="R30" s="604"/>
      <c r="S30" s="602"/>
      <c r="T30" s="602"/>
      <c r="U30" s="602"/>
      <c r="V30" s="602"/>
      <c r="W30" s="602"/>
      <c r="X30" s="602"/>
      <c r="Y30" s="92"/>
      <c r="Z30" s="602"/>
      <c r="AA30" s="602"/>
      <c r="AB30" s="602"/>
      <c r="AC30" s="602"/>
      <c r="AD30" s="602"/>
      <c r="AE30" s="602"/>
      <c r="AF30" s="602"/>
      <c r="AG30" s="602"/>
      <c r="AH30" s="602"/>
      <c r="AI30" s="602"/>
      <c r="AJ30" s="602"/>
      <c r="AK30" s="602"/>
      <c r="AL30" s="23"/>
      <c r="AM30" s="15">
        <v>1.2200593841964586E-16</v>
      </c>
      <c r="AN30" s="15">
        <v>1.1991822983288625E-3</v>
      </c>
      <c r="AO30" s="15">
        <v>1.929739849887809E-3</v>
      </c>
      <c r="AP30" s="15">
        <v>1.9906285306214122E-3</v>
      </c>
      <c r="AQ30" s="15">
        <v>2.6305062726264547E-3</v>
      </c>
      <c r="AR30" s="15">
        <v>3.0426356993102275E-3</v>
      </c>
      <c r="AS30" s="15">
        <v>3.5863563230657878E-3</v>
      </c>
      <c r="AT30" s="15">
        <v>4.4211790244998335E-3</v>
      </c>
      <c r="AU30" s="15">
        <v>5.530842105680181E-3</v>
      </c>
      <c r="AV30" s="5"/>
    </row>
    <row r="31" spans="1:50" ht="15.75" thickBot="1" x14ac:dyDescent="0.3">
      <c r="A31" s="2">
        <v>1015</v>
      </c>
      <c r="B31" s="2" t="s">
        <v>113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602"/>
      <c r="N31" s="602"/>
      <c r="O31" s="602"/>
      <c r="P31" s="602"/>
      <c r="Q31" s="602"/>
      <c r="R31" s="605"/>
      <c r="S31" s="606"/>
      <c r="T31" s="606"/>
      <c r="U31" s="606"/>
      <c r="V31" s="606"/>
      <c r="W31" s="606"/>
      <c r="X31" s="607"/>
      <c r="Y31" s="92"/>
      <c r="Z31" s="571"/>
      <c r="AA31" s="571"/>
      <c r="AB31" s="571"/>
      <c r="AC31" s="571"/>
      <c r="AD31" s="571"/>
      <c r="AE31" s="571"/>
      <c r="AF31" s="571"/>
      <c r="AG31" s="571"/>
      <c r="AH31" s="571"/>
      <c r="AI31" s="571"/>
      <c r="AJ31" s="571"/>
      <c r="AK31" s="571"/>
      <c r="AL31" s="23"/>
      <c r="AM31" s="15">
        <v>0</v>
      </c>
      <c r="AN31" s="15">
        <v>3.3622347499527704E-3</v>
      </c>
      <c r="AO31" s="15">
        <v>5.4105521660077318E-3</v>
      </c>
      <c r="AP31" s="15">
        <v>5.5812701948897998E-3</v>
      </c>
      <c r="AQ31" s="15">
        <v>7.3753420244096982E-3</v>
      </c>
      <c r="AR31" s="15">
        <v>8.5308593146538447E-3</v>
      </c>
      <c r="AS31" s="15">
        <v>1.0055328428319648E-2</v>
      </c>
      <c r="AT31" s="15">
        <v>1.2395981639030409E-2</v>
      </c>
      <c r="AU31" s="15">
        <v>1.550722483990399E-2</v>
      </c>
      <c r="AV31" s="5"/>
    </row>
    <row r="32" spans="1:50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V32" s="5"/>
    </row>
    <row r="33" spans="1:48" x14ac:dyDescent="0.25">
      <c r="B33" s="1" t="s">
        <v>131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V33" s="5"/>
    </row>
    <row r="34" spans="1:48" x14ac:dyDescent="0.25">
      <c r="A34" s="2">
        <v>1012</v>
      </c>
      <c r="B34" s="2" t="s">
        <v>109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602"/>
      <c r="N34" s="602"/>
      <c r="O34" s="602"/>
      <c r="P34" s="602"/>
      <c r="Q34" s="602"/>
      <c r="R34" s="602"/>
      <c r="S34" s="602"/>
      <c r="T34" s="602"/>
      <c r="U34" s="602"/>
      <c r="V34" s="602"/>
      <c r="W34" s="602"/>
      <c r="X34" s="602"/>
      <c r="Y34" s="16"/>
      <c r="Z34" s="602"/>
      <c r="AA34" s="602"/>
      <c r="AB34" s="602"/>
      <c r="AC34" s="602"/>
      <c r="AD34" s="602"/>
      <c r="AE34" s="602"/>
      <c r="AF34" s="602"/>
      <c r="AG34" s="602"/>
      <c r="AH34" s="602"/>
      <c r="AI34" s="602"/>
      <c r="AJ34" s="602"/>
      <c r="AK34" s="602"/>
      <c r="AM34" s="15">
        <v>0</v>
      </c>
      <c r="AN34" s="15">
        <v>1.4906833450926723E-2</v>
      </c>
      <c r="AO34" s="15">
        <v>2.3988271496320702E-2</v>
      </c>
      <c r="AP34" s="15">
        <v>2.4745168445188218E-2</v>
      </c>
      <c r="AQ34" s="15">
        <v>3.2699381030144727E-2</v>
      </c>
      <c r="AR34" s="15">
        <v>3.7822492614063626E-2</v>
      </c>
      <c r="AS34" s="15">
        <v>4.4581392235459073E-2</v>
      </c>
      <c r="AT34" s="15">
        <v>5.4958932821800949E-2</v>
      </c>
      <c r="AU34" s="15">
        <v>6.8752967941271503E-2</v>
      </c>
      <c r="AV34" s="5"/>
    </row>
    <row r="35" spans="1:48" x14ac:dyDescent="0.25">
      <c r="A35" s="2">
        <v>1012</v>
      </c>
      <c r="B35" s="2" t="s">
        <v>136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602"/>
      <c r="N35" s="602"/>
      <c r="O35" s="602"/>
      <c r="P35" s="602"/>
      <c r="Q35" s="602"/>
      <c r="R35" s="602"/>
      <c r="S35" s="602"/>
      <c r="T35" s="602"/>
      <c r="U35" s="602"/>
      <c r="V35" s="602"/>
      <c r="W35" s="602"/>
      <c r="X35" s="602"/>
      <c r="Y35" s="16"/>
      <c r="Z35" s="602"/>
      <c r="AA35" s="602"/>
      <c r="AB35" s="602"/>
      <c r="AC35" s="602"/>
      <c r="AD35" s="602"/>
      <c r="AE35" s="602"/>
      <c r="AF35" s="602"/>
      <c r="AG35" s="602"/>
      <c r="AH35" s="602"/>
      <c r="AI35" s="602"/>
      <c r="AJ35" s="602"/>
      <c r="AK35" s="602"/>
      <c r="AM35" s="15">
        <v>0</v>
      </c>
      <c r="AN35" s="15">
        <v>1.4906833450926872E-2</v>
      </c>
      <c r="AO35" s="15">
        <v>2.3988271496320709E-2</v>
      </c>
      <c r="AP35" s="15">
        <v>2.4745168445188346E-2</v>
      </c>
      <c r="AQ35" s="15">
        <v>3.2699381030144872E-2</v>
      </c>
      <c r="AR35" s="15">
        <v>3.7822492614063494E-2</v>
      </c>
      <c r="AS35" s="15">
        <v>4.4581392235458962E-2</v>
      </c>
      <c r="AT35" s="15">
        <v>5.4958932821801067E-2</v>
      </c>
      <c r="AU35" s="15">
        <v>6.8752967941271406E-2</v>
      </c>
      <c r="AV35" s="5"/>
    </row>
    <row r="36" spans="1:48" x14ac:dyDescent="0.25">
      <c r="B36" s="2" t="s">
        <v>215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16"/>
      <c r="Z36" s="602"/>
      <c r="AA36" s="602"/>
      <c r="AB36" s="602"/>
      <c r="AC36" s="602"/>
      <c r="AD36" s="602"/>
      <c r="AE36" s="602"/>
      <c r="AF36" s="602"/>
      <c r="AG36" s="602"/>
      <c r="AH36" s="602"/>
      <c r="AI36" s="602"/>
      <c r="AJ36" s="602"/>
      <c r="AK36" s="602"/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5"/>
    </row>
    <row r="37" spans="1:48" x14ac:dyDescent="0.25">
      <c r="B37" s="177" t="s">
        <v>137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16"/>
      <c r="Z37" s="602"/>
      <c r="AA37" s="602"/>
      <c r="AB37" s="602"/>
      <c r="AC37" s="602"/>
      <c r="AD37" s="602"/>
      <c r="AE37" s="602"/>
      <c r="AF37" s="602"/>
      <c r="AG37" s="602"/>
      <c r="AH37" s="602"/>
      <c r="AI37" s="602"/>
      <c r="AJ37" s="602"/>
      <c r="AK37" s="602"/>
      <c r="AM37" s="15">
        <v>0</v>
      </c>
      <c r="AN37" s="15">
        <v>1.4906833450926867E-2</v>
      </c>
      <c r="AO37" s="15">
        <v>2.3988271496320723E-2</v>
      </c>
      <c r="AP37" s="15">
        <v>2.4745168445188259E-2</v>
      </c>
      <c r="AQ37" s="15">
        <v>3.2699381030144865E-2</v>
      </c>
      <c r="AR37" s="15">
        <v>3.7822492614063501E-2</v>
      </c>
      <c r="AS37" s="15">
        <v>4.4581392235458928E-2</v>
      </c>
      <c r="AT37" s="15">
        <v>5.4958932821800963E-2</v>
      </c>
      <c r="AU37" s="15">
        <v>6.8752967941271476E-2</v>
      </c>
      <c r="AV37" s="5"/>
    </row>
    <row r="38" spans="1:48" x14ac:dyDescent="0.25">
      <c r="A38" s="2">
        <v>1013</v>
      </c>
      <c r="B38" s="2" t="s">
        <v>110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16"/>
      <c r="Z38" s="602"/>
      <c r="AA38" s="602"/>
      <c r="AB38" s="602"/>
      <c r="AC38" s="602"/>
      <c r="AD38" s="602"/>
      <c r="AE38" s="602"/>
      <c r="AF38" s="602"/>
      <c r="AG38" s="602"/>
      <c r="AH38" s="602"/>
      <c r="AI38" s="602"/>
      <c r="AJ38" s="602"/>
      <c r="AK38" s="602"/>
      <c r="AM38" s="15">
        <v>0</v>
      </c>
      <c r="AN38" s="15">
        <v>1.4906833450926761E-2</v>
      </c>
      <c r="AO38" s="15">
        <v>2.3988271496320681E-2</v>
      </c>
      <c r="AP38" s="15">
        <v>2.4745168445188301E-2</v>
      </c>
      <c r="AQ38" s="15">
        <v>3.2699381030144845E-2</v>
      </c>
      <c r="AR38" s="15">
        <v>3.7822492614063556E-2</v>
      </c>
      <c r="AS38" s="15">
        <v>4.4581392235458935E-2</v>
      </c>
      <c r="AT38" s="15">
        <v>5.4958932821800935E-2</v>
      </c>
      <c r="AU38" s="15">
        <v>6.8752967941271476E-2</v>
      </c>
      <c r="AV38" s="5"/>
    </row>
    <row r="39" spans="1:48" x14ac:dyDescent="0.25">
      <c r="A39" s="2">
        <v>1014</v>
      </c>
      <c r="B39" s="2" t="s">
        <v>111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16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M39" s="15">
        <v>0</v>
      </c>
      <c r="AN39" s="15">
        <v>1.4906833450926719E-2</v>
      </c>
      <c r="AO39" s="15">
        <v>2.3988271496320612E-2</v>
      </c>
      <c r="AP39" s="15">
        <v>2.4745168445188311E-2</v>
      </c>
      <c r="AQ39" s="15">
        <v>3.2699381030144817E-2</v>
      </c>
      <c r="AR39" s="15">
        <v>3.7822492614063542E-2</v>
      </c>
      <c r="AS39" s="15">
        <v>4.4581392235458983E-2</v>
      </c>
      <c r="AT39" s="15">
        <v>5.4958932821801011E-2</v>
      </c>
      <c r="AU39" s="15">
        <v>6.8752967941271559E-2</v>
      </c>
      <c r="AV39" s="5"/>
    </row>
    <row r="40" spans="1:48" x14ac:dyDescent="0.25">
      <c r="B40" s="2" t="s">
        <v>375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16"/>
      <c r="Z40" s="602"/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2"/>
      <c r="AM40" s="15">
        <v>0</v>
      </c>
      <c r="AN40" s="15">
        <v>0</v>
      </c>
      <c r="AO40" s="15">
        <v>2.3988271496320608E-2</v>
      </c>
      <c r="AP40" s="15">
        <v>2.4745168445188186E-2</v>
      </c>
      <c r="AQ40" s="15">
        <v>3.26993810301449E-2</v>
      </c>
      <c r="AR40" s="15">
        <v>3.7822492614063494E-2</v>
      </c>
      <c r="AS40" s="15">
        <v>4.4581392235459018E-2</v>
      </c>
      <c r="AT40" s="15">
        <v>5.4958932821801004E-2</v>
      </c>
      <c r="AU40" s="15">
        <v>6.8752967941271503E-2</v>
      </c>
      <c r="AV40" s="5"/>
    </row>
    <row r="41" spans="1:48" x14ac:dyDescent="0.25">
      <c r="A41" s="2">
        <v>1018</v>
      </c>
      <c r="B41" s="2" t="s">
        <v>112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602"/>
      <c r="N41" s="602"/>
      <c r="O41" s="602"/>
      <c r="P41" s="602"/>
      <c r="Q41" s="602"/>
      <c r="R41" s="602"/>
      <c r="S41" s="602"/>
      <c r="T41" s="602"/>
      <c r="U41" s="602"/>
      <c r="V41" s="602"/>
      <c r="W41" s="602"/>
      <c r="X41" s="602"/>
      <c r="Y41" s="16"/>
      <c r="Z41" s="602"/>
      <c r="AA41" s="602"/>
      <c r="AB41" s="602"/>
      <c r="AC41" s="602"/>
      <c r="AD41" s="602"/>
      <c r="AE41" s="602"/>
      <c r="AF41" s="602"/>
      <c r="AG41" s="602"/>
      <c r="AH41" s="602"/>
      <c r="AI41" s="602"/>
      <c r="AJ41" s="602"/>
      <c r="AK41" s="602"/>
      <c r="AM41" s="15">
        <v>0</v>
      </c>
      <c r="AN41" s="15">
        <v>1.490683345092674E-2</v>
      </c>
      <c r="AO41" s="15">
        <v>2.3988271496320639E-2</v>
      </c>
      <c r="AP41" s="15">
        <v>2.4745168445188211E-2</v>
      </c>
      <c r="AQ41" s="15">
        <v>3.2699381030144775E-2</v>
      </c>
      <c r="AR41" s="15">
        <v>3.7822492614063598E-2</v>
      </c>
      <c r="AS41" s="15">
        <v>4.4581392235459046E-2</v>
      </c>
      <c r="AT41" s="15">
        <v>5.4958932821800983E-2</v>
      </c>
      <c r="AU41" s="15">
        <v>6.8752967941271587E-2</v>
      </c>
      <c r="AV41" s="5"/>
    </row>
    <row r="42" spans="1:48" x14ac:dyDescent="0.25">
      <c r="A42" s="2">
        <v>1019</v>
      </c>
      <c r="B42" s="2" t="s">
        <v>96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602"/>
      <c r="N42" s="602"/>
      <c r="O42" s="602"/>
      <c r="P42" s="602"/>
      <c r="Q42" s="602"/>
      <c r="R42" s="602"/>
      <c r="S42" s="602"/>
      <c r="T42" s="602"/>
      <c r="U42" s="602"/>
      <c r="V42" s="602"/>
      <c r="W42" s="602"/>
      <c r="X42" s="602"/>
      <c r="Y42" s="16"/>
      <c r="Z42" s="602"/>
      <c r="AA42" s="602"/>
      <c r="AB42" s="602"/>
      <c r="AC42" s="602"/>
      <c r="AD42" s="602"/>
      <c r="AE42" s="602"/>
      <c r="AF42" s="602"/>
      <c r="AG42" s="602"/>
      <c r="AH42" s="602"/>
      <c r="AI42" s="602"/>
      <c r="AJ42" s="602"/>
      <c r="AK42" s="602"/>
      <c r="AM42" s="15">
        <v>0</v>
      </c>
      <c r="AN42" s="15">
        <v>1.4906833450926818E-2</v>
      </c>
      <c r="AO42" s="15">
        <v>2.3988271496320601E-2</v>
      </c>
      <c r="AP42" s="15">
        <v>2.4745168445188193E-2</v>
      </c>
      <c r="AQ42" s="15">
        <v>3.2699381030144838E-2</v>
      </c>
      <c r="AR42" s="15">
        <v>3.7822492614063626E-2</v>
      </c>
      <c r="AS42" s="15">
        <v>4.458139223545899E-2</v>
      </c>
      <c r="AT42" s="15">
        <v>5.4958932821800983E-2</v>
      </c>
      <c r="AU42" s="15">
        <v>6.8752967941271517E-2</v>
      </c>
      <c r="AV42" s="5"/>
    </row>
    <row r="43" spans="1:48" x14ac:dyDescent="0.25">
      <c r="A43" s="2">
        <v>1015</v>
      </c>
      <c r="B43" s="2" t="s">
        <v>113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602"/>
      <c r="N43" s="602"/>
      <c r="O43" s="602"/>
      <c r="P43" s="602"/>
      <c r="Q43" s="602"/>
      <c r="R43" s="602"/>
      <c r="S43" s="602"/>
      <c r="T43" s="602"/>
      <c r="U43" s="602"/>
      <c r="V43" s="602"/>
      <c r="W43" s="602"/>
      <c r="X43" s="602"/>
      <c r="Y43" s="16"/>
      <c r="Z43" s="571"/>
      <c r="AA43" s="571"/>
      <c r="AB43" s="571"/>
      <c r="AC43" s="571"/>
      <c r="AD43" s="571"/>
      <c r="AE43" s="571"/>
      <c r="AF43" s="571"/>
      <c r="AG43" s="571"/>
      <c r="AH43" s="571"/>
      <c r="AI43" s="571"/>
      <c r="AJ43" s="571"/>
      <c r="AK43" s="571"/>
      <c r="AM43" s="15">
        <v>0</v>
      </c>
      <c r="AN43" s="15">
        <v>1.4906833450926785E-2</v>
      </c>
      <c r="AO43" s="15">
        <v>2.398827149632073E-2</v>
      </c>
      <c r="AP43" s="15">
        <v>2.4745168445188277E-2</v>
      </c>
      <c r="AQ43" s="15">
        <v>3.2699381030144768E-2</v>
      </c>
      <c r="AR43" s="15">
        <v>3.7822492614063528E-2</v>
      </c>
      <c r="AS43" s="15">
        <v>4.4581392235459025E-2</v>
      </c>
      <c r="AT43" s="15">
        <v>5.4958932821800976E-2</v>
      </c>
      <c r="AU43" s="15">
        <v>6.8752967941271476E-2</v>
      </c>
      <c r="AV43" s="5"/>
    </row>
    <row r="44" spans="1:48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V44" s="5"/>
    </row>
    <row r="45" spans="1:48" x14ac:dyDescent="0.25">
      <c r="B45" s="1" t="s">
        <v>132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V45" s="5"/>
    </row>
    <row r="46" spans="1:48" x14ac:dyDescent="0.25">
      <c r="A46" s="2">
        <v>1012</v>
      </c>
      <c r="B46" s="2" t="s">
        <v>109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602"/>
      <c r="N46" s="602"/>
      <c r="O46" s="602"/>
      <c r="P46" s="602"/>
      <c r="Q46" s="602"/>
      <c r="R46" s="602"/>
      <c r="S46" s="602"/>
      <c r="T46" s="602"/>
      <c r="U46" s="602"/>
      <c r="V46" s="602"/>
      <c r="W46" s="602"/>
      <c r="X46" s="602"/>
      <c r="Y46" s="16"/>
      <c r="Z46" s="602"/>
      <c r="AA46" s="602"/>
      <c r="AB46" s="602"/>
      <c r="AC46" s="602"/>
      <c r="AD46" s="602"/>
      <c r="AE46" s="602"/>
      <c r="AF46" s="602"/>
      <c r="AG46" s="602"/>
      <c r="AH46" s="602"/>
      <c r="AI46" s="602"/>
      <c r="AJ46" s="602"/>
      <c r="AK46" s="602"/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5"/>
    </row>
    <row r="47" spans="1:48" x14ac:dyDescent="0.25">
      <c r="A47" s="2">
        <v>1012</v>
      </c>
      <c r="B47" s="2" t="s">
        <v>136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602"/>
      <c r="N47" s="602"/>
      <c r="O47" s="602"/>
      <c r="P47" s="602"/>
      <c r="Q47" s="602"/>
      <c r="R47" s="602"/>
      <c r="S47" s="602"/>
      <c r="T47" s="602"/>
      <c r="U47" s="602"/>
      <c r="V47" s="602"/>
      <c r="W47" s="602"/>
      <c r="X47" s="602"/>
      <c r="Y47" s="16"/>
      <c r="Z47" s="602"/>
      <c r="AA47" s="602"/>
      <c r="AB47" s="602"/>
      <c r="AC47" s="602"/>
      <c r="AD47" s="602"/>
      <c r="AE47" s="602"/>
      <c r="AF47" s="602"/>
      <c r="AG47" s="602"/>
      <c r="AH47" s="602"/>
      <c r="AI47" s="602"/>
      <c r="AJ47" s="602"/>
      <c r="AK47" s="602"/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5"/>
    </row>
    <row r="48" spans="1:48" x14ac:dyDescent="0.25">
      <c r="B48" s="2" t="s">
        <v>215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16"/>
      <c r="Z48" s="602"/>
      <c r="AA48" s="602"/>
      <c r="AB48" s="602"/>
      <c r="AC48" s="602"/>
      <c r="AD48" s="602"/>
      <c r="AE48" s="602"/>
      <c r="AF48" s="602"/>
      <c r="AG48" s="602"/>
      <c r="AH48" s="602"/>
      <c r="AI48" s="602"/>
      <c r="AJ48" s="602"/>
      <c r="AK48" s="602"/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5"/>
    </row>
    <row r="49" spans="1:48" x14ac:dyDescent="0.25">
      <c r="B49" s="177" t="s">
        <v>137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602"/>
      <c r="N49" s="602"/>
      <c r="O49" s="602"/>
      <c r="P49" s="602"/>
      <c r="Q49" s="602"/>
      <c r="R49" s="602"/>
      <c r="S49" s="602"/>
      <c r="T49" s="602"/>
      <c r="U49" s="602"/>
      <c r="V49" s="602"/>
      <c r="W49" s="602"/>
      <c r="X49" s="602"/>
      <c r="Y49" s="16"/>
      <c r="Z49" s="602"/>
      <c r="AA49" s="602"/>
      <c r="AB49" s="602"/>
      <c r="AC49" s="602"/>
      <c r="AD49" s="602"/>
      <c r="AE49" s="602"/>
      <c r="AF49" s="602"/>
      <c r="AG49" s="602"/>
      <c r="AH49" s="602"/>
      <c r="AI49" s="602"/>
      <c r="AJ49" s="602"/>
      <c r="AK49" s="602"/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5"/>
    </row>
    <row r="50" spans="1:48" x14ac:dyDescent="0.25">
      <c r="A50" s="2">
        <v>1013</v>
      </c>
      <c r="B50" s="2" t="s">
        <v>110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602"/>
      <c r="N50" s="602"/>
      <c r="O50" s="602"/>
      <c r="P50" s="602"/>
      <c r="Q50" s="602"/>
      <c r="R50" s="602"/>
      <c r="S50" s="602"/>
      <c r="T50" s="602"/>
      <c r="U50" s="602"/>
      <c r="V50" s="602"/>
      <c r="W50" s="602"/>
      <c r="X50" s="602"/>
      <c r="Y50" s="16"/>
      <c r="Z50" s="602"/>
      <c r="AA50" s="602"/>
      <c r="AB50" s="602"/>
      <c r="AC50" s="602"/>
      <c r="AD50" s="602"/>
      <c r="AE50" s="602"/>
      <c r="AF50" s="602"/>
      <c r="AG50" s="602"/>
      <c r="AH50" s="602"/>
      <c r="AI50" s="602"/>
      <c r="AJ50" s="602"/>
      <c r="AK50" s="602"/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5"/>
    </row>
    <row r="51" spans="1:48" x14ac:dyDescent="0.25">
      <c r="A51" s="2">
        <v>1014</v>
      </c>
      <c r="B51" s="2" t="s">
        <v>111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602"/>
      <c r="N51" s="602"/>
      <c r="O51" s="602"/>
      <c r="P51" s="602"/>
      <c r="Q51" s="602"/>
      <c r="R51" s="602"/>
      <c r="S51" s="602"/>
      <c r="T51" s="602"/>
      <c r="U51" s="602"/>
      <c r="V51" s="602"/>
      <c r="W51" s="602"/>
      <c r="X51" s="602"/>
      <c r="Y51" s="16"/>
      <c r="Z51" s="602"/>
      <c r="AA51" s="602"/>
      <c r="AB51" s="602"/>
      <c r="AC51" s="602"/>
      <c r="AD51" s="602"/>
      <c r="AE51" s="602"/>
      <c r="AF51" s="602"/>
      <c r="AG51" s="602"/>
      <c r="AH51" s="602"/>
      <c r="AI51" s="602"/>
      <c r="AJ51" s="602"/>
      <c r="AK51" s="602"/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5"/>
    </row>
    <row r="52" spans="1:48" x14ac:dyDescent="0.25">
      <c r="B52" s="2" t="s">
        <v>375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602"/>
      <c r="N52" s="602"/>
      <c r="O52" s="602"/>
      <c r="P52" s="602"/>
      <c r="Q52" s="602"/>
      <c r="R52" s="602"/>
      <c r="S52" s="602"/>
      <c r="T52" s="602"/>
      <c r="U52" s="602"/>
      <c r="V52" s="602"/>
      <c r="W52" s="602"/>
      <c r="X52" s="602"/>
      <c r="Y52" s="16"/>
      <c r="Z52" s="602"/>
      <c r="AA52" s="602"/>
      <c r="AB52" s="602"/>
      <c r="AC52" s="602"/>
      <c r="AD52" s="602"/>
      <c r="AE52" s="602"/>
      <c r="AF52" s="602"/>
      <c r="AG52" s="602"/>
      <c r="AH52" s="602"/>
      <c r="AI52" s="602"/>
      <c r="AJ52" s="602"/>
      <c r="AK52" s="602"/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5"/>
    </row>
    <row r="53" spans="1:48" x14ac:dyDescent="0.25">
      <c r="A53" s="2">
        <v>1018</v>
      </c>
      <c r="B53" s="2" t="s">
        <v>112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602"/>
      <c r="N53" s="602"/>
      <c r="O53" s="602"/>
      <c r="P53" s="602"/>
      <c r="Q53" s="602"/>
      <c r="R53" s="602"/>
      <c r="S53" s="602"/>
      <c r="T53" s="602"/>
      <c r="U53" s="602"/>
      <c r="V53" s="602"/>
      <c r="W53" s="602"/>
      <c r="X53" s="602"/>
      <c r="Y53" s="16"/>
      <c r="Z53" s="602"/>
      <c r="AA53" s="602"/>
      <c r="AB53" s="602"/>
      <c r="AC53" s="602"/>
      <c r="AD53" s="602"/>
      <c r="AE53" s="602"/>
      <c r="AF53" s="602"/>
      <c r="AG53" s="602"/>
      <c r="AH53" s="602"/>
      <c r="AI53" s="602"/>
      <c r="AJ53" s="602"/>
      <c r="AK53" s="602"/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5"/>
    </row>
    <row r="54" spans="1:48" x14ac:dyDescent="0.25">
      <c r="A54" s="2">
        <v>1019</v>
      </c>
      <c r="B54" s="2" t="s">
        <v>96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16"/>
      <c r="Z54" s="602"/>
      <c r="AA54" s="602"/>
      <c r="AB54" s="602"/>
      <c r="AC54" s="602"/>
      <c r="AD54" s="602"/>
      <c r="AE54" s="602"/>
      <c r="AF54" s="602"/>
      <c r="AG54" s="602"/>
      <c r="AH54" s="602"/>
      <c r="AI54" s="602"/>
      <c r="AJ54" s="602"/>
      <c r="AK54" s="602"/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5"/>
    </row>
    <row r="55" spans="1:48" x14ac:dyDescent="0.25">
      <c r="A55" s="2">
        <v>1015</v>
      </c>
      <c r="B55" s="2" t="s">
        <v>113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16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1"/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5"/>
    </row>
    <row r="56" spans="1:48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V56" s="5"/>
    </row>
    <row r="57" spans="1:48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V57" s="5"/>
    </row>
    <row r="58" spans="1:48" x14ac:dyDescent="0.25">
      <c r="B58" s="1" t="s">
        <v>133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V58" s="5"/>
    </row>
    <row r="59" spans="1:48" x14ac:dyDescent="0.25">
      <c r="A59" s="2">
        <v>1012</v>
      </c>
      <c r="B59" s="2" t="s">
        <v>109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16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M59" s="15">
        <v>0</v>
      </c>
      <c r="AN59" s="15">
        <v>0</v>
      </c>
      <c r="AO59" s="15">
        <v>0</v>
      </c>
      <c r="AP59" s="15"/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5"/>
    </row>
    <row r="60" spans="1:48" x14ac:dyDescent="0.25">
      <c r="A60" s="2">
        <v>1012</v>
      </c>
      <c r="B60" s="2" t="s">
        <v>136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16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602"/>
      <c r="AK60" s="602"/>
      <c r="AM60" s="15">
        <v>0</v>
      </c>
      <c r="AN60" s="15">
        <v>0</v>
      </c>
      <c r="AO60" s="15">
        <v>0</v>
      </c>
      <c r="AP60" s="15"/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5"/>
    </row>
    <row r="61" spans="1:48" x14ac:dyDescent="0.25">
      <c r="B61" s="2" t="s">
        <v>215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16"/>
      <c r="Z61" s="602"/>
      <c r="AA61" s="602"/>
      <c r="AB61" s="602"/>
      <c r="AC61" s="602"/>
      <c r="AD61" s="602"/>
      <c r="AE61" s="602"/>
      <c r="AF61" s="602"/>
      <c r="AG61" s="602"/>
      <c r="AH61" s="602"/>
      <c r="AI61" s="602"/>
      <c r="AJ61" s="602"/>
      <c r="AK61" s="602"/>
      <c r="AM61" s="15">
        <v>0</v>
      </c>
      <c r="AN61" s="15">
        <v>0</v>
      </c>
      <c r="AO61" s="15">
        <v>0</v>
      </c>
      <c r="AP61" s="15"/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5"/>
    </row>
    <row r="62" spans="1:48" x14ac:dyDescent="0.25">
      <c r="B62" s="177" t="s">
        <v>137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602"/>
      <c r="N62" s="602"/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16"/>
      <c r="Z62" s="602"/>
      <c r="AA62" s="602"/>
      <c r="AB62" s="602"/>
      <c r="AC62" s="602"/>
      <c r="AD62" s="602"/>
      <c r="AE62" s="602"/>
      <c r="AF62" s="602"/>
      <c r="AG62" s="602"/>
      <c r="AH62" s="602"/>
      <c r="AI62" s="602"/>
      <c r="AJ62" s="602"/>
      <c r="AK62" s="602"/>
      <c r="AM62" s="15">
        <v>0</v>
      </c>
      <c r="AN62" s="15">
        <v>0</v>
      </c>
      <c r="AO62" s="15">
        <v>0</v>
      </c>
      <c r="AP62" s="15"/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5"/>
    </row>
    <row r="63" spans="1:48" x14ac:dyDescent="0.25">
      <c r="A63" s="2">
        <v>1013</v>
      </c>
      <c r="B63" s="2" t="s">
        <v>110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16"/>
      <c r="Z63" s="602"/>
      <c r="AA63" s="602"/>
      <c r="AB63" s="602"/>
      <c r="AC63" s="602"/>
      <c r="AD63" s="602"/>
      <c r="AE63" s="602"/>
      <c r="AF63" s="602"/>
      <c r="AG63" s="602"/>
      <c r="AH63" s="602"/>
      <c r="AI63" s="602"/>
      <c r="AJ63" s="602"/>
      <c r="AK63" s="602"/>
      <c r="AM63" s="15">
        <v>0</v>
      </c>
      <c r="AN63" s="15">
        <v>0</v>
      </c>
      <c r="AO63" s="15">
        <v>0</v>
      </c>
      <c r="AP63" s="15"/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5"/>
    </row>
    <row r="64" spans="1:48" x14ac:dyDescent="0.25">
      <c r="A64" s="2">
        <v>1014</v>
      </c>
      <c r="B64" s="2" t="s">
        <v>111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16"/>
      <c r="Z64" s="602"/>
      <c r="AA64" s="602"/>
      <c r="AB64" s="602"/>
      <c r="AC64" s="602"/>
      <c r="AD64" s="602"/>
      <c r="AE64" s="602"/>
      <c r="AF64" s="602"/>
      <c r="AG64" s="602"/>
      <c r="AH64" s="602"/>
      <c r="AI64" s="602"/>
      <c r="AJ64" s="602"/>
      <c r="AK64" s="602"/>
      <c r="AM64" s="15">
        <v>0</v>
      </c>
      <c r="AN64" s="15">
        <v>0</v>
      </c>
      <c r="AO64" s="15">
        <v>0</v>
      </c>
      <c r="AP64" s="15"/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5"/>
    </row>
    <row r="65" spans="1:48" x14ac:dyDescent="0.25">
      <c r="B65" s="2" t="s">
        <v>375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16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  <c r="AJ65" s="602"/>
      <c r="AK65" s="602"/>
      <c r="AM65" s="15">
        <v>0</v>
      </c>
      <c r="AN65" s="15">
        <v>0</v>
      </c>
      <c r="AO65" s="15">
        <v>0</v>
      </c>
      <c r="AP65" s="15"/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5"/>
    </row>
    <row r="66" spans="1:48" x14ac:dyDescent="0.25">
      <c r="A66" s="2">
        <v>1018</v>
      </c>
      <c r="B66" s="2" t="s">
        <v>112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16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M66" s="15">
        <v>0</v>
      </c>
      <c r="AN66" s="15">
        <v>0</v>
      </c>
      <c r="AO66" s="15">
        <v>0</v>
      </c>
      <c r="AP66" s="15"/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5"/>
    </row>
    <row r="67" spans="1:48" x14ac:dyDescent="0.25">
      <c r="A67" s="2">
        <v>1019</v>
      </c>
      <c r="B67" s="2" t="s">
        <v>96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602"/>
      <c r="N67" s="602"/>
      <c r="O67" s="602"/>
      <c r="P67" s="602"/>
      <c r="Q67" s="602"/>
      <c r="R67" s="602"/>
      <c r="S67" s="602"/>
      <c r="T67" s="602"/>
      <c r="U67" s="602"/>
      <c r="V67" s="602"/>
      <c r="W67" s="602"/>
      <c r="X67" s="602"/>
      <c r="Y67" s="16"/>
      <c r="Z67" s="602"/>
      <c r="AA67" s="602"/>
      <c r="AB67" s="602"/>
      <c r="AC67" s="602"/>
      <c r="AD67" s="602"/>
      <c r="AE67" s="602"/>
      <c r="AF67" s="602"/>
      <c r="AG67" s="602"/>
      <c r="AH67" s="602"/>
      <c r="AI67" s="602"/>
      <c r="AJ67" s="602"/>
      <c r="AK67" s="602"/>
      <c r="AM67" s="15">
        <v>0</v>
      </c>
      <c r="AN67" s="15">
        <v>0</v>
      </c>
      <c r="AO67" s="15">
        <v>0</v>
      </c>
      <c r="AP67" s="15"/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5"/>
    </row>
    <row r="68" spans="1:48" x14ac:dyDescent="0.25">
      <c r="A68" s="2">
        <v>1015</v>
      </c>
      <c r="B68" s="2" t="s">
        <v>113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602"/>
      <c r="N68" s="602"/>
      <c r="O68" s="602"/>
      <c r="P68" s="602"/>
      <c r="Q68" s="602"/>
      <c r="R68" s="602"/>
      <c r="S68" s="602"/>
      <c r="T68" s="602"/>
      <c r="U68" s="602"/>
      <c r="V68" s="602"/>
      <c r="W68" s="602"/>
      <c r="X68" s="602"/>
      <c r="Y68" s="16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M68" s="15">
        <v>0</v>
      </c>
      <c r="AN68" s="15">
        <v>0</v>
      </c>
      <c r="AO68" s="15">
        <v>0</v>
      </c>
      <c r="AP68" s="15"/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5"/>
    </row>
    <row r="69" spans="1:48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V69" s="5"/>
    </row>
    <row r="70" spans="1:48" x14ac:dyDescent="0.25">
      <c r="B70" s="1" t="s">
        <v>134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V70" s="5"/>
    </row>
    <row r="71" spans="1:48" x14ac:dyDescent="0.25">
      <c r="A71" s="2">
        <v>1012</v>
      </c>
      <c r="B71" s="2" t="s">
        <v>109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16"/>
      <c r="Z71" s="602"/>
      <c r="AA71" s="602"/>
      <c r="AB71" s="602"/>
      <c r="AC71" s="602"/>
      <c r="AD71" s="602"/>
      <c r="AE71" s="602"/>
      <c r="AF71" s="602"/>
      <c r="AG71" s="602"/>
      <c r="AH71" s="602"/>
      <c r="AI71" s="602"/>
      <c r="AJ71" s="602"/>
      <c r="AK71" s="602"/>
      <c r="AM71" s="15">
        <v>0</v>
      </c>
      <c r="AN71" s="15">
        <v>0</v>
      </c>
      <c r="AO71" s="15">
        <v>0</v>
      </c>
      <c r="AP71" s="15"/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5"/>
    </row>
    <row r="72" spans="1:48" x14ac:dyDescent="0.25">
      <c r="A72" s="2">
        <v>1012</v>
      </c>
      <c r="B72" s="2" t="s">
        <v>136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602"/>
      <c r="N72" s="602"/>
      <c r="O72" s="602"/>
      <c r="P72" s="602"/>
      <c r="Q72" s="602"/>
      <c r="R72" s="602"/>
      <c r="S72" s="602"/>
      <c r="T72" s="602"/>
      <c r="U72" s="602"/>
      <c r="V72" s="602"/>
      <c r="W72" s="602"/>
      <c r="X72" s="602"/>
      <c r="Y72" s="16"/>
      <c r="Z72" s="602"/>
      <c r="AA72" s="602"/>
      <c r="AB72" s="602"/>
      <c r="AC72" s="602"/>
      <c r="AD72" s="602"/>
      <c r="AE72" s="602"/>
      <c r="AF72" s="602"/>
      <c r="AG72" s="602"/>
      <c r="AH72" s="602"/>
      <c r="AI72" s="602"/>
      <c r="AJ72" s="602"/>
      <c r="AK72" s="602"/>
      <c r="AM72" s="15">
        <v>0</v>
      </c>
      <c r="AN72" s="15">
        <v>0</v>
      </c>
      <c r="AO72" s="15">
        <v>0</v>
      </c>
      <c r="AP72" s="15"/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5"/>
    </row>
    <row r="73" spans="1:48" x14ac:dyDescent="0.25">
      <c r="B73" s="2" t="s">
        <v>215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602"/>
      <c r="N73" s="602"/>
      <c r="O73" s="602"/>
      <c r="P73" s="602"/>
      <c r="Q73" s="602"/>
      <c r="R73" s="602"/>
      <c r="S73" s="602"/>
      <c r="T73" s="602"/>
      <c r="U73" s="602"/>
      <c r="V73" s="602"/>
      <c r="W73" s="602"/>
      <c r="X73" s="602"/>
      <c r="Y73" s="16"/>
      <c r="Z73" s="602"/>
      <c r="AA73" s="602"/>
      <c r="AB73" s="602"/>
      <c r="AC73" s="602"/>
      <c r="AD73" s="602"/>
      <c r="AE73" s="602"/>
      <c r="AF73" s="602"/>
      <c r="AG73" s="602"/>
      <c r="AH73" s="602"/>
      <c r="AI73" s="602"/>
      <c r="AJ73" s="602"/>
      <c r="AK73" s="602"/>
      <c r="AM73" s="15">
        <v>0</v>
      </c>
      <c r="AN73" s="15">
        <v>0</v>
      </c>
      <c r="AO73" s="15">
        <v>0</v>
      </c>
      <c r="AP73" s="15"/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5"/>
    </row>
    <row r="74" spans="1:48" x14ac:dyDescent="0.25">
      <c r="B74" s="177" t="s">
        <v>137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602"/>
      <c r="N74" s="602"/>
      <c r="O74" s="602"/>
      <c r="P74" s="602"/>
      <c r="Q74" s="602"/>
      <c r="R74" s="602"/>
      <c r="S74" s="602"/>
      <c r="T74" s="602"/>
      <c r="U74" s="602"/>
      <c r="V74" s="602"/>
      <c r="W74" s="602"/>
      <c r="X74" s="602"/>
      <c r="Y74" s="16"/>
      <c r="Z74" s="602"/>
      <c r="AA74" s="602"/>
      <c r="AB74" s="602"/>
      <c r="AC74" s="602"/>
      <c r="AD74" s="602"/>
      <c r="AE74" s="602"/>
      <c r="AF74" s="602"/>
      <c r="AG74" s="602"/>
      <c r="AH74" s="602"/>
      <c r="AI74" s="602"/>
      <c r="AJ74" s="602"/>
      <c r="AK74" s="602"/>
      <c r="AM74" s="15">
        <v>0</v>
      </c>
      <c r="AN74" s="15">
        <v>0</v>
      </c>
      <c r="AO74" s="15">
        <v>0</v>
      </c>
      <c r="AP74" s="15"/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5"/>
    </row>
    <row r="75" spans="1:48" x14ac:dyDescent="0.25">
      <c r="A75" s="2">
        <v>1013</v>
      </c>
      <c r="B75" s="2" t="s">
        <v>110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602"/>
      <c r="N75" s="602"/>
      <c r="O75" s="602"/>
      <c r="P75" s="602"/>
      <c r="Q75" s="602"/>
      <c r="R75" s="602"/>
      <c r="S75" s="602"/>
      <c r="T75" s="602"/>
      <c r="U75" s="602"/>
      <c r="V75" s="602"/>
      <c r="W75" s="602"/>
      <c r="X75" s="602"/>
      <c r="Y75" s="16"/>
      <c r="Z75" s="602"/>
      <c r="AA75" s="602"/>
      <c r="AB75" s="602"/>
      <c r="AC75" s="602"/>
      <c r="AD75" s="602"/>
      <c r="AE75" s="602"/>
      <c r="AF75" s="602"/>
      <c r="AG75" s="602"/>
      <c r="AH75" s="602"/>
      <c r="AI75" s="602"/>
      <c r="AJ75" s="602"/>
      <c r="AK75" s="602"/>
      <c r="AM75" s="15">
        <v>0</v>
      </c>
      <c r="AN75" s="15">
        <v>0</v>
      </c>
      <c r="AO75" s="15">
        <v>0</v>
      </c>
      <c r="AP75" s="15"/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5"/>
    </row>
    <row r="76" spans="1:48" x14ac:dyDescent="0.25">
      <c r="A76" s="2">
        <v>1014</v>
      </c>
      <c r="B76" s="2" t="s">
        <v>111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602"/>
      <c r="N76" s="602"/>
      <c r="O76" s="602"/>
      <c r="P76" s="602"/>
      <c r="Q76" s="602"/>
      <c r="R76" s="602"/>
      <c r="S76" s="602"/>
      <c r="T76" s="602"/>
      <c r="U76" s="602"/>
      <c r="V76" s="602"/>
      <c r="W76" s="602"/>
      <c r="X76" s="602"/>
      <c r="Y76" s="16"/>
      <c r="Z76" s="602"/>
      <c r="AA76" s="602"/>
      <c r="AB76" s="602"/>
      <c r="AC76" s="602"/>
      <c r="AD76" s="602"/>
      <c r="AE76" s="602"/>
      <c r="AF76" s="602"/>
      <c r="AG76" s="602"/>
      <c r="AH76" s="602"/>
      <c r="AI76" s="602"/>
      <c r="AJ76" s="602"/>
      <c r="AK76" s="602"/>
      <c r="AM76" s="15">
        <v>0</v>
      </c>
      <c r="AN76" s="15">
        <v>0</v>
      </c>
      <c r="AO76" s="15">
        <v>0</v>
      </c>
      <c r="AP76" s="15"/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5"/>
    </row>
    <row r="77" spans="1:48" x14ac:dyDescent="0.25">
      <c r="B77" s="2" t="s">
        <v>375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602"/>
      <c r="N77" s="602"/>
      <c r="O77" s="602"/>
      <c r="P77" s="602"/>
      <c r="Q77" s="602"/>
      <c r="R77" s="602"/>
      <c r="S77" s="602"/>
      <c r="T77" s="602"/>
      <c r="U77" s="602"/>
      <c r="V77" s="602"/>
      <c r="W77" s="602"/>
      <c r="X77" s="602"/>
      <c r="Y77" s="16"/>
      <c r="Z77" s="602"/>
      <c r="AA77" s="602"/>
      <c r="AB77" s="602"/>
      <c r="AC77" s="602"/>
      <c r="AD77" s="602"/>
      <c r="AE77" s="602"/>
      <c r="AF77" s="602"/>
      <c r="AG77" s="602"/>
      <c r="AH77" s="602"/>
      <c r="AI77" s="602"/>
      <c r="AJ77" s="602"/>
      <c r="AK77" s="602"/>
      <c r="AM77" s="15">
        <v>0</v>
      </c>
      <c r="AN77" s="15">
        <v>0</v>
      </c>
      <c r="AO77" s="15">
        <v>0</v>
      </c>
      <c r="AP77" s="15"/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5"/>
    </row>
    <row r="78" spans="1:48" x14ac:dyDescent="0.25">
      <c r="A78" s="2">
        <v>1018</v>
      </c>
      <c r="B78" s="2" t="s">
        <v>112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602"/>
      <c r="N78" s="602"/>
      <c r="O78" s="602"/>
      <c r="P78" s="602"/>
      <c r="Q78" s="602"/>
      <c r="R78" s="602"/>
      <c r="S78" s="602"/>
      <c r="T78" s="602"/>
      <c r="U78" s="602"/>
      <c r="V78" s="602"/>
      <c r="W78" s="602"/>
      <c r="X78" s="602"/>
      <c r="Y78" s="16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602"/>
      <c r="AK78" s="602"/>
      <c r="AM78" s="15">
        <v>0</v>
      </c>
      <c r="AN78" s="15">
        <v>0</v>
      </c>
      <c r="AO78" s="15">
        <v>0</v>
      </c>
      <c r="AP78" s="15"/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5"/>
    </row>
    <row r="79" spans="1:48" x14ac:dyDescent="0.25">
      <c r="A79" s="2">
        <v>1019</v>
      </c>
      <c r="B79" s="2" t="s">
        <v>96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16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M79" s="15">
        <v>0</v>
      </c>
      <c r="AN79" s="15">
        <v>0</v>
      </c>
      <c r="AO79" s="15">
        <v>0</v>
      </c>
      <c r="AP79" s="15"/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5"/>
    </row>
    <row r="80" spans="1:48" x14ac:dyDescent="0.25">
      <c r="A80" s="2">
        <v>1015</v>
      </c>
      <c r="B80" s="2" t="s">
        <v>113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602"/>
      <c r="N80" s="602"/>
      <c r="O80" s="602"/>
      <c r="P80" s="602"/>
      <c r="Q80" s="602"/>
      <c r="R80" s="602"/>
      <c r="S80" s="602"/>
      <c r="T80" s="602"/>
      <c r="U80" s="602"/>
      <c r="V80" s="602"/>
      <c r="W80" s="602"/>
      <c r="X80" s="602"/>
      <c r="Y80" s="16"/>
      <c r="Z80" s="602"/>
      <c r="AA80" s="602"/>
      <c r="AB80" s="602"/>
      <c r="AC80" s="602"/>
      <c r="AD80" s="602"/>
      <c r="AE80" s="602"/>
      <c r="AF80" s="602"/>
      <c r="AG80" s="602"/>
      <c r="AH80" s="602"/>
      <c r="AI80" s="602"/>
      <c r="AJ80" s="602"/>
      <c r="AK80" s="602"/>
      <c r="AM80" s="15">
        <v>0</v>
      </c>
      <c r="AN80" s="15">
        <v>0</v>
      </c>
      <c r="AO80" s="15">
        <v>0</v>
      </c>
      <c r="AP80" s="15"/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5"/>
    </row>
    <row r="82" spans="7:24" x14ac:dyDescent="0.25"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7:24" x14ac:dyDescent="0.25">
      <c r="G83" s="5"/>
      <c r="H83" s="5"/>
      <c r="I83" s="5"/>
      <c r="J83" s="5"/>
      <c r="K83" s="5"/>
      <c r="L83" s="5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7:24" x14ac:dyDescent="0.25"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7:24" x14ac:dyDescent="0.25"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7:24" x14ac:dyDescent="0.25"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92" spans="7:24" x14ac:dyDescent="0.25"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7:24" x14ac:dyDescent="0.25"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</sheetData>
  <mergeCells count="2">
    <mergeCell ref="Q4:X4"/>
    <mergeCell ref="R1:S1"/>
  </mergeCells>
  <phoneticPr fontId="29" type="noConversion"/>
  <hyperlinks>
    <hyperlink ref="B2" location="Contents!A1" display="Table of Contents" xr:uid="{00000000-0004-0000-0900-000000000000}"/>
  </hyperlink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83"/>
  <sheetViews>
    <sheetView zoomScale="70" zoomScaleNormal="70" workbookViewId="0">
      <pane ySplit="5" topLeftCell="A6" activePane="bottomLeft" state="frozen"/>
      <selection activeCell="AZ19" sqref="AZ19:BE19"/>
      <selection pane="bottomLeft" activeCell="J1" sqref="J1:K1"/>
    </sheetView>
  </sheetViews>
  <sheetFormatPr defaultColWidth="9.140625" defaultRowHeight="15" outlineLevelRow="1" outlineLevelCol="1" x14ac:dyDescent="0.25"/>
  <cols>
    <col min="1" max="1" width="5.42578125" style="2" customWidth="1"/>
    <col min="2" max="2" width="6.140625" style="2" customWidth="1"/>
    <col min="3" max="3" width="45.85546875" style="2" customWidth="1"/>
    <col min="4" max="5" width="10.140625" style="2" customWidth="1" outlineLevel="1"/>
    <col min="6" max="13" width="10.140625" style="2" customWidth="1"/>
    <col min="14" max="14" width="11.5703125" style="2" customWidth="1"/>
    <col min="15" max="16384" width="9.140625" style="2"/>
  </cols>
  <sheetData>
    <row r="1" spans="2:19" ht="18.75" x14ac:dyDescent="0.3">
      <c r="B1" s="50" t="s">
        <v>28</v>
      </c>
      <c r="J1" s="635" t="s">
        <v>389</v>
      </c>
      <c r="K1" s="635"/>
    </row>
    <row r="2" spans="2:19" x14ac:dyDescent="0.25">
      <c r="B2" s="51" t="s">
        <v>70</v>
      </c>
    </row>
    <row r="3" spans="2:19" x14ac:dyDescent="0.25">
      <c r="B3" s="1"/>
    </row>
    <row r="4" spans="2:19" x14ac:dyDescent="0.25">
      <c r="B4" s="11" t="s">
        <v>54</v>
      </c>
      <c r="D4" s="10" t="s">
        <v>19</v>
      </c>
      <c r="E4" s="10" t="s">
        <v>19</v>
      </c>
      <c r="F4" s="10" t="s">
        <v>19</v>
      </c>
      <c r="G4" s="10" t="s">
        <v>19</v>
      </c>
      <c r="H4" s="10" t="s">
        <v>19</v>
      </c>
      <c r="I4" s="10" t="s">
        <v>19</v>
      </c>
      <c r="J4" s="10" t="s">
        <v>19</v>
      </c>
      <c r="K4" s="211" t="s">
        <v>19</v>
      </c>
      <c r="L4" s="434" t="s">
        <v>19</v>
      </c>
      <c r="M4" s="10" t="s">
        <v>20</v>
      </c>
      <c r="N4" s="225" t="s">
        <v>20</v>
      </c>
      <c r="O4" s="10" t="s">
        <v>20</v>
      </c>
      <c r="P4" s="10" t="s">
        <v>20</v>
      </c>
      <c r="Q4" s="10" t="s">
        <v>20</v>
      </c>
      <c r="R4" s="10" t="s">
        <v>20</v>
      </c>
      <c r="S4" s="10" t="s">
        <v>20</v>
      </c>
    </row>
    <row r="5" spans="2:19" x14ac:dyDescent="0.25">
      <c r="D5" s="4" t="s">
        <v>15</v>
      </c>
      <c r="E5" s="4" t="s">
        <v>16</v>
      </c>
      <c r="F5" s="4" t="s">
        <v>17</v>
      </c>
      <c r="G5" s="4" t="s">
        <v>18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222" t="s">
        <v>219</v>
      </c>
      <c r="O5" s="36" t="s">
        <v>100</v>
      </c>
      <c r="P5" s="222" t="s">
        <v>101</v>
      </c>
      <c r="Q5" s="222" t="s">
        <v>102</v>
      </c>
      <c r="R5" s="222" t="s">
        <v>147</v>
      </c>
      <c r="S5" s="222" t="s">
        <v>220</v>
      </c>
    </row>
    <row r="6" spans="2:19" x14ac:dyDescent="0.25">
      <c r="B6" s="1" t="s">
        <v>141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222"/>
    </row>
    <row r="7" spans="2:19" x14ac:dyDescent="0.25">
      <c r="B7" s="2">
        <v>1016</v>
      </c>
      <c r="C7" s="2" t="s">
        <v>114</v>
      </c>
      <c r="D7" s="570"/>
      <c r="E7" s="570"/>
      <c r="F7" s="570"/>
      <c r="G7" s="570"/>
      <c r="H7" s="570"/>
      <c r="I7" s="570"/>
      <c r="J7" s="570"/>
      <c r="K7" s="570"/>
      <c r="L7" s="570"/>
      <c r="M7" s="13"/>
      <c r="N7" s="13"/>
    </row>
    <row r="8" spans="2:19" outlineLevel="1" x14ac:dyDescent="0.25">
      <c r="B8" s="2">
        <v>1020</v>
      </c>
      <c r="C8" s="2" t="s">
        <v>1</v>
      </c>
      <c r="D8" s="570"/>
      <c r="E8" s="570"/>
      <c r="F8" s="570"/>
      <c r="G8" s="570"/>
      <c r="H8" s="570"/>
      <c r="I8" s="570"/>
      <c r="J8" s="570"/>
      <c r="K8" s="570"/>
      <c r="L8" s="570"/>
      <c r="M8" s="13"/>
      <c r="N8" s="13"/>
    </row>
    <row r="9" spans="2:19" outlineLevel="1" x14ac:dyDescent="0.25">
      <c r="B9" s="2">
        <v>1002</v>
      </c>
      <c r="C9" s="2" t="s">
        <v>2</v>
      </c>
      <c r="D9" s="570"/>
      <c r="E9" s="570"/>
      <c r="F9" s="570"/>
      <c r="G9" s="570"/>
      <c r="H9" s="570"/>
      <c r="I9" s="570"/>
      <c r="J9" s="570"/>
      <c r="K9" s="570"/>
      <c r="L9" s="570"/>
      <c r="M9" s="13"/>
      <c r="N9" s="13"/>
    </row>
    <row r="10" spans="2:19" x14ac:dyDescent="0.25">
      <c r="D10" s="21"/>
      <c r="E10" s="21"/>
      <c r="F10" s="21"/>
      <c r="G10" s="21"/>
      <c r="H10" s="13"/>
      <c r="I10" s="13"/>
      <c r="J10" s="13"/>
      <c r="K10" s="13"/>
      <c r="L10" s="13"/>
      <c r="M10" s="13"/>
      <c r="N10" s="13"/>
    </row>
    <row r="11" spans="2:19" x14ac:dyDescent="0.25">
      <c r="B11" s="40" t="s">
        <v>142</v>
      </c>
      <c r="D11" s="21"/>
      <c r="E11" s="21"/>
      <c r="F11" s="21"/>
      <c r="G11" s="21"/>
      <c r="H11" s="13"/>
      <c r="I11" s="13"/>
      <c r="J11" s="13"/>
      <c r="K11" s="13"/>
      <c r="L11" s="13"/>
      <c r="M11" s="13"/>
      <c r="N11" s="13"/>
    </row>
    <row r="12" spans="2:19" x14ac:dyDescent="0.25">
      <c r="B12" s="2">
        <v>1016</v>
      </c>
      <c r="C12" s="2" t="s">
        <v>114</v>
      </c>
      <c r="D12" s="570"/>
      <c r="E12" s="570"/>
      <c r="F12" s="570"/>
      <c r="G12" s="570"/>
      <c r="H12" s="570"/>
      <c r="I12" s="570"/>
      <c r="J12" s="570"/>
      <c r="K12" s="570"/>
      <c r="L12" s="570"/>
      <c r="M12" s="13"/>
      <c r="N12" s="13"/>
    </row>
    <row r="13" spans="2:19" outlineLevel="1" x14ac:dyDescent="0.25">
      <c r="B13" s="2">
        <v>1020</v>
      </c>
      <c r="C13" s="2" t="s">
        <v>1</v>
      </c>
      <c r="D13" s="570"/>
      <c r="E13" s="570"/>
      <c r="F13" s="570"/>
      <c r="G13" s="570"/>
      <c r="H13" s="570"/>
      <c r="I13" s="570"/>
      <c r="J13" s="13"/>
      <c r="K13" s="13"/>
      <c r="L13" s="13"/>
      <c r="M13" s="13"/>
      <c r="N13" s="13"/>
    </row>
    <row r="14" spans="2:19" outlineLevel="1" x14ac:dyDescent="0.25">
      <c r="B14" s="2">
        <v>1002</v>
      </c>
      <c r="C14" s="2" t="s">
        <v>2</v>
      </c>
      <c r="D14" s="570"/>
      <c r="E14" s="570"/>
      <c r="F14" s="570"/>
      <c r="G14" s="570"/>
      <c r="H14" s="570"/>
      <c r="I14" s="570"/>
      <c r="J14" s="13"/>
      <c r="K14" s="13"/>
      <c r="L14" s="13"/>
      <c r="M14" s="13"/>
      <c r="N14" s="13"/>
    </row>
    <row r="15" spans="2:19" outlineLevel="1" x14ac:dyDescent="0.25">
      <c r="D15" s="570"/>
      <c r="E15" s="570"/>
      <c r="F15" s="570"/>
      <c r="G15" s="570"/>
      <c r="H15" s="570"/>
      <c r="I15" s="570"/>
      <c r="J15" s="13"/>
      <c r="K15" s="13"/>
      <c r="L15" s="13"/>
      <c r="M15" s="13"/>
      <c r="N15" s="13"/>
    </row>
    <row r="16" spans="2:19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9" x14ac:dyDescent="0.25">
      <c r="B17" s="1" t="s">
        <v>143</v>
      </c>
      <c r="D17" s="13"/>
      <c r="E17" s="13"/>
      <c r="F17" s="141">
        <f>Escalation!D8</f>
        <v>1.0929372581315751</v>
      </c>
      <c r="G17" s="141">
        <f>Escalation!E8</f>
        <v>1.0706409055182704</v>
      </c>
      <c r="H17" s="141">
        <f>Escalation!F8</f>
        <v>1.0472416524432422</v>
      </c>
      <c r="I17" s="141">
        <f>Escalation!G8</f>
        <v>1.0276293766945241</v>
      </c>
      <c r="J17" s="141">
        <f>Escalation!H8</f>
        <v>1.0147745768693976</v>
      </c>
      <c r="K17" s="141">
        <f>Escalation!I8</f>
        <v>1</v>
      </c>
      <c r="L17" s="141">
        <f>Escalation!J8</f>
        <v>0.98033766983762027</v>
      </c>
      <c r="M17" s="13"/>
      <c r="N17" s="13"/>
    </row>
    <row r="18" spans="2:19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9" x14ac:dyDescent="0.25">
      <c r="B19" s="2">
        <v>1016</v>
      </c>
      <c r="C19" s="2" t="s">
        <v>114</v>
      </c>
      <c r="D19" s="570"/>
      <c r="E19" s="570"/>
      <c r="F19" s="570"/>
      <c r="G19" s="570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</row>
    <row r="20" spans="2:19" outlineLevel="1" x14ac:dyDescent="0.25">
      <c r="B20" s="2">
        <v>1020</v>
      </c>
      <c r="C20" s="2" t="s">
        <v>1</v>
      </c>
      <c r="D20" s="570"/>
      <c r="E20" s="570"/>
      <c r="F20" s="570"/>
      <c r="G20" s="570"/>
      <c r="H20" s="570"/>
      <c r="I20" s="570"/>
      <c r="J20" s="570"/>
      <c r="K20" s="21"/>
      <c r="L20" s="21"/>
      <c r="M20" s="21"/>
      <c r="N20" s="21"/>
      <c r="O20" s="21"/>
      <c r="P20" s="21"/>
      <c r="Q20" s="21"/>
      <c r="R20" s="21"/>
      <c r="S20" s="21"/>
    </row>
    <row r="21" spans="2:19" outlineLevel="1" x14ac:dyDescent="0.25">
      <c r="B21" s="2">
        <v>1002</v>
      </c>
      <c r="C21" s="2" t="s">
        <v>2</v>
      </c>
      <c r="D21" s="570"/>
      <c r="E21" s="570"/>
      <c r="F21" s="570"/>
      <c r="G21" s="570"/>
      <c r="H21" s="570"/>
      <c r="I21" s="570"/>
      <c r="J21" s="570"/>
      <c r="K21" s="21"/>
      <c r="L21" s="21"/>
      <c r="M21" s="21"/>
      <c r="N21" s="21"/>
      <c r="O21" s="21"/>
      <c r="P21" s="21"/>
      <c r="Q21" s="21"/>
      <c r="R21" s="21"/>
      <c r="S21" s="21"/>
    </row>
    <row r="22" spans="2:19" x14ac:dyDescent="0.25">
      <c r="D22" s="21"/>
      <c r="E22" s="21"/>
      <c r="F22" s="13"/>
      <c r="G22" s="13"/>
      <c r="H22" s="13"/>
      <c r="I22" s="13"/>
      <c r="J22" s="13"/>
      <c r="K22" s="13"/>
      <c r="L22" s="13"/>
      <c r="M22" s="13"/>
      <c r="N22" s="13"/>
    </row>
    <row r="23" spans="2:19" x14ac:dyDescent="0.25">
      <c r="B23" s="1" t="s">
        <v>183</v>
      </c>
      <c r="D23" s="570"/>
      <c r="E23" s="570"/>
      <c r="F23" s="570"/>
      <c r="G23" s="570"/>
      <c r="H23" s="570"/>
      <c r="I23" s="570"/>
      <c r="J23" s="570"/>
      <c r="K23" s="21"/>
      <c r="L23" s="21"/>
      <c r="M23" s="21"/>
      <c r="N23" s="21"/>
      <c r="O23" s="21"/>
      <c r="P23" s="21"/>
    </row>
    <row r="24" spans="2:19" x14ac:dyDescent="0.25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9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9" x14ac:dyDescent="0.25">
      <c r="B26" s="1" t="s">
        <v>29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9" x14ac:dyDescent="0.25">
      <c r="B27" s="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9" x14ac:dyDescent="0.25">
      <c r="B28" s="1" t="s">
        <v>184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9" x14ac:dyDescent="0.25">
      <c r="B29" s="2">
        <v>1016</v>
      </c>
      <c r="C29" s="2" t="s">
        <v>114</v>
      </c>
      <c r="D29" s="13"/>
      <c r="E29" s="13"/>
      <c r="F29" s="13"/>
      <c r="G29" s="13"/>
      <c r="H29" s="570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570"/>
    </row>
    <row r="30" spans="2:19" outlineLevel="1" x14ac:dyDescent="0.25">
      <c r="B30" s="2">
        <v>1020</v>
      </c>
      <c r="C30" s="2" t="s">
        <v>1</v>
      </c>
      <c r="D30" s="13"/>
      <c r="E30" s="13"/>
      <c r="F30" s="13"/>
      <c r="G30" s="13"/>
      <c r="H30" s="570"/>
      <c r="I30" s="570"/>
      <c r="J30" s="570"/>
      <c r="K30" s="570"/>
      <c r="L30" s="570"/>
      <c r="M30" s="570"/>
      <c r="N30" s="570"/>
      <c r="O30" s="570"/>
      <c r="P30" s="570"/>
      <c r="Q30" s="581"/>
      <c r="R30" s="581"/>
      <c r="S30" s="581"/>
    </row>
    <row r="31" spans="2:19" outlineLevel="1" x14ac:dyDescent="0.25">
      <c r="B31" s="2">
        <v>1002</v>
      </c>
      <c r="C31" s="2" t="s">
        <v>2</v>
      </c>
      <c r="D31" s="13"/>
      <c r="E31" s="13"/>
      <c r="F31" s="13"/>
      <c r="G31" s="13"/>
      <c r="H31" s="570"/>
      <c r="I31" s="570"/>
      <c r="J31" s="570"/>
      <c r="K31" s="570"/>
      <c r="L31" s="570"/>
      <c r="M31" s="570"/>
      <c r="N31" s="570"/>
      <c r="O31" s="570"/>
      <c r="P31" s="570"/>
      <c r="Q31" s="581"/>
      <c r="R31" s="581"/>
      <c r="S31" s="581"/>
    </row>
    <row r="32" spans="2:19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9" x14ac:dyDescent="0.2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9" x14ac:dyDescent="0.25">
      <c r="B34" s="1" t="s">
        <v>185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9" x14ac:dyDescent="0.2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9" x14ac:dyDescent="0.25">
      <c r="B36" s="2" t="s">
        <v>31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9" x14ac:dyDescent="0.25">
      <c r="B37" s="2">
        <v>1016</v>
      </c>
      <c r="C37" s="2" t="s">
        <v>114</v>
      </c>
      <c r="D37" s="13"/>
      <c r="E37" s="13"/>
      <c r="F37" s="13"/>
      <c r="G37" s="13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</row>
    <row r="38" spans="2:19" outlineLevel="1" x14ac:dyDescent="0.25">
      <c r="B38" s="2">
        <v>1020</v>
      </c>
      <c r="C38" s="2" t="s">
        <v>1</v>
      </c>
      <c r="D38" s="13"/>
      <c r="E38" s="13"/>
      <c r="F38" s="13"/>
      <c r="G38" s="13"/>
      <c r="H38" s="570"/>
      <c r="I38" s="570"/>
      <c r="J38" s="570"/>
      <c r="K38" s="570"/>
      <c r="L38" s="570"/>
      <c r="M38" s="570"/>
      <c r="N38" s="570"/>
      <c r="O38" s="570"/>
      <c r="P38" s="570"/>
      <c r="Q38" s="581"/>
      <c r="R38" s="581"/>
      <c r="S38" s="581"/>
    </row>
    <row r="39" spans="2:19" outlineLevel="1" x14ac:dyDescent="0.25">
      <c r="B39" s="2">
        <v>1002</v>
      </c>
      <c r="C39" s="2" t="s">
        <v>2</v>
      </c>
      <c r="D39" s="13"/>
      <c r="E39" s="13"/>
      <c r="F39" s="13"/>
      <c r="G39" s="13"/>
      <c r="H39" s="570"/>
      <c r="I39" s="570"/>
      <c r="J39" s="570"/>
      <c r="K39" s="570"/>
      <c r="L39" s="570"/>
      <c r="M39" s="570"/>
      <c r="N39" s="570"/>
      <c r="O39" s="570"/>
      <c r="P39" s="570"/>
      <c r="Q39" s="581"/>
      <c r="R39" s="581"/>
      <c r="S39" s="581"/>
    </row>
    <row r="40" spans="2:19" x14ac:dyDescent="0.25">
      <c r="D40" s="13"/>
      <c r="E40" s="13"/>
      <c r="F40" s="13"/>
      <c r="G40" s="13"/>
      <c r="H40" s="21"/>
      <c r="I40" s="21"/>
      <c r="J40" s="21"/>
      <c r="K40" s="21"/>
      <c r="L40" s="21"/>
      <c r="M40" s="21"/>
      <c r="N40" s="21"/>
      <c r="O40" s="21"/>
      <c r="P40" s="21"/>
    </row>
    <row r="41" spans="2:19" x14ac:dyDescent="0.25">
      <c r="B41" s="2" t="s">
        <v>32</v>
      </c>
      <c r="D41" s="13"/>
      <c r="E41" s="13"/>
      <c r="F41" s="13"/>
      <c r="G41" s="13"/>
      <c r="H41" s="21"/>
      <c r="I41" s="21"/>
      <c r="J41" s="21"/>
      <c r="K41" s="21"/>
      <c r="L41" s="21"/>
      <c r="M41" s="21"/>
      <c r="N41" s="21"/>
      <c r="O41" s="21"/>
      <c r="P41" s="21"/>
    </row>
    <row r="42" spans="2:19" x14ac:dyDescent="0.25">
      <c r="B42" s="2">
        <v>1016</v>
      </c>
      <c r="C42" s="2" t="s">
        <v>114</v>
      </c>
      <c r="D42" s="13"/>
      <c r="E42" s="13"/>
      <c r="F42" s="13"/>
      <c r="G42" s="13"/>
      <c r="H42" s="570"/>
      <c r="I42" s="570"/>
      <c r="J42" s="570"/>
      <c r="K42" s="570"/>
      <c r="L42" s="570"/>
      <c r="M42" s="570"/>
      <c r="N42" s="570"/>
      <c r="O42" s="570"/>
      <c r="P42" s="570"/>
      <c r="Q42" s="570"/>
      <c r="R42" s="570"/>
      <c r="S42" s="570"/>
    </row>
    <row r="43" spans="2:19" outlineLevel="1" x14ac:dyDescent="0.25">
      <c r="B43" s="2">
        <v>1020</v>
      </c>
      <c r="C43" s="2" t="s">
        <v>1</v>
      </c>
      <c r="D43" s="13"/>
      <c r="E43" s="13"/>
      <c r="F43" s="13"/>
      <c r="G43" s="13"/>
      <c r="H43" s="570"/>
      <c r="I43" s="570"/>
      <c r="J43" s="570"/>
      <c r="K43" s="570"/>
      <c r="L43" s="570"/>
      <c r="M43" s="570"/>
      <c r="N43" s="570"/>
      <c r="O43" s="570"/>
      <c r="P43" s="570"/>
      <c r="Q43" s="581"/>
      <c r="R43" s="581"/>
      <c r="S43" s="581"/>
    </row>
    <row r="44" spans="2:19" outlineLevel="1" x14ac:dyDescent="0.25">
      <c r="B44" s="2">
        <v>1002</v>
      </c>
      <c r="C44" s="2" t="s">
        <v>2</v>
      </c>
      <c r="D44" s="13"/>
      <c r="E44" s="13"/>
      <c r="F44" s="13"/>
      <c r="G44" s="13"/>
      <c r="H44" s="570"/>
      <c r="I44" s="570"/>
      <c r="J44" s="570"/>
      <c r="K44" s="570"/>
      <c r="L44" s="570"/>
      <c r="M44" s="570"/>
      <c r="N44" s="570"/>
      <c r="O44" s="570"/>
      <c r="P44" s="570"/>
      <c r="Q44" s="581"/>
      <c r="R44" s="581"/>
      <c r="S44" s="581"/>
    </row>
    <row r="45" spans="2:19" x14ac:dyDescent="0.25">
      <c r="D45" s="13"/>
      <c r="E45" s="13"/>
      <c r="F45" s="13"/>
      <c r="G45" s="13"/>
      <c r="H45" s="21"/>
      <c r="I45" s="21"/>
      <c r="J45" s="21"/>
      <c r="K45" s="21"/>
      <c r="L45" s="21"/>
      <c r="M45" s="21"/>
      <c r="N45" s="21"/>
      <c r="O45" s="21"/>
      <c r="P45" s="21"/>
    </row>
    <row r="46" spans="2:19" x14ac:dyDescent="0.25">
      <c r="B46" s="2" t="s">
        <v>33</v>
      </c>
      <c r="D46" s="13"/>
      <c r="E46" s="13"/>
      <c r="F46" s="13"/>
      <c r="G46" s="13"/>
      <c r="H46" s="21"/>
      <c r="I46" s="21"/>
      <c r="J46" s="21"/>
      <c r="K46" s="21"/>
      <c r="L46" s="21"/>
      <c r="M46" s="21"/>
      <c r="N46" s="21"/>
      <c r="O46" s="21"/>
      <c r="P46" s="21"/>
    </row>
    <row r="47" spans="2:19" x14ac:dyDescent="0.25">
      <c r="B47" s="2">
        <v>1016</v>
      </c>
      <c r="C47" s="2" t="s">
        <v>114</v>
      </c>
      <c r="D47" s="13"/>
      <c r="E47" s="13"/>
      <c r="F47" s="13"/>
      <c r="G47" s="13"/>
      <c r="H47" s="570"/>
      <c r="I47" s="570"/>
      <c r="J47" s="570"/>
      <c r="K47" s="570"/>
      <c r="L47" s="570"/>
      <c r="M47" s="570"/>
      <c r="N47" s="570"/>
      <c r="O47" s="570"/>
      <c r="P47" s="570"/>
      <c r="Q47" s="570"/>
      <c r="R47" s="570"/>
      <c r="S47" s="570"/>
    </row>
    <row r="48" spans="2:19" outlineLevel="1" x14ac:dyDescent="0.25">
      <c r="B48" s="2">
        <v>1020</v>
      </c>
      <c r="C48" s="2" t="s">
        <v>1</v>
      </c>
      <c r="D48" s="13"/>
      <c r="E48" s="13"/>
      <c r="F48" s="13"/>
      <c r="G48" s="13"/>
      <c r="H48" s="570"/>
      <c r="I48" s="570"/>
      <c r="J48" s="570"/>
      <c r="K48" s="570"/>
      <c r="L48" s="570"/>
      <c r="M48" s="570"/>
      <c r="N48" s="570"/>
      <c r="O48" s="570"/>
      <c r="P48" s="570"/>
      <c r="Q48" s="581"/>
      <c r="R48" s="581"/>
      <c r="S48" s="581"/>
    </row>
    <row r="49" spans="2:20" outlineLevel="1" x14ac:dyDescent="0.25">
      <c r="B49" s="2">
        <v>1002</v>
      </c>
      <c r="C49" s="2" t="s">
        <v>2</v>
      </c>
      <c r="D49" s="13"/>
      <c r="E49" s="13"/>
      <c r="F49" s="13"/>
      <c r="G49" s="13"/>
      <c r="H49" s="570"/>
      <c r="I49" s="570"/>
      <c r="J49" s="570"/>
      <c r="K49" s="570"/>
      <c r="L49" s="570"/>
      <c r="M49" s="570"/>
      <c r="N49" s="570"/>
      <c r="O49" s="570"/>
      <c r="P49" s="570"/>
      <c r="Q49" s="581"/>
      <c r="R49" s="581"/>
      <c r="S49" s="581"/>
    </row>
    <row r="50" spans="2:20" x14ac:dyDescent="0.25">
      <c r="D50" s="13"/>
      <c r="E50" s="13"/>
      <c r="F50" s="13"/>
      <c r="G50" s="13"/>
      <c r="H50" s="21"/>
      <c r="I50" s="21"/>
      <c r="J50" s="21"/>
      <c r="K50" s="21"/>
      <c r="L50" s="21"/>
      <c r="M50" s="21"/>
      <c r="N50" s="21"/>
      <c r="O50" s="21"/>
      <c r="P50" s="21"/>
    </row>
    <row r="51" spans="2:20" x14ac:dyDescent="0.25">
      <c r="B51" s="2" t="s">
        <v>34</v>
      </c>
      <c r="D51" s="13"/>
      <c r="E51" s="13"/>
      <c r="F51" s="13"/>
      <c r="G51" s="13"/>
      <c r="H51" s="21"/>
      <c r="I51" s="21"/>
      <c r="J51" s="21"/>
      <c r="K51" s="21"/>
      <c r="L51" s="21"/>
      <c r="M51" s="21"/>
      <c r="N51" s="21"/>
      <c r="O51" s="21"/>
      <c r="P51" s="21"/>
    </row>
    <row r="52" spans="2:20" x14ac:dyDescent="0.25">
      <c r="B52" s="2">
        <v>1016</v>
      </c>
      <c r="C52" s="2" t="s">
        <v>114</v>
      </c>
      <c r="D52" s="13"/>
      <c r="E52" s="13"/>
      <c r="F52" s="13"/>
      <c r="G52" s="13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</row>
    <row r="53" spans="2:20" outlineLevel="1" x14ac:dyDescent="0.25">
      <c r="B53" s="2">
        <v>1020</v>
      </c>
      <c r="C53" s="2" t="s">
        <v>1</v>
      </c>
      <c r="D53" s="13"/>
      <c r="E53" s="13"/>
      <c r="F53" s="13"/>
      <c r="G53" s="13"/>
      <c r="H53" s="570"/>
      <c r="I53" s="570"/>
      <c r="J53" s="570"/>
      <c r="K53" s="570"/>
      <c r="L53" s="570"/>
      <c r="M53" s="570"/>
      <c r="N53" s="570"/>
      <c r="O53" s="570"/>
      <c r="P53" s="570"/>
      <c r="Q53" s="581"/>
      <c r="R53" s="581"/>
      <c r="S53" s="581"/>
    </row>
    <row r="54" spans="2:20" outlineLevel="1" x14ac:dyDescent="0.25">
      <c r="B54" s="2">
        <v>1002</v>
      </c>
      <c r="C54" s="2" t="s">
        <v>2</v>
      </c>
      <c r="D54" s="13"/>
      <c r="E54" s="13"/>
      <c r="F54" s="13"/>
      <c r="G54" s="13"/>
      <c r="H54" s="570"/>
      <c r="I54" s="570"/>
      <c r="J54" s="570"/>
      <c r="K54" s="570"/>
      <c r="L54" s="570"/>
      <c r="M54" s="570"/>
      <c r="N54" s="570"/>
      <c r="O54" s="570"/>
      <c r="P54" s="570"/>
      <c r="Q54" s="581"/>
      <c r="R54" s="581"/>
      <c r="S54" s="581"/>
    </row>
    <row r="55" spans="2:20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2:20" x14ac:dyDescent="0.25">
      <c r="B56" s="1" t="s">
        <v>196</v>
      </c>
      <c r="D56" s="13"/>
      <c r="E56" s="13"/>
      <c r="F56" s="13"/>
      <c r="G56" s="13"/>
      <c r="I56" s="103"/>
      <c r="J56" s="13"/>
      <c r="K56" s="13"/>
      <c r="L56" s="13"/>
      <c r="M56" s="13"/>
      <c r="N56" s="13"/>
      <c r="O56" s="13"/>
      <c r="P56" s="13"/>
    </row>
    <row r="57" spans="2:20" x14ac:dyDescent="0.25">
      <c r="B57" s="2">
        <v>1016</v>
      </c>
      <c r="C57" s="2" t="s">
        <v>114</v>
      </c>
      <c r="D57" s="13"/>
      <c r="E57" s="13"/>
      <c r="F57" s="13"/>
      <c r="G57" s="103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</row>
    <row r="58" spans="2:20" outlineLevel="1" x14ac:dyDescent="0.25">
      <c r="B58" s="2">
        <v>1020</v>
      </c>
      <c r="C58" s="2" t="s">
        <v>1</v>
      </c>
      <c r="D58" s="13"/>
      <c r="E58" s="13"/>
      <c r="F58" s="13"/>
      <c r="G58" s="13"/>
      <c r="H58" s="570"/>
      <c r="I58" s="570"/>
      <c r="J58" s="570"/>
      <c r="K58" s="570"/>
      <c r="L58" s="570"/>
      <c r="M58" s="570"/>
      <c r="N58" s="570"/>
      <c r="O58" s="570"/>
      <c r="P58" s="570"/>
      <c r="Q58" s="581"/>
      <c r="R58" s="581"/>
      <c r="S58" s="581"/>
    </row>
    <row r="59" spans="2:20" outlineLevel="1" x14ac:dyDescent="0.25">
      <c r="B59" s="2">
        <v>1002</v>
      </c>
      <c r="C59" s="2" t="s">
        <v>2</v>
      </c>
      <c r="D59" s="13"/>
      <c r="E59" s="13"/>
      <c r="F59" s="13"/>
      <c r="G59" s="13"/>
      <c r="H59" s="598"/>
      <c r="I59" s="598"/>
      <c r="J59" s="598"/>
      <c r="K59" s="598"/>
      <c r="L59" s="598"/>
      <c r="M59" s="598"/>
      <c r="N59" s="598"/>
      <c r="O59" s="598"/>
      <c r="P59" s="598"/>
      <c r="Q59" s="581"/>
      <c r="R59" s="581"/>
      <c r="S59" s="581"/>
    </row>
    <row r="60" spans="2:20" outlineLevel="1" x14ac:dyDescent="0.25">
      <c r="D60" s="13"/>
      <c r="E60" s="13"/>
      <c r="F60" s="13"/>
      <c r="G60" s="13"/>
      <c r="H60" s="570"/>
      <c r="I60" s="570"/>
      <c r="J60" s="570"/>
      <c r="K60" s="570"/>
      <c r="L60" s="570"/>
      <c r="M60" s="570"/>
      <c r="N60" s="570"/>
      <c r="O60" s="570"/>
      <c r="P60" s="570"/>
      <c r="Q60" s="581"/>
      <c r="R60" s="581"/>
      <c r="S60" s="581"/>
    </row>
    <row r="61" spans="2:20" x14ac:dyDescent="0.25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2:20" x14ac:dyDescent="0.25">
      <c r="B62" s="2" t="s">
        <v>194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2:20" x14ac:dyDescent="0.25">
      <c r="B63" s="2">
        <v>1016</v>
      </c>
      <c r="C63" s="2" t="s">
        <v>0</v>
      </c>
      <c r="D63" s="13"/>
      <c r="E63" s="13"/>
      <c r="F63" s="570"/>
      <c r="G63" s="570"/>
      <c r="H63" s="570"/>
      <c r="I63" s="570"/>
      <c r="J63" s="570"/>
      <c r="K63" s="570"/>
      <c r="L63" s="570"/>
      <c r="M63" s="570"/>
      <c r="N63" s="570"/>
      <c r="O63" s="570"/>
      <c r="P63" s="570"/>
      <c r="Q63" s="570"/>
      <c r="R63" s="570"/>
      <c r="S63" s="570"/>
      <c r="T63" s="2" t="s">
        <v>193</v>
      </c>
    </row>
    <row r="64" spans="2:20" outlineLevel="1" x14ac:dyDescent="0.25">
      <c r="B64" s="2">
        <v>1020</v>
      </c>
      <c r="C64" s="2" t="s">
        <v>114</v>
      </c>
      <c r="D64" s="13"/>
      <c r="E64" s="13"/>
      <c r="F64" s="570"/>
      <c r="G64" s="570"/>
      <c r="H64" s="570"/>
      <c r="I64" s="570"/>
      <c r="J64" s="570"/>
      <c r="K64" s="570"/>
      <c r="L64" s="570"/>
      <c r="M64" s="570"/>
      <c r="N64" s="570"/>
      <c r="O64" s="570"/>
      <c r="P64" s="570"/>
      <c r="Q64" s="581"/>
      <c r="R64" s="581"/>
      <c r="S64" s="581"/>
      <c r="T64" s="2" t="s">
        <v>193</v>
      </c>
    </row>
    <row r="65" spans="2:20" outlineLevel="1" x14ac:dyDescent="0.25">
      <c r="B65" s="2">
        <v>1002</v>
      </c>
      <c r="C65" s="2" t="s">
        <v>2</v>
      </c>
      <c r="D65" s="13"/>
      <c r="E65" s="13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81"/>
      <c r="R65" s="581"/>
      <c r="S65" s="581"/>
      <c r="T65" s="2" t="s">
        <v>193</v>
      </c>
    </row>
    <row r="66" spans="2:20" x14ac:dyDescent="0.25"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2:20" x14ac:dyDescent="0.25">
      <c r="B67" s="1" t="s">
        <v>195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2:20" x14ac:dyDescent="0.25">
      <c r="B68" s="2">
        <v>1016</v>
      </c>
      <c r="C68" s="2" t="s">
        <v>114</v>
      </c>
      <c r="D68" s="13"/>
      <c r="E68" s="13"/>
      <c r="F68" s="13"/>
      <c r="G68" s="13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</row>
    <row r="69" spans="2:20" outlineLevel="1" x14ac:dyDescent="0.25">
      <c r="B69" s="2">
        <v>1020</v>
      </c>
      <c r="C69" s="2" t="s">
        <v>1</v>
      </c>
      <c r="D69" s="13"/>
      <c r="E69" s="13"/>
      <c r="F69" s="13"/>
      <c r="G69" s="13"/>
      <c r="H69" s="570"/>
      <c r="I69" s="570"/>
      <c r="J69" s="570"/>
      <c r="K69" s="570"/>
      <c r="L69" s="570"/>
      <c r="M69" s="570"/>
      <c r="N69" s="570"/>
      <c r="O69" s="570"/>
      <c r="P69" s="570"/>
      <c r="Q69" s="581"/>
      <c r="R69" s="581"/>
      <c r="S69" s="581"/>
    </row>
    <row r="70" spans="2:20" outlineLevel="1" x14ac:dyDescent="0.25">
      <c r="B70" s="2">
        <v>1002</v>
      </c>
      <c r="C70" s="2" t="s">
        <v>2</v>
      </c>
      <c r="D70" s="13"/>
      <c r="E70" s="13"/>
      <c r="F70" s="13"/>
      <c r="G70" s="13"/>
      <c r="H70" s="570"/>
      <c r="I70" s="570"/>
      <c r="J70" s="570"/>
      <c r="K70" s="570"/>
      <c r="L70" s="570"/>
      <c r="M70" s="570"/>
      <c r="N70" s="570"/>
      <c r="O70" s="570"/>
      <c r="P70" s="570"/>
      <c r="Q70" s="581"/>
      <c r="R70" s="581"/>
      <c r="S70" s="581"/>
    </row>
    <row r="71" spans="2:20" x14ac:dyDescent="0.25"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2:20" x14ac:dyDescent="0.25">
      <c r="B72" s="22" t="s">
        <v>53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2:20" x14ac:dyDescent="0.25">
      <c r="B73" s="2">
        <v>1016</v>
      </c>
      <c r="C73" s="2" t="s">
        <v>114</v>
      </c>
      <c r="D73" s="13"/>
      <c r="E73" s="13"/>
      <c r="F73" s="13"/>
      <c r="G73" s="13"/>
      <c r="H73" s="21">
        <v>263.48620967041012</v>
      </c>
      <c r="I73" s="21">
        <v>122.88468576877422</v>
      </c>
      <c r="J73" s="21">
        <v>55.557667837322285</v>
      </c>
      <c r="K73" s="21">
        <v>110.39623905137972</v>
      </c>
      <c r="L73" s="21">
        <v>65.715259759886251</v>
      </c>
      <c r="M73" s="21">
        <v>4.8090663216397127</v>
      </c>
      <c r="N73" s="21">
        <v>2.837790721761781</v>
      </c>
      <c r="O73" s="21">
        <v>6.3397002129610822</v>
      </c>
      <c r="P73" s="21">
        <v>5.6550493619401685</v>
      </c>
      <c r="Q73" s="26">
        <v>6.5051848341981637</v>
      </c>
      <c r="R73" s="26">
        <v>6.9831215517658842</v>
      </c>
      <c r="S73" s="26">
        <v>7.2031648852701844</v>
      </c>
    </row>
    <row r="74" spans="2:20" outlineLevel="1" x14ac:dyDescent="0.25">
      <c r="B74" s="2">
        <v>1020</v>
      </c>
      <c r="C74" s="2" t="s">
        <v>1</v>
      </c>
      <c r="D74" s="13"/>
      <c r="E74" s="13"/>
      <c r="F74" s="13"/>
      <c r="G74" s="13"/>
      <c r="H74" s="21">
        <v>396.41195536652612</v>
      </c>
      <c r="I74" s="21">
        <v>1246.3779160782999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16">
        <v>0</v>
      </c>
      <c r="R74" s="16">
        <v>0</v>
      </c>
      <c r="S74" s="16">
        <v>0</v>
      </c>
    </row>
    <row r="75" spans="2:20" outlineLevel="1" x14ac:dyDescent="0.25">
      <c r="B75" s="2">
        <v>1002</v>
      </c>
      <c r="C75" s="2" t="s">
        <v>2</v>
      </c>
      <c r="D75" s="13"/>
      <c r="E75" s="13"/>
      <c r="F75" s="13"/>
      <c r="G75" s="13"/>
      <c r="H75" s="90">
        <v>1135.9740716761228</v>
      </c>
      <c r="I75" s="90"/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506">
        <v>0</v>
      </c>
      <c r="R75" s="506">
        <v>0</v>
      </c>
      <c r="S75" s="506">
        <v>0</v>
      </c>
    </row>
    <row r="76" spans="2:20" outlineLevel="1" x14ac:dyDescent="0.25">
      <c r="D76" s="13"/>
      <c r="E76" s="13"/>
      <c r="F76" s="13"/>
      <c r="G76" s="13"/>
      <c r="H76" s="21">
        <f>SUM(H73:H75)</f>
        <v>1795.872236713059</v>
      </c>
      <c r="I76" s="21">
        <f t="shared" ref="I76:N76" si="0">SUM(I73:I75)</f>
        <v>1369.2626018470742</v>
      </c>
      <c r="J76" s="21">
        <f t="shared" si="0"/>
        <v>55.557667837322285</v>
      </c>
      <c r="K76" s="21">
        <f t="shared" si="0"/>
        <v>110.39623905137972</v>
      </c>
      <c r="L76" s="21">
        <f t="shared" si="0"/>
        <v>65.715259759886251</v>
      </c>
      <c r="M76" s="21">
        <f t="shared" si="0"/>
        <v>4.8090663216397127</v>
      </c>
      <c r="N76" s="21">
        <f t="shared" si="0"/>
        <v>2.837790721761781</v>
      </c>
      <c r="O76" s="21">
        <f t="shared" ref="O76:S76" si="1">SUM(O73:O75)</f>
        <v>6.3397002129610822</v>
      </c>
      <c r="P76" s="21">
        <f t="shared" si="1"/>
        <v>5.6550493619401685</v>
      </c>
      <c r="Q76" s="21">
        <f t="shared" si="1"/>
        <v>6.5051848341981637</v>
      </c>
      <c r="R76" s="21">
        <f t="shared" si="1"/>
        <v>6.9831215517658842</v>
      </c>
      <c r="S76" s="21">
        <f t="shared" si="1"/>
        <v>7.2031648852701844</v>
      </c>
    </row>
    <row r="77" spans="2:20" x14ac:dyDescent="0.25"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2:20" x14ac:dyDescent="0.25">
      <c r="B78" s="1" t="s">
        <v>182</v>
      </c>
    </row>
    <row r="79" spans="2:20" x14ac:dyDescent="0.25">
      <c r="B79" s="2">
        <v>1016</v>
      </c>
      <c r="C79" s="2" t="s">
        <v>114</v>
      </c>
      <c r="H79" s="13">
        <v>345.77520179786097</v>
      </c>
      <c r="I79" s="13">
        <v>193.13022375595659</v>
      </c>
      <c r="J79" s="13">
        <v>91.498273901916107</v>
      </c>
      <c r="K79" s="13">
        <v>215.8393390513798</v>
      </c>
      <c r="L79" s="13">
        <v>127.4244770293879</v>
      </c>
      <c r="M79" s="13">
        <v>73.143681651959199</v>
      </c>
      <c r="N79" s="13">
        <v>37.005098386921517</v>
      </c>
      <c r="O79" s="13">
        <v>74.674315543280557</v>
      </c>
      <c r="P79" s="13">
        <v>73.989664692259652</v>
      </c>
      <c r="Q79" s="13">
        <v>74.839800164517641</v>
      </c>
      <c r="R79" s="13">
        <v>75.31773688208537</v>
      </c>
      <c r="S79" s="13">
        <v>75.537780215589663</v>
      </c>
    </row>
    <row r="80" spans="2:20" outlineLevel="1" x14ac:dyDescent="0.25">
      <c r="B80" s="2">
        <v>1020</v>
      </c>
      <c r="C80" s="2" t="s">
        <v>1</v>
      </c>
      <c r="H80" s="13">
        <v>1039.8620113467591</v>
      </c>
      <c r="I80" s="13">
        <v>1876.6245542491165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T80" s="2" t="s">
        <v>51</v>
      </c>
    </row>
    <row r="81" spans="2:20" outlineLevel="1" x14ac:dyDescent="0.25">
      <c r="B81" s="2">
        <v>1002</v>
      </c>
      <c r="C81" s="2" t="s">
        <v>2</v>
      </c>
      <c r="H81" s="13">
        <v>1348.4857794832762</v>
      </c>
      <c r="I81" s="13">
        <v>365.72845503121698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T81" s="2" t="s">
        <v>51</v>
      </c>
    </row>
    <row r="82" spans="2:20" x14ac:dyDescent="0.25">
      <c r="I82" s="16" t="b">
        <f>I79=Capex_Fcast_Total!D57</f>
        <v>0</v>
      </c>
      <c r="J82" s="16" t="b">
        <f>J79=Capex_Fcast_Total!E57</f>
        <v>0</v>
      </c>
      <c r="K82" s="16" t="b">
        <f>K79=Capex_Fcast_Total!F57</f>
        <v>0</v>
      </c>
      <c r="L82" s="16" t="b">
        <f>L79=Capex_Fcast_Total!G57</f>
        <v>0</v>
      </c>
      <c r="M82" s="16" t="b">
        <f>M79=Capex_Fcast_Total!H57</f>
        <v>0</v>
      </c>
      <c r="N82" s="16" t="b">
        <f>N79=Capex_Fcast_Total!I57</f>
        <v>0</v>
      </c>
      <c r="O82" s="16" t="b">
        <f>O79=Capex_Fcast_Total!J57</f>
        <v>0</v>
      </c>
      <c r="P82" s="16" t="b">
        <f>P79=Capex_Fcast_Total!K57</f>
        <v>0</v>
      </c>
      <c r="Q82" s="16" t="b">
        <f>Q79=Capex_Fcast_Total!L57</f>
        <v>0</v>
      </c>
      <c r="R82" s="16" t="b">
        <f>R79=Capex_Fcast_Total!M57</f>
        <v>0</v>
      </c>
      <c r="S82" s="16" t="b">
        <f>S79=Capex_Fcast_Total!N57</f>
        <v>0</v>
      </c>
    </row>
    <row r="83" spans="2:20" x14ac:dyDescent="0.25">
      <c r="I83" s="99"/>
      <c r="J83" s="99"/>
      <c r="K83" s="99"/>
      <c r="L83" s="99"/>
      <c r="M83" s="99"/>
      <c r="N83" s="99"/>
      <c r="O83" s="99"/>
      <c r="P83" s="99"/>
    </row>
  </sheetData>
  <mergeCells count="1">
    <mergeCell ref="J1:K1"/>
  </mergeCells>
  <hyperlinks>
    <hyperlink ref="B2" location="Contents!A1" display="Table of Contents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24"/>
  <sheetViews>
    <sheetView zoomScale="85" zoomScaleNormal="85" workbookViewId="0">
      <selection activeCell="K3" sqref="K3"/>
    </sheetView>
  </sheetViews>
  <sheetFormatPr defaultColWidth="9.140625" defaultRowHeight="15" outlineLevelCol="1" x14ac:dyDescent="0.25"/>
  <cols>
    <col min="1" max="1" width="5.140625" style="2" customWidth="1"/>
    <col min="2" max="2" width="47" style="2" customWidth="1"/>
    <col min="3" max="3" width="9.140625" style="2" customWidth="1" outlineLevel="1"/>
    <col min="4" max="4" width="8.7109375" style="2" customWidth="1" outlineLevel="1"/>
    <col min="5" max="6" width="9.140625" style="2" customWidth="1" outlineLevel="1"/>
    <col min="7" max="16384" width="9.140625" style="2"/>
  </cols>
  <sheetData>
    <row r="1" spans="2:16" x14ac:dyDescent="0.25">
      <c r="B1" s="16"/>
      <c r="J1" s="635" t="s">
        <v>389</v>
      </c>
      <c r="K1" s="635"/>
    </row>
    <row r="2" spans="2:16" ht="18.75" x14ac:dyDescent="0.3">
      <c r="B2" s="50" t="s">
        <v>178</v>
      </c>
      <c r="G2" s="184"/>
    </row>
    <row r="3" spans="2:16" x14ac:dyDescent="0.25">
      <c r="B3" s="51" t="s">
        <v>70</v>
      </c>
      <c r="C3" s="16"/>
      <c r="E3" s="16"/>
      <c r="I3" s="177"/>
      <c r="J3" s="177"/>
      <c r="K3" s="464">
        <f>Connections!P4</f>
        <v>0.57936616715399603</v>
      </c>
      <c r="L3" s="387" t="s">
        <v>393</v>
      </c>
      <c r="M3" s="177"/>
    </row>
    <row r="4" spans="2:16" x14ac:dyDescent="0.25">
      <c r="B4" s="1"/>
      <c r="C4" s="16"/>
      <c r="D4" s="439">
        <f>Escalation!F8</f>
        <v>1.0472416524432422</v>
      </c>
      <c r="E4" s="439">
        <f>Escalation!G8</f>
        <v>1.0276293766945241</v>
      </c>
      <c r="F4" s="439">
        <f>Escalation!H8</f>
        <v>1.0147745768693976</v>
      </c>
      <c r="G4" s="439">
        <f>Escalation!I8</f>
        <v>1</v>
      </c>
      <c r="H4" s="439">
        <f>Escalation!J8</f>
        <v>0.98033766983762027</v>
      </c>
      <c r="I4" s="16"/>
      <c r="J4" s="16"/>
      <c r="K4" s="16"/>
      <c r="L4" s="16"/>
      <c r="M4" s="16"/>
      <c r="N4" s="16"/>
      <c r="O4" s="16"/>
      <c r="P4" s="36" t="s">
        <v>120</v>
      </c>
    </row>
    <row r="5" spans="2:16" x14ac:dyDescent="0.25">
      <c r="B5" s="11" t="s">
        <v>54</v>
      </c>
      <c r="C5" s="4" t="s">
        <v>18</v>
      </c>
      <c r="D5" s="113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4" t="s">
        <v>12</v>
      </c>
      <c r="J5" s="236">
        <v>44377</v>
      </c>
      <c r="K5" s="235">
        <f>EDATE(J5,12)</f>
        <v>44742</v>
      </c>
      <c r="L5" s="221">
        <f t="shared" ref="L5:O5" si="0">EDATE(K5,12)</f>
        <v>45107</v>
      </c>
      <c r="M5" s="221">
        <f t="shared" si="0"/>
        <v>45473</v>
      </c>
      <c r="N5" s="221">
        <f t="shared" si="0"/>
        <v>45838</v>
      </c>
      <c r="O5" s="221">
        <f t="shared" si="0"/>
        <v>46203</v>
      </c>
      <c r="P5" s="36" t="s">
        <v>4</v>
      </c>
    </row>
    <row r="6" spans="2:16" x14ac:dyDescent="0.25">
      <c r="B6" s="581"/>
      <c r="C6" s="571"/>
      <c r="D6" s="571"/>
      <c r="E6" s="571"/>
      <c r="F6" s="571"/>
      <c r="G6" s="582"/>
      <c r="H6" s="571"/>
      <c r="I6" s="571"/>
      <c r="J6" s="574"/>
      <c r="K6" s="572"/>
      <c r="L6" s="571"/>
      <c r="M6" s="571"/>
      <c r="N6" s="571"/>
      <c r="O6" s="571"/>
    </row>
    <row r="7" spans="2:16" x14ac:dyDescent="0.25">
      <c r="B7" s="581"/>
      <c r="C7" s="583"/>
      <c r="D7" s="583"/>
      <c r="E7" s="583"/>
      <c r="F7" s="583"/>
      <c r="G7" s="584"/>
      <c r="H7" s="585"/>
      <c r="I7" s="585"/>
      <c r="J7" s="586"/>
      <c r="K7" s="587"/>
      <c r="L7" s="585"/>
      <c r="M7" s="585"/>
      <c r="N7" s="585"/>
      <c r="O7" s="585"/>
      <c r="P7" s="16"/>
    </row>
    <row r="8" spans="2:16" x14ac:dyDescent="0.25">
      <c r="B8" s="581"/>
      <c r="C8" s="588"/>
      <c r="D8" s="588"/>
      <c r="E8" s="588"/>
      <c r="F8" s="588"/>
      <c r="G8" s="588"/>
      <c r="H8" s="588"/>
      <c r="I8" s="588"/>
      <c r="J8" s="589"/>
      <c r="K8" s="590"/>
      <c r="L8" s="588"/>
      <c r="M8" s="588"/>
      <c r="N8" s="588"/>
      <c r="O8" s="588"/>
      <c r="P8" s="16"/>
    </row>
    <row r="9" spans="2:16" x14ac:dyDescent="0.25">
      <c r="B9" s="581"/>
      <c r="C9" s="588"/>
      <c r="D9" s="588"/>
      <c r="E9" s="588"/>
      <c r="F9" s="588"/>
      <c r="G9" s="588"/>
      <c r="H9" s="591"/>
      <c r="I9" s="591"/>
      <c r="J9" s="592"/>
      <c r="K9" s="593"/>
      <c r="L9" s="588"/>
      <c r="M9" s="588"/>
      <c r="N9" s="588"/>
      <c r="O9" s="588"/>
      <c r="P9" s="16"/>
    </row>
    <row r="10" spans="2:16" x14ac:dyDescent="0.25">
      <c r="B10" s="581"/>
      <c r="C10" s="588"/>
      <c r="D10" s="588"/>
      <c r="E10" s="588"/>
      <c r="F10" s="588"/>
      <c r="G10" s="588"/>
      <c r="H10" s="588"/>
      <c r="I10" s="588"/>
      <c r="J10" s="589"/>
      <c r="K10" s="590"/>
      <c r="L10" s="588"/>
      <c r="M10" s="588"/>
      <c r="N10" s="588"/>
      <c r="O10" s="588"/>
      <c r="P10" s="16"/>
    </row>
    <row r="11" spans="2:16" x14ac:dyDescent="0.25">
      <c r="B11" s="594"/>
      <c r="C11" s="571"/>
      <c r="D11" s="595"/>
      <c r="E11" s="595"/>
      <c r="F11" s="595"/>
      <c r="G11" s="595"/>
      <c r="H11" s="595"/>
      <c r="I11" s="595"/>
      <c r="J11" s="596"/>
      <c r="K11" s="597"/>
      <c r="L11" s="595"/>
      <c r="M11" s="595"/>
      <c r="N11" s="595"/>
      <c r="O11" s="595"/>
      <c r="P11" s="595"/>
    </row>
    <row r="12" spans="2:16" x14ac:dyDescent="0.25">
      <c r="C12" s="16"/>
      <c r="D12" s="217"/>
      <c r="E12" s="217"/>
      <c r="F12" s="217"/>
      <c r="G12" s="217"/>
      <c r="H12" s="217"/>
      <c r="P12" s="16"/>
    </row>
    <row r="13" spans="2:16" x14ac:dyDescent="0.25">
      <c r="B13" s="346"/>
      <c r="C13" s="347"/>
      <c r="D13" s="137"/>
      <c r="E13" s="137"/>
      <c r="F13" s="137"/>
      <c r="G13" s="440"/>
      <c r="H13" s="440"/>
      <c r="I13" s="347"/>
      <c r="J13" s="347" t="b">
        <f>J9=Escalation!L13</f>
        <v>0</v>
      </c>
      <c r="K13" s="347"/>
      <c r="L13" s="347"/>
      <c r="M13" s="347"/>
      <c r="N13" s="347"/>
      <c r="O13" s="347"/>
      <c r="P13" s="346"/>
    </row>
    <row r="14" spans="2:16" x14ac:dyDescent="0.25">
      <c r="B14" s="348"/>
      <c r="C14" s="346"/>
      <c r="D14" s="349"/>
      <c r="E14" s="349"/>
      <c r="F14" s="349"/>
      <c r="G14" s="417"/>
      <c r="H14" s="417"/>
      <c r="I14" s="349"/>
      <c r="J14" s="349"/>
      <c r="K14" s="349"/>
      <c r="L14" s="349"/>
      <c r="M14" s="349"/>
      <c r="N14" s="349"/>
      <c r="O14" s="349"/>
      <c r="P14" s="349"/>
    </row>
    <row r="15" spans="2:16" x14ac:dyDescent="0.25">
      <c r="B15" s="346"/>
      <c r="C15" s="346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46"/>
    </row>
    <row r="17" spans="4:10" x14ac:dyDescent="0.25">
      <c r="D17" s="5"/>
      <c r="E17" s="5"/>
      <c r="F17" s="5"/>
      <c r="G17" s="5"/>
      <c r="H17" s="5"/>
      <c r="I17" s="5"/>
      <c r="J17" s="5"/>
    </row>
    <row r="24" spans="4:10" ht="15.6" customHeight="1" x14ac:dyDescent="0.25"/>
  </sheetData>
  <mergeCells count="1">
    <mergeCell ref="J1:K1"/>
  </mergeCells>
  <hyperlinks>
    <hyperlink ref="B3" location="Contents!A1" display="Table of Contents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C94"/>
  <sheetViews>
    <sheetView zoomScale="85" zoomScaleNormal="85" workbookViewId="0">
      <pane ySplit="5" topLeftCell="A57" activePane="bottomLeft" state="frozen"/>
      <selection activeCell="O30" sqref="O30"/>
      <selection pane="bottomLeft" activeCell="O77" sqref="O77"/>
    </sheetView>
  </sheetViews>
  <sheetFormatPr defaultColWidth="9.140625" defaultRowHeight="15" outlineLevelRow="1" x14ac:dyDescent="0.25"/>
  <cols>
    <col min="1" max="1" width="3.140625" style="2" customWidth="1"/>
    <col min="2" max="2" width="45.7109375" style="2" customWidth="1"/>
    <col min="3" max="9" width="10.140625" style="2" customWidth="1"/>
    <col min="10" max="14" width="9.7109375" style="2" customWidth="1"/>
    <col min="15" max="15" width="10.7109375" style="2" customWidth="1"/>
    <col min="16" max="16" width="11.140625" style="2" bestFit="1" customWidth="1"/>
    <col min="17" max="16384" width="9.140625" style="2"/>
  </cols>
  <sheetData>
    <row r="1" spans="2:29" ht="18.75" x14ac:dyDescent="0.3">
      <c r="B1" s="50" t="s">
        <v>65</v>
      </c>
      <c r="C1" s="18"/>
      <c r="D1" s="16"/>
      <c r="G1" s="635" t="s">
        <v>389</v>
      </c>
      <c r="H1" s="635"/>
    </row>
    <row r="2" spans="2:29" x14ac:dyDescent="0.25">
      <c r="B2" s="51" t="s">
        <v>70</v>
      </c>
      <c r="C2" s="18"/>
      <c r="D2" s="16"/>
      <c r="F2" s="88"/>
    </row>
    <row r="3" spans="2:29" x14ac:dyDescent="0.25">
      <c r="B3" s="2" t="s">
        <v>135</v>
      </c>
      <c r="C3" s="138">
        <f>Escalation!F$8</f>
        <v>1.0472416524432422</v>
      </c>
      <c r="D3" s="138">
        <f>Escalation!G$8</f>
        <v>1.0276293766945241</v>
      </c>
      <c r="E3" s="138">
        <f>Escalation!H$8</f>
        <v>1.0147745768693976</v>
      </c>
      <c r="F3" s="8">
        <f>Escalation!I$8</f>
        <v>1</v>
      </c>
      <c r="G3" s="8">
        <f>Escalation!J$8</f>
        <v>0.98033766983762027</v>
      </c>
      <c r="H3" s="8">
        <f>Escalation!K$8</f>
        <v>0.9626724811387547</v>
      </c>
    </row>
    <row r="4" spans="2:29" x14ac:dyDescent="0.25">
      <c r="B4" s="16"/>
      <c r="C4" s="640" t="s">
        <v>164</v>
      </c>
      <c r="D4" s="641"/>
      <c r="E4" s="641"/>
      <c r="F4" s="641"/>
      <c r="G4" s="642"/>
      <c r="H4" s="637" t="s">
        <v>20</v>
      </c>
      <c r="I4" s="639"/>
      <c r="J4" s="637" t="s">
        <v>342</v>
      </c>
      <c r="K4" s="638"/>
      <c r="L4" s="638"/>
      <c r="M4" s="638"/>
      <c r="N4" s="639"/>
      <c r="O4" s="517" t="s">
        <v>221</v>
      </c>
    </row>
    <row r="5" spans="2:29" x14ac:dyDescent="0.25">
      <c r="B5" s="11" t="s">
        <v>54</v>
      </c>
      <c r="C5" s="518" t="s">
        <v>7</v>
      </c>
      <c r="D5" s="124" t="s">
        <v>8</v>
      </c>
      <c r="E5" s="223" t="s">
        <v>9</v>
      </c>
      <c r="F5" s="371" t="s">
        <v>10</v>
      </c>
      <c r="G5" s="124" t="s">
        <v>11</v>
      </c>
      <c r="H5" s="168" t="s">
        <v>12</v>
      </c>
      <c r="I5" s="219" t="s">
        <v>219</v>
      </c>
      <c r="J5" s="107" t="s">
        <v>100</v>
      </c>
      <c r="K5" s="223" t="s">
        <v>101</v>
      </c>
      <c r="L5" s="223" t="s">
        <v>102</v>
      </c>
      <c r="M5" s="223" t="s">
        <v>147</v>
      </c>
      <c r="N5" s="224" t="s">
        <v>220</v>
      </c>
      <c r="O5" s="169" t="s">
        <v>4</v>
      </c>
    </row>
    <row r="6" spans="2:29" x14ac:dyDescent="0.25">
      <c r="B6" s="1" t="s">
        <v>173</v>
      </c>
      <c r="F6" s="94"/>
    </row>
    <row r="7" spans="2:29" outlineLevel="1" x14ac:dyDescent="0.25">
      <c r="B7" s="2" t="s">
        <v>109</v>
      </c>
      <c r="C7" s="571"/>
      <c r="D7" s="572"/>
      <c r="E7" s="573"/>
      <c r="F7" s="573"/>
      <c r="G7" s="571"/>
      <c r="H7" s="571"/>
      <c r="I7" s="574"/>
      <c r="J7" s="572"/>
      <c r="K7" s="571"/>
      <c r="L7" s="571"/>
      <c r="M7" s="571"/>
      <c r="N7" s="571"/>
      <c r="O7" s="574"/>
      <c r="W7" s="5"/>
      <c r="X7" s="5"/>
      <c r="Y7" s="5"/>
      <c r="Z7" s="5"/>
      <c r="AA7" s="5"/>
      <c r="AB7" s="5"/>
      <c r="AC7" s="5"/>
    </row>
    <row r="8" spans="2:29" outlineLevel="1" x14ac:dyDescent="0.25">
      <c r="B8" s="2" t="s">
        <v>110</v>
      </c>
      <c r="C8" s="571"/>
      <c r="D8" s="572"/>
      <c r="E8" s="573"/>
      <c r="F8" s="573"/>
      <c r="G8" s="571"/>
      <c r="H8" s="571"/>
      <c r="I8" s="574"/>
      <c r="J8" s="572"/>
      <c r="K8" s="571"/>
      <c r="L8" s="571"/>
      <c r="M8" s="571"/>
      <c r="N8" s="571"/>
      <c r="O8" s="574"/>
      <c r="W8" s="5"/>
      <c r="X8" s="5"/>
      <c r="Y8" s="5"/>
      <c r="Z8" s="5"/>
      <c r="AA8" s="5"/>
      <c r="AB8" s="5"/>
      <c r="AC8" s="5"/>
    </row>
    <row r="9" spans="2:29" outlineLevel="1" x14ac:dyDescent="0.25">
      <c r="B9" s="2" t="s">
        <v>111</v>
      </c>
      <c r="C9" s="571"/>
      <c r="D9" s="572"/>
      <c r="E9" s="573"/>
      <c r="F9" s="573"/>
      <c r="G9" s="571"/>
      <c r="H9" s="571"/>
      <c r="I9" s="574"/>
      <c r="J9" s="572"/>
      <c r="K9" s="571"/>
      <c r="L9" s="571"/>
      <c r="M9" s="571"/>
      <c r="N9" s="571"/>
      <c r="O9" s="574"/>
      <c r="W9" s="5"/>
      <c r="X9" s="5"/>
      <c r="Y9" s="5"/>
      <c r="Z9" s="5"/>
      <c r="AA9" s="5"/>
      <c r="AB9" s="5"/>
      <c r="AC9" s="5"/>
    </row>
    <row r="10" spans="2:29" outlineLevel="1" x14ac:dyDescent="0.25">
      <c r="B10" s="2" t="s">
        <v>112</v>
      </c>
      <c r="C10" s="571"/>
      <c r="D10" s="572"/>
      <c r="E10" s="573"/>
      <c r="F10" s="573"/>
      <c r="G10" s="571"/>
      <c r="H10" s="571"/>
      <c r="I10" s="574"/>
      <c r="J10" s="572"/>
      <c r="K10" s="571"/>
      <c r="L10" s="571"/>
      <c r="M10" s="571"/>
      <c r="N10" s="571"/>
      <c r="O10" s="574"/>
      <c r="W10" s="5"/>
      <c r="X10" s="5"/>
      <c r="Y10" s="5"/>
      <c r="Z10" s="5"/>
      <c r="AA10" s="5"/>
      <c r="AB10" s="5"/>
      <c r="AC10" s="5"/>
    </row>
    <row r="11" spans="2:29" outlineLevel="1" x14ac:dyDescent="0.25">
      <c r="B11" s="2" t="s">
        <v>96</v>
      </c>
      <c r="C11" s="571"/>
      <c r="D11" s="572"/>
      <c r="E11" s="573"/>
      <c r="F11" s="573"/>
      <c r="G11" s="571"/>
      <c r="H11" s="571"/>
      <c r="I11" s="574"/>
      <c r="J11" s="572"/>
      <c r="K11" s="571"/>
      <c r="L11" s="571"/>
      <c r="M11" s="571"/>
      <c r="N11" s="571"/>
      <c r="O11" s="574"/>
      <c r="W11" s="5"/>
      <c r="X11" s="5"/>
      <c r="Y11" s="5"/>
      <c r="Z11" s="5"/>
      <c r="AA11" s="5"/>
      <c r="AB11" s="5"/>
      <c r="AC11" s="5"/>
    </row>
    <row r="12" spans="2:29" outlineLevel="1" x14ac:dyDescent="0.25">
      <c r="B12" s="2" t="s">
        <v>113</v>
      </c>
      <c r="C12" s="571"/>
      <c r="D12" s="572"/>
      <c r="E12" s="573"/>
      <c r="F12" s="573"/>
      <c r="G12" s="571"/>
      <c r="H12" s="571"/>
      <c r="I12" s="574"/>
      <c r="J12" s="572"/>
      <c r="K12" s="571"/>
      <c r="L12" s="571"/>
      <c r="M12" s="571"/>
      <c r="N12" s="571"/>
      <c r="O12" s="574"/>
      <c r="W12" s="5"/>
      <c r="X12" s="5"/>
      <c r="Y12" s="5"/>
      <c r="Z12" s="5"/>
      <c r="AA12" s="5"/>
      <c r="AB12" s="5"/>
      <c r="AC12" s="5"/>
    </row>
    <row r="13" spans="2:29" outlineLevel="1" x14ac:dyDescent="0.25">
      <c r="B13" s="2" t="s">
        <v>114</v>
      </c>
      <c r="C13" s="571"/>
      <c r="D13" s="572"/>
      <c r="E13" s="573"/>
      <c r="F13" s="573"/>
      <c r="G13" s="571"/>
      <c r="H13" s="571"/>
      <c r="I13" s="574"/>
      <c r="J13" s="572"/>
      <c r="K13" s="571"/>
      <c r="L13" s="571"/>
      <c r="M13" s="571"/>
      <c r="N13" s="571"/>
      <c r="O13" s="574"/>
      <c r="W13" s="5"/>
      <c r="X13" s="5"/>
      <c r="Y13" s="5"/>
      <c r="Z13" s="5"/>
      <c r="AA13" s="5"/>
      <c r="AB13" s="5"/>
      <c r="AC13" s="5"/>
    </row>
    <row r="14" spans="2:29" outlineLevel="1" x14ac:dyDescent="0.25">
      <c r="B14" s="2" t="s">
        <v>168</v>
      </c>
      <c r="C14" s="571"/>
      <c r="D14" s="572"/>
      <c r="E14" s="573"/>
      <c r="F14" s="573"/>
      <c r="G14" s="571"/>
      <c r="H14" s="571"/>
      <c r="I14" s="574"/>
      <c r="J14" s="572"/>
      <c r="K14" s="571"/>
      <c r="L14" s="571"/>
      <c r="M14" s="571"/>
      <c r="N14" s="571"/>
      <c r="O14" s="574"/>
      <c r="W14" s="5"/>
      <c r="X14" s="5"/>
      <c r="Y14" s="5"/>
      <c r="Z14" s="5"/>
      <c r="AA14" s="5"/>
      <c r="AB14" s="5"/>
      <c r="AC14" s="5"/>
    </row>
    <row r="15" spans="2:29" x14ac:dyDescent="0.25">
      <c r="B15" s="2" t="s">
        <v>144</v>
      </c>
      <c r="C15" s="575"/>
      <c r="D15" s="576"/>
      <c r="E15" s="575"/>
      <c r="F15" s="575"/>
      <c r="G15" s="575"/>
      <c r="H15" s="575"/>
      <c r="I15" s="577"/>
      <c r="J15" s="576"/>
      <c r="K15" s="575"/>
      <c r="L15" s="575"/>
      <c r="M15" s="575"/>
      <c r="N15" s="575"/>
      <c r="O15" s="577"/>
      <c r="P15" s="33"/>
      <c r="W15" s="5"/>
      <c r="X15" s="5"/>
      <c r="Y15" s="5"/>
      <c r="Z15" s="5"/>
      <c r="AA15" s="5"/>
      <c r="AB15" s="5"/>
      <c r="AC15" s="5"/>
    </row>
    <row r="16" spans="2:29" x14ac:dyDescent="0.25">
      <c r="B16" s="64" t="s">
        <v>78</v>
      </c>
      <c r="C16" s="578"/>
      <c r="D16" s="578"/>
      <c r="E16" s="578"/>
      <c r="F16" s="579"/>
      <c r="G16" s="578"/>
      <c r="H16" s="578"/>
      <c r="I16" s="578"/>
      <c r="J16" s="578"/>
      <c r="K16" s="578"/>
      <c r="L16" s="578"/>
      <c r="M16" s="578"/>
      <c r="N16" s="578"/>
      <c r="O16" s="578"/>
      <c r="W16" s="5"/>
      <c r="X16" s="5"/>
      <c r="Y16" s="5"/>
      <c r="Z16" s="5"/>
      <c r="AA16" s="5"/>
      <c r="AB16" s="5"/>
      <c r="AC16" s="5"/>
    </row>
    <row r="17" spans="2:29" x14ac:dyDescent="0.25">
      <c r="B17" s="1" t="s">
        <v>172</v>
      </c>
      <c r="F17" s="94"/>
      <c r="G17" s="16"/>
      <c r="H17" s="16"/>
      <c r="I17" s="16"/>
      <c r="J17" s="16"/>
      <c r="K17" s="16"/>
      <c r="L17" s="16"/>
      <c r="M17" s="16"/>
      <c r="N17" s="16"/>
      <c r="W17" s="5"/>
      <c r="X17" s="5"/>
      <c r="Y17" s="5"/>
      <c r="Z17" s="5"/>
      <c r="AA17" s="5"/>
      <c r="AB17" s="5"/>
      <c r="AC17" s="5"/>
    </row>
    <row r="18" spans="2:29" outlineLevel="1" x14ac:dyDescent="0.25">
      <c r="B18" s="2" t="s">
        <v>109</v>
      </c>
      <c r="C18" s="571"/>
      <c r="D18" s="572"/>
      <c r="E18" s="573"/>
      <c r="F18" s="573"/>
      <c r="G18" s="571"/>
      <c r="H18" s="571"/>
      <c r="I18" s="574"/>
      <c r="J18" s="572"/>
      <c r="K18" s="571"/>
      <c r="L18" s="571"/>
      <c r="M18" s="571"/>
      <c r="N18" s="571"/>
      <c r="O18" s="574"/>
      <c r="P18" s="2" t="s">
        <v>193</v>
      </c>
      <c r="W18" s="5"/>
      <c r="X18" s="5"/>
      <c r="Y18" s="5"/>
      <c r="Z18" s="5"/>
      <c r="AA18" s="5"/>
      <c r="AB18" s="5"/>
      <c r="AC18" s="5"/>
    </row>
    <row r="19" spans="2:29" outlineLevel="1" x14ac:dyDescent="0.25">
      <c r="B19" s="2" t="s">
        <v>110</v>
      </c>
      <c r="C19" s="571"/>
      <c r="D19" s="572"/>
      <c r="E19" s="573"/>
      <c r="F19" s="573"/>
      <c r="G19" s="571"/>
      <c r="H19" s="571"/>
      <c r="I19" s="574"/>
      <c r="J19" s="572"/>
      <c r="K19" s="571"/>
      <c r="L19" s="571"/>
      <c r="M19" s="571"/>
      <c r="N19" s="571"/>
      <c r="O19" s="574"/>
      <c r="P19" s="2" t="s">
        <v>193</v>
      </c>
      <c r="W19" s="5"/>
      <c r="X19" s="5"/>
      <c r="Y19" s="5"/>
      <c r="Z19" s="5"/>
      <c r="AA19" s="5"/>
      <c r="AB19" s="5"/>
      <c r="AC19" s="5"/>
    </row>
    <row r="20" spans="2:29" outlineLevel="1" x14ac:dyDescent="0.25">
      <c r="B20" s="2" t="s">
        <v>111</v>
      </c>
      <c r="C20" s="571"/>
      <c r="D20" s="572"/>
      <c r="E20" s="573"/>
      <c r="F20" s="573"/>
      <c r="G20" s="571"/>
      <c r="H20" s="571"/>
      <c r="I20" s="574"/>
      <c r="J20" s="572"/>
      <c r="K20" s="571"/>
      <c r="L20" s="571"/>
      <c r="M20" s="571"/>
      <c r="N20" s="571"/>
      <c r="O20" s="574"/>
      <c r="P20" s="2" t="s">
        <v>193</v>
      </c>
      <c r="W20" s="5"/>
      <c r="X20" s="5"/>
      <c r="Y20" s="5"/>
      <c r="Z20" s="5"/>
      <c r="AA20" s="5"/>
      <c r="AB20" s="5"/>
      <c r="AC20" s="5"/>
    </row>
    <row r="21" spans="2:29" outlineLevel="1" x14ac:dyDescent="0.25">
      <c r="B21" s="2" t="s">
        <v>112</v>
      </c>
      <c r="C21" s="571"/>
      <c r="D21" s="572"/>
      <c r="E21" s="573"/>
      <c r="F21" s="573"/>
      <c r="G21" s="571"/>
      <c r="H21" s="571"/>
      <c r="I21" s="574"/>
      <c r="J21" s="572"/>
      <c r="K21" s="571"/>
      <c r="L21" s="571"/>
      <c r="M21" s="571"/>
      <c r="N21" s="571"/>
      <c r="O21" s="574"/>
      <c r="P21" s="2" t="s">
        <v>193</v>
      </c>
      <c r="W21" s="5"/>
      <c r="X21" s="5"/>
      <c r="Y21" s="5"/>
      <c r="Z21" s="5"/>
      <c r="AA21" s="5"/>
      <c r="AB21" s="5"/>
      <c r="AC21" s="5"/>
    </row>
    <row r="22" spans="2:29" outlineLevel="1" x14ac:dyDescent="0.25">
      <c r="B22" s="2" t="s">
        <v>96</v>
      </c>
      <c r="C22" s="571"/>
      <c r="D22" s="572"/>
      <c r="E22" s="573"/>
      <c r="F22" s="573"/>
      <c r="G22" s="571"/>
      <c r="H22" s="571"/>
      <c r="I22" s="574"/>
      <c r="J22" s="572"/>
      <c r="K22" s="571"/>
      <c r="L22" s="571"/>
      <c r="M22" s="571"/>
      <c r="N22" s="571"/>
      <c r="O22" s="574"/>
      <c r="P22" s="2" t="s">
        <v>193</v>
      </c>
      <c r="W22" s="5"/>
      <c r="X22" s="5"/>
      <c r="Y22" s="5"/>
      <c r="Z22" s="5"/>
      <c r="AA22" s="5"/>
      <c r="AB22" s="5"/>
      <c r="AC22" s="5"/>
    </row>
    <row r="23" spans="2:29" outlineLevel="1" x14ac:dyDescent="0.25">
      <c r="B23" s="2" t="s">
        <v>113</v>
      </c>
      <c r="C23" s="571"/>
      <c r="D23" s="572"/>
      <c r="E23" s="573"/>
      <c r="F23" s="573"/>
      <c r="G23" s="571"/>
      <c r="H23" s="571"/>
      <c r="I23" s="574"/>
      <c r="J23" s="572"/>
      <c r="K23" s="571"/>
      <c r="L23" s="571"/>
      <c r="M23" s="571"/>
      <c r="N23" s="571"/>
      <c r="O23" s="574"/>
      <c r="P23" s="2" t="s">
        <v>193</v>
      </c>
      <c r="W23" s="5"/>
      <c r="X23" s="5"/>
      <c r="Y23" s="5"/>
      <c r="Z23" s="5"/>
      <c r="AA23" s="5"/>
      <c r="AB23" s="5"/>
      <c r="AC23" s="5"/>
    </row>
    <row r="24" spans="2:29" outlineLevel="1" x14ac:dyDescent="0.25">
      <c r="B24" s="2" t="s">
        <v>114</v>
      </c>
      <c r="C24" s="571"/>
      <c r="D24" s="572"/>
      <c r="E24" s="573"/>
      <c r="F24" s="573"/>
      <c r="G24" s="571"/>
      <c r="H24" s="571"/>
      <c r="I24" s="574"/>
      <c r="J24" s="572"/>
      <c r="K24" s="571"/>
      <c r="L24" s="571"/>
      <c r="M24" s="571"/>
      <c r="N24" s="571"/>
      <c r="O24" s="574"/>
      <c r="P24" s="2" t="s">
        <v>193</v>
      </c>
      <c r="W24" s="5"/>
      <c r="X24" s="5"/>
      <c r="Y24" s="5"/>
      <c r="Z24" s="5"/>
      <c r="AA24" s="5"/>
      <c r="AB24" s="5"/>
      <c r="AC24" s="5"/>
    </row>
    <row r="25" spans="2:29" outlineLevel="1" x14ac:dyDescent="0.25">
      <c r="B25" s="2" t="s">
        <v>168</v>
      </c>
      <c r="C25" s="571"/>
      <c r="D25" s="572"/>
      <c r="E25" s="573"/>
      <c r="F25" s="573"/>
      <c r="G25" s="571"/>
      <c r="H25" s="571"/>
      <c r="I25" s="574"/>
      <c r="J25" s="572"/>
      <c r="K25" s="571"/>
      <c r="L25" s="571"/>
      <c r="M25" s="571"/>
      <c r="N25" s="571"/>
      <c r="O25" s="574"/>
      <c r="P25" s="2" t="s">
        <v>193</v>
      </c>
      <c r="W25" s="5"/>
      <c r="X25" s="5"/>
      <c r="Y25" s="5"/>
      <c r="Z25" s="5"/>
      <c r="AA25" s="5"/>
      <c r="AB25" s="5"/>
      <c r="AC25" s="5"/>
    </row>
    <row r="26" spans="2:29" x14ac:dyDescent="0.25">
      <c r="B26" s="2" t="s">
        <v>144</v>
      </c>
      <c r="C26" s="575"/>
      <c r="D26" s="576"/>
      <c r="E26" s="575"/>
      <c r="F26" s="575"/>
      <c r="G26" s="575"/>
      <c r="H26" s="575"/>
      <c r="I26" s="577"/>
      <c r="J26" s="576"/>
      <c r="K26" s="575"/>
      <c r="L26" s="575"/>
      <c r="M26" s="575"/>
      <c r="N26" s="575"/>
      <c r="O26" s="577"/>
      <c r="W26" s="5"/>
      <c r="X26" s="5"/>
      <c r="Y26" s="5"/>
      <c r="Z26" s="5"/>
      <c r="AA26" s="5"/>
      <c r="AB26" s="5"/>
      <c r="AC26" s="5"/>
    </row>
    <row r="27" spans="2:29" x14ac:dyDescent="0.25">
      <c r="B27" s="64" t="s">
        <v>78</v>
      </c>
      <c r="C27" s="579"/>
      <c r="D27" s="579"/>
      <c r="E27" s="579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W27" s="5"/>
      <c r="X27" s="5"/>
      <c r="Y27" s="5"/>
      <c r="Z27" s="5"/>
      <c r="AA27" s="5"/>
      <c r="AB27" s="5"/>
      <c r="AC27" s="5"/>
    </row>
    <row r="28" spans="2:29" x14ac:dyDescent="0.25">
      <c r="B28" s="1" t="s">
        <v>174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5"/>
      <c r="Q28" s="461"/>
      <c r="R28" s="461"/>
      <c r="S28" s="461"/>
      <c r="T28" s="461"/>
      <c r="U28" s="461"/>
      <c r="V28" s="461"/>
      <c r="W28" s="5"/>
      <c r="X28" s="5"/>
      <c r="Y28" s="5"/>
      <c r="Z28" s="5"/>
      <c r="AA28" s="5"/>
      <c r="AB28" s="5"/>
      <c r="AC28" s="5"/>
    </row>
    <row r="29" spans="2:29" outlineLevel="1" x14ac:dyDescent="0.25">
      <c r="B29" s="2" t="s">
        <v>109</v>
      </c>
      <c r="C29" s="101">
        <v>13000.371046625009</v>
      </c>
      <c r="D29" s="140">
        <v>28182.417956020512</v>
      </c>
      <c r="E29" s="101">
        <v>22452.822013671295</v>
      </c>
      <c r="F29" s="101">
        <v>39195.811750000001</v>
      </c>
      <c r="G29" s="101">
        <v>47782.073651844126</v>
      </c>
      <c r="H29" s="101">
        <v>40989.258034585211</v>
      </c>
      <c r="I29" s="144">
        <v>21356.642873868233</v>
      </c>
      <c r="J29" s="140">
        <v>24706.2770151888</v>
      </c>
      <c r="K29" s="101">
        <v>42681.061316995583</v>
      </c>
      <c r="L29" s="101">
        <v>42924.284932255367</v>
      </c>
      <c r="M29" s="101">
        <v>43422.873846338363</v>
      </c>
      <c r="N29" s="101">
        <v>43770.007686893885</v>
      </c>
      <c r="O29" s="144">
        <v>197504.50479767201</v>
      </c>
      <c r="Q29" s="33"/>
      <c r="R29" s="91"/>
      <c r="W29" s="5"/>
      <c r="X29" s="5"/>
      <c r="Y29" s="5"/>
      <c r="Z29" s="5"/>
      <c r="AA29" s="5"/>
      <c r="AB29" s="5"/>
      <c r="AC29" s="5"/>
    </row>
    <row r="30" spans="2:29" outlineLevel="1" x14ac:dyDescent="0.25">
      <c r="B30" s="2" t="s">
        <v>110</v>
      </c>
      <c r="C30" s="101">
        <v>9450.5671099428055</v>
      </c>
      <c r="D30" s="140">
        <v>11331.585326640268</v>
      </c>
      <c r="E30" s="101">
        <v>10455.529683802584</v>
      </c>
      <c r="F30" s="101">
        <v>11662.520239999998</v>
      </c>
      <c r="G30" s="101">
        <v>9649.563472783102</v>
      </c>
      <c r="H30" s="101">
        <v>10660.190958932269</v>
      </c>
      <c r="I30" s="144">
        <v>5553.0317779044135</v>
      </c>
      <c r="J30" s="140">
        <v>6352.0053920478349</v>
      </c>
      <c r="K30" s="101">
        <v>11044.069709644536</v>
      </c>
      <c r="L30" s="101">
        <v>11105.669382095588</v>
      </c>
      <c r="M30" s="101">
        <v>11233.772792406275</v>
      </c>
      <c r="N30" s="101">
        <v>11325.390019107819</v>
      </c>
      <c r="O30" s="144">
        <v>51060.907295302059</v>
      </c>
      <c r="Q30" s="33"/>
      <c r="R30" s="91"/>
      <c r="W30" s="5"/>
      <c r="X30" s="5"/>
      <c r="Y30" s="5"/>
      <c r="Z30" s="5"/>
      <c r="AA30" s="5"/>
      <c r="AB30" s="5"/>
      <c r="AC30" s="5"/>
    </row>
    <row r="31" spans="2:29" outlineLevel="1" x14ac:dyDescent="0.25">
      <c r="B31" s="2" t="s">
        <v>111</v>
      </c>
      <c r="C31" s="101">
        <v>15134.784754146496</v>
      </c>
      <c r="D31" s="140">
        <v>13936.643647847803</v>
      </c>
      <c r="E31" s="101">
        <v>19426.520986458498</v>
      </c>
      <c r="F31" s="101">
        <v>27575.948430000008</v>
      </c>
      <c r="G31" s="101">
        <v>31561.895225825756</v>
      </c>
      <c r="H31" s="101">
        <v>26431.73012438873</v>
      </c>
      <c r="I31" s="144">
        <v>11753.434397627469</v>
      </c>
      <c r="J31" s="140">
        <v>13642.041518543809</v>
      </c>
      <c r="K31" s="101">
        <v>23557.765415746344</v>
      </c>
      <c r="L31" s="101">
        <v>23227.092626775047</v>
      </c>
      <c r="M31" s="101">
        <v>23052.683960616851</v>
      </c>
      <c r="N31" s="101">
        <v>23085.19796937795</v>
      </c>
      <c r="O31" s="144">
        <v>106564.78149105998</v>
      </c>
      <c r="Q31" s="33"/>
      <c r="R31" s="91"/>
      <c r="W31" s="5"/>
      <c r="X31" s="5"/>
      <c r="Y31" s="5"/>
      <c r="Z31" s="5"/>
      <c r="AA31" s="5"/>
      <c r="AB31" s="5"/>
      <c r="AC31" s="5"/>
    </row>
    <row r="32" spans="2:29" outlineLevel="1" x14ac:dyDescent="0.25">
      <c r="B32" s="2" t="s">
        <v>112</v>
      </c>
      <c r="C32" s="101">
        <v>6365.933379561754</v>
      </c>
      <c r="D32" s="140">
        <v>2903.747509520766</v>
      </c>
      <c r="E32" s="101">
        <v>6250.8896292911058</v>
      </c>
      <c r="F32" s="101">
        <v>7310.2184900000011</v>
      </c>
      <c r="G32" s="101">
        <v>7734.1669694579041</v>
      </c>
      <c r="H32" s="101">
        <v>6142.8834389340955</v>
      </c>
      <c r="I32" s="144">
        <v>3200.1165274044165</v>
      </c>
      <c r="J32" s="140">
        <v>3663.0608052361222</v>
      </c>
      <c r="K32" s="101">
        <v>6371.6790073626717</v>
      </c>
      <c r="L32" s="101">
        <v>6410.9419603189372</v>
      </c>
      <c r="M32" s="101">
        <v>6490.6713952872406</v>
      </c>
      <c r="N32" s="101">
        <v>6551.3426933090514</v>
      </c>
      <c r="O32" s="144">
        <v>29487.695861514025</v>
      </c>
      <c r="Q32" s="33"/>
      <c r="R32" s="91"/>
      <c r="W32" s="5"/>
      <c r="X32" s="5"/>
      <c r="Y32" s="5"/>
      <c r="Z32" s="5"/>
      <c r="AA32" s="5"/>
      <c r="AB32" s="5"/>
      <c r="AC32" s="5"/>
    </row>
    <row r="33" spans="2:29" outlineLevel="1" x14ac:dyDescent="0.25">
      <c r="B33" s="2" t="s">
        <v>96</v>
      </c>
      <c r="C33" s="101">
        <v>8760.8967419986511</v>
      </c>
      <c r="D33" s="140">
        <v>6866.2813703811044</v>
      </c>
      <c r="E33" s="101">
        <v>6680.7670824160077</v>
      </c>
      <c r="F33" s="101">
        <v>4825.4054100000003</v>
      </c>
      <c r="G33" s="101">
        <v>5723.3567594087235</v>
      </c>
      <c r="H33" s="101">
        <v>6069.707961920416</v>
      </c>
      <c r="I33" s="144">
        <v>3161.8746378818255</v>
      </c>
      <c r="J33" s="140">
        <v>3617.8286172889866</v>
      </c>
      <c r="K33" s="101">
        <v>6291.3695775972174</v>
      </c>
      <c r="L33" s="101">
        <v>6327.9763870383604</v>
      </c>
      <c r="M33" s="101">
        <v>6403.3218783346219</v>
      </c>
      <c r="N33" s="101">
        <v>6458.6934488756879</v>
      </c>
      <c r="O33" s="144">
        <v>29099.189909134875</v>
      </c>
      <c r="Q33" s="33"/>
      <c r="R33" s="91"/>
      <c r="W33" s="5"/>
      <c r="X33" s="5"/>
      <c r="Y33" s="5"/>
      <c r="Z33" s="5"/>
      <c r="AA33" s="5"/>
      <c r="AB33" s="5"/>
      <c r="AC33" s="5"/>
    </row>
    <row r="34" spans="2:29" outlineLevel="1" x14ac:dyDescent="0.25">
      <c r="B34" s="2" t="s">
        <v>113</v>
      </c>
      <c r="C34" s="101">
        <v>22194.326418578403</v>
      </c>
      <c r="D34" s="140">
        <v>396.73230762773539</v>
      </c>
      <c r="E34" s="101">
        <v>128.01729666765229</v>
      </c>
      <c r="F34" s="101">
        <v>128.63875000000002</v>
      </c>
      <c r="G34" s="101">
        <v>4379.6069938448891</v>
      </c>
      <c r="H34" s="101">
        <v>7246.527721294482</v>
      </c>
      <c r="I34" s="144">
        <v>4535.1018259498778</v>
      </c>
      <c r="J34" s="140">
        <v>16429.034914362579</v>
      </c>
      <c r="K34" s="101">
        <v>16555.250606240839</v>
      </c>
      <c r="L34" s="101">
        <v>16580.859886778362</v>
      </c>
      <c r="M34" s="101">
        <v>16618.553772494266</v>
      </c>
      <c r="N34" s="101">
        <v>16667.518078447029</v>
      </c>
      <c r="O34" s="144">
        <v>82851.217258323071</v>
      </c>
      <c r="Q34" s="33"/>
      <c r="R34" s="91"/>
      <c r="W34" s="5"/>
      <c r="X34" s="5"/>
      <c r="Y34" s="5"/>
      <c r="Z34" s="5"/>
      <c r="AA34" s="5"/>
      <c r="AB34" s="5"/>
      <c r="AC34" s="5"/>
    </row>
    <row r="35" spans="2:29" outlineLevel="1" x14ac:dyDescent="0.25">
      <c r="B35" s="2" t="s">
        <v>114</v>
      </c>
      <c r="C35" s="101">
        <v>969.34177575017929</v>
      </c>
      <c r="D35" s="140">
        <v>1127.6635179116352</v>
      </c>
      <c r="E35" s="101">
        <v>569.28537012144352</v>
      </c>
      <c r="F35" s="101">
        <v>1004.78701</v>
      </c>
      <c r="G35" s="101">
        <v>763.75093978619304</v>
      </c>
      <c r="H35" s="101">
        <v>771.00247658615649</v>
      </c>
      <c r="I35" s="144">
        <v>385.52733121464297</v>
      </c>
      <c r="J35" s="140">
        <v>771.60308225155927</v>
      </c>
      <c r="K35" s="101">
        <v>771.95630589429334</v>
      </c>
      <c r="L35" s="101">
        <v>772.42231236439181</v>
      </c>
      <c r="M35" s="101">
        <v>773.13781360391863</v>
      </c>
      <c r="N35" s="101">
        <v>774.08887220435872</v>
      </c>
      <c r="O35" s="144">
        <v>3863.2083863185221</v>
      </c>
      <c r="W35" s="5"/>
      <c r="X35" s="5"/>
      <c r="Y35" s="5"/>
      <c r="Z35" s="5"/>
      <c r="AA35" s="5"/>
      <c r="AB35" s="5"/>
      <c r="AC35" s="5"/>
    </row>
    <row r="36" spans="2:29" outlineLevel="1" x14ac:dyDescent="0.25">
      <c r="B36" s="2" t="s">
        <v>168</v>
      </c>
      <c r="C36" s="101"/>
      <c r="D36" s="140"/>
      <c r="E36" s="101"/>
      <c r="F36" s="101">
        <v>0</v>
      </c>
      <c r="G36" s="101">
        <v>0</v>
      </c>
      <c r="H36" s="101">
        <v>348.53850844686576</v>
      </c>
      <c r="I36" s="144">
        <v>-4.2840058694322352</v>
      </c>
      <c r="J36" s="140">
        <v>10.487856777077468</v>
      </c>
      <c r="K36" s="101">
        <v>2.9580483514421303</v>
      </c>
      <c r="L36" s="101">
        <v>-48.854847670421577</v>
      </c>
      <c r="M36" s="101">
        <v>-93.571431717893802</v>
      </c>
      <c r="N36" s="101">
        <v>-99.43350538145296</v>
      </c>
      <c r="O36" s="144">
        <v>-228.41387964124874</v>
      </c>
      <c r="W36" s="5"/>
      <c r="X36" s="5"/>
      <c r="Y36" s="5"/>
      <c r="Z36" s="5"/>
      <c r="AA36" s="5"/>
      <c r="AB36" s="5"/>
      <c r="AC36" s="5"/>
    </row>
    <row r="37" spans="2:29" x14ac:dyDescent="0.25">
      <c r="B37" s="2" t="s">
        <v>144</v>
      </c>
      <c r="C37" s="102">
        <v>75876.221226603288</v>
      </c>
      <c r="D37" s="143">
        <v>64745.071635949818</v>
      </c>
      <c r="E37" s="102">
        <v>65963.832062428599</v>
      </c>
      <c r="F37" s="102">
        <v>91703.330080000014</v>
      </c>
      <c r="G37" s="102">
        <v>107594.4140129507</v>
      </c>
      <c r="H37" s="102">
        <v>98659.839225088232</v>
      </c>
      <c r="I37" s="145">
        <v>49941.445365981439</v>
      </c>
      <c r="J37" s="143">
        <v>69192.33920169677</v>
      </c>
      <c r="K37" s="102">
        <v>107276.10998783293</v>
      </c>
      <c r="L37" s="102">
        <v>107300.39263995562</v>
      </c>
      <c r="M37" s="102">
        <v>107901.44402736364</v>
      </c>
      <c r="N37" s="102">
        <v>108532.80526283431</v>
      </c>
      <c r="O37" s="145">
        <v>500203.09111968329</v>
      </c>
      <c r="W37" s="5"/>
      <c r="X37" s="5"/>
      <c r="Y37" s="5"/>
      <c r="Z37" s="5"/>
      <c r="AA37" s="5"/>
      <c r="AB37" s="5"/>
      <c r="AC37" s="5"/>
    </row>
    <row r="38" spans="2:29" x14ac:dyDescent="0.25">
      <c r="C38" s="7"/>
      <c r="D38" s="7"/>
      <c r="E38" s="7"/>
      <c r="F38" s="7"/>
      <c r="G38" s="7"/>
      <c r="H38" s="20"/>
      <c r="I38" s="20"/>
      <c r="J38" s="20"/>
      <c r="K38" s="20"/>
      <c r="L38" s="20"/>
      <c r="M38" s="20"/>
      <c r="N38" s="20"/>
      <c r="O38" s="5"/>
      <c r="Y38" s="5"/>
      <c r="Z38" s="5"/>
      <c r="AA38" s="5"/>
      <c r="AB38" s="5"/>
      <c r="AC38" s="5"/>
    </row>
    <row r="39" spans="2:29" x14ac:dyDescent="0.25">
      <c r="B39" s="1" t="s">
        <v>129</v>
      </c>
      <c r="C39" s="173"/>
      <c r="D39" s="174"/>
      <c r="E39" s="174"/>
      <c r="F39" s="174"/>
      <c r="G39" s="174"/>
      <c r="H39" s="174">
        <f>Allocations!I44</f>
        <v>7.0375260011246041E-2</v>
      </c>
      <c r="I39" s="174">
        <f>Allocations!J44</f>
        <v>8.3055731214533607E-2</v>
      </c>
      <c r="J39" s="174">
        <f>Allocations!K44</f>
        <v>9.2774360144063206E-2</v>
      </c>
      <c r="K39" s="174">
        <f>Allocations!L44</f>
        <v>8.2755267364929053E-2</v>
      </c>
      <c r="L39" s="174">
        <f>Allocations!M44</f>
        <v>9.519604087552197E-2</v>
      </c>
      <c r="M39" s="174">
        <f>Allocations!N44</f>
        <v>0.1021901055271988</v>
      </c>
      <c r="N39" s="174">
        <f>Allocations!O44</f>
        <v>0.10541019145935256</v>
      </c>
      <c r="O39" s="387"/>
      <c r="P39" s="495"/>
      <c r="Q39" s="16"/>
      <c r="R39" s="16"/>
      <c r="W39" s="5"/>
      <c r="X39" s="5"/>
      <c r="Y39" s="5"/>
      <c r="Z39" s="5"/>
      <c r="AA39" s="5"/>
      <c r="AB39" s="5"/>
      <c r="AC39" s="5"/>
    </row>
    <row r="40" spans="2:29" outlineLevel="1" x14ac:dyDescent="0.25">
      <c r="B40" s="2" t="s">
        <v>109</v>
      </c>
      <c r="C40" s="101">
        <v>1460.4663466426234</v>
      </c>
      <c r="D40" s="140">
        <v>807.611468478799</v>
      </c>
      <c r="E40" s="101">
        <v>2477.4705325391064</v>
      </c>
      <c r="F40" s="101">
        <v>3246.423318688333</v>
      </c>
      <c r="G40" s="101">
        <v>1162.463930037527</v>
      </c>
      <c r="H40" s="148">
        <v>792.75730033080083</v>
      </c>
      <c r="I40" s="497">
        <v>487.46297135780753</v>
      </c>
      <c r="J40" s="149">
        <v>629.5567825996693</v>
      </c>
      <c r="K40" s="148">
        <v>970.27254792541521</v>
      </c>
      <c r="L40" s="148">
        <v>1122.8537660960324</v>
      </c>
      <c r="M40" s="148">
        <v>1219.2934570596788</v>
      </c>
      <c r="N40" s="148">
        <v>1266.5724440790925</v>
      </c>
      <c r="O40" s="144">
        <f t="shared" ref="O40:O47" si="0">SUM(J40:N40)</f>
        <v>5208.5489977598882</v>
      </c>
      <c r="P40" s="2" t="s">
        <v>225</v>
      </c>
      <c r="W40" s="5"/>
      <c r="X40" s="5"/>
      <c r="Y40" s="5"/>
      <c r="Z40" s="5"/>
      <c r="AA40" s="5"/>
      <c r="AB40" s="5"/>
      <c r="AC40" s="5"/>
    </row>
    <row r="41" spans="2:29" outlineLevel="1" x14ac:dyDescent="0.25">
      <c r="B41" s="2" t="s">
        <v>110</v>
      </c>
      <c r="C41" s="101">
        <v>2485.1251442653588</v>
      </c>
      <c r="D41" s="140">
        <v>1136.2962142129675</v>
      </c>
      <c r="E41" s="101">
        <v>1440.278900587364</v>
      </c>
      <c r="F41" s="101">
        <v>1305.1781561413127</v>
      </c>
      <c r="G41" s="101">
        <v>1104.8413653277496</v>
      </c>
      <c r="H41" s="101">
        <v>750.21371050439268</v>
      </c>
      <c r="I41" s="144">
        <v>461.21111477139266</v>
      </c>
      <c r="J41" s="140">
        <v>589.30323587887722</v>
      </c>
      <c r="K41" s="101">
        <v>913.95494161854799</v>
      </c>
      <c r="L41" s="101">
        <v>1057.2157564480044</v>
      </c>
      <c r="M41" s="101">
        <v>1147.9804271245719</v>
      </c>
      <c r="N41" s="101">
        <v>1193.8115302659958</v>
      </c>
      <c r="O41" s="144">
        <f t="shared" si="0"/>
        <v>4902.2658913359974</v>
      </c>
      <c r="W41" s="5"/>
      <c r="X41" s="5"/>
      <c r="Y41" s="5"/>
      <c r="Z41" s="5"/>
      <c r="AA41" s="5"/>
      <c r="AB41" s="5"/>
      <c r="AC41" s="5"/>
    </row>
    <row r="42" spans="2:29" outlineLevel="1" x14ac:dyDescent="0.25">
      <c r="B42" s="2" t="s">
        <v>111</v>
      </c>
      <c r="C42" s="101">
        <v>717.30958506483069</v>
      </c>
      <c r="D42" s="140">
        <v>1687.1450485476682</v>
      </c>
      <c r="E42" s="101">
        <v>2543.8901405846905</v>
      </c>
      <c r="F42" s="101">
        <v>2871.5183360928149</v>
      </c>
      <c r="G42" s="101">
        <v>2209.3461233307448</v>
      </c>
      <c r="H42" s="148">
        <v>1536.4079713824744</v>
      </c>
      <c r="I42" s="497">
        <v>790.15371071941854</v>
      </c>
      <c r="J42" s="149">
        <v>1036.4664741812892</v>
      </c>
      <c r="K42" s="148">
        <v>1586.2435747372772</v>
      </c>
      <c r="L42" s="148">
        <v>1794.1425248029932</v>
      </c>
      <c r="M42" s="148">
        <v>1908.649386526502</v>
      </c>
      <c r="N42" s="148">
        <v>1972.0907816438812</v>
      </c>
      <c r="O42" s="144">
        <f t="shared" si="0"/>
        <v>8297.5927418919418</v>
      </c>
      <c r="P42" s="2" t="s">
        <v>225</v>
      </c>
      <c r="W42" s="5"/>
      <c r="X42" s="5"/>
      <c r="Y42" s="5"/>
      <c r="Z42" s="5"/>
      <c r="AA42" s="5"/>
      <c r="AB42" s="5"/>
      <c r="AC42" s="5"/>
    </row>
    <row r="43" spans="2:29" outlineLevel="1" x14ac:dyDescent="0.25">
      <c r="B43" s="2" t="s">
        <v>112</v>
      </c>
      <c r="C43" s="101">
        <v>1189.7816716808657</v>
      </c>
      <c r="D43" s="140">
        <v>327.82997030164387</v>
      </c>
      <c r="E43" s="101">
        <v>821.23042445801218</v>
      </c>
      <c r="F43" s="101">
        <v>788.19170542195161</v>
      </c>
      <c r="G43" s="101">
        <v>706.183159729105</v>
      </c>
      <c r="H43" s="101">
        <v>432.30701923376421</v>
      </c>
      <c r="I43" s="144">
        <v>265.78801815528789</v>
      </c>
      <c r="J43" s="140">
        <v>339.83812237457818</v>
      </c>
      <c r="K43" s="101">
        <v>527.28999981780362</v>
      </c>
      <c r="L43" s="101">
        <v>610.29629290512048</v>
      </c>
      <c r="M43" s="101">
        <v>663.28239482677384</v>
      </c>
      <c r="N43" s="101">
        <v>690.57828761753751</v>
      </c>
      <c r="O43" s="144">
        <f t="shared" si="0"/>
        <v>2831.2850975418137</v>
      </c>
      <c r="W43" s="5"/>
      <c r="X43" s="5"/>
      <c r="Y43" s="5"/>
      <c r="Z43" s="5"/>
      <c r="AA43" s="5"/>
      <c r="AB43" s="5"/>
      <c r="AC43" s="5"/>
    </row>
    <row r="44" spans="2:29" outlineLevel="1" x14ac:dyDescent="0.25">
      <c r="B44" s="2" t="s">
        <v>96</v>
      </c>
      <c r="C44" s="101">
        <v>1400.4260779923625</v>
      </c>
      <c r="D44" s="140">
        <v>607.05707208174465</v>
      </c>
      <c r="E44" s="101">
        <v>-60.949200740831962</v>
      </c>
      <c r="F44" s="101">
        <v>574.9676209488315</v>
      </c>
      <c r="G44" s="101">
        <v>344.17020149917511</v>
      </c>
      <c r="H44" s="101">
        <v>427.15727601247954</v>
      </c>
      <c r="I44" s="144">
        <v>262.61181005796368</v>
      </c>
      <c r="J44" s="140">
        <v>335.64173507986663</v>
      </c>
      <c r="K44" s="101">
        <v>520.64397148563853</v>
      </c>
      <c r="L44" s="101">
        <v>602.39829879984154</v>
      </c>
      <c r="M44" s="101">
        <v>654.35613847163586</v>
      </c>
      <c r="N44" s="101">
        <v>680.81211302325232</v>
      </c>
      <c r="O44" s="144">
        <f t="shared" si="0"/>
        <v>2793.8522568602348</v>
      </c>
      <c r="W44" s="5"/>
      <c r="X44" s="5"/>
      <c r="Y44" s="5"/>
      <c r="Z44" s="5"/>
      <c r="AA44" s="5"/>
      <c r="AB44" s="5"/>
      <c r="AC44" s="5"/>
    </row>
    <row r="45" spans="2:29" outlineLevel="1" x14ac:dyDescent="0.25">
      <c r="B45" s="2" t="s">
        <v>113</v>
      </c>
      <c r="C45" s="101">
        <v>1170.1749948704212</v>
      </c>
      <c r="D45" s="140">
        <v>11.041914163859229</v>
      </c>
      <c r="E45" s="101">
        <v>8.9090720519935562</v>
      </c>
      <c r="F45" s="101">
        <v>5.0254222815774989</v>
      </c>
      <c r="G45" s="101">
        <v>375.74019493671796</v>
      </c>
      <c r="H45" s="101">
        <v>509.97627256480143</v>
      </c>
      <c r="I45" s="144">
        <v>376.66619828663363</v>
      </c>
      <c r="J45" s="140">
        <v>1524.1932019644626</v>
      </c>
      <c r="K45" s="101">
        <v>1370.0341902128644</v>
      </c>
      <c r="L45" s="101">
        <v>1578.4322155330556</v>
      </c>
      <c r="M45" s="101">
        <v>1698.2517637206167</v>
      </c>
      <c r="N45" s="101">
        <v>1756.9262718013213</v>
      </c>
      <c r="O45" s="144">
        <f t="shared" si="0"/>
        <v>7927.8376432323203</v>
      </c>
      <c r="P45" s="22"/>
      <c r="W45" s="5"/>
      <c r="X45" s="5"/>
      <c r="Y45" s="5"/>
      <c r="Z45" s="5"/>
      <c r="AA45" s="5"/>
      <c r="AB45" s="5"/>
      <c r="AC45" s="5"/>
    </row>
    <row r="46" spans="2:29" outlineLevel="1" x14ac:dyDescent="0.25">
      <c r="B46" s="2" t="s">
        <v>114</v>
      </c>
      <c r="C46" s="101">
        <v>263.48620967041012</v>
      </c>
      <c r="D46" s="140">
        <v>122.88468576877422</v>
      </c>
      <c r="E46" s="101">
        <v>55.557667837322285</v>
      </c>
      <c r="F46" s="101">
        <v>110.39623905137972</v>
      </c>
      <c r="G46" s="101">
        <v>65.715259759886251</v>
      </c>
      <c r="H46" s="101">
        <v>54.259499759065399</v>
      </c>
      <c r="I46" s="144">
        <v>32.020254397219858</v>
      </c>
      <c r="J46" s="140">
        <v>71.58498224107538</v>
      </c>
      <c r="K46" s="101">
        <v>63.883450488325202</v>
      </c>
      <c r="L46" s="101">
        <v>73.531546021005838</v>
      </c>
      <c r="M46" s="101">
        <v>79.007034759252207</v>
      </c>
      <c r="N46" s="101">
        <v>81.596856225615753</v>
      </c>
      <c r="O46" s="144">
        <v>369.60386973527432</v>
      </c>
      <c r="W46" s="5"/>
      <c r="X46" s="5"/>
      <c r="Y46" s="5"/>
      <c r="Z46" s="5"/>
      <c r="AA46" s="5"/>
      <c r="AB46" s="5"/>
      <c r="AC46" s="5"/>
    </row>
    <row r="47" spans="2:29" outlineLevel="1" x14ac:dyDescent="0.25">
      <c r="B47" s="2" t="s">
        <v>168</v>
      </c>
      <c r="C47" s="101"/>
      <c r="D47" s="140"/>
      <c r="E47" s="101"/>
      <c r="F47" s="101"/>
      <c r="G47" s="101"/>
      <c r="H47" s="101">
        <v>24.528488155880051</v>
      </c>
      <c r="I47" s="144">
        <v>-0.35581124001304809</v>
      </c>
      <c r="J47" s="140">
        <v>0.97300420177593905</v>
      </c>
      <c r="K47" s="101">
        <v>0.24479408220198112</v>
      </c>
      <c r="L47" s="101">
        <v>-4.6507880758008522</v>
      </c>
      <c r="M47" s="101">
        <v>-9.5620744815826448</v>
      </c>
      <c r="N47" s="101">
        <v>-10.48130483973352</v>
      </c>
      <c r="O47" s="144">
        <f t="shared" si="0"/>
        <v>-23.476369113139096</v>
      </c>
      <c r="W47" s="5"/>
      <c r="X47" s="5"/>
      <c r="Y47" s="5"/>
      <c r="Z47" s="5"/>
      <c r="AA47" s="5"/>
      <c r="AB47" s="5"/>
      <c r="AC47" s="5"/>
    </row>
    <row r="48" spans="2:29" x14ac:dyDescent="0.25">
      <c r="B48" s="2" t="s">
        <v>144</v>
      </c>
      <c r="C48" s="102">
        <f t="shared" ref="C48:O48" si="1">SUM(C40:C47)</f>
        <v>8686.7700301868736</v>
      </c>
      <c r="D48" s="143">
        <f t="shared" si="1"/>
        <v>4699.8663735554564</v>
      </c>
      <c r="E48" s="102">
        <f t="shared" si="1"/>
        <v>7286.3875373176579</v>
      </c>
      <c r="F48" s="102">
        <f t="shared" si="1"/>
        <v>8901.7007986262015</v>
      </c>
      <c r="G48" s="102">
        <f t="shared" si="1"/>
        <v>5968.4602346209049</v>
      </c>
      <c r="H48" s="102">
        <f t="shared" si="1"/>
        <v>4527.6075379436579</v>
      </c>
      <c r="I48" s="145">
        <f t="shared" si="1"/>
        <v>2675.5582665057109</v>
      </c>
      <c r="J48" s="143">
        <f t="shared" si="1"/>
        <v>4527.5575385215952</v>
      </c>
      <c r="K48" s="102">
        <f t="shared" si="1"/>
        <v>5952.5674703680743</v>
      </c>
      <c r="L48" s="102">
        <f t="shared" si="1"/>
        <v>6834.2196125302526</v>
      </c>
      <c r="M48" s="102">
        <f t="shared" si="1"/>
        <v>7361.2585280074491</v>
      </c>
      <c r="N48" s="102">
        <f t="shared" si="1"/>
        <v>7631.9069798169621</v>
      </c>
      <c r="O48" s="145">
        <f t="shared" si="1"/>
        <v>32307.510129244336</v>
      </c>
      <c r="W48" s="5"/>
      <c r="X48" s="5"/>
      <c r="Y48" s="5"/>
      <c r="Z48" s="5"/>
      <c r="AA48" s="5"/>
      <c r="AB48" s="5"/>
      <c r="AC48" s="5"/>
    </row>
    <row r="49" spans="2:29" x14ac:dyDescent="0.25">
      <c r="B49" s="64" t="s">
        <v>78</v>
      </c>
      <c r="C49" s="99">
        <f>C48-'2015-19_Actuals'!E42*Escalation!F$8</f>
        <v>0</v>
      </c>
      <c r="D49" s="99">
        <f>D48-'2015-19_Actuals'!F42*Escalation!G$8</f>
        <v>0</v>
      </c>
      <c r="E49" s="99">
        <f>E48-'2015-19_Actuals'!G42*Escalation!H$8</f>
        <v>0</v>
      </c>
      <c r="F49" s="496">
        <f>F48-'2015-19_Actuals'!H42*Escalation!I$8</f>
        <v>0</v>
      </c>
      <c r="G49" s="99">
        <f>G48-'2015-19_Actuals'!I42*Escalation!J$8</f>
        <v>0</v>
      </c>
      <c r="H49" s="65"/>
      <c r="I49" s="65"/>
      <c r="J49" s="65"/>
      <c r="K49" s="65"/>
      <c r="L49" s="65"/>
      <c r="M49" s="65"/>
      <c r="N49" s="65"/>
      <c r="O49" s="5"/>
      <c r="W49" s="5"/>
      <c r="X49" s="5"/>
      <c r="Y49" s="5"/>
      <c r="Z49" s="5"/>
      <c r="AA49" s="5"/>
      <c r="AB49" s="5"/>
      <c r="AC49" s="5"/>
    </row>
    <row r="50" spans="2:29" x14ac:dyDescent="0.25">
      <c r="B50" s="1" t="s">
        <v>140</v>
      </c>
      <c r="F50" s="94"/>
      <c r="J50" s="33"/>
      <c r="K50" s="33"/>
      <c r="L50" s="33"/>
      <c r="M50" s="33"/>
      <c r="N50" s="33"/>
      <c r="W50" s="5"/>
      <c r="X50" s="5"/>
      <c r="Y50" s="5"/>
      <c r="Z50" s="5"/>
      <c r="AA50" s="5"/>
      <c r="AB50" s="5"/>
      <c r="AC50" s="5"/>
    </row>
    <row r="51" spans="2:29" outlineLevel="1" x14ac:dyDescent="0.25">
      <c r="B51" s="2" t="s">
        <v>109</v>
      </c>
      <c r="C51" s="5">
        <f t="shared" ref="C51:N51" si="2">C29+C40</f>
        <v>14460.837393267631</v>
      </c>
      <c r="D51" s="109">
        <f t="shared" si="2"/>
        <v>28990.029424499313</v>
      </c>
      <c r="E51" s="7">
        <f t="shared" si="2"/>
        <v>24930.292546210403</v>
      </c>
      <c r="F51" s="7">
        <f t="shared" si="2"/>
        <v>42442.235068688336</v>
      </c>
      <c r="G51" s="5">
        <f t="shared" si="2"/>
        <v>48944.537581881654</v>
      </c>
      <c r="H51" s="5">
        <f t="shared" si="2"/>
        <v>41782.01533491601</v>
      </c>
      <c r="I51" s="146">
        <f t="shared" ref="I51" si="3">I29+I40</f>
        <v>21844.10584522604</v>
      </c>
      <c r="J51" s="109">
        <f t="shared" si="2"/>
        <v>25335.833797788469</v>
      </c>
      <c r="K51" s="5">
        <f t="shared" si="2"/>
        <v>43651.333864920998</v>
      </c>
      <c r="L51" s="5">
        <f t="shared" si="2"/>
        <v>44047.138698351402</v>
      </c>
      <c r="M51" s="5">
        <f t="shared" si="2"/>
        <v>44642.167303398041</v>
      </c>
      <c r="N51" s="5">
        <f t="shared" si="2"/>
        <v>45036.58013097298</v>
      </c>
      <c r="O51" s="146">
        <f t="shared" ref="O51:O58" si="4">SUM(J51:N51)</f>
        <v>202713.05379543192</v>
      </c>
      <c r="W51" s="5"/>
      <c r="X51" s="5"/>
      <c r="Y51" s="5"/>
      <c r="Z51" s="5"/>
      <c r="AA51" s="5"/>
      <c r="AB51" s="5"/>
      <c r="AC51" s="5"/>
    </row>
    <row r="52" spans="2:29" outlineLevel="1" x14ac:dyDescent="0.25">
      <c r="B52" s="2" t="s">
        <v>110</v>
      </c>
      <c r="C52" s="5">
        <f t="shared" ref="C52:N52" si="5">C30+C41</f>
        <v>11935.692254208165</v>
      </c>
      <c r="D52" s="109">
        <f t="shared" si="5"/>
        <v>12467.881540853235</v>
      </c>
      <c r="E52" s="7">
        <f t="shared" si="5"/>
        <v>11895.808584389948</v>
      </c>
      <c r="F52" s="7">
        <f t="shared" si="5"/>
        <v>12967.69839614131</v>
      </c>
      <c r="G52" s="5">
        <f t="shared" si="5"/>
        <v>10754.404838110851</v>
      </c>
      <c r="H52" s="5">
        <f t="shared" si="5"/>
        <v>11410.404669436663</v>
      </c>
      <c r="I52" s="146">
        <f t="shared" ref="I52" si="6">I30+I41</f>
        <v>6014.2428926758057</v>
      </c>
      <c r="J52" s="109">
        <f t="shared" si="5"/>
        <v>6941.3086279267118</v>
      </c>
      <c r="K52" s="5">
        <f t="shared" si="5"/>
        <v>11958.024651263084</v>
      </c>
      <c r="L52" s="5">
        <f t="shared" si="5"/>
        <v>12162.885138543592</v>
      </c>
      <c r="M52" s="5">
        <f t="shared" si="5"/>
        <v>12381.753219530847</v>
      </c>
      <c r="N52" s="5">
        <f t="shared" si="5"/>
        <v>12519.201549373814</v>
      </c>
      <c r="O52" s="146">
        <f t="shared" si="4"/>
        <v>55963.173186638051</v>
      </c>
      <c r="W52" s="5"/>
      <c r="X52" s="5"/>
      <c r="Y52" s="5"/>
      <c r="Z52" s="5"/>
      <c r="AA52" s="5"/>
      <c r="AB52" s="5"/>
      <c r="AC52" s="5"/>
    </row>
    <row r="53" spans="2:29" outlineLevel="1" x14ac:dyDescent="0.25">
      <c r="B53" s="2" t="s">
        <v>111</v>
      </c>
      <c r="C53" s="5">
        <f t="shared" ref="C53:N53" si="7">C31+C42</f>
        <v>15852.094339211328</v>
      </c>
      <c r="D53" s="109">
        <f t="shared" si="7"/>
        <v>15623.788696395472</v>
      </c>
      <c r="E53" s="7">
        <f t="shared" si="7"/>
        <v>21970.411127043189</v>
      </c>
      <c r="F53" s="7">
        <f t="shared" si="7"/>
        <v>30447.466766092824</v>
      </c>
      <c r="G53" s="5">
        <f t="shared" si="7"/>
        <v>33771.241349156502</v>
      </c>
      <c r="H53" s="5">
        <f t="shared" si="7"/>
        <v>27968.138095771206</v>
      </c>
      <c r="I53" s="146">
        <f t="shared" ref="I53" si="8">I31+I42</f>
        <v>12543.588108346887</v>
      </c>
      <c r="J53" s="109">
        <f t="shared" si="7"/>
        <v>14678.507992725097</v>
      </c>
      <c r="K53" s="5">
        <f t="shared" si="7"/>
        <v>25144.00899048362</v>
      </c>
      <c r="L53" s="5">
        <f t="shared" si="7"/>
        <v>25021.235151578039</v>
      </c>
      <c r="M53" s="5">
        <f t="shared" si="7"/>
        <v>24961.333347143351</v>
      </c>
      <c r="N53" s="5">
        <f t="shared" si="7"/>
        <v>25057.288751021832</v>
      </c>
      <c r="O53" s="146">
        <f t="shared" si="4"/>
        <v>114862.37423295194</v>
      </c>
      <c r="W53" s="5"/>
      <c r="X53" s="5"/>
      <c r="Y53" s="5"/>
      <c r="Z53" s="5"/>
      <c r="AA53" s="5"/>
      <c r="AB53" s="5"/>
      <c r="AC53" s="5"/>
    </row>
    <row r="54" spans="2:29" outlineLevel="1" x14ac:dyDescent="0.25">
      <c r="B54" s="2" t="s">
        <v>112</v>
      </c>
      <c r="C54" s="5">
        <f t="shared" ref="C54:N54" si="9">C32+C43</f>
        <v>7555.7150512426197</v>
      </c>
      <c r="D54" s="109">
        <f t="shared" si="9"/>
        <v>3231.5774798224097</v>
      </c>
      <c r="E54" s="7">
        <f t="shared" si="9"/>
        <v>7072.1200537491177</v>
      </c>
      <c r="F54" s="7">
        <f t="shared" si="9"/>
        <v>8098.4101954219532</v>
      </c>
      <c r="G54" s="5">
        <f t="shared" si="9"/>
        <v>8440.3501291870089</v>
      </c>
      <c r="H54" s="5">
        <f t="shared" si="9"/>
        <v>6575.19045816786</v>
      </c>
      <c r="I54" s="146">
        <f t="shared" ref="I54" si="10">I32+I43</f>
        <v>3465.9045455597043</v>
      </c>
      <c r="J54" s="109">
        <f t="shared" si="9"/>
        <v>4002.8989276107004</v>
      </c>
      <c r="K54" s="5">
        <f t="shared" si="9"/>
        <v>6898.9690071804753</v>
      </c>
      <c r="L54" s="5">
        <f t="shared" si="9"/>
        <v>7021.2382532240572</v>
      </c>
      <c r="M54" s="5">
        <f t="shared" si="9"/>
        <v>7153.9537901140147</v>
      </c>
      <c r="N54" s="5">
        <f t="shared" si="9"/>
        <v>7241.9209809265885</v>
      </c>
      <c r="O54" s="146">
        <f t="shared" si="4"/>
        <v>32318.980959055836</v>
      </c>
      <c r="W54" s="5"/>
      <c r="X54" s="5"/>
      <c r="Y54" s="5"/>
      <c r="Z54" s="5"/>
      <c r="AA54" s="5"/>
      <c r="AB54" s="5"/>
      <c r="AC54" s="5"/>
    </row>
    <row r="55" spans="2:29" outlineLevel="1" x14ac:dyDescent="0.25">
      <c r="B55" s="2" t="s">
        <v>96</v>
      </c>
      <c r="C55" s="5">
        <f t="shared" ref="C55:N55" si="11">C33+C44</f>
        <v>10161.322819991014</v>
      </c>
      <c r="D55" s="109">
        <f t="shared" si="11"/>
        <v>7473.3384424628493</v>
      </c>
      <c r="E55" s="7">
        <f t="shared" si="11"/>
        <v>6619.8178816751761</v>
      </c>
      <c r="F55" s="7">
        <f t="shared" si="11"/>
        <v>5400.3730309488319</v>
      </c>
      <c r="G55" s="5">
        <f t="shared" si="11"/>
        <v>6067.5269609078987</v>
      </c>
      <c r="H55" s="5">
        <f t="shared" si="11"/>
        <v>6496.865237932896</v>
      </c>
      <c r="I55" s="146">
        <f t="shared" ref="I55" si="12">I33+I44</f>
        <v>3424.4864479397893</v>
      </c>
      <c r="J55" s="109">
        <f t="shared" si="11"/>
        <v>3953.4703523688531</v>
      </c>
      <c r="K55" s="5">
        <f t="shared" si="11"/>
        <v>6812.0135490828561</v>
      </c>
      <c r="L55" s="5">
        <f t="shared" si="11"/>
        <v>6930.3746858382019</v>
      </c>
      <c r="M55" s="5">
        <f t="shared" si="11"/>
        <v>7057.6780168062578</v>
      </c>
      <c r="N55" s="5">
        <f t="shared" si="11"/>
        <v>7139.50556189894</v>
      </c>
      <c r="O55" s="146">
        <f t="shared" si="4"/>
        <v>31893.04216599511</v>
      </c>
      <c r="W55" s="5"/>
      <c r="X55" s="5"/>
      <c r="Y55" s="5"/>
      <c r="Z55" s="5"/>
      <c r="AA55" s="5"/>
      <c r="AB55" s="5"/>
      <c r="AC55" s="5"/>
    </row>
    <row r="56" spans="2:29" outlineLevel="1" x14ac:dyDescent="0.25">
      <c r="B56" s="2" t="s">
        <v>113</v>
      </c>
      <c r="C56" s="5">
        <f t="shared" ref="C56:N56" si="13">C34+C45</f>
        <v>23364.501413448823</v>
      </c>
      <c r="D56" s="109">
        <f t="shared" si="13"/>
        <v>407.77422179159464</v>
      </c>
      <c r="E56" s="7">
        <f t="shared" si="13"/>
        <v>136.92636871964584</v>
      </c>
      <c r="F56" s="7">
        <f t="shared" si="13"/>
        <v>133.66417228157752</v>
      </c>
      <c r="G56" s="5">
        <f t="shared" si="13"/>
        <v>4755.3471887816067</v>
      </c>
      <c r="H56" s="5">
        <f t="shared" si="13"/>
        <v>7756.5039938592836</v>
      </c>
      <c r="I56" s="146">
        <f t="shared" ref="I56" si="14">I34+I45</f>
        <v>4911.7680242365113</v>
      </c>
      <c r="J56" s="109">
        <f t="shared" si="13"/>
        <v>17953.228116327042</v>
      </c>
      <c r="K56" s="5">
        <f t="shared" si="13"/>
        <v>17925.284796453703</v>
      </c>
      <c r="L56" s="5">
        <f t="shared" si="13"/>
        <v>18159.292102311418</v>
      </c>
      <c r="M56" s="5">
        <f t="shared" si="13"/>
        <v>18316.805536214884</v>
      </c>
      <c r="N56" s="5">
        <f t="shared" si="13"/>
        <v>18424.444350248348</v>
      </c>
      <c r="O56" s="146">
        <f t="shared" si="4"/>
        <v>90779.054901555399</v>
      </c>
      <c r="W56" s="5"/>
      <c r="X56" s="5"/>
      <c r="Y56" s="5"/>
      <c r="Z56" s="5"/>
      <c r="AA56" s="5"/>
      <c r="AB56" s="5"/>
      <c r="AC56" s="5"/>
    </row>
    <row r="57" spans="2:29" outlineLevel="1" x14ac:dyDescent="0.25">
      <c r="B57" s="2" t="s">
        <v>114</v>
      </c>
      <c r="C57" s="5">
        <f t="shared" ref="C57:N57" si="15">C35+C46</f>
        <v>1232.8279854205894</v>
      </c>
      <c r="D57" s="109">
        <f t="shared" si="15"/>
        <v>1250.5482036804094</v>
      </c>
      <c r="E57" s="7">
        <f t="shared" si="15"/>
        <v>624.84303795876576</v>
      </c>
      <c r="F57" s="7">
        <f t="shared" si="15"/>
        <v>1115.1832490513798</v>
      </c>
      <c r="G57" s="5">
        <f t="shared" si="15"/>
        <v>829.46619954607934</v>
      </c>
      <c r="H57" s="5">
        <f t="shared" si="15"/>
        <v>825.26197634522191</v>
      </c>
      <c r="I57" s="146">
        <f t="shared" ref="I57" si="16">I35+I46</f>
        <v>417.54758561186281</v>
      </c>
      <c r="J57" s="109">
        <f t="shared" si="15"/>
        <v>843.18806449263468</v>
      </c>
      <c r="K57" s="5">
        <f t="shared" si="15"/>
        <v>835.83975638261859</v>
      </c>
      <c r="L57" s="5">
        <f t="shared" si="15"/>
        <v>845.95385838539767</v>
      </c>
      <c r="M57" s="5">
        <f t="shared" si="15"/>
        <v>852.14484836317081</v>
      </c>
      <c r="N57" s="5">
        <f t="shared" si="15"/>
        <v>855.68572842997446</v>
      </c>
      <c r="O57" s="146">
        <f t="shared" si="4"/>
        <v>4232.8122560537959</v>
      </c>
      <c r="W57" s="5"/>
      <c r="X57" s="5"/>
      <c r="Y57" s="5"/>
      <c r="Z57" s="5"/>
      <c r="AA57" s="5"/>
      <c r="AB57" s="5"/>
      <c r="AC57" s="5"/>
    </row>
    <row r="58" spans="2:29" outlineLevel="1" x14ac:dyDescent="0.25">
      <c r="B58" s="2" t="s">
        <v>168</v>
      </c>
      <c r="C58" s="5">
        <f t="shared" ref="C58:N58" si="17">C36+C47</f>
        <v>0</v>
      </c>
      <c r="D58" s="109">
        <f t="shared" si="17"/>
        <v>0</v>
      </c>
      <c r="E58" s="7">
        <f t="shared" si="17"/>
        <v>0</v>
      </c>
      <c r="F58" s="7">
        <f t="shared" si="17"/>
        <v>0</v>
      </c>
      <c r="G58" s="5">
        <f t="shared" si="17"/>
        <v>0</v>
      </c>
      <c r="H58" s="5">
        <f t="shared" si="17"/>
        <v>373.0669966027458</v>
      </c>
      <c r="I58" s="146">
        <f t="shared" ref="I58" si="18">I36+I47</f>
        <v>-4.6398171094452829</v>
      </c>
      <c r="J58" s="109">
        <f t="shared" si="17"/>
        <v>11.460860978853407</v>
      </c>
      <c r="K58" s="5">
        <f t="shared" si="17"/>
        <v>3.2028424336441113</v>
      </c>
      <c r="L58" s="5">
        <f t="shared" si="17"/>
        <v>-53.505635746222431</v>
      </c>
      <c r="M58" s="5">
        <f t="shared" si="17"/>
        <v>-103.13350619947644</v>
      </c>
      <c r="N58" s="5">
        <f t="shared" si="17"/>
        <v>-109.91481022118649</v>
      </c>
      <c r="O58" s="146">
        <f t="shared" si="4"/>
        <v>-251.89024875438784</v>
      </c>
      <c r="W58" s="5"/>
      <c r="X58" s="5"/>
      <c r="Y58" s="5"/>
      <c r="Z58" s="5"/>
      <c r="AA58" s="5"/>
      <c r="AB58" s="5"/>
      <c r="AC58" s="5"/>
    </row>
    <row r="59" spans="2:29" x14ac:dyDescent="0.25">
      <c r="B59" s="2" t="s">
        <v>144</v>
      </c>
      <c r="C59" s="6">
        <f t="shared" ref="C59:O59" si="19">SUM(C51:C58)</f>
        <v>84562.991256790177</v>
      </c>
      <c r="D59" s="110">
        <f t="shared" si="19"/>
        <v>69444.938009505277</v>
      </c>
      <c r="E59" s="6">
        <f t="shared" si="19"/>
        <v>73250.219599746255</v>
      </c>
      <c r="F59" s="6">
        <f t="shared" si="19"/>
        <v>100605.03087862622</v>
      </c>
      <c r="G59" s="6">
        <f t="shared" si="19"/>
        <v>113562.8742475716</v>
      </c>
      <c r="H59" s="6">
        <f t="shared" si="19"/>
        <v>103187.44676303188</v>
      </c>
      <c r="I59" s="145">
        <f t="shared" si="19"/>
        <v>52617.003632487154</v>
      </c>
      <c r="J59" s="110">
        <f t="shared" si="19"/>
        <v>73719.896740218363</v>
      </c>
      <c r="K59" s="6">
        <f t="shared" si="19"/>
        <v>113228.67745820101</v>
      </c>
      <c r="L59" s="6">
        <f t="shared" si="19"/>
        <v>114134.61225248591</v>
      </c>
      <c r="M59" s="6">
        <f t="shared" si="19"/>
        <v>115262.70255537108</v>
      </c>
      <c r="N59" s="6">
        <f t="shared" si="19"/>
        <v>116164.71224265129</v>
      </c>
      <c r="O59" s="147">
        <f t="shared" si="19"/>
        <v>532510.60124892765</v>
      </c>
      <c r="W59" s="5"/>
      <c r="X59" s="5"/>
      <c r="Y59" s="5"/>
      <c r="Z59" s="5"/>
      <c r="AA59" s="5"/>
      <c r="AB59" s="5"/>
      <c r="AC59" s="5"/>
    </row>
    <row r="60" spans="2:29" x14ac:dyDescent="0.25">
      <c r="F60" s="94"/>
      <c r="W60" s="5"/>
      <c r="X60" s="5"/>
      <c r="Y60" s="5"/>
      <c r="Z60" s="5"/>
      <c r="AA60" s="5"/>
      <c r="AB60" s="5"/>
      <c r="AC60" s="5"/>
    </row>
    <row r="61" spans="2:29" x14ac:dyDescent="0.25">
      <c r="B61" s="18" t="s">
        <v>223</v>
      </c>
      <c r="F61" s="94"/>
      <c r="W61" s="5"/>
      <c r="X61" s="5"/>
      <c r="Y61" s="5"/>
      <c r="Z61" s="5"/>
      <c r="AA61" s="5"/>
      <c r="AB61" s="5"/>
      <c r="AC61" s="5"/>
    </row>
    <row r="62" spans="2:29" outlineLevel="1" x14ac:dyDescent="0.25">
      <c r="B62" s="2" t="s">
        <v>109</v>
      </c>
      <c r="C62" s="61">
        <f t="shared" ref="C62:N62" si="20">C51*CPI_adj_Jun21</f>
        <v>15325.365736355341</v>
      </c>
      <c r="D62" s="140">
        <f t="shared" si="20"/>
        <v>30723.172632104601</v>
      </c>
      <c r="E62" s="101">
        <f t="shared" si="20"/>
        <v>26420.727983766828</v>
      </c>
      <c r="F62" s="101">
        <f t="shared" si="20"/>
        <v>44979.606464480028</v>
      </c>
      <c r="G62" s="61">
        <f t="shared" si="20"/>
        <v>51870.643368712357</v>
      </c>
      <c r="H62" s="61">
        <f t="shared" si="20"/>
        <v>44279.916079251678</v>
      </c>
      <c r="I62" s="144">
        <f t="shared" ref="I62" si="21">I51*CPI_adj_Jun21</f>
        <v>23150.036346968478</v>
      </c>
      <c r="J62" s="140">
        <f t="shared" si="20"/>
        <v>26850.514159531907</v>
      </c>
      <c r="K62" s="61">
        <f t="shared" si="20"/>
        <v>46260.99016030108</v>
      </c>
      <c r="L62" s="61">
        <f t="shared" si="20"/>
        <v>46680.457834791509</v>
      </c>
      <c r="M62" s="61">
        <f t="shared" si="20"/>
        <v>47311.059697459466</v>
      </c>
      <c r="N62" s="61">
        <f t="shared" si="20"/>
        <v>47729.052146258458</v>
      </c>
      <c r="O62" s="146">
        <f t="shared" ref="O62:O69" si="22">SUM(J62:N62)</f>
        <v>214832.07399834244</v>
      </c>
      <c r="W62" s="5"/>
      <c r="X62" s="5"/>
      <c r="Y62" s="5"/>
      <c r="Z62" s="5"/>
      <c r="AA62" s="5"/>
      <c r="AB62" s="5"/>
      <c r="AC62" s="5"/>
    </row>
    <row r="63" spans="2:29" outlineLevel="1" x14ac:dyDescent="0.25">
      <c r="B63" s="2" t="s">
        <v>110</v>
      </c>
      <c r="C63" s="61">
        <f t="shared" ref="C63:N63" si="23">C52*CPI_adj_Jun21</f>
        <v>12649.257033861892</v>
      </c>
      <c r="D63" s="140">
        <f t="shared" si="23"/>
        <v>13213.262785188772</v>
      </c>
      <c r="E63" s="101">
        <f t="shared" si="23"/>
        <v>12606.988954203049</v>
      </c>
      <c r="F63" s="101">
        <f t="shared" si="23"/>
        <v>13742.960748050235</v>
      </c>
      <c r="G63" s="61">
        <f t="shared" si="23"/>
        <v>11397.347396880992</v>
      </c>
      <c r="H63" s="61">
        <f t="shared" si="23"/>
        <v>12092.565596536286</v>
      </c>
      <c r="I63" s="144">
        <f t="shared" ref="I63" si="24">I52*CPI_adj_Jun21</f>
        <v>6373.7990719986374</v>
      </c>
      <c r="J63" s="140">
        <f t="shared" si="23"/>
        <v>7356.2886103277106</v>
      </c>
      <c r="K63" s="61">
        <f t="shared" si="23"/>
        <v>12672.924553475623</v>
      </c>
      <c r="L63" s="61">
        <f t="shared" si="23"/>
        <v>12890.032443366108</v>
      </c>
      <c r="M63" s="61">
        <f t="shared" si="23"/>
        <v>13121.985358534459</v>
      </c>
      <c r="N63" s="61">
        <f t="shared" si="23"/>
        <v>13267.650914920243</v>
      </c>
      <c r="O63" s="146">
        <f t="shared" si="22"/>
        <v>59308.881880624147</v>
      </c>
      <c r="W63" s="5"/>
      <c r="X63" s="5"/>
      <c r="Y63" s="5"/>
      <c r="Z63" s="5"/>
      <c r="AA63" s="5"/>
      <c r="AB63" s="5"/>
      <c r="AC63" s="5"/>
    </row>
    <row r="64" spans="2:29" outlineLevel="1" x14ac:dyDescent="0.25">
      <c r="B64" s="2" t="s">
        <v>111</v>
      </c>
      <c r="C64" s="61">
        <f t="shared" ref="C64:N64" si="25">C53*CPI_adj_Jun21</f>
        <v>16799.797745372904</v>
      </c>
      <c r="D64" s="140">
        <f t="shared" si="25"/>
        <v>16557.843052109038</v>
      </c>
      <c r="E64" s="101">
        <f t="shared" si="25"/>
        <v>23283.892678081254</v>
      </c>
      <c r="F64" s="101">
        <f t="shared" si="25"/>
        <v>32267.741573052695</v>
      </c>
      <c r="G64" s="61">
        <f t="shared" si="25"/>
        <v>35790.225072823428</v>
      </c>
      <c r="H64" s="61">
        <f t="shared" si="25"/>
        <v>29640.18843626132</v>
      </c>
      <c r="I64" s="144">
        <f t="shared" ref="I64" si="26">I53*CPI_adj_Jun21</f>
        <v>13293.495402701257</v>
      </c>
      <c r="J64" s="140">
        <f t="shared" si="25"/>
        <v>15556.049579622289</v>
      </c>
      <c r="K64" s="61">
        <f t="shared" si="25"/>
        <v>26647.221276187454</v>
      </c>
      <c r="L64" s="61">
        <f t="shared" si="25"/>
        <v>26517.10751216986</v>
      </c>
      <c r="M64" s="61">
        <f t="shared" si="25"/>
        <v>26453.624531463873</v>
      </c>
      <c r="N64" s="61">
        <f t="shared" si="25"/>
        <v>26555.316544092548</v>
      </c>
      <c r="O64" s="146">
        <f t="shared" si="22"/>
        <v>121729.31944353602</v>
      </c>
      <c r="W64" s="5"/>
      <c r="X64" s="5"/>
      <c r="Y64" s="5"/>
      <c r="Z64" s="5"/>
      <c r="AA64" s="5"/>
      <c r="AB64" s="5"/>
      <c r="AC64" s="5"/>
    </row>
    <row r="65" spans="2:29" outlineLevel="1" x14ac:dyDescent="0.25">
      <c r="B65" s="2" t="s">
        <v>112</v>
      </c>
      <c r="C65" s="61">
        <f t="shared" ref="C65:N65" si="27">C54*CPI_adj_Jun21</f>
        <v>8007.4267769504786</v>
      </c>
      <c r="D65" s="140">
        <f t="shared" si="27"/>
        <v>3424.7744744508882</v>
      </c>
      <c r="E65" s="101">
        <f t="shared" si="27"/>
        <v>7494.9204812701091</v>
      </c>
      <c r="F65" s="101">
        <f t="shared" si="27"/>
        <v>8582.5664691901839</v>
      </c>
      <c r="G65" s="61">
        <f t="shared" si="27"/>
        <v>8944.9489787434886</v>
      </c>
      <c r="H65" s="61">
        <f t="shared" si="27"/>
        <v>6968.2823903772924</v>
      </c>
      <c r="I65" s="144">
        <f t="shared" ref="I65" si="28">I54*CPI_adj_Jun21</f>
        <v>3673.1105760671685</v>
      </c>
      <c r="J65" s="140">
        <f t="shared" si="27"/>
        <v>4242.2086911687893</v>
      </c>
      <c r="K65" s="61">
        <f t="shared" si="27"/>
        <v>7311.4177528919754</v>
      </c>
      <c r="L65" s="61">
        <f t="shared" si="27"/>
        <v>7440.9967574106686</v>
      </c>
      <c r="M65" s="61">
        <f t="shared" si="27"/>
        <v>7581.6465750126745</v>
      </c>
      <c r="N65" s="61">
        <f t="shared" si="27"/>
        <v>7674.8728063393673</v>
      </c>
      <c r="O65" s="146">
        <f t="shared" si="22"/>
        <v>34251.142582823471</v>
      </c>
      <c r="W65" s="5"/>
      <c r="X65" s="5"/>
      <c r="Y65" s="5"/>
      <c r="Z65" s="5"/>
      <c r="AA65" s="5"/>
      <c r="AB65" s="5"/>
      <c r="AC65" s="5"/>
    </row>
    <row r="66" spans="2:29" outlineLevel="1" x14ac:dyDescent="0.25">
      <c r="B66" s="2" t="s">
        <v>96</v>
      </c>
      <c r="C66" s="61">
        <f t="shared" ref="C66:N66" si="29">C55*CPI_adj_Jun21</f>
        <v>10768.808496113475</v>
      </c>
      <c r="D66" s="140">
        <f t="shared" si="29"/>
        <v>7920.1253556470074</v>
      </c>
      <c r="E66" s="101">
        <f t="shared" si="29"/>
        <v>7015.577824833892</v>
      </c>
      <c r="F66" s="101">
        <f t="shared" si="29"/>
        <v>5723.2295448237019</v>
      </c>
      <c r="G66" s="61">
        <f t="shared" si="29"/>
        <v>6430.2686810102095</v>
      </c>
      <c r="H66" s="61">
        <f t="shared" si="29"/>
        <v>6885.2745662909601</v>
      </c>
      <c r="I66" s="144">
        <f t="shared" ref="I66" si="30">I55*CPI_adj_Jun21</f>
        <v>3629.2163342008726</v>
      </c>
      <c r="J66" s="140">
        <f t="shared" si="29"/>
        <v>4189.825072377741</v>
      </c>
      <c r="K66" s="61">
        <f t="shared" si="29"/>
        <v>7219.2637398236348</v>
      </c>
      <c r="L66" s="61">
        <f t="shared" si="29"/>
        <v>7344.7009922050865</v>
      </c>
      <c r="M66" s="61">
        <f t="shared" si="29"/>
        <v>7479.6150399524213</v>
      </c>
      <c r="N66" s="61">
        <f t="shared" si="29"/>
        <v>7566.3345722830518</v>
      </c>
      <c r="O66" s="146">
        <f t="shared" si="22"/>
        <v>33799.739416641933</v>
      </c>
      <c r="W66" s="5"/>
      <c r="X66" s="5"/>
      <c r="Y66" s="5"/>
      <c r="Z66" s="5"/>
      <c r="AA66" s="5"/>
      <c r="AB66" s="5"/>
      <c r="AC66" s="5"/>
    </row>
    <row r="67" spans="2:29" outlineLevel="1" x14ac:dyDescent="0.25">
      <c r="B67" s="2" t="s">
        <v>113</v>
      </c>
      <c r="C67" s="61">
        <f t="shared" ref="C67:N67" si="31">C56*CPI_adj_Jun21</f>
        <v>24761.327416308333</v>
      </c>
      <c r="D67" s="140">
        <f t="shared" si="31"/>
        <v>432.15264212315111</v>
      </c>
      <c r="E67" s="101">
        <f t="shared" si="31"/>
        <v>145.112390279457</v>
      </c>
      <c r="F67" s="101">
        <f t="shared" si="31"/>
        <v>141.65516631948717</v>
      </c>
      <c r="G67" s="61">
        <f t="shared" si="31"/>
        <v>5039.6414045396887</v>
      </c>
      <c r="H67" s="61">
        <f t="shared" si="31"/>
        <v>8220.2197084890795</v>
      </c>
      <c r="I67" s="144">
        <f t="shared" ref="I67" si="32">I56*CPI_adj_Jun21</f>
        <v>5205.4137209650644</v>
      </c>
      <c r="J67" s="140">
        <f t="shared" si="31"/>
        <v>19026.545942562323</v>
      </c>
      <c r="K67" s="61">
        <f t="shared" si="31"/>
        <v>18996.932056083922</v>
      </c>
      <c r="L67" s="61">
        <f t="shared" si="31"/>
        <v>19244.929281259709</v>
      </c>
      <c r="M67" s="61">
        <f t="shared" si="31"/>
        <v>19411.859516163233</v>
      </c>
      <c r="N67" s="61">
        <f t="shared" si="31"/>
        <v>19525.933421264908</v>
      </c>
      <c r="O67" s="146">
        <f t="shared" si="22"/>
        <v>96206.200217334102</v>
      </c>
      <c r="W67" s="5"/>
      <c r="X67" s="5"/>
      <c r="Y67" s="5"/>
      <c r="Z67" s="5"/>
      <c r="AA67" s="5"/>
      <c r="AB67" s="5"/>
      <c r="AC67" s="5"/>
    </row>
    <row r="68" spans="2:29" outlineLevel="1" x14ac:dyDescent="0.25">
      <c r="B68" s="2" t="s">
        <v>114</v>
      </c>
      <c r="C68" s="61">
        <f t="shared" ref="C68:H69" si="33">C57*CPI_adj_Jun21</f>
        <v>1306.5315135471155</v>
      </c>
      <c r="D68" s="140">
        <f t="shared" si="33"/>
        <v>1325.3111193454779</v>
      </c>
      <c r="E68" s="101">
        <f t="shared" si="33"/>
        <v>662.19872501931422</v>
      </c>
      <c r="F68" s="101">
        <f t="shared" si="33"/>
        <v>1181.85349091375</v>
      </c>
      <c r="G68" s="61">
        <f t="shared" si="33"/>
        <v>879.05510091044175</v>
      </c>
      <c r="H68" s="61">
        <f t="shared" si="33"/>
        <v>874.5995319528372</v>
      </c>
      <c r="I68" s="144">
        <f t="shared" ref="I68" si="34">I57*CPI_adj_Jun21</f>
        <v>442.51029783469409</v>
      </c>
      <c r="J68" s="140">
        <f t="shared" ref="J68:N69" si="35">J57*CPI_adj_Jun21</f>
        <v>893.59731538750498</v>
      </c>
      <c r="K68" s="61">
        <f t="shared" si="35"/>
        <v>885.80969519188261</v>
      </c>
      <c r="L68" s="61">
        <f t="shared" si="35"/>
        <v>896.52845981609141</v>
      </c>
      <c r="M68" s="61">
        <f t="shared" si="35"/>
        <v>903.08957264097216</v>
      </c>
      <c r="N68" s="61">
        <f t="shared" si="35"/>
        <v>906.84214108335027</v>
      </c>
      <c r="O68" s="146">
        <f t="shared" si="22"/>
        <v>4485.8671841198011</v>
      </c>
      <c r="W68" s="5"/>
      <c r="X68" s="5"/>
      <c r="Y68" s="5"/>
      <c r="Z68" s="5"/>
      <c r="AA68" s="5"/>
      <c r="AB68" s="5"/>
      <c r="AC68" s="5"/>
    </row>
    <row r="69" spans="2:29" outlineLevel="1" x14ac:dyDescent="0.25">
      <c r="B69" s="2" t="s">
        <v>168</v>
      </c>
      <c r="C69" s="61">
        <f t="shared" si="33"/>
        <v>0</v>
      </c>
      <c r="D69" s="140">
        <f t="shared" si="33"/>
        <v>0</v>
      </c>
      <c r="E69" s="101">
        <f t="shared" si="33"/>
        <v>0</v>
      </c>
      <c r="F69" s="101">
        <f t="shared" si="33"/>
        <v>0</v>
      </c>
      <c r="G69" s="61">
        <f t="shared" si="33"/>
        <v>0</v>
      </c>
      <c r="H69" s="61">
        <f t="shared" si="33"/>
        <v>395.37047624658965</v>
      </c>
      <c r="I69" s="144">
        <f t="shared" ref="I69" si="36">I58*CPI_adj_Jun21</f>
        <v>-4.9172044618351389</v>
      </c>
      <c r="J69" s="140">
        <f t="shared" si="35"/>
        <v>12.146038391678726</v>
      </c>
      <c r="K69" s="61">
        <f t="shared" si="35"/>
        <v>3.3943215290122994</v>
      </c>
      <c r="L69" s="61">
        <f t="shared" si="35"/>
        <v>-56.704422743099364</v>
      </c>
      <c r="M69" s="61">
        <f t="shared" si="35"/>
        <v>-109.29925143308024</v>
      </c>
      <c r="N69" s="61">
        <f t="shared" si="35"/>
        <v>-116.48596970366306</v>
      </c>
      <c r="O69" s="146">
        <f t="shared" si="22"/>
        <v>-266.94928395915161</v>
      </c>
      <c r="W69" s="5"/>
      <c r="X69" s="5"/>
      <c r="Y69" s="5"/>
      <c r="Z69" s="5"/>
      <c r="AA69" s="5"/>
      <c r="AB69" s="5"/>
      <c r="AC69" s="5"/>
    </row>
    <row r="70" spans="2:29" x14ac:dyDescent="0.25">
      <c r="B70" s="2" t="s">
        <v>144</v>
      </c>
      <c r="C70" s="6">
        <f t="shared" ref="C70:O70" si="37">SUM(C62:C69)</f>
        <v>89618.514718509541</v>
      </c>
      <c r="D70" s="110">
        <f t="shared" si="37"/>
        <v>73596.642060968952</v>
      </c>
      <c r="E70" s="6">
        <f t="shared" si="37"/>
        <v>77629.419037453903</v>
      </c>
      <c r="F70" s="6">
        <f t="shared" si="37"/>
        <v>106619.61345683009</v>
      </c>
      <c r="G70" s="6">
        <f t="shared" si="37"/>
        <v>120352.13000362059</v>
      </c>
      <c r="H70" s="6">
        <f t="shared" si="37"/>
        <v>109356.41678540604</v>
      </c>
      <c r="I70" s="147">
        <f t="shared" si="37"/>
        <v>55762.66454627434</v>
      </c>
      <c r="J70" s="110">
        <f t="shared" si="37"/>
        <v>78127.175409369956</v>
      </c>
      <c r="K70" s="6">
        <f t="shared" si="37"/>
        <v>119997.95355548459</v>
      </c>
      <c r="L70" s="6">
        <f t="shared" si="37"/>
        <v>120958.04885827594</v>
      </c>
      <c r="M70" s="6">
        <f t="shared" si="37"/>
        <v>122153.58103979401</v>
      </c>
      <c r="N70" s="6">
        <f t="shared" si="37"/>
        <v>123109.51657653828</v>
      </c>
      <c r="O70" s="145">
        <f t="shared" si="37"/>
        <v>564346.27543946274</v>
      </c>
      <c r="W70" s="5"/>
      <c r="X70" s="5"/>
      <c r="Y70" s="5"/>
      <c r="Z70" s="5"/>
      <c r="AA70" s="5"/>
      <c r="AB70" s="5"/>
      <c r="AC70" s="5"/>
    </row>
    <row r="71" spans="2:29" x14ac:dyDescent="0.25">
      <c r="B71" s="2" t="s">
        <v>78</v>
      </c>
      <c r="C71" s="99">
        <f t="shared" ref="C71:N71" si="38">C70-C59*CPI_adj_Jun21</f>
        <v>0</v>
      </c>
      <c r="D71" s="99">
        <f t="shared" si="38"/>
        <v>0</v>
      </c>
      <c r="E71" s="99">
        <f t="shared" si="38"/>
        <v>0</v>
      </c>
      <c r="F71" s="99">
        <f t="shared" si="38"/>
        <v>0</v>
      </c>
      <c r="G71" s="99">
        <f t="shared" si="38"/>
        <v>0</v>
      </c>
      <c r="H71" s="99">
        <f t="shared" si="38"/>
        <v>0</v>
      </c>
      <c r="I71" s="99">
        <f t="shared" si="38"/>
        <v>0</v>
      </c>
      <c r="J71" s="99">
        <f t="shared" si="38"/>
        <v>0</v>
      </c>
      <c r="K71" s="99">
        <f t="shared" si="38"/>
        <v>0</v>
      </c>
      <c r="L71" s="99">
        <f t="shared" si="38"/>
        <v>0</v>
      </c>
      <c r="M71" s="99">
        <f t="shared" si="38"/>
        <v>0</v>
      </c>
      <c r="N71" s="99">
        <f t="shared" si="38"/>
        <v>0</v>
      </c>
    </row>
    <row r="72" spans="2:29" x14ac:dyDescent="0.25">
      <c r="H72" s="186"/>
      <c r="I72" s="186"/>
      <c r="J72" s="186"/>
      <c r="K72" s="186"/>
      <c r="L72" s="186"/>
      <c r="M72" s="186"/>
      <c r="N72" s="186"/>
      <c r="O72" s="186"/>
    </row>
    <row r="73" spans="2:29" x14ac:dyDescent="0.25">
      <c r="B73" s="553" t="s">
        <v>419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2:29" x14ac:dyDescent="0.25">
      <c r="B74" s="552" t="s">
        <v>430</v>
      </c>
      <c r="F74" s="61"/>
      <c r="G74" s="558" t="s">
        <v>11</v>
      </c>
      <c r="H74" s="558" t="s">
        <v>12</v>
      </c>
      <c r="I74" s="563" t="s">
        <v>219</v>
      </c>
      <c r="J74" s="559" t="s">
        <v>100</v>
      </c>
      <c r="K74" s="558" t="s">
        <v>101</v>
      </c>
      <c r="L74" s="558" t="s">
        <v>102</v>
      </c>
      <c r="M74" s="558" t="s">
        <v>147</v>
      </c>
      <c r="N74" s="558" t="s">
        <v>220</v>
      </c>
      <c r="O74" s="61"/>
    </row>
    <row r="75" spans="2:29" x14ac:dyDescent="0.25">
      <c r="B75" s="1" t="s">
        <v>113</v>
      </c>
      <c r="G75" s="555">
        <v>4379.6069938448891</v>
      </c>
      <c r="H75" s="555">
        <v>7246.527721294482</v>
      </c>
      <c r="I75" s="564">
        <v>4535.1018259498778</v>
      </c>
      <c r="J75" s="560">
        <v>16429.034914362579</v>
      </c>
      <c r="K75" s="555">
        <v>16555.250606240839</v>
      </c>
      <c r="L75" s="555">
        <v>16580.859886778362</v>
      </c>
      <c r="M75" s="555">
        <v>16618.553772494266</v>
      </c>
      <c r="N75" s="555">
        <v>16667.518078447029</v>
      </c>
    </row>
    <row r="76" spans="2:29" x14ac:dyDescent="0.25">
      <c r="B76" s="1" t="s">
        <v>199</v>
      </c>
      <c r="G76" s="556">
        <v>60081.782071849993</v>
      </c>
      <c r="H76" s="556">
        <v>57990.50280896965</v>
      </c>
      <c r="I76" s="565">
        <v>28069.604536035749</v>
      </c>
      <c r="J76" s="561">
        <v>32699.336646401829</v>
      </c>
      <c r="K76" s="556">
        <v>56063.578274361003</v>
      </c>
      <c r="L76" s="556">
        <v>55888.350971509019</v>
      </c>
      <c r="M76" s="556">
        <v>56087.649476608422</v>
      </c>
      <c r="N76" s="556">
        <v>56404.39993408107</v>
      </c>
    </row>
    <row r="77" spans="2:29" x14ac:dyDescent="0.25">
      <c r="B77" s="1" t="s">
        <v>418</v>
      </c>
      <c r="G77" s="557">
        <f>SUM(G75:G76)</f>
        <v>64461.389065694879</v>
      </c>
      <c r="H77" s="557">
        <f>SUM(H75:H76)</f>
        <v>65237.030530264135</v>
      </c>
      <c r="I77" s="566">
        <f t="shared" ref="I77:N77" si="39">SUM(I75:I76)</f>
        <v>32604.706361985627</v>
      </c>
      <c r="J77" s="562">
        <f t="shared" si="39"/>
        <v>49128.371560764412</v>
      </c>
      <c r="K77" s="557">
        <f t="shared" si="39"/>
        <v>72618.828880601839</v>
      </c>
      <c r="L77" s="557">
        <f t="shared" si="39"/>
        <v>72469.210858287377</v>
      </c>
      <c r="M77" s="557">
        <f t="shared" si="39"/>
        <v>72706.203249102691</v>
      </c>
      <c r="N77" s="557">
        <f t="shared" si="39"/>
        <v>73071.918012528098</v>
      </c>
    </row>
    <row r="86" spans="8:15" x14ac:dyDescent="0.25">
      <c r="H86" s="5"/>
      <c r="I86" s="5"/>
      <c r="J86" s="5"/>
      <c r="K86" s="5"/>
      <c r="L86" s="5"/>
      <c r="M86" s="5"/>
      <c r="N86" s="5"/>
      <c r="O86" s="5"/>
    </row>
    <row r="87" spans="8:15" x14ac:dyDescent="0.25">
      <c r="H87" s="5"/>
      <c r="I87" s="5"/>
      <c r="J87" s="5"/>
      <c r="K87" s="5"/>
      <c r="L87" s="5"/>
      <c r="M87" s="5"/>
      <c r="N87" s="5"/>
      <c r="O87" s="5"/>
    </row>
    <row r="88" spans="8:15" x14ac:dyDescent="0.25">
      <c r="H88" s="5"/>
      <c r="I88" s="5"/>
      <c r="J88" s="5"/>
      <c r="K88" s="5"/>
      <c r="L88" s="5"/>
      <c r="M88" s="5"/>
      <c r="N88" s="5"/>
      <c r="O88" s="5"/>
    </row>
    <row r="89" spans="8:15" x14ac:dyDescent="0.25">
      <c r="H89" s="5"/>
      <c r="I89" s="5"/>
      <c r="J89" s="5"/>
      <c r="K89" s="5"/>
      <c r="L89" s="5"/>
      <c r="M89" s="5"/>
      <c r="N89" s="5"/>
      <c r="O89" s="5"/>
    </row>
    <row r="90" spans="8:15" x14ac:dyDescent="0.25">
      <c r="H90" s="5"/>
      <c r="I90" s="5"/>
      <c r="J90" s="5"/>
      <c r="K90" s="5"/>
      <c r="L90" s="5"/>
      <c r="M90" s="5"/>
      <c r="N90" s="5"/>
      <c r="O90" s="5"/>
    </row>
    <row r="91" spans="8:15" x14ac:dyDescent="0.25">
      <c r="H91" s="5"/>
      <c r="I91" s="5"/>
      <c r="J91" s="5"/>
      <c r="K91" s="5"/>
      <c r="L91" s="5"/>
      <c r="M91" s="5"/>
      <c r="N91" s="5"/>
      <c r="O91" s="5"/>
    </row>
    <row r="92" spans="8:15" x14ac:dyDescent="0.25">
      <c r="H92" s="5"/>
      <c r="I92" s="5"/>
      <c r="J92" s="5"/>
      <c r="K92" s="5"/>
      <c r="L92" s="5"/>
      <c r="M92" s="5"/>
      <c r="N92" s="5"/>
      <c r="O92" s="5"/>
    </row>
    <row r="93" spans="8:15" x14ac:dyDescent="0.25">
      <c r="H93" s="5"/>
      <c r="I93" s="5"/>
      <c r="J93" s="5"/>
      <c r="K93" s="5"/>
      <c r="L93" s="5"/>
      <c r="M93" s="5"/>
      <c r="N93" s="5"/>
      <c r="O93" s="5"/>
    </row>
    <row r="94" spans="8:15" x14ac:dyDescent="0.25">
      <c r="H94" s="5"/>
      <c r="I94" s="5"/>
      <c r="J94" s="5"/>
      <c r="K94" s="5"/>
      <c r="L94" s="5"/>
      <c r="M94" s="5"/>
      <c r="N94" s="5"/>
      <c r="O94" s="5"/>
    </row>
  </sheetData>
  <mergeCells count="4">
    <mergeCell ref="J4:N4"/>
    <mergeCell ref="H4:I4"/>
    <mergeCell ref="C4:G4"/>
    <mergeCell ref="G1:H1"/>
  </mergeCells>
  <hyperlinks>
    <hyperlink ref="B2" location="Contents!A1" display="Table of Contents" xr:uid="{00000000-0004-0000-0C00-000000000000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C72"/>
  <sheetViews>
    <sheetView zoomScale="85" zoomScaleNormal="85" workbookViewId="0">
      <selection activeCell="K1" sqref="K1"/>
    </sheetView>
  </sheetViews>
  <sheetFormatPr defaultColWidth="9.140625" defaultRowHeight="15" x14ac:dyDescent="0.25"/>
  <cols>
    <col min="1" max="1" width="5.28515625" style="2" customWidth="1"/>
    <col min="2" max="2" width="59.85546875" style="2" customWidth="1"/>
    <col min="3" max="3" width="9" style="2" customWidth="1" collapsed="1"/>
    <col min="4" max="11" width="9" style="2" customWidth="1"/>
    <col min="12" max="12" width="11.42578125" style="2" customWidth="1"/>
    <col min="13" max="13" width="11.140625" style="2" customWidth="1"/>
    <col min="14" max="14" width="8" style="2" customWidth="1"/>
    <col min="15" max="15" width="11.28515625" style="2" customWidth="1"/>
    <col min="16" max="16" width="7.42578125" style="2" customWidth="1"/>
    <col min="17" max="17" width="12.28515625" style="2" customWidth="1"/>
    <col min="18" max="18" width="11.5703125" style="2" customWidth="1"/>
    <col min="19" max="19" width="10.7109375" style="2" customWidth="1"/>
    <col min="20" max="20" width="2.140625" style="2" customWidth="1"/>
    <col min="21" max="21" width="11.28515625" style="2" customWidth="1"/>
    <col min="22" max="22" width="2.28515625" style="2" customWidth="1"/>
    <col min="23" max="24" width="11.7109375" style="2" customWidth="1"/>
    <col min="25" max="25" width="10.28515625" style="2" customWidth="1"/>
    <col min="26" max="26" width="3.28515625" style="2" customWidth="1"/>
    <col min="27" max="27" width="11.42578125" style="2" customWidth="1"/>
    <col min="28" max="28" width="10" style="2" customWidth="1"/>
    <col min="29" max="29" width="10.28515625" style="2" customWidth="1"/>
    <col min="30" max="30" width="3" style="2" customWidth="1"/>
    <col min="31" max="31" width="10.5703125" style="2" customWidth="1"/>
    <col min="32" max="32" width="4.42578125" style="2" customWidth="1"/>
    <col min="33" max="33" width="12" style="2" customWidth="1"/>
    <col min="34" max="34" width="10.42578125" style="2" customWidth="1"/>
    <col min="35" max="35" width="11.140625" style="2" customWidth="1"/>
    <col min="36" max="36" width="4" style="2" customWidth="1"/>
    <col min="37" max="37" width="10" style="2" customWidth="1"/>
    <col min="38" max="38" width="4.140625" style="2" customWidth="1"/>
    <col min="39" max="39" width="12" style="2" customWidth="1"/>
    <col min="40" max="40" width="10.5703125" style="2" customWidth="1"/>
    <col min="41" max="41" width="11" style="2" customWidth="1"/>
    <col min="42" max="42" width="4.42578125" style="2" customWidth="1"/>
    <col min="43" max="43" width="11.42578125" style="2" bestFit="1" customWidth="1"/>
    <col min="44" max="44" width="10" style="2" customWidth="1"/>
    <col min="45" max="45" width="9.7109375" style="2" bestFit="1" customWidth="1"/>
    <col min="46" max="16384" width="9.140625" style="2"/>
  </cols>
  <sheetData>
    <row r="2" spans="1:29" ht="18.75" x14ac:dyDescent="0.3">
      <c r="B2" s="50" t="s">
        <v>64</v>
      </c>
    </row>
    <row r="3" spans="1:29" x14ac:dyDescent="0.25">
      <c r="B3" s="51" t="s">
        <v>70</v>
      </c>
      <c r="AA3" s="13"/>
      <c r="AB3" s="13"/>
      <c r="AC3" s="14"/>
    </row>
    <row r="4" spans="1:29" x14ac:dyDescent="0.25">
      <c r="B4" s="2" t="s">
        <v>163</v>
      </c>
    </row>
    <row r="5" spans="1:29" x14ac:dyDescent="0.25">
      <c r="C5" s="46" t="s">
        <v>397</v>
      </c>
      <c r="D5" s="382"/>
      <c r="E5" s="13"/>
      <c r="F5" s="13"/>
      <c r="G5" s="13"/>
      <c r="H5" s="13"/>
      <c r="I5" s="13"/>
      <c r="J5" s="489">
        <f>1/Escalation!K8</f>
        <v>1.0387748892718842</v>
      </c>
      <c r="K5" s="489">
        <f>1/Escalation!L8</f>
        <v>1.0597841134352426</v>
      </c>
      <c r="L5" s="13"/>
      <c r="M5" s="13"/>
      <c r="N5" s="13"/>
      <c r="O5" s="13"/>
      <c r="P5" s="13"/>
    </row>
    <row r="6" spans="1:29" x14ac:dyDescent="0.25">
      <c r="A6" s="16"/>
      <c r="B6" s="1" t="s">
        <v>368</v>
      </c>
      <c r="C6" s="378">
        <v>2013</v>
      </c>
      <c r="D6" s="378">
        <v>2014</v>
      </c>
      <c r="E6" s="378">
        <v>2015</v>
      </c>
      <c r="F6" s="107">
        <v>2016</v>
      </c>
      <c r="G6" s="378">
        <v>2017</v>
      </c>
      <c r="H6" s="378">
        <v>2018</v>
      </c>
      <c r="I6" s="378">
        <v>2019</v>
      </c>
      <c r="J6" s="378">
        <v>2020</v>
      </c>
      <c r="K6" s="107" t="s">
        <v>219</v>
      </c>
      <c r="L6" s="378"/>
      <c r="M6" s="378"/>
      <c r="N6" s="378"/>
      <c r="O6" s="378"/>
      <c r="P6" s="378"/>
    </row>
    <row r="7" spans="1:29" x14ac:dyDescent="0.25">
      <c r="A7" s="16">
        <v>1012</v>
      </c>
      <c r="B7" s="2" t="s">
        <v>109</v>
      </c>
      <c r="C7" s="167">
        <v>16645.400089999996</v>
      </c>
      <c r="D7" s="167">
        <v>14457.178889999996</v>
      </c>
      <c r="E7" s="186">
        <f>INDEX('2015-19_Actuals'!$E$45:$I$51,MATCH($B7,'2015-19_Actuals'!$B$45:$B$51,0),MATCH(E$6,'2015-19_Actuals'!$E$44:$I$44,0))</f>
        <v>13808.500988792912</v>
      </c>
      <c r="F7" s="189">
        <f>INDEX('2015-19_Actuals'!$E$45:$I$51,MATCH($B7,'2015-19_Actuals'!$B$45:$B$51,0),MATCH(F$6,'2015-19_Actuals'!$E$44:$I$44,0))</f>
        <v>28210.588449455125</v>
      </c>
      <c r="G7" s="186">
        <f>INDEX('2015-19_Actuals'!$E$45:$I$51,MATCH($B7,'2015-19_Actuals'!$B$45:$B$51,0),MATCH(G$6,'2015-19_Actuals'!$E$44:$I$44,0))</f>
        <v>24567.320776916698</v>
      </c>
      <c r="H7" s="186">
        <f>INDEX('2015-19_Actuals'!$E$45:$I$51,MATCH($B7,'2015-19_Actuals'!$B$45:$B$51,0),MATCH(H$6,'2015-19_Actuals'!$E$44:$I$44,0))</f>
        <v>42442.235068688336</v>
      </c>
      <c r="I7" s="186">
        <f>INDEX('2015-19_Actuals'!$E$45:$I$51,MATCH($B7,'2015-19_Actuals'!$B$45:$B$51,0),MATCH(I$6,'2015-19_Actuals'!$E$44:$I$44,0))</f>
        <v>49926.203070405987</v>
      </c>
      <c r="J7" s="186">
        <f>Capex_Fcast_Total!H51*J$5</f>
        <v>43402.108353083546</v>
      </c>
      <c r="K7" s="189">
        <f>Capex_Fcast_Total!I51*K$5</f>
        <v>23150.036346968478</v>
      </c>
      <c r="L7" s="13"/>
      <c r="M7" s="13"/>
      <c r="N7" s="13"/>
      <c r="O7" s="13"/>
      <c r="P7" s="13"/>
    </row>
    <row r="8" spans="1:29" x14ac:dyDescent="0.25">
      <c r="A8" s="16">
        <v>1013</v>
      </c>
      <c r="B8" s="2" t="s">
        <v>110</v>
      </c>
      <c r="C8" s="167">
        <v>11949.261109999994</v>
      </c>
      <c r="D8" s="167">
        <v>13978.67406000001</v>
      </c>
      <c r="E8" s="186">
        <f>INDEX('2015-19_Actuals'!$E$45:$I$51,MATCH($B8,'2015-19_Actuals'!$B$45:$B$51,0),MATCH(E$6,'2015-19_Actuals'!$E$44:$I$44,0))</f>
        <v>11397.266549092925</v>
      </c>
      <c r="F8" s="189">
        <f>INDEX('2015-19_Actuals'!$E$45:$I$51,MATCH($B8,'2015-19_Actuals'!$B$45:$B$51,0),MATCH(F$6,'2015-19_Actuals'!$E$44:$I$44,0))</f>
        <v>12132.663607727391</v>
      </c>
      <c r="G8" s="186">
        <f>INDEX('2015-19_Actuals'!$E$45:$I$51,MATCH($B8,'2015-19_Actuals'!$B$45:$B$51,0),MATCH(G$6,'2015-19_Actuals'!$E$44:$I$44,0))</f>
        <v>11722.611952980518</v>
      </c>
      <c r="H8" s="186">
        <f>INDEX('2015-19_Actuals'!$E$45:$I$51,MATCH($B8,'2015-19_Actuals'!$B$45:$B$51,0),MATCH(H$6,'2015-19_Actuals'!$E$44:$I$44,0))</f>
        <v>12967.69839614131</v>
      </c>
      <c r="I8" s="186">
        <f>INDEX('2015-19_Actuals'!$E$45:$I$51,MATCH($B8,'2015-19_Actuals'!$B$45:$B$51,0),MATCH(I$6,'2015-19_Actuals'!$E$44:$I$44,0))</f>
        <v>10970.10261769516</v>
      </c>
      <c r="J8" s="186">
        <f>Capex_Fcast_Total!H52*J$5</f>
        <v>11852.84184704146</v>
      </c>
      <c r="K8" s="189">
        <f>Capex_Fcast_Total!I52*K$5</f>
        <v>6373.7990719986374</v>
      </c>
      <c r="L8" s="13"/>
      <c r="M8" s="13"/>
      <c r="N8" s="13"/>
      <c r="O8" s="13"/>
      <c r="P8" s="13"/>
    </row>
    <row r="9" spans="1:29" x14ac:dyDescent="0.25">
      <c r="A9" s="16">
        <v>1014</v>
      </c>
      <c r="B9" s="2" t="s">
        <v>111</v>
      </c>
      <c r="C9" s="167">
        <v>15375.707970000005</v>
      </c>
      <c r="D9" s="167">
        <v>14930.633029999997</v>
      </c>
      <c r="E9" s="186">
        <f>INDEX('2015-19_Actuals'!$E$45:$I$51,MATCH($B9,'2015-19_Actuals'!$B$45:$B$51,0),MATCH(E$6,'2015-19_Actuals'!$E$44:$I$44,0))</f>
        <v>15136.997561382299</v>
      </c>
      <c r="F9" s="189">
        <f>INDEX('2015-19_Actuals'!$E$45:$I$51,MATCH($B9,'2015-19_Actuals'!$B$45:$B$51,0),MATCH(F$6,'2015-19_Actuals'!$E$44:$I$44,0))</f>
        <v>15203.719405775453</v>
      </c>
      <c r="G9" s="186">
        <f>INDEX('2015-19_Actuals'!$E$45:$I$51,MATCH($B9,'2015-19_Actuals'!$B$45:$B$51,0),MATCH(G$6,'2015-19_Actuals'!$E$44:$I$44,0))</f>
        <v>21650.533653318751</v>
      </c>
      <c r="H9" s="186">
        <f>INDEX('2015-19_Actuals'!$E$45:$I$51,MATCH($B9,'2015-19_Actuals'!$B$45:$B$51,0),MATCH(H$6,'2015-19_Actuals'!$E$44:$I$44,0))</f>
        <v>30447.466766092817</v>
      </c>
      <c r="I9" s="186">
        <f>INDEX('2015-19_Actuals'!$E$45:$I$51,MATCH($B9,'2015-19_Actuals'!$B$45:$B$51,0),MATCH(I$6,'2015-19_Actuals'!$E$44:$I$44,0))</f>
        <v>34448.580716836324</v>
      </c>
      <c r="J9" s="186">
        <f>Capex_Fcast_Total!H53*J$5</f>
        <v>29052.599553575503</v>
      </c>
      <c r="K9" s="189">
        <f>Capex_Fcast_Total!I53*K$5</f>
        <v>13293.495402701257</v>
      </c>
      <c r="L9" s="13"/>
      <c r="M9" s="13"/>
      <c r="N9" s="13"/>
    </row>
    <row r="10" spans="1:29" x14ac:dyDescent="0.25">
      <c r="A10" s="16">
        <v>1018</v>
      </c>
      <c r="B10" s="2" t="s">
        <v>112</v>
      </c>
      <c r="C10" s="167">
        <v>12519.772330000007</v>
      </c>
      <c r="D10" s="167">
        <v>15173.269189999995</v>
      </c>
      <c r="E10" s="186">
        <f>INDEX('2015-19_Actuals'!$E$45:$I$51,MATCH($B10,'2015-19_Actuals'!$B$45:$B$51,0),MATCH(E$6,'2015-19_Actuals'!$E$44:$I$44,0))</f>
        <v>7214.8725498216572</v>
      </c>
      <c r="F10" s="189">
        <f>INDEX('2015-19_Actuals'!$E$45:$I$51,MATCH($B10,'2015-19_Actuals'!$B$45:$B$51,0),MATCH(F$6,'2015-19_Actuals'!$E$44:$I$44,0))</f>
        <v>3144.6916107216712</v>
      </c>
      <c r="G10" s="186">
        <f>INDEX('2015-19_Actuals'!$E$45:$I$51,MATCH($B10,'2015-19_Actuals'!$B$45:$B$51,0),MATCH(G$6,'2015-19_Actuals'!$E$44:$I$44,0))</f>
        <v>6969.1537558683885</v>
      </c>
      <c r="H10" s="186">
        <f>INDEX('2015-19_Actuals'!$E$45:$I$51,MATCH($B10,'2015-19_Actuals'!$B$45:$B$51,0),MATCH(H$6,'2015-19_Actuals'!$E$44:$I$44,0))</f>
        <v>8098.4101954219514</v>
      </c>
      <c r="I10" s="186">
        <f>INDEX('2015-19_Actuals'!$E$45:$I$51,MATCH($B10,'2015-19_Actuals'!$B$45:$B$51,0),MATCH(I$6,'2015-19_Actuals'!$E$44:$I$44,0))</f>
        <v>8609.6356274721547</v>
      </c>
      <c r="J10" s="186">
        <f>Capex_Fcast_Total!H54*J$5</f>
        <v>6830.1427401248684</v>
      </c>
      <c r="K10" s="189">
        <f>Capex_Fcast_Total!I54*K$5</f>
        <v>3673.1105760671685</v>
      </c>
    </row>
    <row r="11" spans="1:29" x14ac:dyDescent="0.25">
      <c r="A11" s="16">
        <v>1019</v>
      </c>
      <c r="B11" s="2" t="s">
        <v>96</v>
      </c>
      <c r="C11" s="167">
        <v>0</v>
      </c>
      <c r="D11" s="167">
        <v>0</v>
      </c>
      <c r="E11" s="186">
        <f>INDEX('2015-19_Actuals'!$E$45:$I$51,MATCH($B11,'2015-19_Actuals'!$B$45:$B$51,0),MATCH(E$6,'2015-19_Actuals'!$E$44:$I$44,0))</f>
        <v>9702.9399053068446</v>
      </c>
      <c r="F11" s="189">
        <f>INDEX('2015-19_Actuals'!$E$45:$I$51,MATCH($B11,'2015-19_Actuals'!$B$45:$B$51,0),MATCH(F$6,'2015-19_Actuals'!$E$44:$I$44,0))</f>
        <v>7272.406386922893</v>
      </c>
      <c r="G11" s="186">
        <f>INDEX('2015-19_Actuals'!$E$45:$I$51,MATCH($B11,'2015-19_Actuals'!$B$45:$B$51,0),MATCH(G$6,'2015-19_Actuals'!$E$44:$I$44,0))</f>
        <v>6523.4368623004557</v>
      </c>
      <c r="H11" s="186">
        <f>INDEX('2015-19_Actuals'!$E$45:$I$51,MATCH($B11,'2015-19_Actuals'!$B$45:$B$51,0),MATCH(H$6,'2015-19_Actuals'!$E$44:$I$44,0))</f>
        <v>5400.3730309488319</v>
      </c>
      <c r="I11" s="186">
        <f>INDEX('2015-19_Actuals'!$E$45:$I$51,MATCH($B11,'2015-19_Actuals'!$B$45:$B$51,0),MATCH(I$6,'2015-19_Actuals'!$E$44:$I$44,0))</f>
        <v>6189.2214770375022</v>
      </c>
      <c r="J11" s="186">
        <f>Capex_Fcast_Total!H55*J$5</f>
        <v>6748.7804681480975</v>
      </c>
      <c r="K11" s="189">
        <f>Capex_Fcast_Total!I55*K$5</f>
        <v>3629.2163342008726</v>
      </c>
    </row>
    <row r="12" spans="1:29" x14ac:dyDescent="0.25">
      <c r="A12" s="16">
        <v>1015</v>
      </c>
      <c r="B12" s="2" t="s">
        <v>113</v>
      </c>
      <c r="C12" s="167">
        <v>810.46006000000011</v>
      </c>
      <c r="D12" s="167">
        <v>6460.88184</v>
      </c>
      <c r="E12" s="186">
        <f>INDEX('2015-19_Actuals'!$E$45:$I$51,MATCH($B12,'2015-19_Actuals'!$B$45:$B$51,0),MATCH(E$6,'2015-19_Actuals'!$E$44:$I$44,0))</f>
        <v>22310.515781089136</v>
      </c>
      <c r="F12" s="189">
        <f>INDEX('2015-19_Actuals'!$E$45:$I$51,MATCH($B12,'2015-19_Actuals'!$B$45:$B$51,0),MATCH(F$6,'2015-19_Actuals'!$E$44:$I$44,0))</f>
        <v>396.8105924562438</v>
      </c>
      <c r="G12" s="186">
        <f>INDEX('2015-19_Actuals'!$E$45:$I$51,MATCH($B12,'2015-19_Actuals'!$B$45:$B$51,0),MATCH(G$6,'2015-19_Actuals'!$E$44:$I$44,0))</f>
        <v>134.93279378565705</v>
      </c>
      <c r="H12" s="186">
        <f>INDEX('2015-19_Actuals'!$E$45:$I$51,MATCH($B12,'2015-19_Actuals'!$B$45:$B$51,0),MATCH(H$6,'2015-19_Actuals'!$E$44:$I$44,0))</f>
        <v>133.66417228157752</v>
      </c>
      <c r="I12" s="186">
        <f>INDEX('2015-19_Actuals'!$E$45:$I$51,MATCH($B12,'2015-19_Actuals'!$B$45:$B$51,0),MATCH(I$6,'2015-19_Actuals'!$E$44:$I$44,0))</f>
        <v>4850.7237200925538</v>
      </c>
      <c r="J12" s="186">
        <f>Capex_Fcast_Total!H56*J$5</f>
        <v>8057.2615773581047</v>
      </c>
      <c r="K12" s="189">
        <f>Capex_Fcast_Total!I56*K$5</f>
        <v>5205.4137209650644</v>
      </c>
      <c r="L12" s="3"/>
    </row>
    <row r="13" spans="1:29" x14ac:dyDescent="0.25">
      <c r="A13" s="16">
        <v>1016</v>
      </c>
      <c r="B13" s="2" t="s">
        <v>114</v>
      </c>
      <c r="C13" s="519">
        <v>1225.5853800000011</v>
      </c>
      <c r="D13" s="519">
        <v>1658.3680799999913</v>
      </c>
      <c r="E13" s="187">
        <f>INDEX('2015-19_Actuals'!$E$45:$I$51,MATCH($B13,'2015-19_Actuals'!$B$45:$B$51,0),MATCH(E$6,'2015-19_Actuals'!$E$44:$I$44,0))</f>
        <v>1177.214430446277</v>
      </c>
      <c r="F13" s="190">
        <f>INDEX('2015-19_Actuals'!$E$45:$I$51,MATCH($B13,'2015-19_Actuals'!$B$45:$B$51,0),MATCH(F$6,'2015-19_Actuals'!$E$44:$I$44,0))</f>
        <v>1216.9253157231906</v>
      </c>
      <c r="G13" s="187">
        <f>INDEX('2015-19_Actuals'!$E$45:$I$51,MATCH($B13,'2015-19_Actuals'!$B$45:$B$51,0),MATCH(G$6,'2015-19_Actuals'!$E$44:$I$44,0))</f>
        <v>615.74565642590358</v>
      </c>
      <c r="H13" s="187">
        <f>INDEX('2015-19_Actuals'!$E$45:$I$51,MATCH($B13,'2015-19_Actuals'!$B$45:$B$51,0),MATCH(H$6,'2015-19_Actuals'!$E$44:$I$44,0))</f>
        <v>1115.1832490513798</v>
      </c>
      <c r="I13" s="187">
        <f>INDEX('2015-19_Actuals'!$E$45:$I$51,MATCH($B13,'2015-19_Actuals'!$B$45:$B$51,0),MATCH(I$6,'2015-19_Actuals'!$E$44:$I$44,0))</f>
        <v>845.05415044855647</v>
      </c>
      <c r="J13" s="187">
        <f>Capex_Fcast_Total!H57*J$5</f>
        <v>857.26141809830426</v>
      </c>
      <c r="K13" s="190">
        <f>Capex_Fcast_Total!I57*K$5</f>
        <v>442.51029783469409</v>
      </c>
    </row>
    <row r="14" spans="1:29" x14ac:dyDescent="0.25">
      <c r="A14" s="16"/>
      <c r="B14" s="2" t="s">
        <v>4</v>
      </c>
      <c r="C14" s="186">
        <f>SUM(C7:C13)</f>
        <v>58526.18694</v>
      </c>
      <c r="D14" s="167">
        <f t="shared" ref="D14" si="0">SUM(D7:D13)</f>
        <v>66659.005089999991</v>
      </c>
      <c r="E14" s="186">
        <f t="shared" ref="E14" si="1">SUM(E7:E13)</f>
        <v>80748.307765932055</v>
      </c>
      <c r="F14" s="189">
        <f t="shared" ref="F14" si="2">SUM(F7:F13)</f>
        <v>67577.805368781963</v>
      </c>
      <c r="G14" s="186">
        <f t="shared" ref="G14" si="3">SUM(G7:G13)</f>
        <v>72183.735451596382</v>
      </c>
      <c r="H14" s="186">
        <f t="shared" ref="H14" si="4">SUM(H7:H13)</f>
        <v>100605.03087862622</v>
      </c>
      <c r="I14" s="186">
        <f t="shared" ref="I14" si="5">SUM(I7:I13)</f>
        <v>115839.52137998823</v>
      </c>
      <c r="J14" s="186">
        <f t="shared" ref="J14:K14" si="6">SUM(J7:J13)</f>
        <v>106800.99595742988</v>
      </c>
      <c r="K14" s="189">
        <f t="shared" si="6"/>
        <v>55767.581750736172</v>
      </c>
    </row>
    <row r="15" spans="1:29" x14ac:dyDescent="0.25">
      <c r="A15" s="16"/>
      <c r="C15" s="186"/>
      <c r="D15" s="167"/>
      <c r="E15" s="186">
        <f>E14-'2015-19_Actuals'!E52</f>
        <v>0</v>
      </c>
      <c r="F15" s="186">
        <f>F14-'2015-19_Actuals'!F52</f>
        <v>0</v>
      </c>
      <c r="G15" s="186">
        <f>G14-'2015-19_Actuals'!G52</f>
        <v>0</v>
      </c>
      <c r="H15" s="186">
        <f>H14-'2015-19_Actuals'!H52</f>
        <v>0</v>
      </c>
      <c r="I15" s="186">
        <f>I14-'2015-19_Actuals'!I52</f>
        <v>0</v>
      </c>
      <c r="J15" s="186">
        <f>J14-Capex_Fcast_Total!H59*J5</f>
        <v>-387.53262808700674</v>
      </c>
      <c r="K15" s="186">
        <f>K14-Capex_Fcast_Total!I59*K5</f>
        <v>4.9172044618317159</v>
      </c>
      <c r="L15" s="3"/>
    </row>
    <row r="16" spans="1:29" x14ac:dyDescent="0.25">
      <c r="A16" s="16"/>
      <c r="B16" s="1" t="s">
        <v>369</v>
      </c>
      <c r="C16" s="378">
        <v>2013</v>
      </c>
      <c r="D16" s="378">
        <v>2014</v>
      </c>
      <c r="E16" s="378">
        <v>2015</v>
      </c>
      <c r="F16" s="107">
        <v>2016</v>
      </c>
      <c r="G16" s="378">
        <v>2017</v>
      </c>
      <c r="H16" s="378">
        <v>2018</v>
      </c>
      <c r="I16" s="378">
        <v>2019</v>
      </c>
      <c r="J16" s="378">
        <v>2020</v>
      </c>
      <c r="K16" s="107" t="s">
        <v>219</v>
      </c>
      <c r="L16" s="378"/>
      <c r="M16" s="378"/>
      <c r="N16" s="378"/>
      <c r="O16" s="378"/>
      <c r="P16" s="378"/>
    </row>
    <row r="17" spans="1:11" x14ac:dyDescent="0.25">
      <c r="A17" s="16">
        <v>1012</v>
      </c>
      <c r="B17" s="2" t="s">
        <v>109</v>
      </c>
      <c r="C17" s="186">
        <v>2292.1901400000002</v>
      </c>
      <c r="D17" s="167">
        <v>2673.31097</v>
      </c>
      <c r="E17" s="186">
        <v>2971.9120200000002</v>
      </c>
      <c r="F17" s="189">
        <v>2299.99046</v>
      </c>
      <c r="G17" s="186">
        <v>4092.3551699999989</v>
      </c>
      <c r="H17" s="186">
        <f>VLOOKUP(A17,Capex_ActualCY18!$B$17:$F$24,5,FALSE)/Thousands</f>
        <v>26978.417690000002</v>
      </c>
      <c r="I17" s="186">
        <f>INDEX(Capex_ActualCY19!$F$18:$F$25,MATCH(Cost_Recovery!$A17,Capex_ActualCY19!$B$18:$B$25,0),1)/Thousands</f>
        <v>38213.416440000001</v>
      </c>
      <c r="J17" s="186">
        <f>J46+J56</f>
        <v>32940.544214374182</v>
      </c>
      <c r="K17" s="189">
        <f>K46+K56</f>
        <v>17522.944343095172</v>
      </c>
    </row>
    <row r="18" spans="1:11" x14ac:dyDescent="0.25">
      <c r="A18" s="16">
        <v>1013</v>
      </c>
      <c r="B18" s="2" t="s">
        <v>110</v>
      </c>
      <c r="C18" s="186">
        <v>1936.22209</v>
      </c>
      <c r="D18" s="167">
        <v>1877.19021</v>
      </c>
      <c r="E18" s="186">
        <v>654.77161999999998</v>
      </c>
      <c r="F18" s="189">
        <v>1841.6381399999996</v>
      </c>
      <c r="G18" s="186">
        <v>3675.8516499999996</v>
      </c>
      <c r="H18" s="186">
        <f>VLOOKUP(A18,Capex_ActualCY18!$B$17:$F$24,5,FALSE)/Thousands</f>
        <v>5295.525529999999</v>
      </c>
      <c r="I18" s="186">
        <f>INDEX(Capex_ActualCY19!$F$18:$F$25,MATCH(Cost_Recovery!$A18,Capex_ActualCY19!$B$18:$B$25,0),1)/Thousands</f>
        <v>5550.7914000000001</v>
      </c>
      <c r="J18" s="186">
        <f t="shared" ref="J18:K23" si="7">J47+J57</f>
        <v>5377.3549528007779</v>
      </c>
      <c r="K18" s="189">
        <f t="shared" si="7"/>
        <v>2891.6423968420636</v>
      </c>
    </row>
    <row r="19" spans="1:11" x14ac:dyDescent="0.25">
      <c r="A19" s="16">
        <v>1014</v>
      </c>
      <c r="B19" s="2" t="s">
        <v>111</v>
      </c>
      <c r="C19" s="186">
        <v>5252.119200000001</v>
      </c>
      <c r="D19" s="167">
        <v>4459.55627</v>
      </c>
      <c r="E19" s="186">
        <v>3243.3672000000001</v>
      </c>
      <c r="F19" s="189">
        <v>4743.1096899999993</v>
      </c>
      <c r="G19" s="186">
        <v>9878.6837899999991</v>
      </c>
      <c r="H19" s="186">
        <f>VLOOKUP(A19,Capex_ActualCY18!$B$17:$F$24,5,FALSE)/Thousands</f>
        <v>9462.3607800000009</v>
      </c>
      <c r="I19" s="186">
        <f>INDEX(Capex_ActualCY19!$F$18:$F$25,MATCH(Cost_Recovery!$A19,Capex_ActualCY19!$B$18:$B$25,0),1)/Thousands</f>
        <v>15563.210660000001</v>
      </c>
      <c r="J19" s="186">
        <f t="shared" si="7"/>
        <v>10055.001347605717</v>
      </c>
      <c r="K19" s="189">
        <f t="shared" si="7"/>
        <v>4752.7355586733865</v>
      </c>
    </row>
    <row r="20" spans="1:11" x14ac:dyDescent="0.25">
      <c r="A20" s="16">
        <v>1018</v>
      </c>
      <c r="B20" s="2" t="s">
        <v>112</v>
      </c>
      <c r="C20" s="186">
        <v>5246.7403600000007</v>
      </c>
      <c r="D20" s="167">
        <v>6775.21432</v>
      </c>
      <c r="E20" s="186">
        <v>193.904</v>
      </c>
      <c r="F20" s="189">
        <v>815.68687000000011</v>
      </c>
      <c r="G20" s="186">
        <v>3207.4331099999999</v>
      </c>
      <c r="H20" s="186">
        <f>VLOOKUP(A20,Capex_ActualCY18!$B$17:$F$24,5,FALSE)/Thousands</f>
        <v>3527.9896699999999</v>
      </c>
      <c r="I20" s="186">
        <f>INDEX(Capex_ActualCY19!$F$18:$F$25,MATCH(Cost_Recovery!$A20,Capex_ActualCY19!$B$18:$B$25,0),1)/Thousands</f>
        <v>4243.1697300000005</v>
      </c>
      <c r="J20" s="186">
        <f t="shared" si="7"/>
        <v>3107.5056605951449</v>
      </c>
      <c r="K20" s="189">
        <f t="shared" si="7"/>
        <v>1671.1527623084412</v>
      </c>
    </row>
    <row r="21" spans="1:11" x14ac:dyDescent="0.25">
      <c r="A21" s="16">
        <v>1019</v>
      </c>
      <c r="B21" s="2" t="s">
        <v>96</v>
      </c>
      <c r="C21" s="186">
        <v>0</v>
      </c>
      <c r="D21" s="167">
        <v>0</v>
      </c>
      <c r="E21" s="186">
        <v>5875.1197499999998</v>
      </c>
      <c r="F21" s="189">
        <v>3889.2808300000002</v>
      </c>
      <c r="G21" s="186">
        <v>4588.9421400000001</v>
      </c>
      <c r="H21" s="186">
        <f>VLOOKUP(A21,Capex_ActualCY18!$B$17:$F$24,5,FALSE)/Thousands</f>
        <v>3043.6164199999994</v>
      </c>
      <c r="I21" s="186">
        <f>INDEX(Capex_ActualCY19!$F$18:$F$25,MATCH(Cost_Recovery!$A21,Capex_ActualCY19!$B$18:$B$25,0),1)/Thousands</f>
        <v>4397.606859999999</v>
      </c>
      <c r="J21" s="186">
        <f t="shared" si="7"/>
        <v>3630.3176975737229</v>
      </c>
      <c r="K21" s="189">
        <f t="shared" si="7"/>
        <v>1952.2354221707865</v>
      </c>
    </row>
    <row r="22" spans="1:11" x14ac:dyDescent="0.25">
      <c r="A22" s="16">
        <v>1015</v>
      </c>
      <c r="B22" s="2" t="s">
        <v>113</v>
      </c>
      <c r="C22" s="186">
        <v>104.919</v>
      </c>
      <c r="D22" s="167">
        <v>6866.64635</v>
      </c>
      <c r="E22" s="186">
        <v>23788.959320000002</v>
      </c>
      <c r="F22" s="189">
        <v>134.25000000000003</v>
      </c>
      <c r="G22" s="186">
        <v>335.24520000000001</v>
      </c>
      <c r="H22" s="186">
        <f>VLOOKUP(A22,Capex_ActualCY18!$B$17:$F$24,5,FALSE)/Thousands</f>
        <v>236.71700000000001</v>
      </c>
      <c r="I22" s="186">
        <f>INDEX(Capex_ActualCY19!$F$18:$F$25,MATCH(Cost_Recovery!$A22,Capex_ActualCY19!$B$18:$B$25,0),1)/Thousands</f>
        <v>59.794150000000002</v>
      </c>
      <c r="J22" s="186">
        <f t="shared" si="7"/>
        <v>10938.2035875</v>
      </c>
      <c r="K22" s="189">
        <f t="shared" si="7"/>
        <v>5205.4137209650644</v>
      </c>
    </row>
    <row r="23" spans="1:11" x14ac:dyDescent="0.25">
      <c r="A23" s="16">
        <v>1016</v>
      </c>
      <c r="B23" s="2" t="s">
        <v>114</v>
      </c>
      <c r="C23" s="187">
        <v>7.99</v>
      </c>
      <c r="D23" s="519">
        <v>2.2800000000000002</v>
      </c>
      <c r="E23" s="187">
        <v>0.5</v>
      </c>
      <c r="F23" s="190">
        <v>325.93799999999999</v>
      </c>
      <c r="G23" s="187">
        <v>49.964730000000003</v>
      </c>
      <c r="H23" s="187">
        <f>VLOOKUP(A23,Capex_ActualCY18!$B$17:$F$24,5,FALSE)/Thousands</f>
        <v>31.336099999999998</v>
      </c>
      <c r="I23" s="187">
        <f>INDEX(Capex_ActualCY19!$F$18:$F$25,MATCH(Cost_Recovery!$A23,Capex_ActualCY19!$B$18:$B$25,0),1)/Thousands</f>
        <v>6.0510000000000002</v>
      </c>
      <c r="J23" s="187">
        <f t="shared" si="7"/>
        <v>15.113516792534535</v>
      </c>
      <c r="K23" s="190">
        <f t="shared" si="7"/>
        <v>7.8014555140368991</v>
      </c>
    </row>
    <row r="24" spans="1:11" x14ac:dyDescent="0.25">
      <c r="A24" s="16"/>
      <c r="B24" s="2" t="s">
        <v>4</v>
      </c>
      <c r="C24" s="186">
        <f>SUM(C17:C23)</f>
        <v>14840.180790000002</v>
      </c>
      <c r="D24" s="167">
        <f t="shared" ref="D24:J24" si="8">SUM(D17:D23)</f>
        <v>22654.198119999997</v>
      </c>
      <c r="E24" s="186">
        <f t="shared" si="8"/>
        <v>36728.533909999998</v>
      </c>
      <c r="F24" s="189">
        <f t="shared" si="8"/>
        <v>14049.893989999999</v>
      </c>
      <c r="G24" s="186">
        <f t="shared" si="8"/>
        <v>25828.47579</v>
      </c>
      <c r="H24" s="186">
        <f t="shared" si="8"/>
        <v>48575.963190000002</v>
      </c>
      <c r="I24" s="186">
        <f t="shared" si="8"/>
        <v>68034.040240000002</v>
      </c>
      <c r="J24" s="186">
        <f t="shared" si="8"/>
        <v>66064.040977242083</v>
      </c>
      <c r="K24" s="189">
        <f t="shared" ref="K24" si="9">SUM(K17:K23)</f>
        <v>34003.925659568951</v>
      </c>
    </row>
    <row r="25" spans="1:11" x14ac:dyDescent="0.25">
      <c r="A25" s="16"/>
      <c r="C25" s="186"/>
      <c r="D25" s="186"/>
      <c r="E25" s="186">
        <v>0.68800000000192085</v>
      </c>
      <c r="F25" s="186">
        <v>0</v>
      </c>
      <c r="G25" s="186">
        <v>0</v>
      </c>
      <c r="H25" s="186">
        <f>H24-Capex_ActualCY18!F25/Thousands</f>
        <v>0</v>
      </c>
      <c r="I25" s="186">
        <f>I24-Capex_ActualCY19!F26/Thousands</f>
        <v>0</v>
      </c>
      <c r="J25" s="186">
        <f>J24-J53-J63</f>
        <v>0</v>
      </c>
      <c r="K25" s="186">
        <f>K24-K53-K63</f>
        <v>0</v>
      </c>
    </row>
    <row r="26" spans="1:11" x14ac:dyDescent="0.25">
      <c r="A26" s="16"/>
      <c r="B26" s="40" t="s">
        <v>350</v>
      </c>
      <c r="C26" s="378">
        <v>2013</v>
      </c>
      <c r="D26" s="378">
        <v>2014</v>
      </c>
      <c r="E26" s="378">
        <v>2015</v>
      </c>
      <c r="F26" s="107">
        <v>2016</v>
      </c>
      <c r="G26" s="378">
        <v>2017</v>
      </c>
      <c r="H26" s="378">
        <v>2018</v>
      </c>
      <c r="I26" s="378">
        <v>2019</v>
      </c>
      <c r="J26" s="378">
        <v>2020</v>
      </c>
      <c r="K26" s="107" t="s">
        <v>219</v>
      </c>
    </row>
    <row r="27" spans="1:11" x14ac:dyDescent="0.25">
      <c r="A27" s="16">
        <v>1012</v>
      </c>
      <c r="B27" s="2" t="s">
        <v>109</v>
      </c>
      <c r="C27" s="14">
        <f t="shared" ref="C27:J33" si="10">IF(C17=0,0,C17/C7)</f>
        <v>0.1377071219439821</v>
      </c>
      <c r="D27" s="14">
        <f t="shared" si="10"/>
        <v>0.18491235325649352</v>
      </c>
      <c r="E27" s="14">
        <f t="shared" si="10"/>
        <v>0.21522336294229383</v>
      </c>
      <c r="F27" s="111">
        <f t="shared" si="10"/>
        <v>8.1529333006324561E-2</v>
      </c>
      <c r="G27" s="14">
        <f t="shared" si="10"/>
        <v>0.16657718630210383</v>
      </c>
      <c r="H27" s="14">
        <f t="shared" si="10"/>
        <v>0.63565025843568901</v>
      </c>
      <c r="I27" s="14">
        <f t="shared" si="10"/>
        <v>0.76539800926001522</v>
      </c>
      <c r="J27" s="14">
        <f t="shared" si="10"/>
        <v>0.75896184458131022</v>
      </c>
      <c r="K27" s="111">
        <f t="shared" ref="K27" si="11">IF(K17=0,0,K17/K7)</f>
        <v>0.75692945274316259</v>
      </c>
    </row>
    <row r="28" spans="1:11" x14ac:dyDescent="0.25">
      <c r="A28" s="16">
        <v>1013</v>
      </c>
      <c r="B28" s="2" t="s">
        <v>110</v>
      </c>
      <c r="C28" s="14">
        <f t="shared" si="10"/>
        <v>0.16203697217559596</v>
      </c>
      <c r="D28" s="14">
        <f t="shared" si="10"/>
        <v>0.13428957581689252</v>
      </c>
      <c r="E28" s="14">
        <f t="shared" si="10"/>
        <v>5.7449882143197864E-2</v>
      </c>
      <c r="F28" s="111">
        <f t="shared" si="10"/>
        <v>0.15179174166067255</v>
      </c>
      <c r="G28" s="14">
        <f t="shared" si="10"/>
        <v>0.31356933631718487</v>
      </c>
      <c r="H28" s="14">
        <f t="shared" si="10"/>
        <v>0.40836279255043012</v>
      </c>
      <c r="I28" s="14">
        <f t="shared" si="10"/>
        <v>0.50599265963532369</v>
      </c>
      <c r="J28" s="14">
        <f t="shared" si="10"/>
        <v>0.45367642816756204</v>
      </c>
      <c r="K28" s="111">
        <f t="shared" ref="K28" si="12">IF(K18=0,0,K18/K8)</f>
        <v>0.4536764281675621</v>
      </c>
    </row>
    <row r="29" spans="1:11" x14ac:dyDescent="0.25">
      <c r="A29" s="16">
        <v>1014</v>
      </c>
      <c r="B29" s="2" t="s">
        <v>111</v>
      </c>
      <c r="C29" s="14">
        <f t="shared" si="10"/>
        <v>0.34158551985037466</v>
      </c>
      <c r="D29" s="14">
        <f t="shared" si="10"/>
        <v>0.29868500960672267</v>
      </c>
      <c r="E29" s="14">
        <f t="shared" si="10"/>
        <v>0.21426753798748835</v>
      </c>
      <c r="F29" s="111">
        <f t="shared" si="10"/>
        <v>0.3119703516889577</v>
      </c>
      <c r="G29" s="14">
        <f t="shared" si="10"/>
        <v>0.45627899746876321</v>
      </c>
      <c r="H29" s="14">
        <f t="shared" si="10"/>
        <v>0.31077661904331433</v>
      </c>
      <c r="I29" s="14">
        <f t="shared" si="10"/>
        <v>0.45178089593669879</v>
      </c>
      <c r="J29" s="14">
        <f t="shared" si="10"/>
        <v>0.34609644238765713</v>
      </c>
      <c r="K29" s="111">
        <f t="shared" ref="K29" si="13">IF(K19=0,0,K19/K9)</f>
        <v>0.35752339130516597</v>
      </c>
    </row>
    <row r="30" spans="1:11" x14ac:dyDescent="0.25">
      <c r="A30" s="16">
        <v>1018</v>
      </c>
      <c r="B30" s="2" t="s">
        <v>112</v>
      </c>
      <c r="C30" s="14">
        <f t="shared" si="10"/>
        <v>0.41907633954554491</v>
      </c>
      <c r="D30" s="14">
        <f t="shared" si="10"/>
        <v>0.44652304227656042</v>
      </c>
      <c r="E30" s="14">
        <f t="shared" si="10"/>
        <v>2.6875596022107564E-2</v>
      </c>
      <c r="F30" s="111">
        <f t="shared" si="10"/>
        <v>0.25938532961990801</v>
      </c>
      <c r="G30" s="14">
        <f t="shared" si="10"/>
        <v>0.46023279473482342</v>
      </c>
      <c r="H30" s="14">
        <f t="shared" si="10"/>
        <v>0.43563978421275573</v>
      </c>
      <c r="I30" s="14">
        <f t="shared" si="10"/>
        <v>0.49283964079276871</v>
      </c>
      <c r="J30" s="14">
        <f t="shared" si="10"/>
        <v>0.45496935844979625</v>
      </c>
      <c r="K30" s="111">
        <f t="shared" ref="K30" si="14">IF(K20=0,0,K20/K10)</f>
        <v>0.45496935844979625</v>
      </c>
    </row>
    <row r="31" spans="1:11" x14ac:dyDescent="0.25">
      <c r="A31" s="16">
        <v>1019</v>
      </c>
      <c r="B31" s="2" t="s">
        <v>96</v>
      </c>
      <c r="C31" s="14">
        <f t="shared" si="10"/>
        <v>0</v>
      </c>
      <c r="D31" s="14">
        <f t="shared" si="10"/>
        <v>0</v>
      </c>
      <c r="E31" s="14">
        <f t="shared" si="10"/>
        <v>0.60549893200788674</v>
      </c>
      <c r="F31" s="111">
        <f t="shared" si="10"/>
        <v>0.53479971044984964</v>
      </c>
      <c r="G31" s="14">
        <f t="shared" si="10"/>
        <v>0.70345467226331582</v>
      </c>
      <c r="H31" s="14">
        <f t="shared" si="10"/>
        <v>0.56359373742469854</v>
      </c>
      <c r="I31" s="14">
        <f t="shared" si="10"/>
        <v>0.71052665934083403</v>
      </c>
      <c r="J31" s="14">
        <f t="shared" si="10"/>
        <v>0.53792203120364679</v>
      </c>
      <c r="K31" s="111">
        <f t="shared" ref="K31" si="15">IF(K21=0,0,K21/K11)</f>
        <v>0.53792203120364679</v>
      </c>
    </row>
    <row r="32" spans="1:11" x14ac:dyDescent="0.25">
      <c r="A32" s="16">
        <v>1015</v>
      </c>
      <c r="B32" s="2" t="s">
        <v>113</v>
      </c>
      <c r="C32" s="14">
        <f t="shared" si="10"/>
        <v>0.12945610176027672</v>
      </c>
      <c r="D32" s="14">
        <f t="shared" si="10"/>
        <v>1.0628032705207313</v>
      </c>
      <c r="E32" s="14">
        <f t="shared" si="10"/>
        <v>1.0662666678537314</v>
      </c>
      <c r="F32" s="111">
        <f t="shared" si="10"/>
        <v>0.33832262180552486</v>
      </c>
      <c r="G32" s="14">
        <f t="shared" si="10"/>
        <v>2.4845346382773523</v>
      </c>
      <c r="H32" s="14">
        <f t="shared" si="10"/>
        <v>1.7709831734216028</v>
      </c>
      <c r="I32" s="14">
        <f t="shared" si="10"/>
        <v>1.2326851301038251E-2</v>
      </c>
      <c r="J32" s="14">
        <f t="shared" si="10"/>
        <v>1.3575584561183538</v>
      </c>
      <c r="K32" s="111">
        <f t="shared" ref="K32" si="16">IF(K22=0,0,K22/K12)</f>
        <v>1</v>
      </c>
    </row>
    <row r="33" spans="1:12" x14ac:dyDescent="0.25">
      <c r="A33" s="16">
        <v>1016</v>
      </c>
      <c r="B33" s="2" t="s">
        <v>114</v>
      </c>
      <c r="C33" s="14">
        <f t="shared" si="10"/>
        <v>6.5193336428344085E-3</v>
      </c>
      <c r="D33" s="14">
        <f t="shared" si="10"/>
        <v>1.3748455650448917E-3</v>
      </c>
      <c r="E33" s="14">
        <f t="shared" si="10"/>
        <v>4.2473145679199E-4</v>
      </c>
      <c r="F33" s="111">
        <f t="shared" si="10"/>
        <v>0.26783730750666696</v>
      </c>
      <c r="G33" s="14">
        <f t="shared" si="10"/>
        <v>8.1145079106234128E-2</v>
      </c>
      <c r="H33" s="14">
        <f t="shared" si="10"/>
        <v>2.8099507436697743E-2</v>
      </c>
      <c r="I33" s="14">
        <f t="shared" si="10"/>
        <v>7.160487877360424E-3</v>
      </c>
      <c r="J33" s="14">
        <f t="shared" si="10"/>
        <v>1.7629997657029085E-2</v>
      </c>
      <c r="K33" s="111">
        <f t="shared" ref="K33" si="17">IF(K23=0,0,K23/K13)</f>
        <v>1.7629997657029085E-2</v>
      </c>
    </row>
    <row r="35" spans="1:12" x14ac:dyDescent="0.25">
      <c r="B35" s="1" t="s">
        <v>370</v>
      </c>
      <c r="C35" s="378">
        <v>2013</v>
      </c>
      <c r="D35" s="378">
        <v>2014</v>
      </c>
      <c r="E35" s="378">
        <v>2015</v>
      </c>
      <c r="F35" s="107">
        <v>2016</v>
      </c>
      <c r="G35" s="378">
        <v>2017</v>
      </c>
      <c r="H35" s="378">
        <v>2018</v>
      </c>
      <c r="I35" s="378">
        <v>2019</v>
      </c>
      <c r="J35" s="378">
        <v>2020</v>
      </c>
      <c r="K35" s="107" t="s">
        <v>219</v>
      </c>
    </row>
    <row r="36" spans="1:12" x14ac:dyDescent="0.25">
      <c r="A36" s="16">
        <v>1012</v>
      </c>
      <c r="B36" s="2" t="s">
        <v>109</v>
      </c>
      <c r="C36" s="186">
        <f>C7-C46</f>
        <v>16256.632279999996</v>
      </c>
      <c r="D36" s="186">
        <f t="shared" ref="D36:J36" si="18">D7-D46</f>
        <v>13850.742889999996</v>
      </c>
      <c r="E36" s="186">
        <f t="shared" si="18"/>
        <v>13289.626228792911</v>
      </c>
      <c r="F36" s="189">
        <f t="shared" si="18"/>
        <v>28051.493449455123</v>
      </c>
      <c r="G36" s="186">
        <f t="shared" si="18"/>
        <v>23416.437776916697</v>
      </c>
      <c r="H36" s="186">
        <f t="shared" si="18"/>
        <v>18494.790068688337</v>
      </c>
      <c r="I36" s="186">
        <f t="shared" si="18"/>
        <v>14120.761350405992</v>
      </c>
      <c r="J36" s="186">
        <f t="shared" si="18"/>
        <v>12561.990295966338</v>
      </c>
      <c r="K36" s="189">
        <f t="shared" ref="K36" si="19">K7-K46</f>
        <v>6756.8744224022812</v>
      </c>
    </row>
    <row r="37" spans="1:12" x14ac:dyDescent="0.25">
      <c r="A37" s="16">
        <v>1013</v>
      </c>
      <c r="B37" s="2" t="s">
        <v>110</v>
      </c>
      <c r="C37" s="186">
        <f t="shared" ref="C37:J37" si="20">C8-C47</f>
        <v>11949.261109999994</v>
      </c>
      <c r="D37" s="186">
        <f t="shared" si="20"/>
        <v>13978.67406000001</v>
      </c>
      <c r="E37" s="186">
        <f t="shared" si="20"/>
        <v>11397.266549092925</v>
      </c>
      <c r="F37" s="189">
        <f t="shared" si="20"/>
        <v>12132.663607727391</v>
      </c>
      <c r="G37" s="186">
        <f t="shared" si="20"/>
        <v>11686.365952980519</v>
      </c>
      <c r="H37" s="186">
        <f t="shared" si="20"/>
        <v>12867.69839614131</v>
      </c>
      <c r="I37" s="186">
        <f t="shared" si="20"/>
        <v>10916.96061769516</v>
      </c>
      <c r="J37" s="186">
        <f t="shared" si="20"/>
        <v>11852.84184704146</v>
      </c>
      <c r="K37" s="189">
        <f t="shared" ref="K37" si="21">K8-K47</f>
        <v>6373.7990719986374</v>
      </c>
    </row>
    <row r="38" spans="1:12" x14ac:dyDescent="0.25">
      <c r="A38" s="16">
        <v>1014</v>
      </c>
      <c r="B38" s="2" t="s">
        <v>111</v>
      </c>
      <c r="C38" s="186">
        <f t="shared" ref="C38:J38" si="22">C9-C48</f>
        <v>13492.624970000004</v>
      </c>
      <c r="D38" s="186">
        <f t="shared" si="22"/>
        <v>12919.318029999997</v>
      </c>
      <c r="E38" s="186">
        <f t="shared" si="22"/>
        <v>14170.3755613823</v>
      </c>
      <c r="F38" s="189">
        <f t="shared" si="22"/>
        <v>14867.056405775453</v>
      </c>
      <c r="G38" s="186">
        <f t="shared" si="22"/>
        <v>17430.310653318753</v>
      </c>
      <c r="H38" s="186">
        <f t="shared" si="22"/>
        <v>26646.544766092818</v>
      </c>
      <c r="I38" s="186">
        <f t="shared" si="22"/>
        <v>26255.891716836326</v>
      </c>
      <c r="J38" s="186">
        <f t="shared" si="22"/>
        <v>25215.535492540308</v>
      </c>
      <c r="K38" s="189">
        <f t="shared" ref="K38" si="23">K9-K48</f>
        <v>11336.161058121199</v>
      </c>
    </row>
    <row r="39" spans="1:12" x14ac:dyDescent="0.25">
      <c r="A39" s="16">
        <v>1018</v>
      </c>
      <c r="B39" s="2" t="s">
        <v>112</v>
      </c>
      <c r="C39" s="186">
        <f t="shared" ref="C39:J39" si="24">C10-C49</f>
        <v>11829.483330000006</v>
      </c>
      <c r="D39" s="186">
        <f t="shared" si="24"/>
        <v>14721.353189999996</v>
      </c>
      <c r="E39" s="186">
        <f t="shared" si="24"/>
        <v>7197.9305498216572</v>
      </c>
      <c r="F39" s="189">
        <f t="shared" si="24"/>
        <v>3139.3556107216714</v>
      </c>
      <c r="G39" s="186">
        <f t="shared" si="24"/>
        <v>6959.4447558683887</v>
      </c>
      <c r="H39" s="186">
        <f t="shared" si="24"/>
        <v>8004.1241954219513</v>
      </c>
      <c r="I39" s="186">
        <f t="shared" si="24"/>
        <v>8412.3686274721549</v>
      </c>
      <c r="J39" s="186">
        <f t="shared" si="24"/>
        <v>6830.1427401248684</v>
      </c>
      <c r="K39" s="189">
        <f t="shared" ref="K39" si="25">K10-K49</f>
        <v>3673.1105760671685</v>
      </c>
    </row>
    <row r="40" spans="1:12" x14ac:dyDescent="0.25">
      <c r="A40" s="16">
        <v>1019</v>
      </c>
      <c r="B40" s="2" t="s">
        <v>96</v>
      </c>
      <c r="C40" s="186">
        <f t="shared" ref="C40:J40" si="26">C11-C50</f>
        <v>0</v>
      </c>
      <c r="D40" s="186">
        <f t="shared" si="26"/>
        <v>0</v>
      </c>
      <c r="E40" s="186">
        <f t="shared" si="26"/>
        <v>8609.4229053068448</v>
      </c>
      <c r="F40" s="189">
        <f t="shared" si="26"/>
        <v>6855.1913869228929</v>
      </c>
      <c r="G40" s="186">
        <f t="shared" si="26"/>
        <v>5497.0208623004555</v>
      </c>
      <c r="H40" s="186">
        <f t="shared" si="26"/>
        <v>4785.4040309488319</v>
      </c>
      <c r="I40" s="186">
        <f t="shared" si="26"/>
        <v>4150.4514770375026</v>
      </c>
      <c r="J40" s="186">
        <f t="shared" si="26"/>
        <v>6748.7804681480975</v>
      </c>
      <c r="K40" s="189">
        <f t="shared" ref="K40" si="27">K11-K50</f>
        <v>3629.2163342008726</v>
      </c>
    </row>
    <row r="41" spans="1:12" x14ac:dyDescent="0.25">
      <c r="A41" s="16">
        <v>1015</v>
      </c>
      <c r="B41" s="2" t="s">
        <v>113</v>
      </c>
      <c r="C41" s="186">
        <f t="shared" ref="C41:J41" si="28">C12-C51</f>
        <v>810.46006000000011</v>
      </c>
      <c r="D41" s="186">
        <f t="shared" si="28"/>
        <v>6460.88184</v>
      </c>
      <c r="E41" s="186">
        <f t="shared" si="28"/>
        <v>2368.6064810891367</v>
      </c>
      <c r="F41" s="189">
        <f t="shared" si="28"/>
        <v>268.0605924562438</v>
      </c>
      <c r="G41" s="186">
        <f t="shared" si="28"/>
        <v>134.93279378565705</v>
      </c>
      <c r="H41" s="186">
        <f t="shared" si="28"/>
        <v>133.66417228157752</v>
      </c>
      <c r="I41" s="186">
        <f t="shared" si="28"/>
        <v>4850.7237200925538</v>
      </c>
      <c r="J41" s="186">
        <f t="shared" si="28"/>
        <v>3057.2615773581047</v>
      </c>
      <c r="K41" s="189">
        <f t="shared" ref="K41" si="29">K12-K51</f>
        <v>5205.4137209650644</v>
      </c>
    </row>
    <row r="42" spans="1:12" x14ac:dyDescent="0.25">
      <c r="A42" s="16">
        <v>1016</v>
      </c>
      <c r="B42" s="2" t="s">
        <v>114</v>
      </c>
      <c r="C42" s="187">
        <f t="shared" ref="C42:J42" si="30">C13-C52</f>
        <v>1225.5853800000011</v>
      </c>
      <c r="D42" s="187">
        <f t="shared" si="30"/>
        <v>1658.3680799999913</v>
      </c>
      <c r="E42" s="187">
        <f t="shared" si="30"/>
        <v>1177.214430446277</v>
      </c>
      <c r="F42" s="190">
        <f t="shared" si="30"/>
        <v>1216.9253157231906</v>
      </c>
      <c r="G42" s="187">
        <f t="shared" si="30"/>
        <v>615.74565642590358</v>
      </c>
      <c r="H42" s="187">
        <f t="shared" si="30"/>
        <v>1115.1832490513798</v>
      </c>
      <c r="I42" s="187">
        <f t="shared" si="30"/>
        <v>845.05415044855647</v>
      </c>
      <c r="J42" s="187">
        <f t="shared" si="30"/>
        <v>857.26141809830426</v>
      </c>
      <c r="K42" s="190">
        <f t="shared" ref="K42" si="31">K13-K52</f>
        <v>442.51029783469409</v>
      </c>
    </row>
    <row r="43" spans="1:12" x14ac:dyDescent="0.25">
      <c r="B43" s="2" t="s">
        <v>4</v>
      </c>
      <c r="C43" s="186">
        <f>SUM(C36:C42)</f>
        <v>55564.047130000006</v>
      </c>
      <c r="D43" s="167">
        <f t="shared" ref="D43" si="32">SUM(D36:D42)</f>
        <v>63589.33808999999</v>
      </c>
      <c r="E43" s="186">
        <f t="shared" ref="E43" si="33">SUM(E36:E42)</f>
        <v>58210.442705932051</v>
      </c>
      <c r="F43" s="189">
        <f t="shared" ref="F43" si="34">SUM(F36:F42)</f>
        <v>66530.746368781969</v>
      </c>
      <c r="G43" s="186">
        <f t="shared" ref="G43" si="35">SUM(G36:G42)</f>
        <v>65740.258451596383</v>
      </c>
      <c r="H43" s="186">
        <f t="shared" ref="H43" si="36">SUM(H36:H42)</f>
        <v>72047.4088786262</v>
      </c>
      <c r="I43" s="186">
        <f t="shared" ref="I43" si="37">SUM(I36:I42)</f>
        <v>69552.211659988243</v>
      </c>
      <c r="J43" s="186">
        <f t="shared" ref="J43:K43" si="38">SUM(J36:J42)</f>
        <v>67123.813839277485</v>
      </c>
      <c r="K43" s="189">
        <f t="shared" si="38"/>
        <v>37417.085481589907</v>
      </c>
    </row>
    <row r="45" spans="1:12" x14ac:dyDescent="0.25">
      <c r="B45" s="1" t="s">
        <v>371</v>
      </c>
      <c r="C45" s="378">
        <v>2013</v>
      </c>
      <c r="D45" s="378">
        <v>2014</v>
      </c>
      <c r="E45" s="378">
        <v>2015</v>
      </c>
      <c r="F45" s="107">
        <v>2016</v>
      </c>
      <c r="G45" s="378">
        <v>2017</v>
      </c>
      <c r="H45" s="378">
        <v>2018</v>
      </c>
      <c r="I45" s="378">
        <v>2019</v>
      </c>
      <c r="J45" s="378">
        <v>2020</v>
      </c>
      <c r="K45" s="107" t="s">
        <v>219</v>
      </c>
    </row>
    <row r="46" spans="1:12" x14ac:dyDescent="0.25">
      <c r="A46" s="2">
        <v>1012</v>
      </c>
      <c r="B46" s="2" t="s">
        <v>109</v>
      </c>
      <c r="C46" s="186">
        <v>388.76781</v>
      </c>
      <c r="D46" s="186">
        <v>606.43600000000004</v>
      </c>
      <c r="E46" s="186">
        <v>518.87476000000004</v>
      </c>
      <c r="F46" s="189">
        <v>159.095</v>
      </c>
      <c r="G46" s="186">
        <v>1150.883</v>
      </c>
      <c r="H46" s="186">
        <v>23947.445</v>
      </c>
      <c r="I46" s="186">
        <v>35805.441719999995</v>
      </c>
      <c r="J46" s="186">
        <v>30840.118057117208</v>
      </c>
      <c r="K46" s="189">
        <v>16393.161924566197</v>
      </c>
      <c r="L46" s="186"/>
    </row>
    <row r="47" spans="1:12" x14ac:dyDescent="0.25">
      <c r="A47" s="2">
        <v>1013</v>
      </c>
      <c r="B47" s="2" t="s">
        <v>110</v>
      </c>
      <c r="C47" s="186">
        <v>0</v>
      </c>
      <c r="D47" s="186">
        <v>0</v>
      </c>
      <c r="E47" s="186">
        <v>0</v>
      </c>
      <c r="F47" s="189">
        <v>0</v>
      </c>
      <c r="G47" s="186">
        <v>36.246000000000002</v>
      </c>
      <c r="H47" s="186">
        <v>100</v>
      </c>
      <c r="I47" s="186">
        <v>53.142000000000003</v>
      </c>
      <c r="J47" s="186">
        <v>0</v>
      </c>
      <c r="K47" s="189">
        <v>0</v>
      </c>
    </row>
    <row r="48" spans="1:12" x14ac:dyDescent="0.25">
      <c r="A48" s="2">
        <v>1014</v>
      </c>
      <c r="B48" s="2" t="s">
        <v>111</v>
      </c>
      <c r="C48" s="186">
        <v>1883.0830000000001</v>
      </c>
      <c r="D48" s="186">
        <v>2011.3150000000001</v>
      </c>
      <c r="E48" s="186">
        <v>966.62199999999996</v>
      </c>
      <c r="F48" s="189">
        <v>336.66300000000001</v>
      </c>
      <c r="G48" s="186">
        <v>4220.223</v>
      </c>
      <c r="H48" s="186">
        <v>3800.922</v>
      </c>
      <c r="I48" s="186">
        <v>8192.6890000000003</v>
      </c>
      <c r="J48" s="186">
        <v>3837.0640610351929</v>
      </c>
      <c r="K48" s="189">
        <v>1957.3343445800588</v>
      </c>
    </row>
    <row r="49" spans="1:12" x14ac:dyDescent="0.25">
      <c r="A49" s="2">
        <v>1018</v>
      </c>
      <c r="B49" s="2" t="s">
        <v>112</v>
      </c>
      <c r="C49" s="186">
        <v>690.28899999999999</v>
      </c>
      <c r="D49" s="186">
        <v>451.916</v>
      </c>
      <c r="E49" s="186">
        <v>16.942</v>
      </c>
      <c r="F49" s="189">
        <v>5.3360000000000003</v>
      </c>
      <c r="G49" s="186">
        <v>9.7089999999999996</v>
      </c>
      <c r="H49" s="186">
        <v>94.286000000000001</v>
      </c>
      <c r="I49" s="186">
        <v>197.267</v>
      </c>
      <c r="J49" s="186">
        <v>0</v>
      </c>
      <c r="K49" s="189">
        <v>0</v>
      </c>
    </row>
    <row r="50" spans="1:12" x14ac:dyDescent="0.25">
      <c r="A50" s="2">
        <v>1019</v>
      </c>
      <c r="B50" s="2" t="s">
        <v>96</v>
      </c>
      <c r="C50" s="186">
        <v>0</v>
      </c>
      <c r="D50" s="186">
        <v>0</v>
      </c>
      <c r="E50" s="186">
        <v>1093.5170000000001</v>
      </c>
      <c r="F50" s="189">
        <v>417.21499999999997</v>
      </c>
      <c r="G50" s="186">
        <v>1026.4159999999999</v>
      </c>
      <c r="H50" s="186">
        <v>614.96900000000005</v>
      </c>
      <c r="I50" s="186">
        <v>2038.77</v>
      </c>
      <c r="J50" s="167">
        <v>0</v>
      </c>
      <c r="K50" s="546">
        <v>0</v>
      </c>
      <c r="L50" s="3"/>
    </row>
    <row r="51" spans="1:12" x14ac:dyDescent="0.25">
      <c r="A51" s="2">
        <v>1015</v>
      </c>
      <c r="B51" s="2" t="s">
        <v>113</v>
      </c>
      <c r="C51" s="186">
        <v>0</v>
      </c>
      <c r="D51" s="186">
        <v>0</v>
      </c>
      <c r="E51" s="186">
        <v>19941.909299999999</v>
      </c>
      <c r="F51" s="189">
        <v>128.75</v>
      </c>
      <c r="G51" s="186">
        <v>0</v>
      </c>
      <c r="H51" s="186">
        <v>0</v>
      </c>
      <c r="I51" s="186">
        <v>0</v>
      </c>
      <c r="J51" s="186">
        <f>'Co-Gen F''cast'!E12*J$5</f>
        <v>5000</v>
      </c>
      <c r="K51" s="189">
        <v>0</v>
      </c>
    </row>
    <row r="52" spans="1:12" x14ac:dyDescent="0.25">
      <c r="A52" s="2">
        <v>1016</v>
      </c>
      <c r="B52" s="2" t="s">
        <v>114</v>
      </c>
      <c r="C52" s="187">
        <v>0</v>
      </c>
      <c r="D52" s="187">
        <v>0</v>
      </c>
      <c r="E52" s="187">
        <v>0</v>
      </c>
      <c r="F52" s="190">
        <v>0</v>
      </c>
      <c r="G52" s="187">
        <v>0</v>
      </c>
      <c r="H52" s="187">
        <v>0</v>
      </c>
      <c r="I52" s="187">
        <v>0</v>
      </c>
      <c r="J52" s="187">
        <v>0</v>
      </c>
      <c r="K52" s="190">
        <v>0</v>
      </c>
    </row>
    <row r="53" spans="1:12" x14ac:dyDescent="0.25">
      <c r="B53" s="2" t="s">
        <v>4</v>
      </c>
      <c r="C53" s="186">
        <f>SUM(C46:C52)</f>
        <v>2962.1398099999997</v>
      </c>
      <c r="D53" s="167">
        <f t="shared" ref="D53" si="39">SUM(D46:D52)</f>
        <v>3069.6670000000004</v>
      </c>
      <c r="E53" s="186">
        <f t="shared" ref="E53" si="40">SUM(E46:E52)</f>
        <v>22537.86506</v>
      </c>
      <c r="F53" s="189">
        <f t="shared" ref="F53" si="41">SUM(F46:F52)</f>
        <v>1047.059</v>
      </c>
      <c r="G53" s="186">
        <f t="shared" ref="G53" si="42">SUM(G46:G52)</f>
        <v>6443.4769999999999</v>
      </c>
      <c r="H53" s="186">
        <f t="shared" ref="H53" si="43">SUM(H46:H52)</f>
        <v>28557.621999999999</v>
      </c>
      <c r="I53" s="186">
        <f t="shared" ref="I53" si="44">SUM(I46:I52)</f>
        <v>46287.30971999999</v>
      </c>
      <c r="J53" s="186">
        <f t="shared" ref="J53:K53" si="45">SUM(J46:J52)</f>
        <v>39677.182118152399</v>
      </c>
      <c r="K53" s="189">
        <f t="shared" si="45"/>
        <v>18350.496269146257</v>
      </c>
    </row>
    <row r="54" spans="1:12" x14ac:dyDescent="0.25">
      <c r="C54" s="13"/>
      <c r="D54" s="21"/>
      <c r="E54" s="13"/>
      <c r="F54" s="13"/>
      <c r="G54" s="13"/>
      <c r="H54" s="13"/>
      <c r="I54" s="13"/>
      <c r="J54" s="13"/>
    </row>
    <row r="55" spans="1:12" x14ac:dyDescent="0.25">
      <c r="B55" s="1" t="s">
        <v>372</v>
      </c>
      <c r="C55" s="378">
        <v>2013</v>
      </c>
      <c r="D55" s="378">
        <v>2014</v>
      </c>
      <c r="E55" s="378">
        <v>2015</v>
      </c>
      <c r="F55" s="107">
        <v>2016</v>
      </c>
      <c r="G55" s="378">
        <v>2017</v>
      </c>
      <c r="H55" s="378">
        <v>2018</v>
      </c>
      <c r="I55" s="378">
        <v>2019</v>
      </c>
      <c r="J55" s="378">
        <v>2020</v>
      </c>
      <c r="K55" s="107" t="s">
        <v>219</v>
      </c>
    </row>
    <row r="56" spans="1:12" x14ac:dyDescent="0.25">
      <c r="A56" s="2">
        <v>1012</v>
      </c>
      <c r="B56" s="2" t="s">
        <v>109</v>
      </c>
      <c r="C56" s="186">
        <f t="shared" ref="C56:I62" si="46">C17-C46</f>
        <v>1903.4223300000001</v>
      </c>
      <c r="D56" s="186">
        <f t="shared" si="46"/>
        <v>2066.8749699999998</v>
      </c>
      <c r="E56" s="186">
        <f t="shared" si="46"/>
        <v>2453.0372600000001</v>
      </c>
      <c r="F56" s="189">
        <f t="shared" si="46"/>
        <v>2140.8954600000002</v>
      </c>
      <c r="G56" s="186">
        <f t="shared" si="46"/>
        <v>2941.4721699999991</v>
      </c>
      <c r="H56" s="186">
        <f t="shared" si="46"/>
        <v>3030.9726900000023</v>
      </c>
      <c r="I56" s="186">
        <f t="shared" si="46"/>
        <v>2407.9747200000056</v>
      </c>
      <c r="J56" s="186">
        <f>AVERAGE($H66:$I66)*J36</f>
        <v>2100.4261572569771</v>
      </c>
      <c r="K56" s="189">
        <f t="shared" ref="K56:K62" si="47">AVERAGE($H66:$I66)*K36</f>
        <v>1129.7824185289762</v>
      </c>
    </row>
    <row r="57" spans="1:12" x14ac:dyDescent="0.25">
      <c r="A57" s="2">
        <v>1013</v>
      </c>
      <c r="B57" s="2" t="s">
        <v>110</v>
      </c>
      <c r="C57" s="186">
        <f t="shared" si="46"/>
        <v>1936.22209</v>
      </c>
      <c r="D57" s="186">
        <f t="shared" si="46"/>
        <v>1877.19021</v>
      </c>
      <c r="E57" s="186">
        <f t="shared" si="46"/>
        <v>654.77161999999998</v>
      </c>
      <c r="F57" s="189">
        <f t="shared" si="46"/>
        <v>1841.6381399999996</v>
      </c>
      <c r="G57" s="186">
        <f t="shared" si="46"/>
        <v>3639.6056499999995</v>
      </c>
      <c r="H57" s="186">
        <f t="shared" si="46"/>
        <v>5195.525529999999</v>
      </c>
      <c r="I57" s="186">
        <f t="shared" si="46"/>
        <v>5497.6494000000002</v>
      </c>
      <c r="J57" s="186">
        <f t="shared" ref="J57" si="48">AVERAGE($H67:$I67)*J37</f>
        <v>5377.3549528007779</v>
      </c>
      <c r="K57" s="189">
        <f t="shared" si="47"/>
        <v>2891.6423968420636</v>
      </c>
    </row>
    <row r="58" spans="1:12" x14ac:dyDescent="0.25">
      <c r="A58" s="2">
        <v>1014</v>
      </c>
      <c r="B58" s="2" t="s">
        <v>111</v>
      </c>
      <c r="C58" s="186">
        <f t="shared" si="46"/>
        <v>3369.0362000000009</v>
      </c>
      <c r="D58" s="186">
        <f t="shared" si="46"/>
        <v>2448.24127</v>
      </c>
      <c r="E58" s="186">
        <f t="shared" si="46"/>
        <v>2276.7452000000003</v>
      </c>
      <c r="F58" s="189">
        <f t="shared" si="46"/>
        <v>4406.4466899999989</v>
      </c>
      <c r="G58" s="186">
        <f t="shared" si="46"/>
        <v>5658.4607899999992</v>
      </c>
      <c r="H58" s="186">
        <f t="shared" si="46"/>
        <v>5661.4387800000004</v>
      </c>
      <c r="I58" s="186">
        <f t="shared" si="46"/>
        <v>7370.5216600000003</v>
      </c>
      <c r="J58" s="186">
        <f t="shared" ref="J58" si="49">AVERAGE($H68:$I68)*J38</f>
        <v>6217.9372865705245</v>
      </c>
      <c r="K58" s="189">
        <f t="shared" si="47"/>
        <v>2795.4012140933278</v>
      </c>
    </row>
    <row r="59" spans="1:12" x14ac:dyDescent="0.25">
      <c r="A59" s="2">
        <v>1018</v>
      </c>
      <c r="B59" s="2" t="s">
        <v>112</v>
      </c>
      <c r="C59" s="186">
        <f t="shared" si="46"/>
        <v>4556.4513600000009</v>
      </c>
      <c r="D59" s="186">
        <f t="shared" si="46"/>
        <v>6323.2983199999999</v>
      </c>
      <c r="E59" s="186">
        <f t="shared" si="46"/>
        <v>176.96199999999999</v>
      </c>
      <c r="F59" s="189">
        <f t="shared" si="46"/>
        <v>810.3508700000001</v>
      </c>
      <c r="G59" s="186">
        <f t="shared" si="46"/>
        <v>3197.7241100000001</v>
      </c>
      <c r="H59" s="186">
        <f t="shared" si="46"/>
        <v>3433.7036699999999</v>
      </c>
      <c r="I59" s="186">
        <f t="shared" si="46"/>
        <v>4045.9027300000007</v>
      </c>
      <c r="J59" s="186">
        <f t="shared" ref="J59" si="50">AVERAGE($H69:$I69)*J39</f>
        <v>3107.5056605951449</v>
      </c>
      <c r="K59" s="189">
        <f t="shared" si="47"/>
        <v>1671.1527623084412</v>
      </c>
    </row>
    <row r="60" spans="1:12" x14ac:dyDescent="0.25">
      <c r="A60" s="2">
        <v>1019</v>
      </c>
      <c r="B60" s="2" t="s">
        <v>96</v>
      </c>
      <c r="C60" s="186">
        <f t="shared" si="46"/>
        <v>0</v>
      </c>
      <c r="D60" s="186">
        <f t="shared" si="46"/>
        <v>0</v>
      </c>
      <c r="E60" s="186">
        <f t="shared" si="46"/>
        <v>4781.60275</v>
      </c>
      <c r="F60" s="189">
        <f t="shared" si="46"/>
        <v>3472.06583</v>
      </c>
      <c r="G60" s="186">
        <f t="shared" si="46"/>
        <v>3562.5261399999999</v>
      </c>
      <c r="H60" s="186">
        <f t="shared" si="46"/>
        <v>2428.6474199999993</v>
      </c>
      <c r="I60" s="186">
        <f t="shared" si="46"/>
        <v>2358.836859999999</v>
      </c>
      <c r="J60" s="186">
        <f t="shared" ref="J60" si="51">AVERAGE($H70:$I70)*J40</f>
        <v>3630.3176975737229</v>
      </c>
      <c r="K60" s="189">
        <f t="shared" si="47"/>
        <v>1952.2354221707865</v>
      </c>
    </row>
    <row r="61" spans="1:12" x14ac:dyDescent="0.25">
      <c r="A61" s="2">
        <v>1015</v>
      </c>
      <c r="B61" s="2" t="s">
        <v>113</v>
      </c>
      <c r="C61" s="186">
        <f t="shared" si="46"/>
        <v>104.919</v>
      </c>
      <c r="D61" s="186">
        <f t="shared" si="46"/>
        <v>6866.64635</v>
      </c>
      <c r="E61" s="186">
        <f t="shared" si="46"/>
        <v>3847.0500200000024</v>
      </c>
      <c r="F61" s="189">
        <f t="shared" si="46"/>
        <v>5.5000000000000284</v>
      </c>
      <c r="G61" s="186">
        <f t="shared" si="46"/>
        <v>335.24520000000001</v>
      </c>
      <c r="H61" s="186">
        <f t="shared" si="46"/>
        <v>236.71700000000001</v>
      </c>
      <c r="I61" s="186">
        <f t="shared" si="46"/>
        <v>59.794150000000002</v>
      </c>
      <c r="J61" s="167">
        <f>'Co-Gen F''cast'!E10*J$5-J51</f>
        <v>5938.2035875000001</v>
      </c>
      <c r="K61" s="527">
        <f>Contr_Fcast!I27*Cost_Recovery!K41</f>
        <v>5205.4137209650644</v>
      </c>
    </row>
    <row r="62" spans="1:12" x14ac:dyDescent="0.25">
      <c r="A62" s="2">
        <v>1016</v>
      </c>
      <c r="B62" s="2" t="s">
        <v>114</v>
      </c>
      <c r="C62" s="187">
        <f t="shared" si="46"/>
        <v>7.99</v>
      </c>
      <c r="D62" s="187">
        <f t="shared" si="46"/>
        <v>2.2800000000000002</v>
      </c>
      <c r="E62" s="187">
        <f t="shared" si="46"/>
        <v>0.5</v>
      </c>
      <c r="F62" s="190">
        <f t="shared" si="46"/>
        <v>325.93799999999999</v>
      </c>
      <c r="G62" s="187">
        <f t="shared" si="46"/>
        <v>49.964730000000003</v>
      </c>
      <c r="H62" s="187">
        <f t="shared" si="46"/>
        <v>31.336099999999998</v>
      </c>
      <c r="I62" s="187">
        <f t="shared" si="46"/>
        <v>6.0510000000000002</v>
      </c>
      <c r="J62" s="187">
        <f t="shared" ref="J62" si="52">AVERAGE($H72:$I72)*J42</f>
        <v>15.113516792534535</v>
      </c>
      <c r="K62" s="190">
        <f t="shared" si="47"/>
        <v>7.8014555140368991</v>
      </c>
    </row>
    <row r="63" spans="1:12" x14ac:dyDescent="0.25">
      <c r="B63" s="2" t="s">
        <v>4</v>
      </c>
      <c r="C63" s="186">
        <f>SUM(C56:C62)</f>
        <v>11878.040980000002</v>
      </c>
      <c r="D63" s="167">
        <f t="shared" ref="D63" si="53">SUM(D56:D62)</f>
        <v>19584.53112</v>
      </c>
      <c r="E63" s="186">
        <f t="shared" ref="E63" si="54">SUM(E56:E62)</f>
        <v>14190.668850000002</v>
      </c>
      <c r="F63" s="189">
        <f t="shared" ref="F63" si="55">SUM(F56:F62)</f>
        <v>13002.834989999999</v>
      </c>
      <c r="G63" s="186">
        <f t="shared" ref="G63" si="56">SUM(G56:G62)</f>
        <v>19384.998790000001</v>
      </c>
      <c r="H63" s="186">
        <f t="shared" ref="H63" si="57">SUM(H56:H62)</f>
        <v>20018.341190000003</v>
      </c>
      <c r="I63" s="186">
        <f t="shared" ref="I63" si="58">SUM(I56:I62)</f>
        <v>21746.730520000008</v>
      </c>
      <c r="J63" s="186">
        <f t="shared" ref="J63:K63" si="59">SUM(J56:J62)</f>
        <v>26386.85885908968</v>
      </c>
      <c r="K63" s="189">
        <f t="shared" si="59"/>
        <v>15653.429390422698</v>
      </c>
    </row>
    <row r="64" spans="1:12" x14ac:dyDescent="0.25">
      <c r="C64" s="106"/>
      <c r="D64" s="217"/>
      <c r="E64" s="106"/>
      <c r="F64" s="106"/>
      <c r="G64" s="106"/>
      <c r="H64" s="106"/>
      <c r="I64" s="106"/>
      <c r="J64" s="106"/>
    </row>
    <row r="65" spans="1:11" x14ac:dyDescent="0.25">
      <c r="B65" s="40" t="s">
        <v>349</v>
      </c>
      <c r="C65" s="378">
        <v>2013</v>
      </c>
      <c r="D65" s="378">
        <v>2014</v>
      </c>
      <c r="E65" s="378">
        <v>2015</v>
      </c>
      <c r="F65" s="107">
        <v>2016</v>
      </c>
      <c r="G65" s="378">
        <v>2017</v>
      </c>
      <c r="H65" s="378">
        <v>2018</v>
      </c>
      <c r="I65" s="378">
        <v>2019</v>
      </c>
      <c r="J65" s="378">
        <v>2020</v>
      </c>
      <c r="K65" s="107" t="s">
        <v>219</v>
      </c>
    </row>
    <row r="66" spans="1:11" x14ac:dyDescent="0.25">
      <c r="A66" s="16">
        <v>1012</v>
      </c>
      <c r="B66" s="2" t="s">
        <v>109</v>
      </c>
      <c r="C66" s="14">
        <f t="shared" ref="C66:C72" si="60">IF(C56=0,0,C56/C36)</f>
        <v>0.11708589437319797</v>
      </c>
      <c r="D66" s="14">
        <f t="shared" ref="D66:J66" si="61">IF(D56=0,0,D56/D36)</f>
        <v>0.14922484565735813</v>
      </c>
      <c r="E66" s="14">
        <f t="shared" si="61"/>
        <v>0.18458286318732742</v>
      </c>
      <c r="F66" s="111">
        <f t="shared" si="61"/>
        <v>7.6320195352792719E-2</v>
      </c>
      <c r="G66" s="14">
        <f t="shared" si="61"/>
        <v>0.12561569774287465</v>
      </c>
      <c r="H66" s="14">
        <f t="shared" si="61"/>
        <v>0.16388251387245734</v>
      </c>
      <c r="I66" s="14">
        <f t="shared" si="61"/>
        <v>0.17052725842794397</v>
      </c>
      <c r="J66" s="14">
        <f t="shared" si="61"/>
        <v>0.16720488615020068</v>
      </c>
      <c r="K66" s="111">
        <f t="shared" ref="K66" si="62">IF(K56=0,0,K56/K36)</f>
        <v>0.16720488615020065</v>
      </c>
    </row>
    <row r="67" spans="1:11" x14ac:dyDescent="0.25">
      <c r="A67" s="16">
        <v>1013</v>
      </c>
      <c r="B67" s="2" t="s">
        <v>110</v>
      </c>
      <c r="C67" s="14">
        <f t="shared" si="60"/>
        <v>0.16203697217559596</v>
      </c>
      <c r="D67" s="14">
        <f t="shared" ref="D67:J72" si="63">IF(D57=0,0,D57/D37)</f>
        <v>0.13428957581689252</v>
      </c>
      <c r="E67" s="14">
        <f t="shared" si="63"/>
        <v>5.7449882143197864E-2</v>
      </c>
      <c r="F67" s="111">
        <f t="shared" si="63"/>
        <v>0.15179174166067255</v>
      </c>
      <c r="G67" s="14">
        <f t="shared" si="63"/>
        <v>0.31144032838298596</v>
      </c>
      <c r="H67" s="14">
        <f t="shared" si="63"/>
        <v>0.40376494459630813</v>
      </c>
      <c r="I67" s="14">
        <f t="shared" si="63"/>
        <v>0.50358791173881601</v>
      </c>
      <c r="J67" s="14">
        <f t="shared" si="63"/>
        <v>0.45367642816756204</v>
      </c>
      <c r="K67" s="111">
        <f t="shared" ref="K67" si="64">IF(K57=0,0,K57/K37)</f>
        <v>0.4536764281675621</v>
      </c>
    </row>
    <row r="68" spans="1:11" x14ac:dyDescent="0.25">
      <c r="A68" s="16">
        <v>1014</v>
      </c>
      <c r="B68" s="2" t="s">
        <v>111</v>
      </c>
      <c r="C68" s="14">
        <f t="shared" si="60"/>
        <v>0.24969464485160145</v>
      </c>
      <c r="D68" s="14">
        <f t="shared" si="63"/>
        <v>0.18950236106231999</v>
      </c>
      <c r="E68" s="14">
        <f t="shared" si="63"/>
        <v>0.16066936194723599</v>
      </c>
      <c r="F68" s="111">
        <f t="shared" si="63"/>
        <v>0.29638998936522581</v>
      </c>
      <c r="G68" s="14">
        <f t="shared" si="63"/>
        <v>0.3246333873528881</v>
      </c>
      <c r="H68" s="14">
        <f t="shared" si="63"/>
        <v>0.21246427368714854</v>
      </c>
      <c r="I68" s="14">
        <f t="shared" si="63"/>
        <v>0.28071877121864147</v>
      </c>
      <c r="J68" s="14">
        <f t="shared" si="63"/>
        <v>0.24659152245289501</v>
      </c>
      <c r="K68" s="111">
        <f t="shared" ref="K68" si="65">IF(K58=0,0,K58/K38)</f>
        <v>0.24659152245289501</v>
      </c>
    </row>
    <row r="69" spans="1:11" x14ac:dyDescent="0.25">
      <c r="A69" s="16">
        <v>1018</v>
      </c>
      <c r="B69" s="2" t="s">
        <v>112</v>
      </c>
      <c r="C69" s="14">
        <f t="shared" si="60"/>
        <v>0.38517754604249471</v>
      </c>
      <c r="D69" s="14">
        <f t="shared" si="63"/>
        <v>0.42953241039657453</v>
      </c>
      <c r="E69" s="14">
        <f t="shared" si="63"/>
        <v>2.4585121900680823E-2</v>
      </c>
      <c r="F69" s="111">
        <f t="shared" si="63"/>
        <v>0.25812649807255111</v>
      </c>
      <c r="G69" s="14">
        <f t="shared" si="63"/>
        <v>0.45947977492077857</v>
      </c>
      <c r="H69" s="14">
        <f t="shared" si="63"/>
        <v>0.4289918029962535</v>
      </c>
      <c r="I69" s="14">
        <f t="shared" si="63"/>
        <v>0.48094691390333899</v>
      </c>
      <c r="J69" s="14">
        <f t="shared" si="63"/>
        <v>0.45496935844979625</v>
      </c>
      <c r="K69" s="111">
        <f t="shared" ref="K69" si="66">IF(K59=0,0,K59/K39)</f>
        <v>0.45496935844979625</v>
      </c>
    </row>
    <row r="70" spans="1:11" x14ac:dyDescent="0.25">
      <c r="A70" s="16">
        <v>1019</v>
      </c>
      <c r="B70" s="2" t="s">
        <v>96</v>
      </c>
      <c r="C70" s="14">
        <f t="shared" si="60"/>
        <v>0</v>
      </c>
      <c r="D70" s="14">
        <f t="shared" si="63"/>
        <v>0</v>
      </c>
      <c r="E70" s="14">
        <f t="shared" si="63"/>
        <v>0.55539178439621339</v>
      </c>
      <c r="F70" s="111">
        <f t="shared" si="63"/>
        <v>0.50648707439786234</v>
      </c>
      <c r="G70" s="14">
        <f t="shared" si="63"/>
        <v>0.64808306703589869</v>
      </c>
      <c r="H70" s="14">
        <f t="shared" si="63"/>
        <v>0.50751146701367578</v>
      </c>
      <c r="I70" s="14">
        <f t="shared" si="63"/>
        <v>0.56833259539361791</v>
      </c>
      <c r="J70" s="14">
        <f t="shared" si="63"/>
        <v>0.53792203120364679</v>
      </c>
      <c r="K70" s="111">
        <f t="shared" ref="K70" si="67">IF(K60=0,0,K60/K40)</f>
        <v>0.53792203120364679</v>
      </c>
    </row>
    <row r="71" spans="1:11" x14ac:dyDescent="0.25">
      <c r="A71" s="16">
        <v>1015</v>
      </c>
      <c r="B71" s="2" t="s">
        <v>113</v>
      </c>
      <c r="C71" s="14">
        <f t="shared" si="60"/>
        <v>0.12945610176027672</v>
      </c>
      <c r="D71" s="14">
        <f t="shared" si="63"/>
        <v>1.0628032705207313</v>
      </c>
      <c r="E71" s="14">
        <f t="shared" si="63"/>
        <v>1.624182847895884</v>
      </c>
      <c r="F71" s="111">
        <f t="shared" si="63"/>
        <v>2.0517749176047977E-2</v>
      </c>
      <c r="G71" s="14">
        <f t="shared" si="63"/>
        <v>2.4845346382773523</v>
      </c>
      <c r="H71" s="14">
        <f t="shared" si="63"/>
        <v>1.7709831734216028</v>
      </c>
      <c r="I71" s="14">
        <f t="shared" si="63"/>
        <v>1.2326851301038251E-2</v>
      </c>
      <c r="J71" s="14">
        <f t="shared" si="63"/>
        <v>1.9423276148426352</v>
      </c>
      <c r="K71" s="111">
        <f t="shared" ref="K71" si="68">IF(K61=0,0,K61/K41)</f>
        <v>1</v>
      </c>
    </row>
    <row r="72" spans="1:11" x14ac:dyDescent="0.25">
      <c r="A72" s="16">
        <v>1016</v>
      </c>
      <c r="B72" s="2" t="s">
        <v>114</v>
      </c>
      <c r="C72" s="14">
        <f t="shared" si="60"/>
        <v>6.5193336428344085E-3</v>
      </c>
      <c r="D72" s="14">
        <f t="shared" si="63"/>
        <v>1.3748455650448917E-3</v>
      </c>
      <c r="E72" s="14">
        <f t="shared" si="63"/>
        <v>4.2473145679199E-4</v>
      </c>
      <c r="F72" s="111">
        <f t="shared" si="63"/>
        <v>0.26783730750666696</v>
      </c>
      <c r="G72" s="14">
        <f t="shared" si="63"/>
        <v>8.1145079106234128E-2</v>
      </c>
      <c r="H72" s="14">
        <f t="shared" si="63"/>
        <v>2.8099507436697743E-2</v>
      </c>
      <c r="I72" s="14">
        <f t="shared" si="63"/>
        <v>7.160487877360424E-3</v>
      </c>
      <c r="J72" s="14">
        <f t="shared" si="63"/>
        <v>1.7629997657029085E-2</v>
      </c>
      <c r="K72" s="111">
        <f t="shared" ref="K72" si="69">IF(K62=0,0,K62/K42)</f>
        <v>1.7629997657029085E-2</v>
      </c>
    </row>
  </sheetData>
  <hyperlinks>
    <hyperlink ref="B3" location="Contents!A1" display="Table of Contents" xr:uid="{00000000-0004-0000-0D00-000000000000}"/>
  </hyperlinks>
  <pageMargins left="0.7" right="0.7" top="0.75" bottom="0.75" header="0.3" footer="0.3"/>
  <pageSetup paperSize="9" orientation="portrait" r:id="rId1"/>
  <ignoredErrors>
    <ignoredError sqref="C53:I53 C14:D14 C24:G2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R46"/>
  <sheetViews>
    <sheetView zoomScale="85" zoomScaleNormal="85" zoomScaleSheetLayoutView="115" workbookViewId="0">
      <selection activeCell="N17" sqref="N17"/>
    </sheetView>
  </sheetViews>
  <sheetFormatPr defaultColWidth="9.140625" defaultRowHeight="15" outlineLevelCol="1" x14ac:dyDescent="0.25"/>
  <cols>
    <col min="1" max="1" width="3.28515625" style="2" customWidth="1"/>
    <col min="2" max="2" width="42.5703125" style="2" customWidth="1"/>
    <col min="3" max="3" width="10.28515625" style="2" customWidth="1" outlineLevel="1"/>
    <col min="4" max="8" width="8.85546875" style="2" bestFit="1" customWidth="1"/>
    <col min="9" max="9" width="10.28515625" style="2" customWidth="1"/>
    <col min="10" max="14" width="8.85546875" style="2" customWidth="1"/>
    <col min="15" max="15" width="6.7109375" style="2" customWidth="1"/>
    <col min="16" max="16" width="2.7109375" style="48" customWidth="1"/>
    <col min="17" max="16384" width="9.140625" style="2"/>
  </cols>
  <sheetData>
    <row r="1" spans="2:18" x14ac:dyDescent="0.25">
      <c r="Q1" s="66"/>
      <c r="R1" s="16"/>
    </row>
    <row r="2" spans="2:18" ht="18.75" x14ac:dyDescent="0.3">
      <c r="B2" s="50" t="s">
        <v>351</v>
      </c>
    </row>
    <row r="3" spans="2:18" x14ac:dyDescent="0.25">
      <c r="B3" s="51" t="s">
        <v>70</v>
      </c>
      <c r="C3" s="105"/>
      <c r="D3" s="105"/>
      <c r="E3" s="105"/>
    </row>
    <row r="4" spans="2:18" x14ac:dyDescent="0.25">
      <c r="B4" s="51"/>
      <c r="C4" s="16" t="s">
        <v>222</v>
      </c>
      <c r="D4" s="105"/>
      <c r="E4" s="105"/>
      <c r="J4" s="2" t="s">
        <v>352</v>
      </c>
    </row>
    <row r="5" spans="2:18" x14ac:dyDescent="0.25">
      <c r="C5" s="179">
        <f>Escalation!F9</f>
        <v>1.1098500661870196</v>
      </c>
      <c r="D5" s="179">
        <f>Escalation!G9</f>
        <v>1.089065287920217</v>
      </c>
      <c r="E5" s="179">
        <f>Escalation!H9</f>
        <v>1.075441975284158</v>
      </c>
      <c r="F5" s="179">
        <f>Escalation!I9</f>
        <v>1.0597841134352426</v>
      </c>
      <c r="G5" s="179">
        <f>Escalation!J9</f>
        <v>1.0389462882960341</v>
      </c>
      <c r="H5" s="179">
        <f>Escalation!K9</f>
        <v>1.0202250019521406</v>
      </c>
      <c r="I5" s="179">
        <f>Escalation!L9</f>
        <v>1</v>
      </c>
      <c r="J5" s="179">
        <f t="shared" ref="J5:N5" si="0">CPI_adj_Jun21</f>
        <v>1.0597841134352426</v>
      </c>
      <c r="K5" s="179">
        <f t="shared" si="0"/>
        <v>1.0597841134352426</v>
      </c>
      <c r="L5" s="179">
        <f t="shared" si="0"/>
        <v>1.0597841134352426</v>
      </c>
      <c r="M5" s="179">
        <f t="shared" si="0"/>
        <v>1.0597841134352426</v>
      </c>
      <c r="N5" s="179">
        <f t="shared" si="0"/>
        <v>1.0597841134352426</v>
      </c>
    </row>
    <row r="6" spans="2:18" s="16" customFormat="1" x14ac:dyDescent="0.25">
      <c r="B6" s="386"/>
      <c r="P6" s="48"/>
    </row>
    <row r="7" spans="2:18" s="16" customFormat="1" x14ac:dyDescent="0.25">
      <c r="B7" s="387" t="s">
        <v>348</v>
      </c>
      <c r="D7" s="646" t="s">
        <v>355</v>
      </c>
      <c r="E7" s="647"/>
      <c r="F7" s="647"/>
      <c r="G7" s="647"/>
      <c r="H7" s="647"/>
      <c r="I7" s="648"/>
      <c r="J7" s="643" t="s">
        <v>353</v>
      </c>
      <c r="K7" s="644"/>
      <c r="L7" s="644"/>
      <c r="M7" s="644"/>
      <c r="N7" s="645"/>
      <c r="P7" s="48"/>
    </row>
    <row r="8" spans="2:18" s="16" customFormat="1" x14ac:dyDescent="0.25">
      <c r="B8" s="17"/>
      <c r="C8" s="394" t="s">
        <v>19</v>
      </c>
      <c r="D8" s="376" t="s">
        <v>19</v>
      </c>
      <c r="E8" s="113" t="s">
        <v>19</v>
      </c>
      <c r="F8" s="113" t="s">
        <v>19</v>
      </c>
      <c r="G8" s="113" t="s">
        <v>19</v>
      </c>
      <c r="H8" s="113" t="s">
        <v>97</v>
      </c>
      <c r="I8" s="376" t="s">
        <v>97</v>
      </c>
      <c r="J8" s="388" t="s">
        <v>97</v>
      </c>
      <c r="K8" s="389" t="s">
        <v>97</v>
      </c>
      <c r="L8" s="389" t="s">
        <v>97</v>
      </c>
      <c r="M8" s="389" t="s">
        <v>97</v>
      </c>
      <c r="N8" s="390" t="s">
        <v>97</v>
      </c>
      <c r="P8" s="48"/>
    </row>
    <row r="9" spans="2:18" x14ac:dyDescent="0.25">
      <c r="B9" s="18" t="s">
        <v>325</v>
      </c>
      <c r="C9" s="169" t="s">
        <v>7</v>
      </c>
      <c r="D9" s="107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107" t="s">
        <v>219</v>
      </c>
      <c r="J9" s="107" t="s">
        <v>100</v>
      </c>
      <c r="K9" s="223" t="s">
        <v>101</v>
      </c>
      <c r="L9" s="223" t="s">
        <v>102</v>
      </c>
      <c r="M9" s="223" t="s">
        <v>147</v>
      </c>
      <c r="N9" s="224" t="s">
        <v>220</v>
      </c>
    </row>
    <row r="10" spans="2:18" x14ac:dyDescent="0.25">
      <c r="B10" s="396" t="s">
        <v>109</v>
      </c>
      <c r="C10" s="397">
        <f>Cost_Recovery!E56*C$5</f>
        <v>2722.5035653702253</v>
      </c>
      <c r="D10" s="398">
        <f>Cost_Recovery!F56*D$5</f>
        <v>2331.5749305519853</v>
      </c>
      <c r="E10" s="399">
        <f>Cost_Recovery!G56*E$5</f>
        <v>3163.3826407481774</v>
      </c>
      <c r="F10" s="399">
        <f>Cost_Recovery!H56*F$5</f>
        <v>3212.176705118085</v>
      </c>
      <c r="G10" s="399">
        <f>Cost_Recovery!I56*G$5</f>
        <v>2501.7563976546876</v>
      </c>
      <c r="H10" s="399">
        <f>Cost_Recovery!J56*H$5</f>
        <v>2142.9072803878266</v>
      </c>
      <c r="I10" s="419">
        <f>Cost_Recovery!K56*I$5</f>
        <v>1129.7824185289762</v>
      </c>
      <c r="J10" s="419">
        <v>1252.2617112887895</v>
      </c>
      <c r="K10" s="399">
        <v>2190.4135865373341</v>
      </c>
      <c r="L10" s="399">
        <v>2231.9099839627806</v>
      </c>
      <c r="M10" s="399">
        <v>2241.7507617448323</v>
      </c>
      <c r="N10" s="420">
        <v>2275.7288468358852</v>
      </c>
    </row>
    <row r="11" spans="2:18" x14ac:dyDescent="0.25">
      <c r="B11" s="108" t="s">
        <v>110</v>
      </c>
      <c r="C11" s="146">
        <f>Cost_Recovery!E57*C$5</f>
        <v>726.69832579438207</v>
      </c>
      <c r="D11" s="109">
        <f>Cost_Recovery!F57*D$5</f>
        <v>2005.6641711839522</v>
      </c>
      <c r="E11" s="101">
        <f>Cost_Recovery!G57*E$5</f>
        <v>3914.1846894913811</v>
      </c>
      <c r="F11" s="101">
        <f>Cost_Recovery!H57*F$5</f>
        <v>5506.1354176412178</v>
      </c>
      <c r="G11" s="101">
        <f>Cost_Recovery!I57*G$5</f>
        <v>5711.7624384829187</v>
      </c>
      <c r="H11" s="101">
        <f>Cost_Recovery!J57*H$5</f>
        <v>5486.1119672185268</v>
      </c>
      <c r="I11" s="140">
        <f>Cost_Recovery!K57*I$5</f>
        <v>2891.6423968420636</v>
      </c>
      <c r="J11" s="140">
        <f>J23*Capex_Fcast_Total!J63</f>
        <v>1799.993268827928</v>
      </c>
      <c r="K11" s="101">
        <f>K23*Capex_Fcast_Total!K63</f>
        <v>3100.9086376240061</v>
      </c>
      <c r="L11" s="101">
        <f>L23*Capex_Fcast_Total!L63</f>
        <v>3154.0322657350162</v>
      </c>
      <c r="M11" s="101">
        <f>M23*Capex_Fcast_Total!M63</f>
        <v>3210.7882887928781</v>
      </c>
      <c r="N11" s="165">
        <f>N23*Capex_Fcast_Total!N63</f>
        <v>3246.4308573329949</v>
      </c>
    </row>
    <row r="12" spans="2:18" x14ac:dyDescent="0.25">
      <c r="B12" s="108" t="s">
        <v>111</v>
      </c>
      <c r="C12" s="144">
        <f>Cost_Recovery!E58*C$5</f>
        <v>2526.8458109109797</v>
      </c>
      <c r="D12" s="109">
        <f>Cost_Recovery!F58*D$5</f>
        <v>4798.9081331499356</v>
      </c>
      <c r="E12" s="101">
        <f>Cost_Recovery!G58*E$5</f>
        <v>6085.3462490655565</v>
      </c>
      <c r="F12" s="101">
        <f>Cost_Recovery!H58*F$5</f>
        <v>5999.9028782302021</v>
      </c>
      <c r="G12" s="101">
        <f>Cost_Recovery!I58*G$5</f>
        <v>7657.5761214625236</v>
      </c>
      <c r="H12" s="101">
        <f>Cost_Recovery!J58*H$5</f>
        <v>6343.6950803297013</v>
      </c>
      <c r="I12" s="140">
        <f>Cost_Recovery!K58*I$5</f>
        <v>2795.4012140933278</v>
      </c>
      <c r="J12" s="140">
        <v>1594.1177798659749</v>
      </c>
      <c r="K12" s="101">
        <v>2727.0179352777868</v>
      </c>
      <c r="L12" s="101">
        <v>2711.2455304793489</v>
      </c>
      <c r="M12" s="101">
        <v>2703.3838249954074</v>
      </c>
      <c r="N12" s="165">
        <v>2715.2628720465723</v>
      </c>
    </row>
    <row r="13" spans="2:18" x14ac:dyDescent="0.25">
      <c r="B13" s="108" t="s">
        <v>112</v>
      </c>
      <c r="C13" s="144">
        <f>Cost_Recovery!E59*C$5</f>
        <v>196.40128741258735</v>
      </c>
      <c r="D13" s="109">
        <f>Cost_Recovery!F59*D$5</f>
        <v>882.52500355294842</v>
      </c>
      <c r="E13" s="101">
        <f>Cost_Recovery!G59*E$5</f>
        <v>3438.966733272176</v>
      </c>
      <c r="F13" s="101">
        <f>Cost_Recovery!H59*F$5</f>
        <v>3638.9845997102889</v>
      </c>
      <c r="G13" s="101">
        <f>Cost_Recovery!I59*G$5</f>
        <v>4203.475624140292</v>
      </c>
      <c r="H13" s="101">
        <f>Cost_Recovery!J59*H$5</f>
        <v>3170.3549686469696</v>
      </c>
      <c r="I13" s="140">
        <f>Cost_Recovery!K59*I$5</f>
        <v>1671.1527623084412</v>
      </c>
      <c r="J13" s="140">
        <f>J25*Capex_Fcast_Total!J65</f>
        <v>1684.2192673350999</v>
      </c>
      <c r="K13" s="101">
        <f>K25*Capex_Fcast_Total!K65</f>
        <v>2902.7404230704815</v>
      </c>
      <c r="L13" s="101">
        <f>L25*Capex_Fcast_Total!L65</f>
        <v>2954.1851944007567</v>
      </c>
      <c r="M13" s="101">
        <f>M25*Capex_Fcast_Total!M65</f>
        <v>3010.025241413437</v>
      </c>
      <c r="N13" s="165">
        <f>N25*Capex_Fcast_Total!N65</f>
        <v>3047.0374269167851</v>
      </c>
    </row>
    <row r="14" spans="2:18" x14ac:dyDescent="0.25">
      <c r="B14" s="108" t="s">
        <v>96</v>
      </c>
      <c r="C14" s="144">
        <f>Cost_Recovery!E60*C$5</f>
        <v>5306.8621285675354</v>
      </c>
      <c r="D14" s="109">
        <f>Cost_Recovery!F60*D$5</f>
        <v>3781.3063728268971</v>
      </c>
      <c r="E14" s="101">
        <f>Cost_Recovery!G60*E$5</f>
        <v>3831.2901490030467</v>
      </c>
      <c r="F14" s="101">
        <f>Cost_Recovery!H60*F$5</f>
        <v>2573.8419528514887</v>
      </c>
      <c r="G14" s="101">
        <f>Cost_Recovery!I60*G$5</f>
        <v>2450.7048003928708</v>
      </c>
      <c r="H14" s="101">
        <f>Cost_Recovery!J60*H$5</f>
        <v>3703.740880094042</v>
      </c>
      <c r="I14" s="140">
        <f>Cost_Recovery!K60*I$5</f>
        <v>1952.2354221707865</v>
      </c>
      <c r="J14" s="140">
        <f>J26*Capex_Fcast_Total!J66</f>
        <v>676.13976399642013</v>
      </c>
      <c r="K14" s="101">
        <f>K26*Capex_Fcast_Total!K66</f>
        <v>1165.0203044162295</v>
      </c>
      <c r="L14" s="101">
        <f>L26*Capex_Fcast_Total!L66</f>
        <v>1185.26294289312</v>
      </c>
      <c r="M14" s="101">
        <f>M26*Capex_Fcast_Total!M66</f>
        <v>1207.0349144737656</v>
      </c>
      <c r="N14" s="165">
        <f>N26*Capex_Fcast_Total!N66</f>
        <v>1221.0294185666623</v>
      </c>
    </row>
    <row r="15" spans="2:18" x14ac:dyDescent="0.25">
      <c r="B15" s="108" t="s">
        <v>113</v>
      </c>
      <c r="C15" s="144">
        <f>Cost_Recovery!E61*C$5</f>
        <v>4269.6487193217781</v>
      </c>
      <c r="D15" s="109">
        <f>Cost_Recovery!F61*D$5</f>
        <v>5.9898590835612238</v>
      </c>
      <c r="E15" s="101">
        <f>Cost_Recovery!G61*E$5</f>
        <v>360.53676009253263</v>
      </c>
      <c r="F15" s="101">
        <f>Cost_Recovery!H61*F$5</f>
        <v>250.86891598005033</v>
      </c>
      <c r="G15" s="101">
        <f>Cost_Recovery!I61*G$5</f>
        <v>62.122910204316305</v>
      </c>
      <c r="H15" s="101">
        <f>Cost_Recovery!J61*H$5</f>
        <v>6058.3037666493956</v>
      </c>
      <c r="I15" s="140">
        <f>Cost_Recovery!K61*I$5</f>
        <v>5205.4137209650644</v>
      </c>
      <c r="J15" s="481">
        <f>J27*Capex_Fcast_Total!J67</f>
        <v>19026.545942562323</v>
      </c>
      <c r="K15" s="449">
        <f>K27*Capex_Fcast_Total!K67</f>
        <v>18996.932056083922</v>
      </c>
      <c r="L15" s="449">
        <f>L27*Capex_Fcast_Total!L67</f>
        <v>19244.929281259709</v>
      </c>
      <c r="M15" s="449">
        <f>M27*Capex_Fcast_Total!M67</f>
        <v>19411.859516163233</v>
      </c>
      <c r="N15" s="482">
        <f>N27*Capex_Fcast_Total!N67</f>
        <v>19525.933421264908</v>
      </c>
      <c r="O15" s="3"/>
    </row>
    <row r="16" spans="2:18" x14ac:dyDescent="0.25">
      <c r="B16" s="400" t="s">
        <v>114</v>
      </c>
      <c r="C16" s="395">
        <f>Cost_Recovery!E62*C$5</f>
        <v>0.55492503309350982</v>
      </c>
      <c r="D16" s="401">
        <f>Cost_Recovery!F62*D$5</f>
        <v>354.96776181413964</v>
      </c>
      <c r="E16" s="392">
        <f>Cost_Recovery!G62*E$5</f>
        <v>53.734167925739627</v>
      </c>
      <c r="F16" s="392">
        <f>Cost_Recovery!H62*F$5</f>
        <v>33.209500957018101</v>
      </c>
      <c r="G16" s="392">
        <f>Cost_Recovery!I62*G$5</f>
        <v>6.286663990479302</v>
      </c>
      <c r="H16" s="392">
        <f>Cost_Recovery!J62*H$5</f>
        <v>15.419187699167255</v>
      </c>
      <c r="I16" s="391">
        <f>Cost_Recovery!K62*I$5</f>
        <v>7.8014555140368991</v>
      </c>
      <c r="J16" s="391">
        <f>J28*Capex_Fcast_Total!J68</f>
        <v>0</v>
      </c>
      <c r="K16" s="392">
        <f>K28*Capex_Fcast_Total!K68</f>
        <v>0</v>
      </c>
      <c r="L16" s="392">
        <f>L28*Capex_Fcast_Total!L68</f>
        <v>0</v>
      </c>
      <c r="M16" s="392">
        <f>M28*Capex_Fcast_Total!M68</f>
        <v>0</v>
      </c>
      <c r="N16" s="393">
        <f>N28*Capex_Fcast_Total!N68</f>
        <v>0</v>
      </c>
    </row>
    <row r="17" spans="2:17" x14ac:dyDescent="0.25">
      <c r="C17" s="143">
        <f>SUM(C10:C16)</f>
        <v>15749.514762410581</v>
      </c>
      <c r="D17" s="110">
        <f t="shared" ref="D17:I17" si="1">SUM(D10:D16)</f>
        <v>14160.93623216342</v>
      </c>
      <c r="E17" s="6">
        <f t="shared" si="1"/>
        <v>20847.441389598607</v>
      </c>
      <c r="F17" s="6">
        <f t="shared" si="1"/>
        <v>21215.119970488351</v>
      </c>
      <c r="G17" s="6">
        <f t="shared" si="1"/>
        <v>22593.684956328092</v>
      </c>
      <c r="H17" s="6">
        <f t="shared" si="1"/>
        <v>26920.53313102563</v>
      </c>
      <c r="I17" s="143">
        <f t="shared" si="1"/>
        <v>15653.429390422698</v>
      </c>
      <c r="J17" s="143">
        <f t="shared" ref="J17:N17" si="2">SUM(J10:J16)</f>
        <v>26033.277733876537</v>
      </c>
      <c r="K17" s="102">
        <f t="shared" si="2"/>
        <v>31083.032943009763</v>
      </c>
      <c r="L17" s="102">
        <f t="shared" si="2"/>
        <v>31481.565198730728</v>
      </c>
      <c r="M17" s="102">
        <f t="shared" si="2"/>
        <v>31784.842547583554</v>
      </c>
      <c r="N17" s="166">
        <f t="shared" si="2"/>
        <v>32031.42284296381</v>
      </c>
    </row>
    <row r="18" spans="2:17" x14ac:dyDescent="0.25">
      <c r="C18" s="176">
        <f>C17-Cost_Recovery!E63*C5</f>
        <v>0</v>
      </c>
      <c r="D18" s="99">
        <f>D17-Cost_Recovery!F63*D5</f>
        <v>0</v>
      </c>
      <c r="E18" s="99">
        <f>E17-Cost_Recovery!G63*E5</f>
        <v>0</v>
      </c>
      <c r="F18" s="99">
        <f>F17-Cost_Recovery!H63*F5</f>
        <v>0</v>
      </c>
      <c r="G18" s="99">
        <f>G17-Cost_Recovery!I63*G5</f>
        <v>0</v>
      </c>
      <c r="H18" s="99">
        <f>H17-Cost_Recovery!J63*H5</f>
        <v>0</v>
      </c>
      <c r="I18" s="176">
        <f>I17-Cost_Recovery!K63*I5</f>
        <v>0</v>
      </c>
      <c r="J18" s="61"/>
      <c r="K18" s="61"/>
      <c r="L18" s="61"/>
      <c r="M18" s="61"/>
      <c r="N18" s="61"/>
    </row>
    <row r="19" spans="2:17" x14ac:dyDescent="0.25">
      <c r="C19" s="61"/>
      <c r="D19" s="33"/>
      <c r="I19" s="16"/>
      <c r="J19" s="16"/>
      <c r="K19" s="16"/>
      <c r="L19" s="16"/>
      <c r="M19" s="16"/>
      <c r="N19" s="16"/>
    </row>
    <row r="20" spans="2:17" x14ac:dyDescent="0.25">
      <c r="B20" s="40" t="s">
        <v>354</v>
      </c>
      <c r="C20" s="16"/>
      <c r="I20" s="16"/>
      <c r="J20" s="16"/>
      <c r="K20" s="16"/>
      <c r="L20" s="16"/>
      <c r="M20" s="16"/>
      <c r="N20" s="16"/>
      <c r="Q20" s="12"/>
    </row>
    <row r="21" spans="2:17" x14ac:dyDescent="0.25">
      <c r="C21" s="483" t="s">
        <v>7</v>
      </c>
      <c r="D21" s="380" t="s">
        <v>8</v>
      </c>
      <c r="E21" s="381" t="s">
        <v>9</v>
      </c>
      <c r="F21" s="381" t="s">
        <v>10</v>
      </c>
      <c r="G21" s="381" t="s">
        <v>11</v>
      </c>
      <c r="H21" s="381" t="s">
        <v>12</v>
      </c>
      <c r="I21" s="213" t="s">
        <v>219</v>
      </c>
      <c r="J21" s="483" t="s">
        <v>100</v>
      </c>
      <c r="K21" s="484" t="s">
        <v>101</v>
      </c>
      <c r="L21" s="484" t="s">
        <v>102</v>
      </c>
      <c r="M21" s="484" t="s">
        <v>147</v>
      </c>
      <c r="N21" s="485" t="s">
        <v>220</v>
      </c>
    </row>
    <row r="22" spans="2:17" x14ac:dyDescent="0.25">
      <c r="B22" s="396" t="s">
        <v>109</v>
      </c>
      <c r="C22" s="404">
        <f>Cost_Recovery!E66</f>
        <v>0.18458286318732742</v>
      </c>
      <c r="D22" s="403">
        <f>Cost_Recovery!F66</f>
        <v>7.6320195352792719E-2</v>
      </c>
      <c r="E22" s="402">
        <f>Cost_Recovery!G66</f>
        <v>0.12561569774287465</v>
      </c>
      <c r="F22" s="402">
        <f>Cost_Recovery!H66</f>
        <v>0.16388251387245734</v>
      </c>
      <c r="G22" s="402">
        <f>Cost_Recovery!I66</f>
        <v>0.17052725842794397</v>
      </c>
      <c r="H22" s="402">
        <f>Cost_Recovery!J66</f>
        <v>0.16720488615020068</v>
      </c>
      <c r="I22" s="404">
        <f>Cost_Recovery!K66</f>
        <v>0.16720488615020065</v>
      </c>
      <c r="J22" s="403">
        <v>0.16</v>
      </c>
      <c r="K22" s="402">
        <v>0.16</v>
      </c>
      <c r="L22" s="402">
        <v>0.16</v>
      </c>
      <c r="M22" s="402">
        <v>0.16</v>
      </c>
      <c r="N22" s="422">
        <v>0.16</v>
      </c>
    </row>
    <row r="23" spans="2:17" x14ac:dyDescent="0.25">
      <c r="B23" s="108" t="s">
        <v>110</v>
      </c>
      <c r="C23" s="385">
        <f>Cost_Recovery!E67</f>
        <v>5.7449882143197864E-2</v>
      </c>
      <c r="D23" s="384">
        <f>Cost_Recovery!F67</f>
        <v>0.15179174166067255</v>
      </c>
      <c r="E23" s="405">
        <f>Cost_Recovery!G67</f>
        <v>0.31144032838298596</v>
      </c>
      <c r="F23" s="405">
        <f>Cost_Recovery!H67</f>
        <v>0.40376494459630813</v>
      </c>
      <c r="G23" s="405">
        <f>Cost_Recovery!I67</f>
        <v>0.50358791173881601</v>
      </c>
      <c r="H23" s="405">
        <f>Cost_Recovery!J67</f>
        <v>0.45367642816756204</v>
      </c>
      <c r="I23" s="385">
        <f>Cost_Recovery!K67</f>
        <v>0.4536764281675621</v>
      </c>
      <c r="J23" s="384">
        <v>0.24468769024380913</v>
      </c>
      <c r="K23" s="405">
        <v>0.24468769024380913</v>
      </c>
      <c r="L23" s="405">
        <v>0.24468769024380913</v>
      </c>
      <c r="M23" s="405">
        <v>0.24468769024380913</v>
      </c>
      <c r="N23" s="421">
        <v>0.24468769024380913</v>
      </c>
    </row>
    <row r="24" spans="2:17" x14ac:dyDescent="0.25">
      <c r="B24" s="108" t="s">
        <v>111</v>
      </c>
      <c r="C24" s="385">
        <f>Cost_Recovery!E68</f>
        <v>0.16066936194723599</v>
      </c>
      <c r="D24" s="384">
        <f>Cost_Recovery!F68</f>
        <v>0.29638998936522581</v>
      </c>
      <c r="E24" s="406">
        <f>Cost_Recovery!G68</f>
        <v>0.3246333873528881</v>
      </c>
      <c r="F24" s="405">
        <f>Cost_Recovery!H68</f>
        <v>0.21246427368714854</v>
      </c>
      <c r="G24" s="405">
        <f>Cost_Recovery!I68</f>
        <v>0.28071877121864147</v>
      </c>
      <c r="H24" s="405">
        <f>Cost_Recovery!J68</f>
        <v>0.24659152245289501</v>
      </c>
      <c r="I24" s="385">
        <f>Cost_Recovery!K68</f>
        <v>0.24659152245289501</v>
      </c>
      <c r="J24" s="486">
        <v>0.12</v>
      </c>
      <c r="K24" s="487">
        <v>0.12</v>
      </c>
      <c r="L24" s="487">
        <v>0.12</v>
      </c>
      <c r="M24" s="487">
        <v>0.12</v>
      </c>
      <c r="N24" s="488">
        <v>0.12</v>
      </c>
    </row>
    <row r="25" spans="2:17" x14ac:dyDescent="0.25">
      <c r="B25" s="108" t="s">
        <v>112</v>
      </c>
      <c r="C25" s="385">
        <f>Cost_Recovery!E69</f>
        <v>2.4585121900680823E-2</v>
      </c>
      <c r="D25" s="384">
        <f>Cost_Recovery!F69</f>
        <v>0.25812649807255111</v>
      </c>
      <c r="E25" s="407">
        <f>Cost_Recovery!G69</f>
        <v>0.45947977492077857</v>
      </c>
      <c r="F25" s="405">
        <f>Cost_Recovery!H69</f>
        <v>0.4289918029962535</v>
      </c>
      <c r="G25" s="405">
        <f>Cost_Recovery!I69</f>
        <v>0.48094691390333899</v>
      </c>
      <c r="H25" s="405">
        <f>Cost_Recovery!J69</f>
        <v>0.45496935844979625</v>
      </c>
      <c r="I25" s="385">
        <f>Cost_Recovery!K69</f>
        <v>0.45496935844979625</v>
      </c>
      <c r="J25" s="486">
        <v>0.39701471331224708</v>
      </c>
      <c r="K25" s="487">
        <v>0.39701471331224708</v>
      </c>
      <c r="L25" s="487">
        <v>0.39701471331224708</v>
      </c>
      <c r="M25" s="487">
        <v>0.39701471331224708</v>
      </c>
      <c r="N25" s="488">
        <v>0.39701471331224708</v>
      </c>
    </row>
    <row r="26" spans="2:17" x14ac:dyDescent="0.25">
      <c r="B26" s="108" t="s">
        <v>96</v>
      </c>
      <c r="C26" s="385">
        <f>Cost_Recovery!E70</f>
        <v>0.55539178439621339</v>
      </c>
      <c r="D26" s="384">
        <f>Cost_Recovery!F70</f>
        <v>0.50648707439786234</v>
      </c>
      <c r="E26" s="407">
        <f>Cost_Recovery!G70</f>
        <v>0.64808306703589869</v>
      </c>
      <c r="F26" s="405">
        <f>Cost_Recovery!H70</f>
        <v>0.50751146701367578</v>
      </c>
      <c r="G26" s="405">
        <f>Cost_Recovery!I70</f>
        <v>0.56833259539361791</v>
      </c>
      <c r="H26" s="405">
        <f>Cost_Recovery!J70</f>
        <v>0.53792203120364679</v>
      </c>
      <c r="I26" s="385">
        <f>Cost_Recovery!K70</f>
        <v>0.53792203120364679</v>
      </c>
      <c r="J26" s="384">
        <v>0.16137660936109402</v>
      </c>
      <c r="K26" s="405">
        <v>0.16137660936109402</v>
      </c>
      <c r="L26" s="405">
        <v>0.16137660936109402</v>
      </c>
      <c r="M26" s="405">
        <v>0.16137660936109402</v>
      </c>
      <c r="N26" s="421">
        <v>0.16137660936109402</v>
      </c>
      <c r="O26" s="3"/>
    </row>
    <row r="27" spans="2:17" x14ac:dyDescent="0.25">
      <c r="B27" s="431" t="s">
        <v>113</v>
      </c>
      <c r="C27" s="385">
        <f>Cost_Recovery!E71</f>
        <v>1.624182847895884</v>
      </c>
      <c r="D27" s="384">
        <f>Cost_Recovery!F71</f>
        <v>2.0517749176047977E-2</v>
      </c>
      <c r="E27" s="407">
        <f>Cost_Recovery!G71</f>
        <v>2.4845346382773523</v>
      </c>
      <c r="F27" s="405">
        <f>Cost_Recovery!H71</f>
        <v>1.7709831734216028</v>
      </c>
      <c r="G27" s="405">
        <f>Cost_Recovery!I71</f>
        <v>1.2326851301038251E-2</v>
      </c>
      <c r="H27" s="405">
        <f>Cost_Recovery!J71</f>
        <v>1.9423276148426352</v>
      </c>
      <c r="I27" s="385">
        <v>1</v>
      </c>
      <c r="J27" s="375">
        <v>1</v>
      </c>
      <c r="K27" s="408">
        <v>1</v>
      </c>
      <c r="L27" s="408">
        <v>1</v>
      </c>
      <c r="M27" s="408">
        <v>1</v>
      </c>
      <c r="N27" s="409">
        <v>1</v>
      </c>
    </row>
    <row r="28" spans="2:17" x14ac:dyDescent="0.25">
      <c r="B28" s="400" t="s">
        <v>114</v>
      </c>
      <c r="C28" s="413">
        <f>Cost_Recovery!E72</f>
        <v>4.2473145679199E-4</v>
      </c>
      <c r="D28" s="411">
        <f>Cost_Recovery!F72</f>
        <v>0.26783730750666696</v>
      </c>
      <c r="E28" s="412">
        <f>Cost_Recovery!G72</f>
        <v>8.1145079106234128E-2</v>
      </c>
      <c r="F28" s="410">
        <f>Cost_Recovery!H72</f>
        <v>2.8099507436697743E-2</v>
      </c>
      <c r="G28" s="410">
        <f>Cost_Recovery!I72</f>
        <v>7.160487877360424E-3</v>
      </c>
      <c r="H28" s="410">
        <f>Cost_Recovery!J72</f>
        <v>1.7629997657029085E-2</v>
      </c>
      <c r="I28" s="413">
        <v>0</v>
      </c>
      <c r="J28" s="414">
        <v>0</v>
      </c>
      <c r="K28" s="415">
        <v>0</v>
      </c>
      <c r="L28" s="415">
        <v>0</v>
      </c>
      <c r="M28" s="415">
        <v>0</v>
      </c>
      <c r="N28" s="416">
        <v>0</v>
      </c>
    </row>
    <row r="30" spans="2:17" x14ac:dyDescent="0.25">
      <c r="C30" s="29"/>
      <c r="D30" s="29"/>
      <c r="E30" s="29"/>
      <c r="F30" s="29"/>
      <c r="G30" s="29"/>
      <c r="H30" s="29"/>
      <c r="I30" s="29"/>
    </row>
    <row r="31" spans="2:17" x14ac:dyDescent="0.25">
      <c r="C31" s="29"/>
      <c r="D31" s="29"/>
      <c r="E31" s="29"/>
      <c r="F31" s="29"/>
      <c r="G31" s="29"/>
      <c r="H31" s="29"/>
      <c r="I31" s="29"/>
    </row>
    <row r="32" spans="2:17" x14ac:dyDescent="0.25">
      <c r="C32" s="29"/>
      <c r="D32" s="29"/>
      <c r="E32" s="29"/>
      <c r="F32" s="29"/>
      <c r="G32" s="29"/>
      <c r="H32" s="29"/>
      <c r="I32" s="29"/>
    </row>
    <row r="33" spans="2:14" x14ac:dyDescent="0.25">
      <c r="C33" s="29"/>
      <c r="D33" s="29"/>
      <c r="E33" s="29"/>
      <c r="F33" s="29"/>
      <c r="G33" s="29"/>
      <c r="H33" s="29"/>
      <c r="I33" s="29"/>
      <c r="J33" s="33"/>
      <c r="K33" s="33"/>
      <c r="L33" s="33"/>
      <c r="M33" s="33"/>
      <c r="N33" s="33"/>
    </row>
    <row r="34" spans="2:14" x14ac:dyDescent="0.25">
      <c r="C34" s="29"/>
      <c r="D34" s="29"/>
      <c r="E34" s="29"/>
      <c r="F34" s="29"/>
      <c r="G34" s="29"/>
      <c r="H34" s="29"/>
      <c r="I34" s="29"/>
      <c r="J34" s="33"/>
      <c r="K34" s="33"/>
      <c r="L34" s="33"/>
      <c r="M34" s="33"/>
      <c r="N34" s="33"/>
    </row>
    <row r="35" spans="2:14" x14ac:dyDescent="0.25">
      <c r="C35" s="29"/>
      <c r="D35" s="29"/>
      <c r="E35" s="29"/>
      <c r="F35" s="29"/>
      <c r="G35" s="29"/>
      <c r="H35" s="29"/>
      <c r="I35" s="29"/>
      <c r="J35" s="33"/>
      <c r="K35" s="33"/>
      <c r="L35" s="33"/>
      <c r="M35" s="33"/>
      <c r="N35" s="33"/>
    </row>
    <row r="36" spans="2:14" x14ac:dyDescent="0.25">
      <c r="C36" s="29"/>
      <c r="D36" s="29"/>
      <c r="E36" s="29"/>
      <c r="F36" s="29"/>
      <c r="G36" s="29"/>
      <c r="H36" s="29"/>
      <c r="I36" s="29"/>
      <c r="J36" s="33"/>
      <c r="K36" s="33"/>
      <c r="L36" s="33"/>
      <c r="M36" s="33"/>
      <c r="N36" s="33"/>
    </row>
    <row r="37" spans="2:14" x14ac:dyDescent="0.25">
      <c r="G37" s="33"/>
      <c r="H37" s="33"/>
      <c r="I37" s="33"/>
      <c r="J37" s="33"/>
      <c r="K37" s="33"/>
      <c r="L37" s="33"/>
      <c r="M37" s="33"/>
      <c r="N37" s="33"/>
    </row>
    <row r="39" spans="2:14" x14ac:dyDescent="0.25">
      <c r="B39" s="18"/>
    </row>
    <row r="40" spans="2:14" x14ac:dyDescent="0.25">
      <c r="B40" s="18"/>
    </row>
    <row r="41" spans="2:14" x14ac:dyDescent="0.25">
      <c r="B41" s="18"/>
      <c r="C41" s="36"/>
      <c r="D41" s="36"/>
      <c r="E41" s="36"/>
      <c r="F41" s="36"/>
      <c r="G41" s="36"/>
      <c r="H41" s="36"/>
      <c r="I41" s="218"/>
      <c r="J41" s="36"/>
      <c r="K41" s="36"/>
      <c r="L41" s="36"/>
      <c r="M41" s="36"/>
      <c r="N41" s="36"/>
    </row>
    <row r="42" spans="2:14" x14ac:dyDescent="0.25">
      <c r="C42" s="2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2:14" x14ac:dyDescent="0.25">
      <c r="C43" s="2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2:14" x14ac:dyDescent="0.25">
      <c r="C44" s="2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2:14" x14ac:dyDescent="0.25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2:14" x14ac:dyDescent="0.25">
      <c r="B46" s="11"/>
    </row>
  </sheetData>
  <mergeCells count="2">
    <mergeCell ref="J7:N7"/>
    <mergeCell ref="D7:I7"/>
  </mergeCells>
  <hyperlinks>
    <hyperlink ref="B3" location="Contents!A1" display="Table of Contents" xr:uid="{00000000-0004-0000-0E00-000000000000}"/>
  </hyperlinks>
  <pageMargins left="0.25" right="0.25" top="0.75" bottom="0.75" header="0.3" footer="0.3"/>
  <pageSetup paperSize="9" scale="85" orientation="portrait" r:id="rId1"/>
  <colBreaks count="2" manualBreakCount="2">
    <brk id="14" max="44" man="1"/>
    <brk id="16" max="4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J83"/>
  <sheetViews>
    <sheetView topLeftCell="B1" zoomScale="85" zoomScaleNormal="85" zoomScaleSheetLayoutView="85" workbookViewId="0">
      <pane xSplit="1" topLeftCell="C1" activePane="topRight" state="frozen"/>
      <selection activeCell="AZ19" sqref="AZ19:BE19"/>
      <selection pane="topRight" activeCell="O4" sqref="O4"/>
    </sheetView>
  </sheetViews>
  <sheetFormatPr defaultColWidth="9.140625" defaultRowHeight="15" outlineLevelCol="1" x14ac:dyDescent="0.25"/>
  <cols>
    <col min="1" max="1" width="2.42578125" style="2" customWidth="1"/>
    <col min="2" max="2" width="51.42578125" style="2" customWidth="1"/>
    <col min="3" max="3" width="9.140625" style="2" customWidth="1" outlineLevel="1"/>
    <col min="4" max="8" width="10.28515625" style="2" customWidth="1"/>
    <col min="9" max="9" width="10.28515625" style="2" customWidth="1" outlineLevel="1"/>
    <col min="10" max="14" width="10.28515625" style="2" customWidth="1"/>
    <col min="15" max="15" width="11.28515625" style="2" customWidth="1"/>
    <col min="16" max="16" width="1.7109375" style="2" customWidth="1"/>
    <col min="17" max="17" width="50.42578125" style="2" customWidth="1"/>
    <col min="18" max="18" width="11.7109375" style="2" bestFit="1" customWidth="1"/>
    <col min="19" max="16384" width="9.140625" style="2"/>
  </cols>
  <sheetData>
    <row r="2" spans="2:29" ht="18.75" x14ac:dyDescent="0.3">
      <c r="B2" s="50" t="s">
        <v>146</v>
      </c>
      <c r="C2" s="18"/>
      <c r="D2" s="16"/>
    </row>
    <row r="3" spans="2:29" x14ac:dyDescent="0.25">
      <c r="B3" s="51" t="s">
        <v>70</v>
      </c>
      <c r="C3" s="18"/>
      <c r="D3" s="16"/>
    </row>
    <row r="4" spans="2:29" x14ac:dyDescent="0.25">
      <c r="C4" s="112" t="s">
        <v>19</v>
      </c>
      <c r="D4" s="454" t="s">
        <v>19</v>
      </c>
      <c r="E4" s="442" t="s">
        <v>19</v>
      </c>
      <c r="F4" s="443" t="s">
        <v>19</v>
      </c>
      <c r="G4" s="444" t="s">
        <v>19</v>
      </c>
      <c r="H4" s="455" t="s">
        <v>97</v>
      </c>
      <c r="I4" s="220" t="s">
        <v>97</v>
      </c>
      <c r="J4" s="129" t="s">
        <v>97</v>
      </c>
      <c r="K4" s="10" t="s">
        <v>97</v>
      </c>
      <c r="L4" s="10" t="s">
        <v>97</v>
      </c>
      <c r="M4" s="10" t="s">
        <v>97</v>
      </c>
      <c r="N4" s="10" t="s">
        <v>97</v>
      </c>
      <c r="O4" s="36" t="s">
        <v>224</v>
      </c>
    </row>
    <row r="5" spans="2:29" x14ac:dyDescent="0.25">
      <c r="B5" s="11" t="s">
        <v>54</v>
      </c>
      <c r="C5" s="4" t="s">
        <v>7</v>
      </c>
      <c r="D5" s="130" t="s">
        <v>8</v>
      </c>
      <c r="E5" s="223" t="s">
        <v>9</v>
      </c>
      <c r="F5" s="223" t="s">
        <v>10</v>
      </c>
      <c r="G5" s="223" t="s">
        <v>11</v>
      </c>
      <c r="H5" s="447" t="s">
        <v>12</v>
      </c>
      <c r="I5" s="218" t="s">
        <v>219</v>
      </c>
      <c r="J5" s="130" t="s">
        <v>100</v>
      </c>
      <c r="K5" s="223" t="s">
        <v>101</v>
      </c>
      <c r="L5" s="223" t="s">
        <v>102</v>
      </c>
      <c r="M5" s="223" t="s">
        <v>147</v>
      </c>
      <c r="N5" s="223" t="s">
        <v>220</v>
      </c>
      <c r="O5" s="36" t="s">
        <v>4</v>
      </c>
      <c r="Q5" s="36" t="s">
        <v>115</v>
      </c>
    </row>
    <row r="6" spans="2:29" x14ac:dyDescent="0.25">
      <c r="B6" s="18" t="s">
        <v>223</v>
      </c>
      <c r="D6" s="131"/>
      <c r="E6" s="94"/>
      <c r="F6" s="94"/>
      <c r="G6" s="94"/>
      <c r="H6" s="456"/>
      <c r="J6" s="131"/>
    </row>
    <row r="7" spans="2:29" x14ac:dyDescent="0.25">
      <c r="B7" s="2" t="s">
        <v>109</v>
      </c>
      <c r="C7" s="61">
        <f>Capex_Fcast_Total!C62-C8</f>
        <v>14749.492549626568</v>
      </c>
      <c r="D7" s="300">
        <f>Capex_Fcast_Total!D62-D8</f>
        <v>30549.907790122932</v>
      </c>
      <c r="E7" s="101">
        <f>Capex_Fcast_Total!E62-E8</f>
        <v>25183.020096925869</v>
      </c>
      <c r="F7" s="101">
        <f>Capex_Fcast_Total!F62-F8</f>
        <v>19600.484696115796</v>
      </c>
      <c r="G7" s="101">
        <f>Capex_Fcast_Total!G62-G8</f>
        <v>14670.712592918404</v>
      </c>
      <c r="H7" s="457">
        <f>Capex_Fcast_Total!H62-H8</f>
        <v>12778.318394018599</v>
      </c>
      <c r="I7" s="61">
        <f>Capex_Fcast_Total!I62-I8</f>
        <v>6736.5918447436525</v>
      </c>
      <c r="J7" s="300">
        <f>Capex_Fcast_Total!J62-J8</f>
        <v>7858.7747485988402</v>
      </c>
      <c r="K7" s="61">
        <f>Capex_Fcast_Total!K62-K8</f>
        <v>13453.826043537432</v>
      </c>
      <c r="L7" s="61">
        <f>Capex_Fcast_Total!L62-L8</f>
        <v>13690.319488579735</v>
      </c>
      <c r="M7" s="61">
        <f>Capex_Fcast_Total!M62-M8</f>
        <v>13937.128641965763</v>
      </c>
      <c r="N7" s="61">
        <f>Capex_Fcast_Total!N62-N8</f>
        <v>14076.293133770036</v>
      </c>
      <c r="O7" s="5">
        <f>SUM(J7:N7)</f>
        <v>63016.342056451802</v>
      </c>
      <c r="Q7" s="437"/>
      <c r="R7" s="5"/>
      <c r="V7" s="5"/>
      <c r="W7" s="5"/>
      <c r="X7" s="5"/>
      <c r="Y7" s="5"/>
      <c r="Z7" s="5"/>
      <c r="AA7" s="5"/>
      <c r="AB7" s="5"/>
      <c r="AC7" s="5"/>
    </row>
    <row r="8" spans="2:29" ht="30" x14ac:dyDescent="0.25">
      <c r="B8" s="16" t="s">
        <v>216</v>
      </c>
      <c r="C8" s="61">
        <f>C23</f>
        <v>575.87318672877393</v>
      </c>
      <c r="D8" s="300">
        <f>D23</f>
        <v>173.2648419816669</v>
      </c>
      <c r="E8" s="101">
        <f>E23</f>
        <v>1237.7078868409576</v>
      </c>
      <c r="F8" s="101">
        <f>F23</f>
        <v>25379.121768364232</v>
      </c>
      <c r="G8" s="101">
        <v>37199.930775793953</v>
      </c>
      <c r="H8" s="457">
        <v>31501.597685233079</v>
      </c>
      <c r="I8" s="61">
        <v>16413.444502224826</v>
      </c>
      <c r="J8" s="300">
        <v>18991.739410933067</v>
      </c>
      <c r="K8" s="61">
        <v>32807.164116763648</v>
      </c>
      <c r="L8" s="61">
        <v>32990.138346211774</v>
      </c>
      <c r="M8" s="61">
        <v>33373.931055493704</v>
      </c>
      <c r="N8" s="61">
        <v>33652.759012488423</v>
      </c>
      <c r="O8" s="61">
        <f t="shared" ref="O8:O14" si="0">SUM(J8:N8)</f>
        <v>151815.73194189061</v>
      </c>
      <c r="Q8" s="123" t="s">
        <v>165</v>
      </c>
      <c r="R8" s="5"/>
      <c r="V8" s="5"/>
      <c r="W8" s="5"/>
      <c r="X8" s="5"/>
      <c r="Y8" s="5"/>
      <c r="Z8" s="5"/>
      <c r="AA8" s="5"/>
      <c r="AB8" s="5"/>
      <c r="AC8" s="5"/>
    </row>
    <row r="9" spans="2:29" x14ac:dyDescent="0.25">
      <c r="B9" s="16" t="s">
        <v>110</v>
      </c>
      <c r="C9" s="61">
        <f>Capex_Fcast_Total!C63</f>
        <v>12649.257033861892</v>
      </c>
      <c r="D9" s="300">
        <f>Capex_Fcast_Total!D63</f>
        <v>13213.262785188772</v>
      </c>
      <c r="E9" s="101">
        <f>Capex_Fcast_Total!E63</f>
        <v>12606.988954203049</v>
      </c>
      <c r="F9" s="101">
        <f>Capex_Fcast_Total!F63</f>
        <v>13742.960748050235</v>
      </c>
      <c r="G9" s="101">
        <f>Capex_Fcast_Total!G63</f>
        <v>11397.347396880992</v>
      </c>
      <c r="H9" s="457">
        <f>Capex_Fcast_Total!H63</f>
        <v>12092.565596536286</v>
      </c>
      <c r="I9" s="61">
        <f>Capex_Fcast_Total!I63</f>
        <v>6373.7990719986374</v>
      </c>
      <c r="J9" s="300">
        <f>Capex_Fcast_Total!J63</f>
        <v>7356.2886103277106</v>
      </c>
      <c r="K9" s="61">
        <f>Capex_Fcast_Total!K63</f>
        <v>12672.924553475623</v>
      </c>
      <c r="L9" s="61">
        <f>Capex_Fcast_Total!L63</f>
        <v>12890.032443366108</v>
      </c>
      <c r="M9" s="61">
        <f>Capex_Fcast_Total!M63</f>
        <v>13121.985358534459</v>
      </c>
      <c r="N9" s="61">
        <f>Capex_Fcast_Total!N63</f>
        <v>13267.650914920243</v>
      </c>
      <c r="O9" s="61">
        <f t="shared" si="0"/>
        <v>59308.881880624147</v>
      </c>
      <c r="R9" s="5"/>
      <c r="V9" s="5"/>
      <c r="W9" s="5"/>
      <c r="X9" s="5"/>
      <c r="Y9" s="5"/>
      <c r="Z9" s="5"/>
      <c r="AA9" s="5"/>
      <c r="AB9" s="5"/>
      <c r="AC9" s="5"/>
    </row>
    <row r="10" spans="2:29" x14ac:dyDescent="0.25">
      <c r="B10" s="16" t="s">
        <v>111</v>
      </c>
      <c r="C10" s="61">
        <f>Capex_Fcast_Total!C64-C11</f>
        <v>15726.992254695075</v>
      </c>
      <c r="D10" s="300">
        <f>Capex_Fcast_Total!D64-D11</f>
        <v>16191.195065081954</v>
      </c>
      <c r="E10" s="101">
        <f>Capex_Fcast_Total!E64-E11</f>
        <v>18745.287718821619</v>
      </c>
      <c r="F10" s="101">
        <f>Capex_Fcast_Total!F64-F11</f>
        <v>28239.584821046185</v>
      </c>
      <c r="G10" s="101">
        <f>Capex_Fcast_Total!G64-G11</f>
        <v>27278.461245109684</v>
      </c>
      <c r="H10" s="457">
        <f>Capex_Fcast_Total!H64-H11</f>
        <v>25720.824440334516</v>
      </c>
      <c r="I10" s="61">
        <f>Capex_Fcast_Total!I64-I11</f>
        <v>11333.73932971819</v>
      </c>
      <c r="J10" s="300">
        <f>Capex_Fcast_Total!J64-J11</f>
        <v>13284.314832216458</v>
      </c>
      <c r="K10" s="61">
        <f>Capex_Fcast_Total!K64-K11</f>
        <v>22725.149460648223</v>
      </c>
      <c r="L10" s="61">
        <f>Capex_Fcast_Total!L64-L11</f>
        <v>22593.712753994576</v>
      </c>
      <c r="M10" s="61">
        <f>Capex_Fcast_Total!M64-M11</f>
        <v>22528.198541628397</v>
      </c>
      <c r="N10" s="61">
        <f>Capex_Fcast_Total!N64-N11</f>
        <v>22627.190600388105</v>
      </c>
      <c r="O10" s="61">
        <f t="shared" si="0"/>
        <v>103758.56618887576</v>
      </c>
      <c r="R10" s="5"/>
      <c r="V10" s="5"/>
      <c r="W10" s="5"/>
      <c r="X10" s="5"/>
      <c r="Y10" s="5"/>
      <c r="Z10" s="5"/>
      <c r="AA10" s="5"/>
      <c r="AB10" s="5"/>
      <c r="AC10" s="5"/>
    </row>
    <row r="11" spans="2:29" ht="30" x14ac:dyDescent="0.25">
      <c r="B11" s="16" t="s">
        <v>346</v>
      </c>
      <c r="C11" s="101">
        <f t="shared" ref="C11:D11" si="1">C26</f>
        <v>1072.8054906778293</v>
      </c>
      <c r="D11" s="300">
        <f t="shared" si="1"/>
        <v>366.64798702708401</v>
      </c>
      <c r="E11" s="101">
        <f>E26</f>
        <v>4538.6049592596346</v>
      </c>
      <c r="F11" s="101">
        <f>F26</f>
        <v>4028.1567520065091</v>
      </c>
      <c r="G11" s="101">
        <v>8511.7638277137467</v>
      </c>
      <c r="H11" s="457">
        <v>3919.3639959268035</v>
      </c>
      <c r="I11" s="61">
        <v>1959.756072983068</v>
      </c>
      <c r="J11" s="300">
        <v>2271.7347474058311</v>
      </c>
      <c r="K11" s="61">
        <v>3922.071815539231</v>
      </c>
      <c r="L11" s="61">
        <v>3923.3947581752836</v>
      </c>
      <c r="M11" s="61">
        <v>3925.4259898354758</v>
      </c>
      <c r="N11" s="61">
        <v>3928.1259437044432</v>
      </c>
      <c r="O11" s="61">
        <f t="shared" si="0"/>
        <v>17970.753254660263</v>
      </c>
      <c r="Q11" s="520" t="s">
        <v>399</v>
      </c>
      <c r="R11" s="5"/>
      <c r="V11" s="5"/>
      <c r="W11" s="5"/>
      <c r="X11" s="5"/>
      <c r="Y11" s="5"/>
      <c r="Z11" s="5"/>
      <c r="AA11" s="5"/>
      <c r="AB11" s="5"/>
      <c r="AC11" s="5"/>
    </row>
    <row r="12" spans="2:29" x14ac:dyDescent="0.25">
      <c r="B12" s="2" t="s">
        <v>112</v>
      </c>
      <c r="C12" s="61">
        <f>SUM(Capex_Fcast_Total!C65:C66)</f>
        <v>18776.235273063954</v>
      </c>
      <c r="D12" s="300">
        <f>Capex_Fcast_Total!D65</f>
        <v>3424.7744744508882</v>
      </c>
      <c r="E12" s="101">
        <f>Capex_Fcast_Total!E65</f>
        <v>7494.9204812701091</v>
      </c>
      <c r="F12" s="101">
        <f>Capex_Fcast_Total!F65</f>
        <v>8582.5664691901839</v>
      </c>
      <c r="G12" s="101">
        <f>Capex_Fcast_Total!G65</f>
        <v>8944.9489787434886</v>
      </c>
      <c r="H12" s="457">
        <f>Capex_Fcast_Total!H65</f>
        <v>6968.2823903772924</v>
      </c>
      <c r="I12" s="61">
        <f>Capex_Fcast_Total!I65</f>
        <v>3673.1105760671685</v>
      </c>
      <c r="J12" s="300">
        <f>Capex_Fcast_Total!J65</f>
        <v>4242.2086911687893</v>
      </c>
      <c r="K12" s="61">
        <f>Capex_Fcast_Total!K65</f>
        <v>7311.4177528919754</v>
      </c>
      <c r="L12" s="61">
        <f>Capex_Fcast_Total!L65</f>
        <v>7440.9967574106686</v>
      </c>
      <c r="M12" s="61">
        <f>Capex_Fcast_Total!M65</f>
        <v>7581.6465750126745</v>
      </c>
      <c r="N12" s="61">
        <f>Capex_Fcast_Total!N65</f>
        <v>7674.8728063393673</v>
      </c>
      <c r="O12" s="5">
        <f t="shared" si="0"/>
        <v>34251.142582823471</v>
      </c>
      <c r="R12" s="5"/>
      <c r="V12" s="5"/>
      <c r="W12" s="5"/>
      <c r="X12" s="5"/>
      <c r="Y12" s="5"/>
      <c r="Z12" s="5"/>
      <c r="AA12" s="5"/>
      <c r="AB12" s="5"/>
      <c r="AC12" s="5"/>
    </row>
    <row r="13" spans="2:29" x14ac:dyDescent="0.25">
      <c r="B13" s="2" t="s">
        <v>96</v>
      </c>
      <c r="C13" s="61">
        <f>Capex_Fcast_Total!C66*0</f>
        <v>0</v>
      </c>
      <c r="D13" s="300">
        <f>Capex_Fcast_Total!D66</f>
        <v>7920.1253556470074</v>
      </c>
      <c r="E13" s="101">
        <f>Capex_Fcast_Total!E66</f>
        <v>7015.577824833892</v>
      </c>
      <c r="F13" s="101">
        <f>Capex_Fcast_Total!F66</f>
        <v>5723.2295448237019</v>
      </c>
      <c r="G13" s="101">
        <f>Capex_Fcast_Total!G66</f>
        <v>6430.2686810102095</v>
      </c>
      <c r="H13" s="457">
        <f>Capex_Fcast_Total!H66</f>
        <v>6885.2745662909601</v>
      </c>
      <c r="I13" s="61">
        <f>Capex_Fcast_Total!I66</f>
        <v>3629.2163342008726</v>
      </c>
      <c r="J13" s="300">
        <f>Capex_Fcast_Total!J66</f>
        <v>4189.825072377741</v>
      </c>
      <c r="K13" s="61">
        <f>Capex_Fcast_Total!K66</f>
        <v>7219.2637398236348</v>
      </c>
      <c r="L13" s="61">
        <f>Capex_Fcast_Total!L66</f>
        <v>7344.7009922050865</v>
      </c>
      <c r="M13" s="61">
        <f>Capex_Fcast_Total!M66</f>
        <v>7479.6150399524213</v>
      </c>
      <c r="N13" s="61">
        <f>Capex_Fcast_Total!N66</f>
        <v>7566.3345722830518</v>
      </c>
      <c r="O13" s="5">
        <f t="shared" si="0"/>
        <v>33799.739416641933</v>
      </c>
      <c r="Q13" s="123"/>
      <c r="R13" s="5"/>
      <c r="V13" s="5"/>
      <c r="W13" s="5"/>
      <c r="X13" s="5"/>
      <c r="Y13" s="5"/>
      <c r="Z13" s="5"/>
      <c r="AA13" s="5"/>
      <c r="AB13" s="5"/>
      <c r="AC13" s="5"/>
    </row>
    <row r="14" spans="2:29" x14ac:dyDescent="0.25">
      <c r="B14" s="2" t="s">
        <v>113</v>
      </c>
      <c r="C14" s="61">
        <f>Capex_Fcast_Total!C67</f>
        <v>24761.327416308333</v>
      </c>
      <c r="D14" s="300">
        <f>Capex_Fcast_Total!D67</f>
        <v>432.15264212315111</v>
      </c>
      <c r="E14" s="101">
        <f>Capex_Fcast_Total!E67</f>
        <v>145.112390279457</v>
      </c>
      <c r="F14" s="101">
        <f>Capex_Fcast_Total!F67</f>
        <v>141.65516631948717</v>
      </c>
      <c r="G14" s="101">
        <f>Capex_Fcast_Total!G67</f>
        <v>5039.6414045396887</v>
      </c>
      <c r="H14" s="457">
        <f>Capex_Fcast_Total!H67</f>
        <v>8220.2197084890795</v>
      </c>
      <c r="I14" s="61">
        <f>Capex_Fcast_Total!I67</f>
        <v>5205.4137209650644</v>
      </c>
      <c r="J14" s="300">
        <f>Capex_Fcast_Total!J67</f>
        <v>19026.545942562323</v>
      </c>
      <c r="K14" s="61">
        <f>Capex_Fcast_Total!K67</f>
        <v>18996.932056083922</v>
      </c>
      <c r="L14" s="61">
        <f>Capex_Fcast_Total!L67</f>
        <v>19244.929281259709</v>
      </c>
      <c r="M14" s="61">
        <f>Capex_Fcast_Total!M67</f>
        <v>19411.859516163233</v>
      </c>
      <c r="N14" s="61">
        <f>Capex_Fcast_Total!N67</f>
        <v>19525.933421264908</v>
      </c>
      <c r="O14" s="5">
        <f t="shared" si="0"/>
        <v>96206.200217334102</v>
      </c>
      <c r="Q14" s="123"/>
      <c r="R14" s="5"/>
      <c r="V14" s="5"/>
      <c r="W14" s="5"/>
      <c r="X14" s="5"/>
      <c r="Y14" s="5"/>
      <c r="Z14" s="5"/>
      <c r="AA14" s="5"/>
      <c r="AB14" s="5"/>
      <c r="AC14" s="5"/>
    </row>
    <row r="15" spans="2:29" x14ac:dyDescent="0.25">
      <c r="C15" s="102">
        <f>SUM(C7:C14)</f>
        <v>88311.983204962424</v>
      </c>
      <c r="D15" s="301">
        <f t="shared" ref="D15:O15" si="2">SUM(D7:D14)</f>
        <v>72271.33094162347</v>
      </c>
      <c r="E15" s="102">
        <f t="shared" si="2"/>
        <v>76967.220312434583</v>
      </c>
      <c r="F15" s="102">
        <f t="shared" si="2"/>
        <v>105437.75996591634</v>
      </c>
      <c r="G15" s="102">
        <f t="shared" si="2"/>
        <v>119473.07490271018</v>
      </c>
      <c r="H15" s="458">
        <f t="shared" si="2"/>
        <v>108086.44677720661</v>
      </c>
      <c r="I15" s="102">
        <f t="shared" ref="I15" si="3">SUM(I7:I14)</f>
        <v>55325.07145290148</v>
      </c>
      <c r="J15" s="301">
        <f t="shared" si="2"/>
        <v>77221.432055590762</v>
      </c>
      <c r="K15" s="102">
        <f t="shared" si="2"/>
        <v>119108.74953876367</v>
      </c>
      <c r="L15" s="102">
        <f t="shared" si="2"/>
        <v>120118.22482120295</v>
      </c>
      <c r="M15" s="102">
        <f t="shared" si="2"/>
        <v>121359.79071858613</v>
      </c>
      <c r="N15" s="102">
        <f t="shared" si="2"/>
        <v>122319.16040515859</v>
      </c>
      <c r="O15" s="6">
        <f t="shared" si="2"/>
        <v>560127.35753930209</v>
      </c>
      <c r="R15" s="5"/>
      <c r="X15" s="5"/>
      <c r="Y15" s="5"/>
      <c r="Z15" s="5"/>
      <c r="AA15" s="5"/>
      <c r="AB15" s="5"/>
      <c r="AC15" s="5"/>
    </row>
    <row r="16" spans="2:29" x14ac:dyDescent="0.25">
      <c r="B16" s="2" t="s">
        <v>114</v>
      </c>
      <c r="C16" s="61">
        <f>Capex_Fcast_Total!C68</f>
        <v>1306.5315135471155</v>
      </c>
      <c r="D16" s="300">
        <f>Capex_Fcast_Total!D68</f>
        <v>1325.3111193454779</v>
      </c>
      <c r="E16" s="101">
        <f>Capex_Fcast_Total!E68</f>
        <v>662.19872501931422</v>
      </c>
      <c r="F16" s="101">
        <f>Capex_Fcast_Total!F68</f>
        <v>1181.85349091375</v>
      </c>
      <c r="G16" s="101">
        <f>Capex_Fcast_Total!G68</f>
        <v>879.05510091044175</v>
      </c>
      <c r="H16" s="457">
        <f>Capex_Fcast_Total!H68</f>
        <v>874.5995319528372</v>
      </c>
      <c r="I16" s="61">
        <f>Capex_Fcast_Total!I68</f>
        <v>442.51029783469409</v>
      </c>
      <c r="J16" s="300">
        <f>Capex_Fcast_Total!J68</f>
        <v>893.59731538750498</v>
      </c>
      <c r="K16" s="61">
        <f>Capex_Fcast_Total!K68</f>
        <v>885.80969519188261</v>
      </c>
      <c r="L16" s="61">
        <f>Capex_Fcast_Total!L68</f>
        <v>896.52845981609141</v>
      </c>
      <c r="M16" s="61">
        <f>Capex_Fcast_Total!M68</f>
        <v>903.08957264097216</v>
      </c>
      <c r="N16" s="61">
        <f>Capex_Fcast_Total!N68</f>
        <v>906.84214108335027</v>
      </c>
      <c r="O16" s="5">
        <f t="shared" ref="O16:O17" si="4">SUM(J16:N16)</f>
        <v>4485.8671841198011</v>
      </c>
      <c r="R16" s="5"/>
      <c r="S16" s="33"/>
      <c r="T16" s="33"/>
      <c r="U16" s="33"/>
      <c r="V16" s="33"/>
      <c r="X16" s="5"/>
      <c r="Y16" s="5"/>
      <c r="Z16" s="5"/>
      <c r="AA16" s="5"/>
      <c r="AB16" s="5"/>
      <c r="AC16" s="5"/>
    </row>
    <row r="17" spans="2:36" x14ac:dyDescent="0.25">
      <c r="B17" s="2" t="s">
        <v>168</v>
      </c>
      <c r="C17" s="5">
        <f>Capex_Fcast_Total!C69</f>
        <v>0</v>
      </c>
      <c r="D17" s="459">
        <f>Capex_Fcast_Total!D69</f>
        <v>0</v>
      </c>
      <c r="E17" s="445">
        <f>Capex_Fcast_Total!E69</f>
        <v>0</v>
      </c>
      <c r="F17" s="445">
        <f>Capex_Fcast_Total!F69</f>
        <v>0</v>
      </c>
      <c r="G17" s="445">
        <f>Capex_Fcast_Total!G69</f>
        <v>0</v>
      </c>
      <c r="H17" s="460">
        <f>Capex_Fcast_Total!H69</f>
        <v>395.37047624658965</v>
      </c>
      <c r="I17" s="5">
        <f>Capex_Fcast_Total!I69</f>
        <v>-4.9172044618351389</v>
      </c>
      <c r="J17" s="132">
        <f>Capex_Fcast_Total!J69</f>
        <v>12.146038391678726</v>
      </c>
      <c r="K17" s="5">
        <f>Capex_Fcast_Total!K69</f>
        <v>3.3943215290122994</v>
      </c>
      <c r="L17" s="5">
        <f>Capex_Fcast_Total!L69</f>
        <v>-56.704422743099364</v>
      </c>
      <c r="M17" s="5">
        <f>Capex_Fcast_Total!M69</f>
        <v>-109.29925143308024</v>
      </c>
      <c r="N17" s="5">
        <f>Capex_Fcast_Total!N69</f>
        <v>-116.48596970366306</v>
      </c>
      <c r="O17" s="5">
        <f t="shared" si="4"/>
        <v>-266.94928395915161</v>
      </c>
      <c r="S17" s="33"/>
      <c r="T17" s="33"/>
      <c r="U17" s="33"/>
      <c r="V17" s="33"/>
      <c r="X17" s="5"/>
      <c r="Y17" s="5"/>
      <c r="Z17" s="5"/>
      <c r="AA17" s="5"/>
      <c r="AB17" s="5"/>
      <c r="AC17" s="5"/>
    </row>
    <row r="18" spans="2:36" ht="15.75" thickBot="1" x14ac:dyDescent="0.3">
      <c r="B18" s="18" t="s">
        <v>227</v>
      </c>
      <c r="C18" s="60">
        <f>SUM(C15:C17)</f>
        <v>89618.514718509541</v>
      </c>
      <c r="D18" s="133">
        <f t="shared" ref="D18:O18" si="5">SUM(D15:D17)</f>
        <v>73596.642060968952</v>
      </c>
      <c r="E18" s="60">
        <f t="shared" si="5"/>
        <v>77629.419037453903</v>
      </c>
      <c r="F18" s="60">
        <f t="shared" si="5"/>
        <v>106619.61345683009</v>
      </c>
      <c r="G18" s="60">
        <f t="shared" si="5"/>
        <v>120352.13000362062</v>
      </c>
      <c r="H18" s="453">
        <f t="shared" si="5"/>
        <v>109356.41678540604</v>
      </c>
      <c r="I18" s="60">
        <f t="shared" ref="I18" si="6">SUM(I15:I17)</f>
        <v>55762.66454627434</v>
      </c>
      <c r="J18" s="133">
        <f t="shared" si="5"/>
        <v>78127.175409369956</v>
      </c>
      <c r="K18" s="60">
        <f t="shared" si="5"/>
        <v>119997.95355548456</v>
      </c>
      <c r="L18" s="60">
        <f t="shared" si="5"/>
        <v>120958.04885827594</v>
      </c>
      <c r="M18" s="60">
        <f t="shared" si="5"/>
        <v>122153.58103979401</v>
      </c>
      <c r="N18" s="60">
        <f t="shared" si="5"/>
        <v>123109.51657653828</v>
      </c>
      <c r="O18" s="60">
        <f t="shared" si="5"/>
        <v>564346.27543946274</v>
      </c>
      <c r="Q18" s="127"/>
      <c r="R18" s="14"/>
      <c r="S18" s="14"/>
      <c r="X18" s="5"/>
      <c r="Y18" s="5"/>
      <c r="Z18" s="5"/>
      <c r="AA18" s="5"/>
      <c r="AB18" s="5"/>
      <c r="AC18" s="5"/>
    </row>
    <row r="19" spans="2:36" x14ac:dyDescent="0.25">
      <c r="B19" s="142" t="s">
        <v>78</v>
      </c>
      <c r="C19" s="63">
        <f>C18-Capex_Fcast_Total!C70</f>
        <v>0</v>
      </c>
      <c r="D19" s="63">
        <f>D18-Capex_Fcast_Total!D70</f>
        <v>0</v>
      </c>
      <c r="E19" s="62">
        <f>E18-Capex_Fcast_Total!E70</f>
        <v>0</v>
      </c>
      <c r="F19" s="446">
        <f>F18-Capex_Fcast_Total!F70</f>
        <v>0</v>
      </c>
      <c r="G19" s="63">
        <f>G18-Capex_Fcast_Total!G70</f>
        <v>0</v>
      </c>
      <c r="H19" s="63">
        <f>H18-Capex_Fcast_Total!H70</f>
        <v>0</v>
      </c>
      <c r="I19" s="63">
        <f>I18-Capex_Fcast_Total!I70</f>
        <v>0</v>
      </c>
      <c r="J19" s="63">
        <f>J18-Capex_Fcast_Total!J70</f>
        <v>0</v>
      </c>
      <c r="K19" s="63">
        <f>K18-Capex_Fcast_Total!K70</f>
        <v>0</v>
      </c>
      <c r="L19" s="63">
        <f>L18-Capex_Fcast_Total!L70</f>
        <v>0</v>
      </c>
      <c r="M19" s="63">
        <f>M18-Capex_Fcast_Total!M70</f>
        <v>0</v>
      </c>
      <c r="N19" s="63">
        <f>N18-Capex_Fcast_Total!N70</f>
        <v>0</v>
      </c>
      <c r="O19" s="63">
        <f>O18-Capex_Fcast_Total!O70</f>
        <v>0</v>
      </c>
      <c r="R19" s="14"/>
      <c r="S19" s="14"/>
      <c r="T19" s="5"/>
      <c r="U19" s="5"/>
      <c r="V19" s="5"/>
      <c r="X19" s="5"/>
      <c r="Y19" s="5"/>
      <c r="Z19" s="5"/>
      <c r="AA19" s="5"/>
      <c r="AB19" s="5"/>
      <c r="AC19" s="5"/>
    </row>
    <row r="20" spans="2:36" x14ac:dyDescent="0.25">
      <c r="B20" s="142"/>
      <c r="C20" s="63"/>
      <c r="D20" s="63"/>
      <c r="E20" s="62"/>
      <c r="F20" s="62"/>
      <c r="G20" s="63"/>
      <c r="H20" s="63"/>
      <c r="I20" s="63"/>
      <c r="J20" s="466"/>
      <c r="K20" s="466"/>
      <c r="L20" s="466"/>
      <c r="M20" s="466"/>
      <c r="N20" s="466"/>
      <c r="O20" s="63"/>
      <c r="S20" s="5"/>
      <c r="T20" s="14"/>
      <c r="U20" s="14"/>
      <c r="V20" s="14"/>
      <c r="W20" s="14"/>
      <c r="X20" s="14"/>
      <c r="Y20" s="14"/>
      <c r="Z20" s="14"/>
      <c r="AA20" s="14"/>
      <c r="AB20" s="5"/>
      <c r="AC20" s="5"/>
    </row>
    <row r="21" spans="2:36" x14ac:dyDescent="0.25">
      <c r="B21" s="18" t="s">
        <v>228</v>
      </c>
      <c r="C21" s="36" t="s">
        <v>7</v>
      </c>
      <c r="D21" s="130" t="s">
        <v>8</v>
      </c>
      <c r="E21" s="223" t="s">
        <v>9</v>
      </c>
      <c r="F21" s="223" t="s">
        <v>10</v>
      </c>
      <c r="G21" s="223" t="s">
        <v>11</v>
      </c>
      <c r="H21" s="447" t="s">
        <v>12</v>
      </c>
      <c r="I21" s="218" t="s">
        <v>219</v>
      </c>
      <c r="J21" s="130" t="s">
        <v>100</v>
      </c>
      <c r="K21" s="36" t="s">
        <v>101</v>
      </c>
      <c r="L21" s="36" t="s">
        <v>102</v>
      </c>
      <c r="M21" s="36" t="s">
        <v>147</v>
      </c>
      <c r="N21" s="36" t="s">
        <v>220</v>
      </c>
      <c r="O21" s="36" t="s">
        <v>4</v>
      </c>
      <c r="X21" s="5"/>
      <c r="Y21" s="5"/>
      <c r="Z21" s="5"/>
      <c r="AA21" s="5"/>
      <c r="AB21" s="5"/>
      <c r="AC21" s="5"/>
    </row>
    <row r="22" spans="2:36" x14ac:dyDescent="0.25">
      <c r="B22" s="2" t="s">
        <v>109</v>
      </c>
      <c r="C22" s="61">
        <f>Contr_Fcast!C10</f>
        <v>2722.5035653702253</v>
      </c>
      <c r="D22" s="300">
        <f>Contr_Fcast!D10</f>
        <v>2331.5749305519853</v>
      </c>
      <c r="E22" s="101">
        <f>Contr_Fcast!E10</f>
        <v>3163.3826407481774</v>
      </c>
      <c r="F22" s="101">
        <f>Contr_Fcast!F10</f>
        <v>3212.176705118085</v>
      </c>
      <c r="G22" s="101">
        <f>Contr_Fcast!G10</f>
        <v>2501.7563976546876</v>
      </c>
      <c r="H22" s="457">
        <f>Contr_Fcast!H10</f>
        <v>2142.9072803878266</v>
      </c>
      <c r="I22" s="61">
        <f>Contr_Fcast!I10</f>
        <v>1129.7824185289762</v>
      </c>
      <c r="J22" s="300">
        <f>Contr_Fcast!J10</f>
        <v>1252.2617112887895</v>
      </c>
      <c r="K22" s="61">
        <f>Contr_Fcast!K10</f>
        <v>2190.4135865373341</v>
      </c>
      <c r="L22" s="61">
        <f>Contr_Fcast!L10</f>
        <v>2231.9099839627806</v>
      </c>
      <c r="M22" s="61">
        <f>Contr_Fcast!M10</f>
        <v>2241.7507617448323</v>
      </c>
      <c r="N22" s="61">
        <f>Contr_Fcast!N10</f>
        <v>2275.7288468358852</v>
      </c>
      <c r="O22" s="61">
        <f t="shared" ref="O22:O29" si="7">SUM(J22:N22)</f>
        <v>10192.064890369622</v>
      </c>
      <c r="Q22" s="437" t="s">
        <v>166</v>
      </c>
      <c r="R22" s="14"/>
      <c r="S22" s="14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2:36" x14ac:dyDescent="0.25">
      <c r="B23" s="2" t="s">
        <v>216</v>
      </c>
      <c r="C23" s="61">
        <f>Cost_Recovery!E46*Escalation!F$9</f>
        <v>575.87318672877393</v>
      </c>
      <c r="D23" s="300">
        <f>Cost_Recovery!F46*Escalation!G$9</f>
        <v>173.2648419816669</v>
      </c>
      <c r="E23" s="101">
        <f>Cost_Recovery!G46*Escalation!H$9</f>
        <v>1237.7078868409576</v>
      </c>
      <c r="F23" s="101">
        <f>Cost_Recovery!H46*Escalation!I$9</f>
        <v>25379.121768364232</v>
      </c>
      <c r="G23" s="101">
        <f t="shared" ref="G23:N23" si="8">G8</f>
        <v>37199.930775793953</v>
      </c>
      <c r="H23" s="457">
        <f t="shared" si="8"/>
        <v>31501.597685233079</v>
      </c>
      <c r="I23" s="61">
        <f t="shared" ref="I23" si="9">I8</f>
        <v>16413.444502224826</v>
      </c>
      <c r="J23" s="300">
        <f t="shared" si="8"/>
        <v>18991.739410933067</v>
      </c>
      <c r="K23" s="61">
        <f t="shared" si="8"/>
        <v>32807.164116763648</v>
      </c>
      <c r="L23" s="61">
        <f t="shared" si="8"/>
        <v>32990.138346211774</v>
      </c>
      <c r="M23" s="61">
        <f t="shared" si="8"/>
        <v>33373.931055493704</v>
      </c>
      <c r="N23" s="61">
        <f t="shared" si="8"/>
        <v>33652.759012488423</v>
      </c>
      <c r="O23" s="61">
        <f t="shared" si="7"/>
        <v>151815.73194189061</v>
      </c>
      <c r="Q23" s="437"/>
      <c r="R23" s="14"/>
      <c r="S23" s="14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2:36" x14ac:dyDescent="0.25">
      <c r="B24" s="2" t="s">
        <v>110</v>
      </c>
      <c r="C24" s="61">
        <f>Contr_Fcast!C11</f>
        <v>726.69832579438207</v>
      </c>
      <c r="D24" s="300">
        <f>Contr_Fcast!D11</f>
        <v>2005.6641711839522</v>
      </c>
      <c r="E24" s="101">
        <f>Contr_Fcast!E11</f>
        <v>3914.1846894913811</v>
      </c>
      <c r="F24" s="449">
        <f>Contr_Fcast!F11</f>
        <v>5506.1354176412178</v>
      </c>
      <c r="G24" s="449">
        <f>Contr_Fcast!G11</f>
        <v>5711.7624384829187</v>
      </c>
      <c r="H24" s="450">
        <f>Contr_Fcast!H11</f>
        <v>5486.1119672185268</v>
      </c>
      <c r="I24" s="126">
        <f>Contr_Fcast!I11</f>
        <v>2891.6423968420636</v>
      </c>
      <c r="J24" s="134">
        <f>Contr_Fcast!J11</f>
        <v>1799.993268827928</v>
      </c>
      <c r="K24" s="126">
        <f>Contr_Fcast!K11</f>
        <v>3100.9086376240061</v>
      </c>
      <c r="L24" s="126">
        <f>Contr_Fcast!L11</f>
        <v>3154.0322657350162</v>
      </c>
      <c r="M24" s="126">
        <f>Contr_Fcast!M11</f>
        <v>3210.7882887928781</v>
      </c>
      <c r="N24" s="126">
        <f>Contr_Fcast!N11</f>
        <v>3246.4308573329949</v>
      </c>
      <c r="O24" s="61">
        <f t="shared" si="7"/>
        <v>14512.153318312823</v>
      </c>
      <c r="Q24" s="437"/>
      <c r="R24" s="14"/>
      <c r="S24" s="1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2:36" x14ac:dyDescent="0.25">
      <c r="B25" s="2" t="s">
        <v>111</v>
      </c>
      <c r="C25" s="61">
        <f>Contr_Fcast!C12</f>
        <v>2526.8458109109797</v>
      </c>
      <c r="D25" s="300">
        <f>Contr_Fcast!D12</f>
        <v>4798.9081331499356</v>
      </c>
      <c r="E25" s="101">
        <f>Contr_Fcast!E12</f>
        <v>6085.3462490655565</v>
      </c>
      <c r="F25" s="101">
        <f>Contr_Fcast!F12</f>
        <v>5999.9028782302021</v>
      </c>
      <c r="G25" s="101">
        <f>Contr_Fcast!G12</f>
        <v>7657.5761214625236</v>
      </c>
      <c r="H25" s="457">
        <f>Contr_Fcast!H12</f>
        <v>6343.6950803297013</v>
      </c>
      <c r="I25" s="61">
        <f>Contr_Fcast!I12</f>
        <v>2795.4012140933278</v>
      </c>
      <c r="J25" s="300">
        <f>Contr_Fcast!J12</f>
        <v>1594.1177798659749</v>
      </c>
      <c r="K25" s="61">
        <f>Contr_Fcast!K12</f>
        <v>2727.0179352777868</v>
      </c>
      <c r="L25" s="61">
        <f>Contr_Fcast!L12</f>
        <v>2711.2455304793489</v>
      </c>
      <c r="M25" s="61">
        <f>Contr_Fcast!M12</f>
        <v>2703.3838249954074</v>
      </c>
      <c r="N25" s="61">
        <f>Contr_Fcast!N12</f>
        <v>2715.2628720465723</v>
      </c>
      <c r="O25" s="61">
        <f t="shared" si="7"/>
        <v>12451.02794266509</v>
      </c>
      <c r="Q25" s="5"/>
      <c r="R25" s="473"/>
      <c r="S25" s="1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2:36" x14ac:dyDescent="0.25">
      <c r="B26" s="16" t="s">
        <v>346</v>
      </c>
      <c r="C26" s="61">
        <f>Cost_Recovery!E48*Escalation!F$9</f>
        <v>1072.8054906778293</v>
      </c>
      <c r="D26" s="300">
        <f>Cost_Recovery!F48*Escalation!G$9</f>
        <v>366.64798702708401</v>
      </c>
      <c r="E26" s="101">
        <f>Cost_Recovery!G48*Escalation!H$9</f>
        <v>4538.6049592596346</v>
      </c>
      <c r="F26" s="101">
        <f>Cost_Recovery!H48*Escalation!I$9</f>
        <v>4028.1567520065091</v>
      </c>
      <c r="G26" s="101">
        <f>G11</f>
        <v>8511.7638277137467</v>
      </c>
      <c r="H26" s="457">
        <f t="shared" ref="H26:N26" si="10">H11</f>
        <v>3919.3639959268035</v>
      </c>
      <c r="I26" s="61">
        <f t="shared" si="10"/>
        <v>1959.756072983068</v>
      </c>
      <c r="J26" s="134">
        <f t="shared" si="10"/>
        <v>2271.7347474058311</v>
      </c>
      <c r="K26" s="126">
        <f t="shared" si="10"/>
        <v>3922.071815539231</v>
      </c>
      <c r="L26" s="126">
        <f t="shared" si="10"/>
        <v>3923.3947581752836</v>
      </c>
      <c r="M26" s="126">
        <f t="shared" si="10"/>
        <v>3925.4259898354758</v>
      </c>
      <c r="N26" s="126">
        <f t="shared" si="10"/>
        <v>3928.1259437044432</v>
      </c>
      <c r="O26" s="126">
        <f t="shared" si="7"/>
        <v>17970.753254660263</v>
      </c>
      <c r="P26" s="3"/>
      <c r="Q26" s="22"/>
      <c r="R26" s="14"/>
      <c r="S26" s="14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2:36" x14ac:dyDescent="0.25">
      <c r="B27" s="2" t="s">
        <v>112</v>
      </c>
      <c r="C27" s="61">
        <f>Cost_Recovery!E20*Escalation!F$9</f>
        <v>215.20436723392785</v>
      </c>
      <c r="D27" s="300">
        <f>Cost_Recovery!F20*Escalation!G$9</f>
        <v>888.3362559292907</v>
      </c>
      <c r="E27" s="101">
        <f>Cost_Recovery!G20*Escalation!H$9</f>
        <v>3449.4081994102098</v>
      </c>
      <c r="F27" s="101">
        <f>Cost_Recovery!H20*Escalation!I$9</f>
        <v>3738.9074046296441</v>
      </c>
      <c r="G27" s="101">
        <f>Cost_Recovery!I20*Escalation!J$9</f>
        <v>4408.4254415935857</v>
      </c>
      <c r="H27" s="457">
        <f>Cost_Recovery!J20*Escalation!K$9</f>
        <v>3170.3549686469696</v>
      </c>
      <c r="I27" s="61">
        <f>Cost_Recovery!K20*Escalation!L$9</f>
        <v>1671.1527623084412</v>
      </c>
      <c r="J27" s="300">
        <f>Contr_Fcast!J13</f>
        <v>1684.2192673350999</v>
      </c>
      <c r="K27" s="61">
        <f>Contr_Fcast!K13</f>
        <v>2902.7404230704815</v>
      </c>
      <c r="L27" s="61">
        <f>Contr_Fcast!L13</f>
        <v>2954.1851944007567</v>
      </c>
      <c r="M27" s="61">
        <f>Contr_Fcast!M13</f>
        <v>3010.025241413437</v>
      </c>
      <c r="N27" s="61">
        <f>Contr_Fcast!N13</f>
        <v>3047.0374269167851</v>
      </c>
      <c r="O27" s="61">
        <f t="shared" si="7"/>
        <v>13598.207553136559</v>
      </c>
      <c r="R27" s="14"/>
      <c r="S27" s="1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2:36" x14ac:dyDescent="0.25">
      <c r="B28" s="2" t="s">
        <v>96</v>
      </c>
      <c r="C28" s="61">
        <f>Cost_Recovery!E21*Escalation!F$9</f>
        <v>6520.5020433941663</v>
      </c>
      <c r="D28" s="300">
        <f>Cost_Recovery!F21*Escalation!G$9</f>
        <v>4235.6807469265304</v>
      </c>
      <c r="E28" s="101">
        <f>Cost_Recovery!G21*Escalation!H$9</f>
        <v>4935.1409995063113</v>
      </c>
      <c r="F28" s="101">
        <f>Cost_Recovery!H21*Escalation!I$9</f>
        <v>3225.5763293066461</v>
      </c>
      <c r="G28" s="101">
        <f>Cost_Recovery!I21*Escalation!J$9</f>
        <v>4568.8773245821758</v>
      </c>
      <c r="H28" s="457">
        <f>Cost_Recovery!J21*Escalation!K$9</f>
        <v>3703.740880094042</v>
      </c>
      <c r="I28" s="61">
        <f>Cost_Recovery!K21*Escalation!L$9</f>
        <v>1952.2354221707865</v>
      </c>
      <c r="J28" s="300">
        <f>Contr_Fcast!J14</f>
        <v>676.13976399642013</v>
      </c>
      <c r="K28" s="61">
        <f>Contr_Fcast!K14</f>
        <v>1165.0203044162295</v>
      </c>
      <c r="L28" s="61">
        <f>Contr_Fcast!L14</f>
        <v>1185.26294289312</v>
      </c>
      <c r="M28" s="61">
        <f>Contr_Fcast!M14</f>
        <v>1207.0349144737656</v>
      </c>
      <c r="N28" s="61">
        <f>Contr_Fcast!N14</f>
        <v>1221.0294185666623</v>
      </c>
      <c r="O28" s="61">
        <f t="shared" si="7"/>
        <v>5454.4873443461984</v>
      </c>
      <c r="R28" s="14"/>
      <c r="S28" s="1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2:36" x14ac:dyDescent="0.25">
      <c r="B29" s="2" t="s">
        <v>113</v>
      </c>
      <c r="C29" s="61">
        <f>Cost_Recovery!E22*Escalation!F$9</f>
        <v>26402.178075822321</v>
      </c>
      <c r="D29" s="300">
        <f>Cost_Recovery!F22*Escalation!G$9</f>
        <v>146.20701490328915</v>
      </c>
      <c r="E29" s="101">
        <f>Cost_Recovery!G22*Escalation!H$9</f>
        <v>360.53676009253263</v>
      </c>
      <c r="F29" s="449">
        <f>Cost_Recovery!H22*Escalation!I$9</f>
        <v>250.86891598005033</v>
      </c>
      <c r="G29" s="449">
        <f>Cost_Recovery!I22*Escalation!J$9</f>
        <v>62.122910204316305</v>
      </c>
      <c r="H29" s="450">
        <f>Cost_Recovery!J22*Escalation!K$9</f>
        <v>11159.428776410099</v>
      </c>
      <c r="I29" s="126">
        <f>Cost_Recovery!K22*Escalation!L$9</f>
        <v>5205.4137209650644</v>
      </c>
      <c r="J29" s="134">
        <f>Contr_Fcast!J15</f>
        <v>19026.545942562323</v>
      </c>
      <c r="K29" s="126">
        <f>Contr_Fcast!K15</f>
        <v>18996.932056083922</v>
      </c>
      <c r="L29" s="126">
        <f>Contr_Fcast!L15</f>
        <v>19244.929281259709</v>
      </c>
      <c r="M29" s="126">
        <f>Contr_Fcast!M15</f>
        <v>19411.859516163233</v>
      </c>
      <c r="N29" s="126">
        <f>Contr_Fcast!N15</f>
        <v>19525.933421264908</v>
      </c>
      <c r="O29" s="61">
        <f t="shared" si="7"/>
        <v>96206.200217334102</v>
      </c>
      <c r="Q29" s="438" t="s">
        <v>211</v>
      </c>
      <c r="R29" s="14"/>
      <c r="S29" s="1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2:36" x14ac:dyDescent="0.25">
      <c r="C30" s="102">
        <f>SUM(C22:C29)</f>
        <v>40762.610865932606</v>
      </c>
      <c r="D30" s="301">
        <f t="shared" ref="D30" si="11">SUM(D22:D29)</f>
        <v>14946.284081653734</v>
      </c>
      <c r="E30" s="102">
        <f t="shared" ref="E30" si="12">SUM(E22:E29)</f>
        <v>27684.312384414759</v>
      </c>
      <c r="F30" s="102">
        <f t="shared" ref="F30" si="13">SUM(F22:F29)</f>
        <v>51340.846171276593</v>
      </c>
      <c r="G30" s="102">
        <f t="shared" ref="G30" si="14">SUM(G22:G29)</f>
        <v>70622.215237487908</v>
      </c>
      <c r="H30" s="458">
        <f t="shared" ref="H30:O30" si="15">SUM(H22:H29)</f>
        <v>67427.200634247041</v>
      </c>
      <c r="I30" s="102">
        <f t="shared" ref="I30" si="16">SUM(I22:I29)</f>
        <v>34018.828510116553</v>
      </c>
      <c r="J30" s="301">
        <f t="shared" ref="J30:N30" si="17">SUM(J22:J29)</f>
        <v>47296.751892215427</v>
      </c>
      <c r="K30" s="102">
        <f t="shared" si="17"/>
        <v>67812.268875312628</v>
      </c>
      <c r="L30" s="102">
        <f t="shared" si="17"/>
        <v>68395.098303117789</v>
      </c>
      <c r="M30" s="102">
        <f t="shared" si="17"/>
        <v>69084.199592912744</v>
      </c>
      <c r="N30" s="102">
        <f t="shared" si="17"/>
        <v>69612.307799156682</v>
      </c>
      <c r="O30" s="102">
        <f t="shared" si="15"/>
        <v>322200.62646271527</v>
      </c>
      <c r="R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2:36" x14ac:dyDescent="0.25">
      <c r="B31" s="2" t="s">
        <v>114</v>
      </c>
      <c r="C31" s="531">
        <f>Contr_Fcast!C16</f>
        <v>0.55492503309350982</v>
      </c>
      <c r="D31" s="532">
        <f>Contr_Fcast!D16</f>
        <v>354.96776181413964</v>
      </c>
      <c r="E31" s="533">
        <f>Contr_Fcast!E16</f>
        <v>53.734167925739627</v>
      </c>
      <c r="F31" s="533">
        <f>Contr_Fcast!F16</f>
        <v>33.209500957018101</v>
      </c>
      <c r="G31" s="533">
        <f>Contr_Fcast!G16</f>
        <v>6.286663990479302</v>
      </c>
      <c r="H31" s="534">
        <f>Contr_Fcast!H16</f>
        <v>15.419187699167255</v>
      </c>
      <c r="I31" s="531">
        <f>Contr_Fcast!I16</f>
        <v>7.8014555140368991</v>
      </c>
      <c r="J31" s="532">
        <f>Contr_Fcast!J16</f>
        <v>0</v>
      </c>
      <c r="K31" s="531">
        <f>Contr_Fcast!K16</f>
        <v>0</v>
      </c>
      <c r="L31" s="531">
        <f>Contr_Fcast!L16</f>
        <v>0</v>
      </c>
      <c r="M31" s="531">
        <f>Contr_Fcast!M16</f>
        <v>0</v>
      </c>
      <c r="N31" s="531">
        <f>Contr_Fcast!N16</f>
        <v>0</v>
      </c>
      <c r="O31" s="19">
        <f t="shared" ref="O31:O32" si="18">SUM(J31:N31)</f>
        <v>0</v>
      </c>
      <c r="R31" s="5"/>
      <c r="X31" s="5"/>
      <c r="Y31" s="5"/>
      <c r="Z31" s="5"/>
      <c r="AA31" s="5"/>
      <c r="AB31" s="5"/>
      <c r="AC31" s="5"/>
    </row>
    <row r="32" spans="2:36" x14ac:dyDescent="0.25">
      <c r="B32" s="2" t="s">
        <v>168</v>
      </c>
      <c r="C32" s="19"/>
      <c r="D32" s="135"/>
      <c r="E32" s="125"/>
      <c r="F32" s="125"/>
      <c r="G32" s="125"/>
      <c r="H32" s="451">
        <f>H17</f>
        <v>395.37047624658965</v>
      </c>
      <c r="I32" s="19">
        <f t="shared" ref="I32" si="19">I17</f>
        <v>-4.9172044618351389</v>
      </c>
      <c r="J32" s="135">
        <f>(J17)-0.248962951613066</f>
        <v>11.89707544006566</v>
      </c>
      <c r="K32" s="19">
        <f>(K17)--0.000941921927733347</f>
        <v>3.3952634509400328</v>
      </c>
      <c r="L32" s="19">
        <f>(L17)--0.125383952123229</f>
        <v>-56.579038790976135</v>
      </c>
      <c r="M32" s="19">
        <f>(M17)--1.92726577038411</f>
        <v>-107.37198566269613</v>
      </c>
      <c r="N32" s="19">
        <f>(N17)--1.07634726425749</f>
        <v>-115.40962243940557</v>
      </c>
      <c r="O32" s="19">
        <f t="shared" si="18"/>
        <v>-264.06830800207211</v>
      </c>
      <c r="R32" s="5"/>
      <c r="X32" s="5"/>
      <c r="Y32" s="5"/>
      <c r="Z32" s="5"/>
      <c r="AA32" s="5"/>
      <c r="AB32" s="5"/>
      <c r="AC32" s="5"/>
    </row>
    <row r="33" spans="2:29" ht="15.75" thickBot="1" x14ac:dyDescent="0.3">
      <c r="B33" s="18" t="s">
        <v>229</v>
      </c>
      <c r="C33" s="60">
        <f t="shared" ref="C33:I33" si="20">SUM(C30:C32)</f>
        <v>40763.165790965701</v>
      </c>
      <c r="D33" s="133">
        <f t="shared" si="20"/>
        <v>15301.251843467873</v>
      </c>
      <c r="E33" s="60">
        <f t="shared" si="20"/>
        <v>27738.0465523405</v>
      </c>
      <c r="F33" s="452">
        <f t="shared" si="20"/>
        <v>51374.055672233611</v>
      </c>
      <c r="G33" s="60">
        <f t="shared" si="20"/>
        <v>70628.50190147839</v>
      </c>
      <c r="H33" s="453">
        <f t="shared" si="20"/>
        <v>67837.990298192803</v>
      </c>
      <c r="I33" s="60">
        <f t="shared" si="20"/>
        <v>34021.712761168761</v>
      </c>
      <c r="J33" s="133">
        <f>SUM(J30:J32)</f>
        <v>47308.648967655492</v>
      </c>
      <c r="K33" s="452">
        <f t="shared" ref="K33:O33" si="21">SUM(K30:K32)</f>
        <v>67815.664138763561</v>
      </c>
      <c r="L33" s="60">
        <f t="shared" si="21"/>
        <v>68338.519264326809</v>
      </c>
      <c r="M33" s="60">
        <f t="shared" si="21"/>
        <v>68976.827607250045</v>
      </c>
      <c r="N33" s="60">
        <f t="shared" si="21"/>
        <v>69496.898176717281</v>
      </c>
      <c r="O33" s="60">
        <f t="shared" si="21"/>
        <v>321936.55815471319</v>
      </c>
      <c r="R33" s="5"/>
      <c r="S33" s="33"/>
      <c r="T33" s="33"/>
      <c r="U33" s="33"/>
      <c r="V33" s="33"/>
      <c r="X33" s="5"/>
      <c r="Y33" s="5"/>
      <c r="Z33" s="5"/>
      <c r="AA33" s="5"/>
      <c r="AB33" s="5"/>
      <c r="AC33" s="5"/>
    </row>
    <row r="34" spans="2:29" x14ac:dyDescent="0.25">
      <c r="B34" s="2" t="s">
        <v>116</v>
      </c>
      <c r="C34" s="20">
        <f>C33/(C18-C17)</f>
        <v>0.45485205728974881</v>
      </c>
      <c r="D34" s="20">
        <f t="shared" ref="D34:O34" si="22">D33/(D18-D17)</f>
        <v>0.20790692910679276</v>
      </c>
      <c r="E34" s="20">
        <f t="shared" si="22"/>
        <v>0.35731359188657219</v>
      </c>
      <c r="F34" s="111">
        <f t="shared" si="22"/>
        <v>0.48184432494716167</v>
      </c>
      <c r="G34" s="20">
        <f t="shared" si="22"/>
        <v>0.5868487902902394</v>
      </c>
      <c r="H34" s="20">
        <f t="shared" si="22"/>
        <v>0.62258938029755528</v>
      </c>
      <c r="I34" s="20">
        <f t="shared" ref="I34" si="23">I33/(I18-I17)</f>
        <v>0.61006254338291532</v>
      </c>
      <c r="J34" s="20">
        <f t="shared" si="22"/>
        <v>0.60562799948497315</v>
      </c>
      <c r="K34" s="20">
        <f t="shared" si="22"/>
        <v>0.56515615851000489</v>
      </c>
      <c r="L34" s="20">
        <f t="shared" si="22"/>
        <v>0.56471229673651357</v>
      </c>
      <c r="M34" s="20">
        <f t="shared" si="22"/>
        <v>0.56416818778478783</v>
      </c>
      <c r="N34" s="20">
        <f t="shared" si="22"/>
        <v>0.56397916625298128</v>
      </c>
      <c r="O34" s="20">
        <f t="shared" si="22"/>
        <v>0.5701895457946724</v>
      </c>
      <c r="X34" s="5"/>
      <c r="Y34" s="5"/>
      <c r="Z34" s="5"/>
      <c r="AA34" s="5"/>
      <c r="AB34" s="5"/>
      <c r="AC34" s="5"/>
    </row>
    <row r="35" spans="2:29" x14ac:dyDescent="0.25">
      <c r="B35" s="2" t="s">
        <v>117</v>
      </c>
      <c r="C35" s="128">
        <f t="shared" ref="C35:I35" si="24">C33-C23-C26</f>
        <v>39114.487113559102</v>
      </c>
      <c r="D35" s="128">
        <f t="shared" si="24"/>
        <v>14761.339014459123</v>
      </c>
      <c r="E35" s="128">
        <f t="shared" si="24"/>
        <v>21961.733706239906</v>
      </c>
      <c r="F35" s="128">
        <f t="shared" si="24"/>
        <v>21966.777151862872</v>
      </c>
      <c r="G35" s="128">
        <f t="shared" si="24"/>
        <v>24916.807297970692</v>
      </c>
      <c r="H35" s="128">
        <f t="shared" si="24"/>
        <v>32417.02861703292</v>
      </c>
      <c r="I35" s="128">
        <f t="shared" si="24"/>
        <v>15648.512185960868</v>
      </c>
      <c r="J35" s="128">
        <f>J33-J23-J26</f>
        <v>26045.174809316595</v>
      </c>
      <c r="K35" s="128">
        <f t="shared" ref="K35:N35" si="25">K33-K23-K26</f>
        <v>31086.428206460681</v>
      </c>
      <c r="L35" s="128">
        <f t="shared" si="25"/>
        <v>31424.986159939752</v>
      </c>
      <c r="M35" s="128">
        <f t="shared" si="25"/>
        <v>31677.470561920865</v>
      </c>
      <c r="N35" s="128">
        <f t="shared" si="25"/>
        <v>31916.013220524415</v>
      </c>
      <c r="O35" s="541">
        <f t="shared" ref="O35" si="26">SUM(J35:N35)</f>
        <v>152150.07295816232</v>
      </c>
      <c r="X35" s="5"/>
      <c r="Y35" s="5"/>
      <c r="Z35" s="5"/>
      <c r="AA35" s="5"/>
      <c r="AB35" s="5"/>
      <c r="AC35" s="5"/>
    </row>
    <row r="36" spans="2:29" x14ac:dyDescent="0.25">
      <c r="B36" s="2" t="s">
        <v>118</v>
      </c>
      <c r="C36" s="20">
        <f t="shared" ref="C36:F36" si="27">C35/(C18-C8-C11)</f>
        <v>0.44463521672682538</v>
      </c>
      <c r="D36" s="20">
        <f t="shared" si="27"/>
        <v>0.2020531054379788</v>
      </c>
      <c r="E36" s="20">
        <f t="shared" si="27"/>
        <v>0.30564765909706415</v>
      </c>
      <c r="F36" s="20">
        <f t="shared" si="27"/>
        <v>0.28449828864701582</v>
      </c>
      <c r="G36" s="20">
        <f>G35/(G18-G8-G11)</f>
        <v>0.33382451702489663</v>
      </c>
      <c r="H36" s="20">
        <f t="shared" ref="H36:O36" si="28">H35/(H18-H8-H11)</f>
        <v>0.4384503831257433</v>
      </c>
      <c r="I36" s="20">
        <f t="shared" si="28"/>
        <v>0.41852732090704348</v>
      </c>
      <c r="J36" s="20">
        <f t="shared" si="28"/>
        <v>0.45802813106268458</v>
      </c>
      <c r="K36" s="20">
        <f t="shared" si="28"/>
        <v>0.37332661164708919</v>
      </c>
      <c r="L36" s="20">
        <f t="shared" si="28"/>
        <v>0.37390882531779784</v>
      </c>
      <c r="M36" s="20">
        <f t="shared" si="28"/>
        <v>0.3733163662422655</v>
      </c>
      <c r="N36" s="20">
        <f t="shared" si="28"/>
        <v>0.37316174263370638</v>
      </c>
      <c r="O36" s="20">
        <f t="shared" si="28"/>
        <v>0.3856198140831601</v>
      </c>
      <c r="S36" s="33"/>
      <c r="T36" s="33"/>
      <c r="U36" s="33"/>
      <c r="V36" s="33"/>
      <c r="X36" s="5"/>
      <c r="Y36" s="5"/>
      <c r="Z36" s="5"/>
      <c r="AA36" s="5"/>
      <c r="AB36" s="5"/>
      <c r="AC36" s="5"/>
    </row>
    <row r="37" spans="2:29" x14ac:dyDescent="0.25">
      <c r="B37" s="542" t="s">
        <v>119</v>
      </c>
      <c r="C37" s="543">
        <f>(C35-C29)/(C18-C11-C14-C8)</f>
        <v>0.20111705392697973</v>
      </c>
      <c r="D37" s="543">
        <f t="shared" ref="D37:O37" si="29">(D35-D29)/(D18-D11-D14-D8)</f>
        <v>0.20124223349483938</v>
      </c>
      <c r="E37" s="543">
        <f t="shared" si="29"/>
        <v>0.30123833900682756</v>
      </c>
      <c r="F37" s="543">
        <f t="shared" si="29"/>
        <v>0.2817661437611505</v>
      </c>
      <c r="G37" s="543">
        <f t="shared" si="29"/>
        <v>0.35710346047700531</v>
      </c>
      <c r="H37" s="543">
        <f t="shared" si="29"/>
        <v>0.32348054013050564</v>
      </c>
      <c r="I37" s="543">
        <f t="shared" si="29"/>
        <v>0.32448055430695544</v>
      </c>
      <c r="J37" s="543">
        <f t="shared" si="29"/>
        <v>0.18549568035796177</v>
      </c>
      <c r="K37" s="543">
        <f t="shared" si="29"/>
        <v>0.18809958434647342</v>
      </c>
      <c r="L37" s="543">
        <f t="shared" si="29"/>
        <v>0.187965040237175</v>
      </c>
      <c r="M37" s="543">
        <f t="shared" si="29"/>
        <v>0.18742615954569433</v>
      </c>
      <c r="N37" s="543">
        <f t="shared" si="29"/>
        <v>0.18772080744165873</v>
      </c>
      <c r="O37" s="543">
        <f t="shared" si="29"/>
        <v>0.18750862939518229</v>
      </c>
      <c r="S37" s="33"/>
      <c r="T37" s="33"/>
      <c r="U37" s="33"/>
      <c r="V37" s="33"/>
      <c r="X37" s="5"/>
      <c r="Y37" s="5"/>
      <c r="Z37" s="5"/>
      <c r="AA37" s="5"/>
      <c r="AB37" s="5"/>
      <c r="AC37" s="5"/>
    </row>
    <row r="38" spans="2:29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S38" s="33"/>
      <c r="T38" s="33"/>
      <c r="U38" s="33"/>
      <c r="V38" s="33"/>
      <c r="X38" s="5"/>
      <c r="Y38" s="5"/>
      <c r="Z38" s="5"/>
      <c r="AA38" s="5"/>
      <c r="AB38" s="5"/>
      <c r="AC38" s="5"/>
    </row>
    <row r="39" spans="2:29" x14ac:dyDescent="0.25">
      <c r="B39" s="18" t="s">
        <v>230</v>
      </c>
      <c r="C39" s="36" t="s">
        <v>7</v>
      </c>
      <c r="D39" s="130" t="s">
        <v>8</v>
      </c>
      <c r="E39" s="223" t="s">
        <v>9</v>
      </c>
      <c r="F39" s="223" t="s">
        <v>10</v>
      </c>
      <c r="G39" s="223" t="s">
        <v>11</v>
      </c>
      <c r="H39" s="447" t="s">
        <v>12</v>
      </c>
      <c r="I39" s="218" t="s">
        <v>219</v>
      </c>
      <c r="J39" s="130" t="s">
        <v>100</v>
      </c>
      <c r="K39" s="36" t="s">
        <v>101</v>
      </c>
      <c r="L39" s="36" t="s">
        <v>102</v>
      </c>
      <c r="M39" s="36" t="s">
        <v>147</v>
      </c>
      <c r="N39" s="36" t="s">
        <v>220</v>
      </c>
      <c r="O39" s="36" t="s">
        <v>4</v>
      </c>
      <c r="X39" s="5"/>
      <c r="Y39" s="5"/>
      <c r="Z39" s="5"/>
      <c r="AA39" s="5"/>
      <c r="AB39" s="5"/>
      <c r="AC39" s="5"/>
    </row>
    <row r="40" spans="2:29" x14ac:dyDescent="0.25">
      <c r="B40" s="2" t="s">
        <v>109</v>
      </c>
      <c r="C40" s="5">
        <f t="shared" ref="C40:H41" si="30">C7-C22</f>
        <v>12026.988984256343</v>
      </c>
      <c r="D40" s="132">
        <f t="shared" si="30"/>
        <v>28218.332859570946</v>
      </c>
      <c r="E40" s="7">
        <f t="shared" si="30"/>
        <v>22019.63745617769</v>
      </c>
      <c r="F40" s="7">
        <f t="shared" si="30"/>
        <v>16388.30799099771</v>
      </c>
      <c r="G40" s="7">
        <f t="shared" si="30"/>
        <v>12168.956195263716</v>
      </c>
      <c r="H40" s="448">
        <f t="shared" si="30"/>
        <v>10635.411113630773</v>
      </c>
      <c r="I40" s="5">
        <f t="shared" ref="I40" si="31">I7-I22</f>
        <v>5606.809426214676</v>
      </c>
      <c r="J40" s="132">
        <f>J7-J22</f>
        <v>6606.513037310051</v>
      </c>
      <c r="K40" s="5">
        <f>K7-K22</f>
        <v>11263.412457000099</v>
      </c>
      <c r="L40" s="5">
        <f t="shared" ref="L40:N40" si="32">L7-L22</f>
        <v>11458.409504616953</v>
      </c>
      <c r="M40" s="5">
        <f t="shared" si="32"/>
        <v>11695.377880220931</v>
      </c>
      <c r="N40" s="5">
        <f t="shared" si="32"/>
        <v>11800.56428693415</v>
      </c>
      <c r="O40" s="5">
        <f t="shared" ref="O40:O47" si="33">SUM(J40:N40)</f>
        <v>52824.277166082189</v>
      </c>
      <c r="R40" s="5"/>
      <c r="S40" s="33"/>
      <c r="T40" s="33"/>
      <c r="U40" s="33"/>
      <c r="V40" s="33"/>
      <c r="W40" s="5"/>
      <c r="X40" s="5"/>
      <c r="Y40" s="5"/>
      <c r="Z40" s="5"/>
      <c r="AA40" s="5"/>
      <c r="AB40" s="5"/>
      <c r="AC40" s="5"/>
    </row>
    <row r="41" spans="2:29" x14ac:dyDescent="0.25">
      <c r="B41" s="2" t="s">
        <v>216</v>
      </c>
      <c r="C41" s="5">
        <f t="shared" si="30"/>
        <v>0</v>
      </c>
      <c r="D41" s="132">
        <f t="shared" si="30"/>
        <v>0</v>
      </c>
      <c r="E41" s="7">
        <f t="shared" si="30"/>
        <v>0</v>
      </c>
      <c r="F41" s="7">
        <f t="shared" si="30"/>
        <v>0</v>
      </c>
      <c r="G41" s="7">
        <f t="shared" si="30"/>
        <v>0</v>
      </c>
      <c r="H41" s="448">
        <f t="shared" si="30"/>
        <v>0</v>
      </c>
      <c r="I41" s="5">
        <f t="shared" ref="I41" si="34">I8-I23</f>
        <v>0</v>
      </c>
      <c r="J41" s="132">
        <f>J8-J23</f>
        <v>0</v>
      </c>
      <c r="K41" s="5">
        <f>K8-K23</f>
        <v>0</v>
      </c>
      <c r="L41" s="5">
        <f t="shared" ref="L41:N41" si="35">L8-L23</f>
        <v>0</v>
      </c>
      <c r="M41" s="5">
        <f t="shared" si="35"/>
        <v>0</v>
      </c>
      <c r="N41" s="5">
        <f t="shared" si="35"/>
        <v>0</v>
      </c>
      <c r="O41" s="5">
        <f t="shared" si="33"/>
        <v>0</v>
      </c>
      <c r="R41" s="5"/>
      <c r="S41" s="33"/>
      <c r="T41" s="33"/>
      <c r="U41" s="33"/>
      <c r="V41" s="33"/>
      <c r="W41" s="5"/>
      <c r="X41" s="5"/>
      <c r="Y41" s="5"/>
      <c r="Z41" s="5"/>
      <c r="AA41" s="5"/>
      <c r="AB41" s="5"/>
      <c r="AC41" s="5"/>
    </row>
    <row r="42" spans="2:29" x14ac:dyDescent="0.25">
      <c r="B42" s="2" t="s">
        <v>110</v>
      </c>
      <c r="C42" s="5">
        <f t="shared" ref="C42:H42" si="36">C9-C24</f>
        <v>11922.55870806751</v>
      </c>
      <c r="D42" s="132">
        <f t="shared" si="36"/>
        <v>11207.598614004819</v>
      </c>
      <c r="E42" s="7">
        <f t="shared" si="36"/>
        <v>8692.8042647116672</v>
      </c>
      <c r="F42" s="7">
        <f t="shared" si="36"/>
        <v>8236.8253304090176</v>
      </c>
      <c r="G42" s="7">
        <f t="shared" si="36"/>
        <v>5685.5849583980735</v>
      </c>
      <c r="H42" s="448">
        <f t="shared" si="36"/>
        <v>6606.4536293177589</v>
      </c>
      <c r="I42" s="5">
        <f t="shared" ref="I42:N44" si="37">I9-I24</f>
        <v>3482.1566751565738</v>
      </c>
      <c r="J42" s="132">
        <f t="shared" ref="J42:K42" si="38">J9-J24</f>
        <v>5556.2953414997828</v>
      </c>
      <c r="K42" s="5">
        <f t="shared" si="38"/>
        <v>9572.0159158516162</v>
      </c>
      <c r="L42" s="5">
        <f t="shared" ref="L42:N42" si="39">L9-L24</f>
        <v>9736.0001776310928</v>
      </c>
      <c r="M42" s="5">
        <f t="shared" si="39"/>
        <v>9911.1970697415818</v>
      </c>
      <c r="N42" s="5">
        <f t="shared" si="39"/>
        <v>10021.220057587248</v>
      </c>
      <c r="O42" s="5">
        <f t="shared" si="33"/>
        <v>44796.72856231132</v>
      </c>
      <c r="Q42" s="5"/>
      <c r="R42" s="5"/>
      <c r="V42" s="5"/>
      <c r="W42" s="5"/>
      <c r="X42" s="5"/>
      <c r="Y42" s="5"/>
      <c r="Z42" s="5"/>
      <c r="AA42" s="5"/>
      <c r="AB42" s="5"/>
      <c r="AC42" s="5"/>
    </row>
    <row r="43" spans="2:29" x14ac:dyDescent="0.25">
      <c r="B43" s="16" t="s">
        <v>111</v>
      </c>
      <c r="C43" s="61">
        <f t="shared" ref="C43:F47" si="40">C10-C25</f>
        <v>13200.146443784095</v>
      </c>
      <c r="D43" s="300">
        <f t="shared" si="40"/>
        <v>11392.28693193202</v>
      </c>
      <c r="E43" s="101">
        <f t="shared" si="40"/>
        <v>12659.941469756062</v>
      </c>
      <c r="F43" s="101">
        <f t="shared" si="40"/>
        <v>22239.681942815983</v>
      </c>
      <c r="G43" s="101">
        <f t="shared" ref="G43:H44" si="41">G10-G25</f>
        <v>19620.88512364716</v>
      </c>
      <c r="H43" s="457">
        <f t="shared" si="41"/>
        <v>19377.129360004816</v>
      </c>
      <c r="I43" s="61">
        <f t="shared" si="37"/>
        <v>8538.3381156248615</v>
      </c>
      <c r="J43" s="300">
        <f t="shared" si="37"/>
        <v>11690.197052350482</v>
      </c>
      <c r="K43" s="61">
        <f t="shared" si="37"/>
        <v>19998.131525370438</v>
      </c>
      <c r="L43" s="61">
        <f t="shared" si="37"/>
        <v>19882.467223515228</v>
      </c>
      <c r="M43" s="61">
        <f t="shared" si="37"/>
        <v>19824.814716632991</v>
      </c>
      <c r="N43" s="61">
        <f t="shared" si="37"/>
        <v>19911.927728341532</v>
      </c>
      <c r="O43" s="61">
        <f t="shared" si="33"/>
        <v>91307.538246210665</v>
      </c>
      <c r="R43" s="5"/>
      <c r="V43" s="5"/>
      <c r="W43" s="5"/>
      <c r="X43" s="5"/>
      <c r="Y43" s="5"/>
      <c r="Z43" s="5"/>
      <c r="AA43" s="5"/>
      <c r="AB43" s="5"/>
      <c r="AC43" s="5"/>
    </row>
    <row r="44" spans="2:29" x14ac:dyDescent="0.25">
      <c r="B44" s="16" t="s">
        <v>346</v>
      </c>
      <c r="C44" s="61">
        <f t="shared" si="40"/>
        <v>0</v>
      </c>
      <c r="D44" s="300">
        <f t="shared" si="40"/>
        <v>0</v>
      </c>
      <c r="E44" s="101">
        <f t="shared" si="40"/>
        <v>0</v>
      </c>
      <c r="F44" s="101">
        <f t="shared" si="40"/>
        <v>0</v>
      </c>
      <c r="G44" s="101">
        <f t="shared" si="41"/>
        <v>0</v>
      </c>
      <c r="H44" s="457">
        <f t="shared" si="41"/>
        <v>0</v>
      </c>
      <c r="I44" s="61">
        <f t="shared" si="37"/>
        <v>0</v>
      </c>
      <c r="J44" s="300">
        <f t="shared" si="37"/>
        <v>0</v>
      </c>
      <c r="K44" s="61">
        <f t="shared" si="37"/>
        <v>0</v>
      </c>
      <c r="L44" s="61">
        <f t="shared" si="37"/>
        <v>0</v>
      </c>
      <c r="M44" s="61">
        <f t="shared" si="37"/>
        <v>0</v>
      </c>
      <c r="N44" s="61">
        <f t="shared" si="37"/>
        <v>0</v>
      </c>
      <c r="O44" s="61">
        <f t="shared" ref="O44" si="42">SUM(J44:N44)</f>
        <v>0</v>
      </c>
      <c r="R44" s="5"/>
      <c r="V44" s="5"/>
      <c r="W44" s="5"/>
      <c r="X44" s="5"/>
      <c r="Y44" s="5"/>
      <c r="Z44" s="5"/>
      <c r="AA44" s="5"/>
      <c r="AB44" s="5"/>
      <c r="AC44" s="5"/>
    </row>
    <row r="45" spans="2:29" x14ac:dyDescent="0.25">
      <c r="B45" s="16" t="s">
        <v>112</v>
      </c>
      <c r="C45" s="61">
        <f t="shared" si="40"/>
        <v>18561.030905830026</v>
      </c>
      <c r="D45" s="300">
        <f t="shared" si="40"/>
        <v>2536.4382185215973</v>
      </c>
      <c r="E45" s="101">
        <f t="shared" si="40"/>
        <v>4045.5122818598993</v>
      </c>
      <c r="F45" s="101">
        <f t="shared" si="40"/>
        <v>4843.6590645605393</v>
      </c>
      <c r="G45" s="101">
        <f t="shared" ref="G45:N47" si="43">G12-G27</f>
        <v>4536.5235371499029</v>
      </c>
      <c r="H45" s="457">
        <f t="shared" si="43"/>
        <v>3797.9274217303227</v>
      </c>
      <c r="I45" s="61">
        <f t="shared" si="43"/>
        <v>2001.9578137587273</v>
      </c>
      <c r="J45" s="300">
        <f t="shared" si="43"/>
        <v>2557.9894238336892</v>
      </c>
      <c r="K45" s="61">
        <f t="shared" si="43"/>
        <v>4408.6773298214939</v>
      </c>
      <c r="L45" s="61">
        <f t="shared" si="43"/>
        <v>4486.8115630099119</v>
      </c>
      <c r="M45" s="61">
        <f t="shared" si="43"/>
        <v>4571.6213335992379</v>
      </c>
      <c r="N45" s="61">
        <f t="shared" si="43"/>
        <v>4627.8353794225823</v>
      </c>
      <c r="O45" s="61">
        <f t="shared" si="33"/>
        <v>20652.935029686916</v>
      </c>
      <c r="R45" s="5"/>
      <c r="V45" s="5"/>
      <c r="W45" s="5"/>
      <c r="X45" s="5"/>
      <c r="Y45" s="5"/>
      <c r="Z45" s="5"/>
      <c r="AA45" s="5"/>
      <c r="AB45" s="5"/>
      <c r="AC45" s="5"/>
    </row>
    <row r="46" spans="2:29" x14ac:dyDescent="0.25">
      <c r="B46" s="16" t="s">
        <v>96</v>
      </c>
      <c r="C46" s="61">
        <f t="shared" si="40"/>
        <v>-6520.5020433941663</v>
      </c>
      <c r="D46" s="300">
        <f t="shared" si="40"/>
        <v>3684.4446087204769</v>
      </c>
      <c r="E46" s="101">
        <f t="shared" si="40"/>
        <v>2080.4368253275807</v>
      </c>
      <c r="F46" s="101">
        <f t="shared" si="40"/>
        <v>2497.6532155170557</v>
      </c>
      <c r="G46" s="101">
        <f t="shared" si="43"/>
        <v>1861.3913564280338</v>
      </c>
      <c r="H46" s="457">
        <f t="shared" si="43"/>
        <v>3181.5336861969181</v>
      </c>
      <c r="I46" s="61">
        <f t="shared" si="43"/>
        <v>1676.9809120300861</v>
      </c>
      <c r="J46" s="300">
        <f t="shared" si="43"/>
        <v>3513.6853083813207</v>
      </c>
      <c r="K46" s="61">
        <f t="shared" si="43"/>
        <v>6054.2434354074048</v>
      </c>
      <c r="L46" s="61">
        <f t="shared" si="43"/>
        <v>6159.4380493119661</v>
      </c>
      <c r="M46" s="61">
        <f t="shared" si="43"/>
        <v>6272.5801254786556</v>
      </c>
      <c r="N46" s="61">
        <f t="shared" si="43"/>
        <v>6345.3051537163892</v>
      </c>
      <c r="O46" s="61">
        <f t="shared" si="33"/>
        <v>28345.252072295734</v>
      </c>
      <c r="R46" s="5"/>
      <c r="V46" s="5"/>
      <c r="W46" s="5"/>
      <c r="X46" s="5"/>
      <c r="Y46" s="5"/>
      <c r="Z46" s="5"/>
      <c r="AA46" s="5"/>
      <c r="AB46" s="5"/>
      <c r="AC46" s="5"/>
    </row>
    <row r="47" spans="2:29" x14ac:dyDescent="0.25">
      <c r="B47" s="16" t="s">
        <v>113</v>
      </c>
      <c r="C47" s="61">
        <f t="shared" si="40"/>
        <v>-1640.8506595139879</v>
      </c>
      <c r="D47" s="300">
        <f t="shared" si="40"/>
        <v>285.94562721986199</v>
      </c>
      <c r="E47" s="101">
        <f t="shared" si="40"/>
        <v>-215.42436981307563</v>
      </c>
      <c r="F47" s="101">
        <f t="shared" si="40"/>
        <v>-109.21374966056317</v>
      </c>
      <c r="G47" s="101">
        <f t="shared" si="43"/>
        <v>4977.5184943353725</v>
      </c>
      <c r="H47" s="457">
        <f t="shared" si="43"/>
        <v>-2939.2090679210196</v>
      </c>
      <c r="I47" s="61">
        <f t="shared" si="43"/>
        <v>0</v>
      </c>
      <c r="J47" s="300">
        <f t="shared" si="43"/>
        <v>0</v>
      </c>
      <c r="K47" s="61">
        <f t="shared" si="43"/>
        <v>0</v>
      </c>
      <c r="L47" s="61">
        <f t="shared" si="43"/>
        <v>0</v>
      </c>
      <c r="M47" s="61">
        <f t="shared" si="43"/>
        <v>0</v>
      </c>
      <c r="N47" s="61">
        <f t="shared" si="43"/>
        <v>0</v>
      </c>
      <c r="O47" s="61">
        <f t="shared" si="33"/>
        <v>0</v>
      </c>
      <c r="R47" s="5"/>
      <c r="V47" s="5"/>
      <c r="W47" s="5"/>
      <c r="X47" s="5"/>
      <c r="Y47" s="5"/>
      <c r="Z47" s="5"/>
      <c r="AA47" s="5"/>
      <c r="AB47" s="5"/>
      <c r="AC47" s="5"/>
    </row>
    <row r="48" spans="2:29" x14ac:dyDescent="0.25">
      <c r="B48" s="16"/>
      <c r="C48" s="102">
        <f t="shared" ref="C48:O48" si="44">SUM(C40:C47)</f>
        <v>47549.372339029826</v>
      </c>
      <c r="D48" s="301">
        <f t="shared" si="44"/>
        <v>57325.046859969712</v>
      </c>
      <c r="E48" s="102">
        <f t="shared" si="44"/>
        <v>49282.907928019828</v>
      </c>
      <c r="F48" s="102">
        <f t="shared" si="44"/>
        <v>54096.913794639739</v>
      </c>
      <c r="G48" s="102">
        <f t="shared" si="44"/>
        <v>48850.859665222255</v>
      </c>
      <c r="H48" s="458">
        <f t="shared" si="44"/>
        <v>40659.246142959571</v>
      </c>
      <c r="I48" s="102">
        <f t="shared" si="44"/>
        <v>21306.242942784924</v>
      </c>
      <c r="J48" s="301">
        <f t="shared" si="44"/>
        <v>29924.680163375328</v>
      </c>
      <c r="K48" s="102">
        <f t="shared" si="44"/>
        <v>51296.480663451061</v>
      </c>
      <c r="L48" s="102">
        <f t="shared" si="44"/>
        <v>51723.126518085155</v>
      </c>
      <c r="M48" s="102">
        <f t="shared" si="44"/>
        <v>52275.591125673396</v>
      </c>
      <c r="N48" s="102">
        <f t="shared" si="44"/>
        <v>52706.852606001907</v>
      </c>
      <c r="O48" s="102">
        <f t="shared" si="44"/>
        <v>237926.73107658682</v>
      </c>
      <c r="R48" s="5"/>
      <c r="X48" s="5"/>
      <c r="Y48" s="5"/>
      <c r="Z48" s="5"/>
      <c r="AA48" s="5"/>
      <c r="AB48" s="5"/>
      <c r="AC48" s="5"/>
    </row>
    <row r="49" spans="2:29" x14ac:dyDescent="0.25">
      <c r="B49" s="16" t="s">
        <v>114</v>
      </c>
      <c r="C49" s="61">
        <f t="shared" ref="C49:N49" si="45">C16-C31</f>
        <v>1305.9765885140221</v>
      </c>
      <c r="D49" s="300">
        <f t="shared" si="45"/>
        <v>970.34335753133826</v>
      </c>
      <c r="E49" s="101">
        <f t="shared" si="45"/>
        <v>608.46455709357463</v>
      </c>
      <c r="F49" s="101">
        <f t="shared" si="45"/>
        <v>1148.643989956732</v>
      </c>
      <c r="G49" s="101">
        <f t="shared" si="45"/>
        <v>872.76843691996248</v>
      </c>
      <c r="H49" s="457">
        <f t="shared" si="45"/>
        <v>859.18034425366989</v>
      </c>
      <c r="I49" s="61">
        <f t="shared" si="45"/>
        <v>434.7088423206572</v>
      </c>
      <c r="J49" s="300">
        <f t="shared" si="45"/>
        <v>893.59731538750498</v>
      </c>
      <c r="K49" s="61">
        <f t="shared" si="45"/>
        <v>885.80969519188261</v>
      </c>
      <c r="L49" s="61">
        <f t="shared" si="45"/>
        <v>896.52845981609141</v>
      </c>
      <c r="M49" s="61">
        <f t="shared" si="45"/>
        <v>903.08957264097216</v>
      </c>
      <c r="N49" s="61">
        <f t="shared" si="45"/>
        <v>906.84214108335027</v>
      </c>
      <c r="O49" s="61">
        <f t="shared" ref="O49:O50" si="46">SUM(J49:N49)</f>
        <v>4485.8671841198011</v>
      </c>
      <c r="R49" s="5"/>
      <c r="X49" s="5"/>
      <c r="Y49" s="5"/>
      <c r="Z49" s="5"/>
      <c r="AA49" s="5"/>
      <c r="AB49" s="5"/>
      <c r="AC49" s="5"/>
    </row>
    <row r="50" spans="2:29" x14ac:dyDescent="0.25">
      <c r="B50" s="16" t="s">
        <v>168</v>
      </c>
      <c r="C50" s="61">
        <f t="shared" ref="C50:N50" si="47">C17-C32</f>
        <v>0</v>
      </c>
      <c r="D50" s="300">
        <f t="shared" si="47"/>
        <v>0</v>
      </c>
      <c r="E50" s="101">
        <f t="shared" si="47"/>
        <v>0</v>
      </c>
      <c r="F50" s="101">
        <f t="shared" si="47"/>
        <v>0</v>
      </c>
      <c r="G50" s="101">
        <f t="shared" si="47"/>
        <v>0</v>
      </c>
      <c r="H50" s="457">
        <f t="shared" si="47"/>
        <v>0</v>
      </c>
      <c r="I50" s="61">
        <f t="shared" si="47"/>
        <v>0</v>
      </c>
      <c r="J50" s="300">
        <f t="shared" si="47"/>
        <v>0.24896295161306625</v>
      </c>
      <c r="K50" s="61">
        <f t="shared" si="47"/>
        <v>-9.4192192773334682E-4</v>
      </c>
      <c r="L50" s="61">
        <f t="shared" si="47"/>
        <v>-0.12538395212322939</v>
      </c>
      <c r="M50" s="61">
        <f t="shared" si="47"/>
        <v>-1.9272657703841105</v>
      </c>
      <c r="N50" s="61">
        <f t="shared" si="47"/>
        <v>-1.0763472642574925</v>
      </c>
      <c r="O50" s="61">
        <f t="shared" si="46"/>
        <v>-2.8809759570794995</v>
      </c>
      <c r="R50" s="5"/>
      <c r="X50" s="5"/>
      <c r="Y50" s="5"/>
      <c r="Z50" s="5"/>
      <c r="AA50" s="5"/>
      <c r="AB50" s="5"/>
      <c r="AC50" s="5"/>
    </row>
    <row r="51" spans="2:29" ht="15.75" thickBot="1" x14ac:dyDescent="0.3">
      <c r="B51" s="18" t="s">
        <v>231</v>
      </c>
      <c r="C51" s="452">
        <f>SUM(C48:C50)</f>
        <v>48855.348927543848</v>
      </c>
      <c r="D51" s="521">
        <f t="shared" ref="D51:O51" si="48">SUM(D48:D50)</f>
        <v>58295.390217501052</v>
      </c>
      <c r="E51" s="452">
        <f t="shared" si="48"/>
        <v>49891.372485113403</v>
      </c>
      <c r="F51" s="452">
        <f t="shared" si="48"/>
        <v>55245.557784596473</v>
      </c>
      <c r="G51" s="452">
        <f t="shared" si="48"/>
        <v>49723.628102142218</v>
      </c>
      <c r="H51" s="522">
        <f t="shared" si="48"/>
        <v>41518.426487213241</v>
      </c>
      <c r="I51" s="452">
        <f t="shared" ref="I51" si="49">SUM(I48:I50)</f>
        <v>21740.951785105583</v>
      </c>
      <c r="J51" s="521">
        <f t="shared" si="48"/>
        <v>30818.526441714446</v>
      </c>
      <c r="K51" s="452">
        <f t="shared" si="48"/>
        <v>52182.289416721018</v>
      </c>
      <c r="L51" s="452">
        <f t="shared" ref="L51:N51" si="50">SUM(L48:L50)</f>
        <v>52619.529593949126</v>
      </c>
      <c r="M51" s="452">
        <f t="shared" si="50"/>
        <v>53176.753432543985</v>
      </c>
      <c r="N51" s="452">
        <f t="shared" si="50"/>
        <v>53612.618399820996</v>
      </c>
      <c r="O51" s="452">
        <f t="shared" si="48"/>
        <v>242409.71728474952</v>
      </c>
      <c r="R51" s="5"/>
      <c r="X51" s="5"/>
      <c r="Y51" s="5"/>
      <c r="Z51" s="5"/>
      <c r="AA51" s="5"/>
      <c r="AB51" s="5"/>
      <c r="AC51" s="5"/>
    </row>
    <row r="52" spans="2:29" x14ac:dyDescent="0.25">
      <c r="I52" s="5"/>
      <c r="J52" s="5"/>
    </row>
    <row r="53" spans="2:29" x14ac:dyDescent="0.25">
      <c r="H53" s="511"/>
      <c r="I53" s="511"/>
      <c r="J53" s="511"/>
      <c r="K53" s="511"/>
      <c r="L53" s="511"/>
      <c r="M53" s="511"/>
      <c r="N53" s="511"/>
      <c r="O53" s="511"/>
    </row>
    <row r="54" spans="2:29" x14ac:dyDescent="0.25">
      <c r="H54" s="5"/>
      <c r="I54" s="5"/>
      <c r="J54" s="5"/>
      <c r="K54" s="5"/>
      <c r="L54" s="5"/>
      <c r="M54" s="5"/>
      <c r="N54" s="5"/>
      <c r="O54" s="526" t="s">
        <v>224</v>
      </c>
    </row>
    <row r="55" spans="2:29" x14ac:dyDescent="0.25">
      <c r="B55" s="426" t="s">
        <v>360</v>
      </c>
      <c r="C55" s="16"/>
      <c r="D55" s="567" t="s">
        <v>8</v>
      </c>
      <c r="E55" s="567" t="s">
        <v>9</v>
      </c>
      <c r="F55" s="567" t="s">
        <v>10</v>
      </c>
      <c r="G55" s="567" t="s">
        <v>11</v>
      </c>
      <c r="H55" s="567" t="s">
        <v>12</v>
      </c>
      <c r="I55" s="568" t="s">
        <v>219</v>
      </c>
      <c r="J55" s="107" t="s">
        <v>100</v>
      </c>
      <c r="K55" s="549" t="s">
        <v>101</v>
      </c>
      <c r="L55" s="549" t="s">
        <v>102</v>
      </c>
      <c r="M55" s="549" t="s">
        <v>147</v>
      </c>
      <c r="N55" s="549" t="s">
        <v>220</v>
      </c>
      <c r="O55" s="479" t="s">
        <v>4</v>
      </c>
      <c r="P55" s="16"/>
      <c r="Q55" s="16"/>
      <c r="R55" s="425"/>
      <c r="S55" s="425"/>
      <c r="T55" s="425"/>
      <c r="U55" s="425"/>
      <c r="X55" s="469"/>
    </row>
    <row r="56" spans="2:29" x14ac:dyDescent="0.25">
      <c r="B56" s="16" t="s">
        <v>35</v>
      </c>
      <c r="C56" s="16"/>
      <c r="D56" s="167">
        <f t="shared" ref="D56:I56" si="51">D18</f>
        <v>73596.642060968952</v>
      </c>
      <c r="E56" s="167">
        <f t="shared" si="51"/>
        <v>77629.419037453903</v>
      </c>
      <c r="F56" s="167">
        <f t="shared" si="51"/>
        <v>106619.61345683009</v>
      </c>
      <c r="G56" s="167">
        <f t="shared" si="51"/>
        <v>120352.13000362062</v>
      </c>
      <c r="H56" s="167">
        <f t="shared" si="51"/>
        <v>109356.41678540604</v>
      </c>
      <c r="I56" s="529">
        <f t="shared" si="51"/>
        <v>55762.66454627434</v>
      </c>
      <c r="J56" s="527">
        <f>J18</f>
        <v>78127.175409369956</v>
      </c>
      <c r="K56" s="167">
        <f t="shared" ref="K56:N56" si="52">K18</f>
        <v>119997.95355548456</v>
      </c>
      <c r="L56" s="167">
        <f t="shared" si="52"/>
        <v>120958.04885827594</v>
      </c>
      <c r="M56" s="167">
        <f t="shared" si="52"/>
        <v>122153.58103979401</v>
      </c>
      <c r="N56" s="167">
        <f t="shared" si="52"/>
        <v>123109.51657653828</v>
      </c>
      <c r="O56" s="427">
        <f>SUM(J56:N56)</f>
        <v>564346.27543946274</v>
      </c>
      <c r="P56" s="16"/>
      <c r="Q56" s="217"/>
      <c r="R56" s="188"/>
      <c r="S56" s="14"/>
      <c r="T56" s="297"/>
      <c r="U56" s="106"/>
      <c r="V56" s="14"/>
      <c r="X56" s="297"/>
      <c r="Y56" s="106"/>
      <c r="Z56" s="14"/>
    </row>
    <row r="57" spans="2:29" x14ac:dyDescent="0.25">
      <c r="B57" s="16" t="s">
        <v>359</v>
      </c>
      <c r="D57" s="5">
        <f t="shared" ref="D57:I57" si="53">D33</f>
        <v>15301.251843467873</v>
      </c>
      <c r="E57" s="5">
        <f t="shared" si="53"/>
        <v>27738.0465523405</v>
      </c>
      <c r="F57" s="5">
        <f t="shared" si="53"/>
        <v>51374.055672233611</v>
      </c>
      <c r="G57" s="5">
        <f t="shared" si="53"/>
        <v>70628.50190147839</v>
      </c>
      <c r="H57" s="5">
        <f t="shared" si="53"/>
        <v>67837.990298192803</v>
      </c>
      <c r="I57" s="146">
        <f t="shared" si="53"/>
        <v>34021.712761168761</v>
      </c>
      <c r="J57" s="109">
        <f>J33</f>
        <v>47308.648967655492</v>
      </c>
      <c r="K57" s="5">
        <f t="shared" ref="K57:N57" si="54">K33</f>
        <v>67815.664138763561</v>
      </c>
      <c r="L57" s="5">
        <f t="shared" si="54"/>
        <v>68338.519264326809</v>
      </c>
      <c r="M57" s="5">
        <f t="shared" si="54"/>
        <v>68976.827607250045</v>
      </c>
      <c r="N57" s="5">
        <f t="shared" si="54"/>
        <v>69496.898176717281</v>
      </c>
      <c r="O57" s="427">
        <f t="shared" ref="O57:O58" si="55">SUM(J57:N57)</f>
        <v>321936.55815471319</v>
      </c>
      <c r="Q57" s="217"/>
      <c r="R57" s="188"/>
      <c r="S57" s="14"/>
      <c r="T57" s="297"/>
      <c r="U57" s="106"/>
      <c r="V57" s="14"/>
      <c r="X57" s="297"/>
      <c r="Y57" s="106"/>
      <c r="Z57" s="14"/>
    </row>
    <row r="58" spans="2:29" x14ac:dyDescent="0.25">
      <c r="B58" s="16" t="s">
        <v>205</v>
      </c>
      <c r="D58" s="5">
        <f t="shared" ref="D58:I58" si="56">D51</f>
        <v>58295.390217501052</v>
      </c>
      <c r="E58" s="5">
        <f t="shared" si="56"/>
        <v>49891.372485113403</v>
      </c>
      <c r="F58" s="5">
        <f t="shared" si="56"/>
        <v>55245.557784596473</v>
      </c>
      <c r="G58" s="5">
        <f t="shared" si="56"/>
        <v>49723.628102142218</v>
      </c>
      <c r="H58" s="5">
        <f t="shared" si="56"/>
        <v>41518.426487213241</v>
      </c>
      <c r="I58" s="146">
        <f t="shared" si="56"/>
        <v>21740.951785105583</v>
      </c>
      <c r="J58" s="109">
        <f>J51</f>
        <v>30818.526441714446</v>
      </c>
      <c r="K58" s="5">
        <f t="shared" ref="K58:N58" si="57">K51</f>
        <v>52182.289416721018</v>
      </c>
      <c r="L58" s="5">
        <f t="shared" si="57"/>
        <v>52619.529593949126</v>
      </c>
      <c r="M58" s="5">
        <f t="shared" si="57"/>
        <v>53176.753432543985</v>
      </c>
      <c r="N58" s="5">
        <f t="shared" si="57"/>
        <v>53612.618399820996</v>
      </c>
      <c r="O58" s="427">
        <f t="shared" si="55"/>
        <v>242409.71728474955</v>
      </c>
      <c r="Q58" s="217"/>
      <c r="R58" s="188"/>
      <c r="S58" s="14"/>
      <c r="T58" s="297"/>
      <c r="U58" s="106"/>
      <c r="V58" s="14"/>
      <c r="X58" s="297"/>
      <c r="Y58" s="106"/>
      <c r="Z58" s="14"/>
    </row>
    <row r="59" spans="2:29" x14ac:dyDescent="0.25">
      <c r="B59" s="16"/>
      <c r="O59" s="1"/>
      <c r="R59" s="1"/>
    </row>
    <row r="60" spans="2:29" x14ac:dyDescent="0.25">
      <c r="B60" s="429" t="s">
        <v>361</v>
      </c>
      <c r="D60" s="567" t="s">
        <v>8</v>
      </c>
      <c r="E60" s="567" t="s">
        <v>9</v>
      </c>
      <c r="F60" s="567" t="s">
        <v>10</v>
      </c>
      <c r="G60" s="567" t="s">
        <v>11</v>
      </c>
      <c r="H60" s="567" t="s">
        <v>12</v>
      </c>
      <c r="I60" s="568" t="s">
        <v>219</v>
      </c>
      <c r="J60" s="107" t="s">
        <v>100</v>
      </c>
      <c r="K60" s="549" t="s">
        <v>101</v>
      </c>
      <c r="L60" s="549" t="s">
        <v>102</v>
      </c>
      <c r="M60" s="549" t="s">
        <v>147</v>
      </c>
      <c r="N60" s="549" t="s">
        <v>220</v>
      </c>
      <c r="O60" s="549" t="s">
        <v>4</v>
      </c>
      <c r="R60" s="1"/>
      <c r="T60" s="425"/>
      <c r="U60" s="425"/>
      <c r="X60" s="469"/>
    </row>
    <row r="61" spans="2:29" x14ac:dyDescent="0.25">
      <c r="B61" s="16" t="s">
        <v>35</v>
      </c>
      <c r="D61" s="525">
        <f>D18-D8-D11-D14</f>
        <v>72624.576589837045</v>
      </c>
      <c r="E61" s="525">
        <f t="shared" ref="E61:N61" si="58">E18-E8-E11-E14</f>
        <v>71707.993801073855</v>
      </c>
      <c r="F61" s="525">
        <f t="shared" si="58"/>
        <v>77070.679770139861</v>
      </c>
      <c r="G61" s="525">
        <f t="shared" si="58"/>
        <v>69600.793995573244</v>
      </c>
      <c r="H61" s="525">
        <f t="shared" si="58"/>
        <v>65715.235395757074</v>
      </c>
      <c r="I61" s="530">
        <f t="shared" si="58"/>
        <v>32184.050250101383</v>
      </c>
      <c r="J61" s="528">
        <f t="shared" si="58"/>
        <v>37837.155308468733</v>
      </c>
      <c r="K61" s="525">
        <f t="shared" si="58"/>
        <v>64271.785567097759</v>
      </c>
      <c r="L61" s="525">
        <f t="shared" si="58"/>
        <v>64799.586472629177</v>
      </c>
      <c r="M61" s="525">
        <f t="shared" si="58"/>
        <v>65442.364478301599</v>
      </c>
      <c r="N61" s="525">
        <f t="shared" si="58"/>
        <v>66002.698199080492</v>
      </c>
      <c r="O61" s="427">
        <f>SUM(J61:N61)</f>
        <v>298353.59002557775</v>
      </c>
      <c r="Q61" s="217"/>
      <c r="R61" s="428"/>
      <c r="S61" s="14"/>
      <c r="T61" s="297"/>
      <c r="U61" s="106"/>
      <c r="V61" s="14"/>
      <c r="X61" s="297"/>
      <c r="Y61" s="106"/>
      <c r="Z61" s="14"/>
    </row>
    <row r="62" spans="2:29" x14ac:dyDescent="0.25">
      <c r="B62" s="16" t="s">
        <v>359</v>
      </c>
      <c r="D62" s="525">
        <f>D33-D23-D26-D29</f>
        <v>14615.131999555833</v>
      </c>
      <c r="E62" s="525">
        <f t="shared" ref="E62:N62" si="59">E33-E23-E26-E29</f>
        <v>21601.196946147375</v>
      </c>
      <c r="F62" s="525">
        <f t="shared" si="59"/>
        <v>21715.908235882824</v>
      </c>
      <c r="G62" s="525">
        <f t="shared" si="59"/>
        <v>24854.684387766374</v>
      </c>
      <c r="H62" s="525">
        <f t="shared" si="59"/>
        <v>21257.599840622821</v>
      </c>
      <c r="I62" s="530">
        <f t="shared" si="59"/>
        <v>10443.098464995805</v>
      </c>
      <c r="J62" s="528">
        <f t="shared" si="59"/>
        <v>7018.6288667542722</v>
      </c>
      <c r="K62" s="525">
        <f t="shared" si="59"/>
        <v>12089.496150376759</v>
      </c>
      <c r="L62" s="525">
        <f t="shared" si="59"/>
        <v>12180.056878680043</v>
      </c>
      <c r="M62" s="525">
        <f t="shared" si="59"/>
        <v>12265.611045757632</v>
      </c>
      <c r="N62" s="525">
        <f t="shared" si="59"/>
        <v>12390.079799259507</v>
      </c>
      <c r="O62" s="427">
        <f t="shared" ref="O62:O63" si="60">SUM(J62:N62)</f>
        <v>55943.872740828214</v>
      </c>
      <c r="Q62" s="217"/>
      <c r="R62" s="428"/>
      <c r="S62" s="14"/>
      <c r="T62" s="297"/>
      <c r="U62" s="106"/>
      <c r="V62" s="14"/>
      <c r="X62" s="297"/>
      <c r="Y62" s="106"/>
      <c r="Z62" s="14"/>
    </row>
    <row r="63" spans="2:29" x14ac:dyDescent="0.25">
      <c r="B63" s="16" t="s">
        <v>205</v>
      </c>
      <c r="D63" s="525">
        <f t="shared" ref="D63:I63" si="61">D61-D62</f>
        <v>58009.444590281215</v>
      </c>
      <c r="E63" s="525">
        <f t="shared" si="61"/>
        <v>50106.796854926477</v>
      </c>
      <c r="F63" s="525">
        <f t="shared" si="61"/>
        <v>55354.771534257037</v>
      </c>
      <c r="G63" s="525">
        <f t="shared" si="61"/>
        <v>44746.109607806866</v>
      </c>
      <c r="H63" s="525">
        <f t="shared" si="61"/>
        <v>44457.635555134257</v>
      </c>
      <c r="I63" s="530">
        <f t="shared" si="61"/>
        <v>21740.951785105579</v>
      </c>
      <c r="J63" s="528">
        <f>J61-J62</f>
        <v>30818.526441714461</v>
      </c>
      <c r="K63" s="525">
        <f t="shared" ref="K63:N63" si="62">K61-K62</f>
        <v>52182.289416721003</v>
      </c>
      <c r="L63" s="525">
        <f t="shared" si="62"/>
        <v>52619.529593949133</v>
      </c>
      <c r="M63" s="525">
        <f t="shared" si="62"/>
        <v>53176.753432543963</v>
      </c>
      <c r="N63" s="525">
        <f t="shared" si="62"/>
        <v>53612.618399820989</v>
      </c>
      <c r="O63" s="427">
        <f t="shared" si="60"/>
        <v>242409.71728474955</v>
      </c>
      <c r="Q63" s="217"/>
      <c r="R63" s="428"/>
      <c r="S63" s="14"/>
      <c r="T63" s="297"/>
      <c r="U63" s="106"/>
      <c r="V63" s="14"/>
      <c r="X63" s="297"/>
      <c r="Y63" s="106"/>
      <c r="Z63" s="14"/>
    </row>
    <row r="64" spans="2:29" x14ac:dyDescent="0.25">
      <c r="O64" s="1"/>
      <c r="R64" s="1"/>
    </row>
    <row r="65" spans="2:22" x14ac:dyDescent="0.25">
      <c r="B65" s="12"/>
      <c r="O65" s="1"/>
      <c r="R65" s="1"/>
      <c r="T65" s="425"/>
      <c r="U65" s="425"/>
    </row>
    <row r="66" spans="2:22" x14ac:dyDescent="0.25">
      <c r="B66" s="1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7"/>
      <c r="Q66" s="217"/>
      <c r="R66" s="428"/>
      <c r="S66" s="14"/>
      <c r="T66" s="297"/>
      <c r="U66" s="106"/>
      <c r="V66" s="14"/>
    </row>
    <row r="67" spans="2:22" x14ac:dyDescent="0.25">
      <c r="B67" s="1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7"/>
      <c r="Q67" s="217"/>
      <c r="R67" s="428"/>
      <c r="S67" s="14"/>
      <c r="T67" s="297"/>
      <c r="U67" s="106"/>
      <c r="V67" s="14"/>
    </row>
    <row r="68" spans="2:22" x14ac:dyDescent="0.25">
      <c r="B68" s="1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27"/>
      <c r="Q68" s="217"/>
      <c r="R68" s="428"/>
      <c r="S68" s="14"/>
      <c r="T68" s="297"/>
      <c r="U68" s="106"/>
      <c r="V68" s="14"/>
    </row>
    <row r="69" spans="2:22" x14ac:dyDescent="0.25">
      <c r="J69" s="551"/>
      <c r="K69" s="551"/>
      <c r="L69" s="551"/>
      <c r="M69" s="551"/>
      <c r="N69" s="551"/>
      <c r="O69" s="551"/>
      <c r="R69" s="1"/>
    </row>
    <row r="70" spans="2:22" x14ac:dyDescent="0.25">
      <c r="B70" s="12"/>
      <c r="J70" s="551"/>
      <c r="K70" s="551"/>
      <c r="L70" s="551"/>
      <c r="M70" s="551"/>
      <c r="N70" s="551"/>
      <c r="O70" s="551"/>
      <c r="R70" s="1"/>
      <c r="T70" s="425"/>
      <c r="U70" s="425"/>
    </row>
    <row r="71" spans="2:22" x14ac:dyDescent="0.25">
      <c r="B71" s="16"/>
      <c r="D71" s="5"/>
      <c r="E71" s="5"/>
      <c r="F71" s="5"/>
      <c r="G71" s="5"/>
      <c r="H71" s="5"/>
      <c r="I71" s="5"/>
      <c r="J71" s="551"/>
      <c r="K71" s="551"/>
      <c r="L71" s="551"/>
      <c r="M71" s="551"/>
      <c r="N71" s="551"/>
      <c r="O71" s="551"/>
      <c r="Q71" s="217"/>
      <c r="R71" s="428"/>
      <c r="S71" s="14"/>
      <c r="T71" s="297"/>
      <c r="U71" s="106"/>
      <c r="V71" s="14"/>
    </row>
    <row r="72" spans="2:22" x14ac:dyDescent="0.25">
      <c r="B72" s="1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27"/>
      <c r="Q72" s="217"/>
      <c r="R72" s="428"/>
      <c r="S72" s="14"/>
      <c r="T72" s="297"/>
      <c r="U72" s="106"/>
      <c r="V72" s="14"/>
    </row>
    <row r="73" spans="2:22" x14ac:dyDescent="0.25">
      <c r="B73" s="1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27"/>
      <c r="Q73" s="217"/>
      <c r="R73" s="428"/>
      <c r="S73" s="14"/>
      <c r="T73" s="297"/>
      <c r="U73" s="106"/>
      <c r="V73" s="14"/>
    </row>
    <row r="74" spans="2:22" x14ac:dyDescent="0.25">
      <c r="O74" s="1"/>
      <c r="R74" s="1"/>
    </row>
    <row r="75" spans="2:22" x14ac:dyDescent="0.25">
      <c r="B75" s="12"/>
      <c r="O75" s="1"/>
      <c r="R75" s="1"/>
      <c r="T75" s="425"/>
      <c r="U75" s="425"/>
    </row>
    <row r="76" spans="2:22" x14ac:dyDescent="0.25">
      <c r="B76" s="1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27"/>
      <c r="Q76" s="217"/>
      <c r="R76" s="428"/>
      <c r="S76" s="14"/>
      <c r="T76" s="297"/>
      <c r="U76" s="106"/>
      <c r="V76" s="14"/>
    </row>
    <row r="77" spans="2:22" x14ac:dyDescent="0.25">
      <c r="B77" s="1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27"/>
      <c r="Q77" s="217"/>
      <c r="R77" s="428"/>
      <c r="S77" s="14"/>
      <c r="T77" s="297"/>
      <c r="U77" s="106"/>
      <c r="V77" s="14"/>
    </row>
    <row r="78" spans="2:22" x14ac:dyDescent="0.25">
      <c r="B78" s="1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27"/>
      <c r="Q78" s="217"/>
      <c r="R78" s="428"/>
      <c r="S78" s="14"/>
      <c r="T78" s="297"/>
      <c r="U78" s="106"/>
      <c r="V78" s="14"/>
    </row>
    <row r="80" spans="2:22" x14ac:dyDescent="0.25">
      <c r="B80" s="12"/>
    </row>
    <row r="81" spans="2:22" x14ac:dyDescent="0.25">
      <c r="B81" s="1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27"/>
      <c r="T81" s="297"/>
      <c r="U81" s="106"/>
      <c r="V81" s="14"/>
    </row>
    <row r="82" spans="2:22" x14ac:dyDescent="0.25">
      <c r="B82" s="1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27"/>
      <c r="T82" s="297"/>
      <c r="U82" s="106"/>
      <c r="V82" s="14"/>
    </row>
    <row r="83" spans="2:22" x14ac:dyDescent="0.25">
      <c r="B83" s="1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27"/>
      <c r="T83" s="297"/>
      <c r="U83" s="106"/>
      <c r="V83" s="14"/>
    </row>
  </sheetData>
  <hyperlinks>
    <hyperlink ref="B3" location="Contents!A1" display="Table of Contents" xr:uid="{00000000-0004-0000-0F00-000000000000}"/>
  </hyperlink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rowBreaks count="1" manualBreakCount="1">
    <brk id="38" max="12" man="1"/>
  </rowBreaks>
  <colBreaks count="1" manualBreakCount="1">
    <brk id="17" max="1048575" man="1"/>
  </colBreaks>
  <ignoredErrors>
    <ignoredError sqref="J48:O48 C48:H4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B1:P43"/>
  <sheetViews>
    <sheetView zoomScale="85" zoomScaleNormal="85" workbookViewId="0">
      <pane ySplit="8" topLeftCell="A9" activePane="bottomLeft" state="frozen"/>
      <selection activeCell="AZ19" sqref="AZ19:BE19"/>
      <selection pane="bottomLeft" activeCell="F22" sqref="F22"/>
    </sheetView>
  </sheetViews>
  <sheetFormatPr defaultRowHeight="15" x14ac:dyDescent="0.25"/>
  <cols>
    <col min="1" max="1" width="3.7109375" customWidth="1"/>
    <col min="2" max="2" width="41" customWidth="1"/>
    <col min="3" max="5" width="10.5703125" bestFit="1" customWidth="1"/>
    <col min="6" max="6" width="10.5703125" customWidth="1"/>
    <col min="7" max="11" width="10.5703125" bestFit="1" customWidth="1"/>
    <col min="12" max="12" width="10.85546875" customWidth="1"/>
    <col min="13" max="13" width="10.7109375" customWidth="1"/>
  </cols>
  <sheetData>
    <row r="1" spans="2:14" ht="18.75" x14ac:dyDescent="0.3">
      <c r="B1" s="203" t="s">
        <v>207</v>
      </c>
    </row>
    <row r="2" spans="2:14" x14ac:dyDescent="0.25">
      <c r="B2" s="204" t="s">
        <v>70</v>
      </c>
      <c r="C2" s="52"/>
      <c r="D2" s="52"/>
      <c r="E2" s="52"/>
      <c r="F2" s="52"/>
      <c r="G2" s="52"/>
    </row>
    <row r="3" spans="2:14" x14ac:dyDescent="0.25">
      <c r="B3" s="204"/>
    </row>
    <row r="4" spans="2:14" x14ac:dyDescent="0.25">
      <c r="B4" s="16" t="s">
        <v>374</v>
      </c>
      <c r="C4" s="201">
        <f>Escalation!I9</f>
        <v>1.0597841134352426</v>
      </c>
      <c r="D4" s="201">
        <f>Escalation!J9</f>
        <v>1.0389462882960341</v>
      </c>
      <c r="E4" s="201">
        <f>Escalation!K9</f>
        <v>1.0202250019521406</v>
      </c>
      <c r="F4" s="201">
        <f>Escalation!L9</f>
        <v>1</v>
      </c>
      <c r="I4" s="230"/>
      <c r="J4" s="52"/>
      <c r="K4" s="52"/>
    </row>
    <row r="6" spans="2:14" x14ac:dyDescent="0.25">
      <c r="B6" t="s">
        <v>197</v>
      </c>
      <c r="C6" s="652" t="s">
        <v>145</v>
      </c>
      <c r="D6" s="653"/>
      <c r="E6" s="653"/>
      <c r="F6" s="654"/>
      <c r="G6" s="649" t="s">
        <v>226</v>
      </c>
      <c r="H6" s="650"/>
      <c r="I6" s="650"/>
      <c r="J6" s="650"/>
      <c r="K6" s="650"/>
      <c r="L6" s="651"/>
    </row>
    <row r="7" spans="2:14" x14ac:dyDescent="0.25">
      <c r="C7" s="195" t="s">
        <v>19</v>
      </c>
      <c r="D7" s="185" t="s">
        <v>19</v>
      </c>
      <c r="E7" s="185" t="s">
        <v>97</v>
      </c>
      <c r="F7" s="220" t="s">
        <v>97</v>
      </c>
      <c r="G7" s="195" t="s">
        <v>97</v>
      </c>
      <c r="H7" s="185" t="s">
        <v>97</v>
      </c>
      <c r="I7" s="185" t="s">
        <v>97</v>
      </c>
      <c r="J7" s="185" t="s">
        <v>97</v>
      </c>
      <c r="K7" s="185" t="s">
        <v>97</v>
      </c>
      <c r="L7" s="169" t="s">
        <v>224</v>
      </c>
    </row>
    <row r="8" spans="2:14" x14ac:dyDescent="0.25">
      <c r="B8" s="200" t="s">
        <v>35</v>
      </c>
      <c r="C8" s="197" t="s">
        <v>10</v>
      </c>
      <c r="D8" s="198" t="s">
        <v>11</v>
      </c>
      <c r="E8" s="198" t="s">
        <v>12</v>
      </c>
      <c r="F8" s="198" t="s">
        <v>219</v>
      </c>
      <c r="G8" s="231" t="s">
        <v>100</v>
      </c>
      <c r="H8" s="232" t="s">
        <v>101</v>
      </c>
      <c r="I8" s="232" t="s">
        <v>102</v>
      </c>
      <c r="J8" s="232" t="s">
        <v>147</v>
      </c>
      <c r="K8" s="233" t="s">
        <v>220</v>
      </c>
      <c r="L8" s="199" t="s">
        <v>4</v>
      </c>
      <c r="M8" s="371"/>
      <c r="N8" s="371"/>
    </row>
    <row r="9" spans="2:14" x14ac:dyDescent="0.25">
      <c r="B9" t="s">
        <v>198</v>
      </c>
      <c r="C9" s="189">
        <f>Summary_Output!F14/C$4</f>
        <v>133.66417228157752</v>
      </c>
      <c r="D9" s="186">
        <f>Summary_Output!G14/D$4</f>
        <v>4850.7237200925529</v>
      </c>
      <c r="E9" s="186">
        <f>Summary_Output!H14/E$4</f>
        <v>8057.2615773581047</v>
      </c>
      <c r="F9" s="186">
        <f>Summary_Output!I14/F$4</f>
        <v>5205.4137209650644</v>
      </c>
      <c r="G9" s="189">
        <f>Summary_Output!J14</f>
        <v>19026.545942562323</v>
      </c>
      <c r="H9" s="186">
        <f>Summary_Output!K14</f>
        <v>18996.932056083922</v>
      </c>
      <c r="I9" s="186">
        <f>Summary_Output!L14</f>
        <v>19244.929281259709</v>
      </c>
      <c r="J9" s="186">
        <f>Summary_Output!M14</f>
        <v>19411.859516163233</v>
      </c>
      <c r="K9" s="186">
        <f>Summary_Output!N14</f>
        <v>19525.933421264908</v>
      </c>
      <c r="L9" s="192">
        <f>SUM(G9:K9)</f>
        <v>96206.200217334102</v>
      </c>
    </row>
    <row r="10" spans="2:14" x14ac:dyDescent="0.25">
      <c r="B10" t="s">
        <v>199</v>
      </c>
      <c r="C10" s="189">
        <f>(Summary_Output!F18-Summary_Output!F14)/C$4</f>
        <v>100471.36670634465</v>
      </c>
      <c r="D10" s="186">
        <f>(Summary_Output!G18-Summary_Output!G14)/D$4</f>
        <v>110989.8460566271</v>
      </c>
      <c r="E10" s="186">
        <f>(Summary_Output!H18-Summary_Output!H14)/E$4</f>
        <v>99131.267008158771</v>
      </c>
      <c r="F10" s="186">
        <f>(Summary_Output!I18-Summary_Output!I14)/F$4</f>
        <v>50557.250825309275</v>
      </c>
      <c r="G10" s="189">
        <f>Summary_Output!J18-Summary_Output!J14</f>
        <v>59100.62946680763</v>
      </c>
      <c r="H10" s="186">
        <f>Summary_Output!K18-Summary_Output!K14</f>
        <v>101001.02149940064</v>
      </c>
      <c r="I10" s="186">
        <f>Summary_Output!L18-Summary_Output!L14</f>
        <v>101713.11957701623</v>
      </c>
      <c r="J10" s="186">
        <f>Summary_Output!M18-Summary_Output!M14</f>
        <v>102741.72152363078</v>
      </c>
      <c r="K10" s="186">
        <f>Summary_Output!N18-Summary_Output!N14</f>
        <v>103583.58315527337</v>
      </c>
      <c r="L10" s="192">
        <f t="shared" ref="L10:L16" si="0">SUM(G10:K10)</f>
        <v>468140.07522212865</v>
      </c>
    </row>
    <row r="11" spans="2:14" x14ac:dyDescent="0.25">
      <c r="B11" t="s">
        <v>200</v>
      </c>
      <c r="C11" s="189">
        <v>0</v>
      </c>
      <c r="D11" s="186">
        <v>0</v>
      </c>
      <c r="E11" s="186">
        <v>0</v>
      </c>
      <c r="F11" s="186">
        <v>0</v>
      </c>
      <c r="G11" s="189">
        <v>0</v>
      </c>
      <c r="H11" s="186">
        <v>0</v>
      </c>
      <c r="I11" s="186">
        <v>0</v>
      </c>
      <c r="J11" s="186">
        <v>0</v>
      </c>
      <c r="K11" s="186">
        <v>0</v>
      </c>
      <c r="L11" s="192">
        <f t="shared" si="0"/>
        <v>0</v>
      </c>
    </row>
    <row r="12" spans="2:14" x14ac:dyDescent="0.25">
      <c r="B12" t="s">
        <v>201</v>
      </c>
      <c r="C12" s="189">
        <v>0</v>
      </c>
      <c r="D12" s="186">
        <v>0</v>
      </c>
      <c r="E12" s="186">
        <v>0</v>
      </c>
      <c r="F12" s="186">
        <v>0</v>
      </c>
      <c r="G12" s="189">
        <v>0</v>
      </c>
      <c r="H12" s="186">
        <v>0</v>
      </c>
      <c r="I12" s="186">
        <v>0</v>
      </c>
      <c r="J12" s="186">
        <v>0</v>
      </c>
      <c r="K12" s="186">
        <v>0</v>
      </c>
      <c r="L12" s="192">
        <f t="shared" si="0"/>
        <v>0</v>
      </c>
    </row>
    <row r="13" spans="2:14" x14ac:dyDescent="0.25">
      <c r="B13" t="s">
        <v>210</v>
      </c>
      <c r="C13" s="189">
        <v>0</v>
      </c>
      <c r="D13" s="186">
        <v>0</v>
      </c>
      <c r="E13" s="186">
        <v>0</v>
      </c>
      <c r="F13" s="186">
        <v>0</v>
      </c>
      <c r="G13" s="189">
        <v>0</v>
      </c>
      <c r="H13" s="186">
        <v>0</v>
      </c>
      <c r="I13" s="186">
        <v>0</v>
      </c>
      <c r="J13" s="186">
        <v>0</v>
      </c>
      <c r="K13" s="186">
        <v>0</v>
      </c>
      <c r="L13" s="192">
        <f t="shared" si="0"/>
        <v>0</v>
      </c>
    </row>
    <row r="14" spans="2:14" x14ac:dyDescent="0.25">
      <c r="B14" t="s">
        <v>202</v>
      </c>
      <c r="C14" s="189">
        <v>0</v>
      </c>
      <c r="D14" s="186">
        <v>0</v>
      </c>
      <c r="E14" s="186">
        <v>0</v>
      </c>
      <c r="F14" s="186">
        <v>0</v>
      </c>
      <c r="G14" s="189">
        <v>0</v>
      </c>
      <c r="H14" s="186">
        <v>0</v>
      </c>
      <c r="I14" s="186">
        <v>0</v>
      </c>
      <c r="J14" s="186">
        <v>0</v>
      </c>
      <c r="K14" s="186">
        <v>0</v>
      </c>
      <c r="L14" s="192">
        <f t="shared" si="0"/>
        <v>0</v>
      </c>
    </row>
    <row r="15" spans="2:14" x14ac:dyDescent="0.25">
      <c r="B15" t="s">
        <v>235</v>
      </c>
      <c r="C15" s="189">
        <v>0</v>
      </c>
      <c r="D15" s="186">
        <v>0</v>
      </c>
      <c r="E15" s="186">
        <v>0</v>
      </c>
      <c r="F15" s="186">
        <v>0</v>
      </c>
      <c r="G15" s="189">
        <v>0</v>
      </c>
      <c r="H15" s="186">
        <v>0</v>
      </c>
      <c r="I15" s="186">
        <v>0</v>
      </c>
      <c r="J15" s="186">
        <v>0</v>
      </c>
      <c r="K15" s="186">
        <v>0</v>
      </c>
      <c r="L15" s="192">
        <f t="shared" si="0"/>
        <v>0</v>
      </c>
    </row>
    <row r="16" spans="2:14" x14ac:dyDescent="0.25">
      <c r="B16" s="196" t="s">
        <v>203</v>
      </c>
      <c r="C16" s="190">
        <v>0</v>
      </c>
      <c r="D16" s="187">
        <v>0</v>
      </c>
      <c r="E16" s="187">
        <v>0</v>
      </c>
      <c r="F16" s="187">
        <v>0</v>
      </c>
      <c r="G16" s="190">
        <v>0</v>
      </c>
      <c r="H16" s="187">
        <v>0</v>
      </c>
      <c r="I16" s="187">
        <v>0</v>
      </c>
      <c r="J16" s="187">
        <v>0</v>
      </c>
      <c r="K16" s="187">
        <v>0</v>
      </c>
      <c r="L16" s="193">
        <f t="shared" si="0"/>
        <v>0</v>
      </c>
    </row>
    <row r="17" spans="2:16" x14ac:dyDescent="0.25">
      <c r="B17" s="1" t="s">
        <v>4</v>
      </c>
      <c r="C17" s="191">
        <f t="shared" ref="C17:L17" si="1">SUM(C9:C16)</f>
        <v>100605.03087862623</v>
      </c>
      <c r="D17" s="188">
        <f t="shared" si="1"/>
        <v>115840.56977671965</v>
      </c>
      <c r="E17" s="188">
        <f t="shared" si="1"/>
        <v>107188.52858551688</v>
      </c>
      <c r="F17" s="188">
        <f t="shared" si="1"/>
        <v>55762.66454627434</v>
      </c>
      <c r="G17" s="191">
        <f t="shared" si="1"/>
        <v>78127.175409369956</v>
      </c>
      <c r="H17" s="188">
        <f t="shared" si="1"/>
        <v>119997.95355548456</v>
      </c>
      <c r="I17" s="188">
        <f t="shared" si="1"/>
        <v>120958.04885827594</v>
      </c>
      <c r="J17" s="188">
        <f t="shared" si="1"/>
        <v>122153.58103979402</v>
      </c>
      <c r="K17" s="188">
        <f t="shared" si="1"/>
        <v>123109.51657653828</v>
      </c>
      <c r="L17" s="194">
        <f t="shared" si="1"/>
        <v>564346.27543946274</v>
      </c>
      <c r="M17" s="303"/>
      <c r="N17" s="432"/>
      <c r="P17" s="210"/>
    </row>
    <row r="18" spans="2:16" x14ac:dyDescent="0.25">
      <c r="M18" s="303"/>
      <c r="N18" s="1"/>
    </row>
    <row r="19" spans="2:16" x14ac:dyDescent="0.25">
      <c r="C19" s="652" t="s">
        <v>145</v>
      </c>
      <c r="D19" s="653"/>
      <c r="E19" s="653"/>
      <c r="F19" s="654"/>
      <c r="G19" s="649" t="s">
        <v>226</v>
      </c>
      <c r="H19" s="650"/>
      <c r="I19" s="650"/>
      <c r="J19" s="650"/>
      <c r="K19" s="650"/>
      <c r="L19" s="651"/>
      <c r="M19" s="303"/>
      <c r="N19" s="1"/>
    </row>
    <row r="20" spans="2:16" x14ac:dyDescent="0.25">
      <c r="B20" s="200" t="s">
        <v>204</v>
      </c>
      <c r="C20" s="197" t="s">
        <v>10</v>
      </c>
      <c r="D20" s="198" t="s">
        <v>11</v>
      </c>
      <c r="E20" s="198" t="s">
        <v>12</v>
      </c>
      <c r="F20" s="198" t="s">
        <v>219</v>
      </c>
      <c r="G20" s="197" t="s">
        <v>100</v>
      </c>
      <c r="H20" s="198" t="s">
        <v>101</v>
      </c>
      <c r="I20" s="198" t="s">
        <v>102</v>
      </c>
      <c r="J20" s="198" t="s">
        <v>147</v>
      </c>
      <c r="K20" s="198" t="s">
        <v>220</v>
      </c>
      <c r="L20" s="199" t="s">
        <v>224</v>
      </c>
      <c r="M20" s="303"/>
      <c r="N20" s="1"/>
    </row>
    <row r="21" spans="2:16" x14ac:dyDescent="0.25">
      <c r="B21" t="s">
        <v>198</v>
      </c>
      <c r="C21" s="189">
        <f>Summary_Output!F29/C$4</f>
        <v>236.71700000000001</v>
      </c>
      <c r="D21" s="186">
        <f>Summary_Output!G29/D$4</f>
        <v>59.794150000000002</v>
      </c>
      <c r="E21" s="186">
        <f>Summary_Output!H29/E$4</f>
        <v>10938.2035875</v>
      </c>
      <c r="F21" s="186">
        <f>Summary_Output!I29/F$4</f>
        <v>5205.4137209650644</v>
      </c>
      <c r="G21" s="189">
        <f>Summary_Output!J29</f>
        <v>19026.545942562323</v>
      </c>
      <c r="H21" s="186">
        <f>Summary_Output!K29</f>
        <v>18996.932056083922</v>
      </c>
      <c r="I21" s="186">
        <f>Summary_Output!L29</f>
        <v>19244.929281259709</v>
      </c>
      <c r="J21" s="186">
        <f>Summary_Output!M29</f>
        <v>19411.859516163233</v>
      </c>
      <c r="K21" s="186">
        <f>Summary_Output!N29</f>
        <v>19525.933421264908</v>
      </c>
      <c r="L21" s="192">
        <f t="shared" ref="L21:L28" si="2">SUM(G21:K21)</f>
        <v>96206.200217334102</v>
      </c>
      <c r="M21" s="303"/>
      <c r="N21" s="1"/>
    </row>
    <row r="22" spans="2:16" x14ac:dyDescent="0.25">
      <c r="B22" t="s">
        <v>199</v>
      </c>
      <c r="C22" s="189">
        <f>(Summary_Output!F33-Summary_Output!F29)/C$4</f>
        <v>48239.246190000005</v>
      </c>
      <c r="D22" s="186">
        <f>(Summary_Output!G33-Summary_Output!G29)/D$4</f>
        <v>67921.104089999993</v>
      </c>
      <c r="E22" s="186">
        <f>(Summary_Output!H33-Summary_Output!H29)/E$4</f>
        <v>55554.962300797961</v>
      </c>
      <c r="F22" s="186">
        <f>(Summary_Output!I33-Summary_Output!I29)/F$4</f>
        <v>28816.299040203696</v>
      </c>
      <c r="G22" s="189">
        <f>Summary_Output!J33-Summary_Output!J29</f>
        <v>28282.103025093169</v>
      </c>
      <c r="H22" s="186">
        <f>Summary_Output!K33-Summary_Output!K29</f>
        <v>48818.732082679635</v>
      </c>
      <c r="I22" s="186">
        <f>Summary_Output!L33-Summary_Output!L29</f>
        <v>49093.589983067097</v>
      </c>
      <c r="J22" s="186">
        <f>Summary_Output!M33-Summary_Output!M29</f>
        <v>49564.968091086812</v>
      </c>
      <c r="K22" s="186">
        <f>Summary_Output!N33-Summary_Output!N29</f>
        <v>49970.964755452369</v>
      </c>
      <c r="L22" s="192">
        <f t="shared" si="2"/>
        <v>225730.3579373791</v>
      </c>
      <c r="M22" s="303"/>
      <c r="N22" s="1"/>
    </row>
    <row r="23" spans="2:16" x14ac:dyDescent="0.25">
      <c r="B23" t="s">
        <v>200</v>
      </c>
      <c r="C23" s="189">
        <v>0</v>
      </c>
      <c r="D23" s="186">
        <v>0</v>
      </c>
      <c r="E23" s="186">
        <v>0</v>
      </c>
      <c r="F23" s="186">
        <v>0</v>
      </c>
      <c r="G23" s="189">
        <v>0</v>
      </c>
      <c r="H23" s="186">
        <v>0</v>
      </c>
      <c r="I23" s="186">
        <v>0</v>
      </c>
      <c r="J23" s="186">
        <v>0</v>
      </c>
      <c r="K23" s="186">
        <v>0</v>
      </c>
      <c r="L23" s="192">
        <f t="shared" si="2"/>
        <v>0</v>
      </c>
      <c r="M23" s="303"/>
      <c r="N23" s="1"/>
    </row>
    <row r="24" spans="2:16" x14ac:dyDescent="0.25">
      <c r="B24" t="s">
        <v>201</v>
      </c>
      <c r="C24" s="189">
        <v>0</v>
      </c>
      <c r="D24" s="186">
        <v>0</v>
      </c>
      <c r="E24" s="186">
        <v>0</v>
      </c>
      <c r="F24" s="186">
        <v>0</v>
      </c>
      <c r="G24" s="189">
        <v>0</v>
      </c>
      <c r="H24" s="186">
        <v>0</v>
      </c>
      <c r="I24" s="186">
        <v>0</v>
      </c>
      <c r="J24" s="186">
        <v>0</v>
      </c>
      <c r="K24" s="186">
        <v>0</v>
      </c>
      <c r="L24" s="192">
        <f t="shared" si="2"/>
        <v>0</v>
      </c>
      <c r="M24" s="303"/>
      <c r="N24" s="1"/>
    </row>
    <row r="25" spans="2:16" x14ac:dyDescent="0.25">
      <c r="B25" t="s">
        <v>210</v>
      </c>
      <c r="C25" s="189">
        <v>0</v>
      </c>
      <c r="D25" s="186">
        <v>0</v>
      </c>
      <c r="E25" s="186">
        <v>0</v>
      </c>
      <c r="F25" s="186">
        <v>0</v>
      </c>
      <c r="G25" s="189">
        <v>0</v>
      </c>
      <c r="H25" s="186">
        <v>0</v>
      </c>
      <c r="I25" s="186">
        <v>0</v>
      </c>
      <c r="J25" s="186">
        <v>0</v>
      </c>
      <c r="K25" s="186">
        <v>0</v>
      </c>
      <c r="L25" s="192">
        <f t="shared" si="2"/>
        <v>0</v>
      </c>
      <c r="M25" s="303"/>
      <c r="N25" s="1"/>
    </row>
    <row r="26" spans="2:16" x14ac:dyDescent="0.25">
      <c r="B26" t="s">
        <v>202</v>
      </c>
      <c r="C26" s="189">
        <v>0</v>
      </c>
      <c r="D26" s="186">
        <v>0</v>
      </c>
      <c r="E26" s="186">
        <v>0</v>
      </c>
      <c r="F26" s="186">
        <v>0</v>
      </c>
      <c r="G26" s="189">
        <v>0</v>
      </c>
      <c r="H26" s="186">
        <v>0</v>
      </c>
      <c r="I26" s="186">
        <v>0</v>
      </c>
      <c r="J26" s="186">
        <v>0</v>
      </c>
      <c r="K26" s="186">
        <v>0</v>
      </c>
      <c r="L26" s="192">
        <f t="shared" si="2"/>
        <v>0</v>
      </c>
      <c r="M26" s="303"/>
      <c r="N26" s="1"/>
    </row>
    <row r="27" spans="2:16" x14ac:dyDescent="0.25">
      <c r="B27" t="s">
        <v>235</v>
      </c>
      <c r="C27" s="189">
        <v>0</v>
      </c>
      <c r="D27" s="186">
        <v>0</v>
      </c>
      <c r="E27" s="186">
        <v>0</v>
      </c>
      <c r="F27" s="186">
        <v>0</v>
      </c>
      <c r="G27" s="189">
        <v>0</v>
      </c>
      <c r="H27" s="186">
        <v>0</v>
      </c>
      <c r="I27" s="186">
        <v>0</v>
      </c>
      <c r="J27" s="186">
        <v>0</v>
      </c>
      <c r="K27" s="186">
        <v>0</v>
      </c>
      <c r="L27" s="192">
        <f t="shared" si="2"/>
        <v>0</v>
      </c>
      <c r="M27" s="303"/>
      <c r="N27" s="1"/>
    </row>
    <row r="28" spans="2:16" x14ac:dyDescent="0.25">
      <c r="B28" s="196" t="s">
        <v>203</v>
      </c>
      <c r="C28" s="190">
        <v>0</v>
      </c>
      <c r="D28" s="187">
        <v>0</v>
      </c>
      <c r="E28" s="187">
        <v>0</v>
      </c>
      <c r="F28" s="187">
        <v>0</v>
      </c>
      <c r="G28" s="190">
        <v>0</v>
      </c>
      <c r="H28" s="187">
        <v>0</v>
      </c>
      <c r="I28" s="187">
        <v>0</v>
      </c>
      <c r="J28" s="187">
        <v>0</v>
      </c>
      <c r="K28" s="187">
        <v>0</v>
      </c>
      <c r="L28" s="193">
        <f t="shared" si="2"/>
        <v>0</v>
      </c>
      <c r="M28" s="303"/>
      <c r="N28" s="1"/>
    </row>
    <row r="29" spans="2:16" x14ac:dyDescent="0.25">
      <c r="B29" s="1" t="s">
        <v>4</v>
      </c>
      <c r="C29" s="191">
        <f t="shared" ref="C29:L29" si="3">SUM(C21:C28)</f>
        <v>48475.963190000002</v>
      </c>
      <c r="D29" s="188">
        <f t="shared" si="3"/>
        <v>67980.898239999995</v>
      </c>
      <c r="E29" s="188">
        <f t="shared" si="3"/>
        <v>66493.165888297954</v>
      </c>
      <c r="F29" s="188">
        <f t="shared" si="3"/>
        <v>34021.712761168761</v>
      </c>
      <c r="G29" s="191">
        <f t="shared" si="3"/>
        <v>47308.648967655492</v>
      </c>
      <c r="H29" s="188">
        <f t="shared" si="3"/>
        <v>67815.664138763561</v>
      </c>
      <c r="I29" s="188">
        <f t="shared" si="3"/>
        <v>68338.519264326809</v>
      </c>
      <c r="J29" s="188">
        <f t="shared" si="3"/>
        <v>68976.827607250045</v>
      </c>
      <c r="K29" s="188">
        <f t="shared" si="3"/>
        <v>69496.898176717281</v>
      </c>
      <c r="L29" s="194">
        <f t="shared" si="3"/>
        <v>321936.55815471319</v>
      </c>
      <c r="M29" s="303"/>
      <c r="N29" s="432"/>
      <c r="P29" s="210"/>
    </row>
    <row r="30" spans="2:16" x14ac:dyDescent="0.25">
      <c r="B30" s="1"/>
      <c r="C30" s="202"/>
      <c r="D30" s="188"/>
      <c r="E30" s="188"/>
      <c r="F30" s="188"/>
      <c r="G30" s="202"/>
      <c r="H30" s="188"/>
      <c r="I30" s="188"/>
      <c r="J30" s="188"/>
      <c r="K30" s="188"/>
      <c r="L30" s="202"/>
      <c r="M30" s="303"/>
      <c r="N30" s="1"/>
    </row>
    <row r="31" spans="2:16" x14ac:dyDescent="0.25">
      <c r="B31" s="1"/>
      <c r="C31" s="652" t="s">
        <v>145</v>
      </c>
      <c r="D31" s="653"/>
      <c r="E31" s="653"/>
      <c r="F31" s="654"/>
      <c r="G31" s="649" t="s">
        <v>226</v>
      </c>
      <c r="H31" s="650"/>
      <c r="I31" s="650"/>
      <c r="J31" s="650"/>
      <c r="K31" s="650"/>
      <c r="L31" s="651"/>
      <c r="M31" s="303"/>
      <c r="N31" s="1"/>
    </row>
    <row r="32" spans="2:16" x14ac:dyDescent="0.25">
      <c r="B32" s="200" t="s">
        <v>205</v>
      </c>
      <c r="C32" s="197" t="s">
        <v>10</v>
      </c>
      <c r="D32" s="198" t="s">
        <v>11</v>
      </c>
      <c r="E32" s="198" t="s">
        <v>12</v>
      </c>
      <c r="F32" s="198" t="s">
        <v>219</v>
      </c>
      <c r="G32" s="197" t="s">
        <v>100</v>
      </c>
      <c r="H32" s="198" t="s">
        <v>101</v>
      </c>
      <c r="I32" s="198" t="s">
        <v>102</v>
      </c>
      <c r="J32" s="198" t="s">
        <v>147</v>
      </c>
      <c r="K32" s="198" t="s">
        <v>220</v>
      </c>
      <c r="L32" s="199" t="s">
        <v>224</v>
      </c>
      <c r="M32" s="303"/>
      <c r="N32" s="1"/>
    </row>
    <row r="33" spans="2:14" x14ac:dyDescent="0.25">
      <c r="B33" t="s">
        <v>198</v>
      </c>
      <c r="C33" s="189">
        <f t="shared" ref="C33:K33" si="4">C9-C21</f>
        <v>-103.05282771842249</v>
      </c>
      <c r="D33" s="186">
        <f t="shared" si="4"/>
        <v>4790.9295700925531</v>
      </c>
      <c r="E33" s="186">
        <f t="shared" si="4"/>
        <v>-2880.9420101418955</v>
      </c>
      <c r="F33" s="186">
        <f t="shared" si="4"/>
        <v>0</v>
      </c>
      <c r="G33" s="189">
        <f t="shared" si="4"/>
        <v>0</v>
      </c>
      <c r="H33" s="186">
        <f t="shared" si="4"/>
        <v>0</v>
      </c>
      <c r="I33" s="186">
        <f t="shared" si="4"/>
        <v>0</v>
      </c>
      <c r="J33" s="186">
        <f t="shared" si="4"/>
        <v>0</v>
      </c>
      <c r="K33" s="186">
        <f t="shared" si="4"/>
        <v>0</v>
      </c>
      <c r="L33" s="192">
        <f t="shared" ref="L33:L40" si="5">SUM(G33:K33)</f>
        <v>0</v>
      </c>
      <c r="M33" s="303"/>
      <c r="N33" s="1"/>
    </row>
    <row r="34" spans="2:14" x14ac:dyDescent="0.25">
      <c r="B34" t="s">
        <v>199</v>
      </c>
      <c r="C34" s="189">
        <f t="shared" ref="C34:K34" si="6">C10-C22</f>
        <v>52232.120516344643</v>
      </c>
      <c r="D34" s="186">
        <f t="shared" si="6"/>
        <v>43068.741966627102</v>
      </c>
      <c r="E34" s="186">
        <f t="shared" si="6"/>
        <v>43576.30470736081</v>
      </c>
      <c r="F34" s="186">
        <f t="shared" si="6"/>
        <v>21740.951785105579</v>
      </c>
      <c r="G34" s="189">
        <f t="shared" si="6"/>
        <v>30818.526441714461</v>
      </c>
      <c r="H34" s="186">
        <f t="shared" si="6"/>
        <v>52182.289416721003</v>
      </c>
      <c r="I34" s="186">
        <f t="shared" si="6"/>
        <v>52619.529593949133</v>
      </c>
      <c r="J34" s="186">
        <f t="shared" si="6"/>
        <v>53176.75343254397</v>
      </c>
      <c r="K34" s="186">
        <f t="shared" si="6"/>
        <v>53612.618399821004</v>
      </c>
      <c r="L34" s="192">
        <f t="shared" si="5"/>
        <v>242409.71728474961</v>
      </c>
      <c r="M34" s="303"/>
      <c r="N34" s="1"/>
    </row>
    <row r="35" spans="2:14" x14ac:dyDescent="0.25">
      <c r="B35" t="s">
        <v>200</v>
      </c>
      <c r="C35" s="189">
        <v>0</v>
      </c>
      <c r="D35" s="186">
        <v>0</v>
      </c>
      <c r="E35" s="186">
        <v>0</v>
      </c>
      <c r="F35" s="186">
        <v>0</v>
      </c>
      <c r="G35" s="189">
        <v>0</v>
      </c>
      <c r="H35" s="186">
        <v>0</v>
      </c>
      <c r="I35" s="186">
        <v>0</v>
      </c>
      <c r="J35" s="186">
        <v>0</v>
      </c>
      <c r="K35" s="186">
        <v>0</v>
      </c>
      <c r="L35" s="192">
        <f t="shared" si="5"/>
        <v>0</v>
      </c>
      <c r="M35" s="303"/>
      <c r="N35" s="1"/>
    </row>
    <row r="36" spans="2:14" x14ac:dyDescent="0.25">
      <c r="B36" t="s">
        <v>201</v>
      </c>
      <c r="C36" s="189">
        <v>0</v>
      </c>
      <c r="D36" s="186">
        <v>0</v>
      </c>
      <c r="E36" s="186">
        <v>0</v>
      </c>
      <c r="F36" s="186">
        <v>0</v>
      </c>
      <c r="G36" s="189">
        <v>0</v>
      </c>
      <c r="H36" s="186">
        <v>0</v>
      </c>
      <c r="I36" s="186">
        <v>0</v>
      </c>
      <c r="J36" s="186">
        <v>0</v>
      </c>
      <c r="K36" s="186">
        <v>0</v>
      </c>
      <c r="L36" s="192">
        <f t="shared" si="5"/>
        <v>0</v>
      </c>
      <c r="M36" s="303"/>
      <c r="N36" s="1"/>
    </row>
    <row r="37" spans="2:14" x14ac:dyDescent="0.25">
      <c r="B37" t="s">
        <v>210</v>
      </c>
      <c r="C37" s="189">
        <v>0</v>
      </c>
      <c r="D37" s="186">
        <v>0</v>
      </c>
      <c r="E37" s="186">
        <v>0</v>
      </c>
      <c r="F37" s="186">
        <v>0</v>
      </c>
      <c r="G37" s="189">
        <v>0</v>
      </c>
      <c r="H37" s="186">
        <v>0</v>
      </c>
      <c r="I37" s="186">
        <v>0</v>
      </c>
      <c r="J37" s="186">
        <v>0</v>
      </c>
      <c r="K37" s="186">
        <v>0</v>
      </c>
      <c r="L37" s="192">
        <f t="shared" si="5"/>
        <v>0</v>
      </c>
      <c r="M37" s="303"/>
      <c r="N37" s="1"/>
    </row>
    <row r="38" spans="2:14" x14ac:dyDescent="0.25">
      <c r="B38" t="s">
        <v>202</v>
      </c>
      <c r="C38" s="189">
        <v>0</v>
      </c>
      <c r="D38" s="186">
        <v>0</v>
      </c>
      <c r="E38" s="186">
        <v>0</v>
      </c>
      <c r="F38" s="186">
        <v>0</v>
      </c>
      <c r="G38" s="189">
        <v>0</v>
      </c>
      <c r="H38" s="186">
        <v>0</v>
      </c>
      <c r="I38" s="186">
        <v>0</v>
      </c>
      <c r="J38" s="186">
        <v>0</v>
      </c>
      <c r="K38" s="186">
        <v>0</v>
      </c>
      <c r="L38" s="192">
        <f t="shared" si="5"/>
        <v>0</v>
      </c>
      <c r="M38" s="303"/>
      <c r="N38" s="1"/>
    </row>
    <row r="39" spans="2:14" x14ac:dyDescent="0.25">
      <c r="B39" t="s">
        <v>235</v>
      </c>
      <c r="C39" s="189">
        <v>0</v>
      </c>
      <c r="D39" s="186">
        <v>0</v>
      </c>
      <c r="E39" s="186">
        <v>0</v>
      </c>
      <c r="F39" s="186">
        <v>0</v>
      </c>
      <c r="G39" s="189">
        <v>0</v>
      </c>
      <c r="H39" s="186">
        <v>0</v>
      </c>
      <c r="I39" s="186">
        <v>0</v>
      </c>
      <c r="J39" s="186">
        <v>0</v>
      </c>
      <c r="K39" s="186">
        <v>0</v>
      </c>
      <c r="L39" s="192">
        <f t="shared" si="5"/>
        <v>0</v>
      </c>
      <c r="M39" s="303"/>
      <c r="N39" s="1"/>
    </row>
    <row r="40" spans="2:14" x14ac:dyDescent="0.25">
      <c r="B40" t="s">
        <v>203</v>
      </c>
      <c r="C40" s="190">
        <v>0</v>
      </c>
      <c r="D40" s="187">
        <v>0</v>
      </c>
      <c r="E40" s="187">
        <v>0</v>
      </c>
      <c r="F40" s="187">
        <v>0</v>
      </c>
      <c r="G40" s="190">
        <v>0</v>
      </c>
      <c r="H40" s="187">
        <v>0</v>
      </c>
      <c r="I40" s="187">
        <v>0</v>
      </c>
      <c r="J40" s="187">
        <v>0</v>
      </c>
      <c r="K40" s="187">
        <v>0</v>
      </c>
      <c r="L40" s="193">
        <f t="shared" si="5"/>
        <v>0</v>
      </c>
      <c r="M40" s="303"/>
      <c r="N40" s="1"/>
    </row>
    <row r="41" spans="2:14" x14ac:dyDescent="0.25">
      <c r="B41" s="1" t="s">
        <v>4</v>
      </c>
      <c r="C41" s="191">
        <f>SUM(C33:C40)</f>
        <v>52129.067688626223</v>
      </c>
      <c r="D41" s="188">
        <f t="shared" ref="D41:L41" si="7">SUM(D33:D40)</f>
        <v>47859.671536719652</v>
      </c>
      <c r="E41" s="188">
        <f t="shared" si="7"/>
        <v>40695.362697218916</v>
      </c>
      <c r="F41" s="188">
        <f t="shared" si="7"/>
        <v>21740.951785105579</v>
      </c>
      <c r="G41" s="191">
        <f t="shared" si="7"/>
        <v>30818.526441714461</v>
      </c>
      <c r="H41" s="188">
        <f t="shared" si="7"/>
        <v>52182.289416721003</v>
      </c>
      <c r="I41" s="188">
        <f t="shared" si="7"/>
        <v>52619.529593949133</v>
      </c>
      <c r="J41" s="188">
        <f t="shared" si="7"/>
        <v>53176.75343254397</v>
      </c>
      <c r="K41" s="188">
        <f t="shared" si="7"/>
        <v>53612.618399821004</v>
      </c>
      <c r="L41" s="194">
        <f t="shared" si="7"/>
        <v>242409.71728474961</v>
      </c>
      <c r="M41" s="303"/>
      <c r="N41" s="432"/>
    </row>
    <row r="43" spans="2:14" x14ac:dyDescent="0.25">
      <c r="G43" s="210"/>
      <c r="H43" s="210"/>
      <c r="I43" s="210"/>
      <c r="J43" s="210"/>
      <c r="K43" s="210"/>
    </row>
  </sheetData>
  <mergeCells count="6">
    <mergeCell ref="G6:L6"/>
    <mergeCell ref="G19:L19"/>
    <mergeCell ref="G31:L31"/>
    <mergeCell ref="C6:F6"/>
    <mergeCell ref="C19:F19"/>
    <mergeCell ref="C31:F31"/>
  </mergeCells>
  <hyperlinks>
    <hyperlink ref="B2" location="Contents!A1" display="Table of Contents" xr:uid="{00000000-0004-0000-1000-000000000000}"/>
  </hyperlinks>
  <pageMargins left="0.7" right="0.7" top="0.75" bottom="0.75" header="0.3" footer="0.3"/>
  <pageSetup paperSize="9" orientation="portrait" r:id="rId1"/>
  <ignoredErrors>
    <ignoredError sqref="L16 L28 L23 L11:L12 L14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9D7A-4130-4CC4-B132-F4EB224BB998}">
  <sheetPr>
    <tabColor theme="8" tint="-0.249977111117893"/>
  </sheetPr>
  <dimension ref="C3:C4"/>
  <sheetViews>
    <sheetView workbookViewId="0">
      <selection activeCell="C3" sqref="C3"/>
    </sheetView>
  </sheetViews>
  <sheetFormatPr defaultColWidth="8.85546875" defaultRowHeight="15" x14ac:dyDescent="0.25"/>
  <cols>
    <col min="1" max="16384" width="8.85546875" style="34"/>
  </cols>
  <sheetData>
    <row r="3" spans="3:3" ht="18.75" x14ac:dyDescent="0.3">
      <c r="C3" s="35" t="s">
        <v>417</v>
      </c>
    </row>
    <row r="4" spans="3:3" x14ac:dyDescent="0.25">
      <c r="C4" s="53" t="s">
        <v>70</v>
      </c>
    </row>
  </sheetData>
  <hyperlinks>
    <hyperlink ref="C4" location="Contents!A1" display="Table of Contents" xr:uid="{CE515728-1217-4E3A-9473-8ABC5624FB5F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5AF1-E849-419A-B998-1FAFDB0DD20D}">
  <dimension ref="B23:M29"/>
  <sheetViews>
    <sheetView zoomScale="85" zoomScaleNormal="85" workbookViewId="0">
      <selection activeCell="K29" sqref="K29"/>
    </sheetView>
  </sheetViews>
  <sheetFormatPr defaultRowHeight="15" x14ac:dyDescent="0.25"/>
  <cols>
    <col min="2" max="2" width="25.28515625" customWidth="1"/>
  </cols>
  <sheetData>
    <row r="23" spans="2:13" x14ac:dyDescent="0.25">
      <c r="C23" s="424">
        <v>2016</v>
      </c>
      <c r="D23" s="424">
        <v>2017</v>
      </c>
      <c r="E23" s="424">
        <v>2018</v>
      </c>
      <c r="F23" s="424">
        <v>2019</v>
      </c>
      <c r="G23" s="424">
        <v>2020</v>
      </c>
      <c r="H23" s="424" t="s">
        <v>398</v>
      </c>
      <c r="I23" s="424" t="s">
        <v>315</v>
      </c>
      <c r="J23" s="424" t="s">
        <v>314</v>
      </c>
      <c r="K23" s="424" t="s">
        <v>313</v>
      </c>
      <c r="L23" s="424" t="s">
        <v>312</v>
      </c>
      <c r="M23" s="424" t="s">
        <v>311</v>
      </c>
    </row>
    <row r="24" spans="2:13" x14ac:dyDescent="0.25">
      <c r="B24" t="s">
        <v>362</v>
      </c>
      <c r="C24" s="430">
        <f>Summary_Output!D58/1000</f>
        <v>58.295390217501051</v>
      </c>
      <c r="D24" s="430">
        <f>Summary_Output!E58/1000</f>
        <v>49.891372485113401</v>
      </c>
      <c r="E24" s="430">
        <f>Summary_Output!F58/1000</f>
        <v>55.245557784596471</v>
      </c>
      <c r="F24" s="430">
        <f>Summary_Output!G58/1000</f>
        <v>49.723628102142222</v>
      </c>
      <c r="G24" s="430"/>
      <c r="H24" s="430"/>
      <c r="I24" s="430"/>
      <c r="J24" s="430"/>
      <c r="K24" s="430"/>
      <c r="L24" s="430"/>
      <c r="M24" s="430"/>
    </row>
    <row r="25" spans="2:13" x14ac:dyDescent="0.25">
      <c r="B25" t="s">
        <v>363</v>
      </c>
      <c r="C25" s="430"/>
      <c r="D25" s="430"/>
      <c r="E25" s="430"/>
      <c r="F25" s="430"/>
      <c r="G25" s="430">
        <f>Summary_Output!H58/1000</f>
        <v>41.51842648721324</v>
      </c>
      <c r="H25" s="430">
        <f>Summary_Output!I58/1000</f>
        <v>21.740951785105583</v>
      </c>
      <c r="I25" s="430"/>
      <c r="J25" s="430"/>
      <c r="K25" s="430"/>
      <c r="L25" s="430"/>
      <c r="M25" s="430"/>
    </row>
    <row r="26" spans="2:13" x14ac:dyDescent="0.25">
      <c r="B26" t="s">
        <v>366</v>
      </c>
      <c r="C26" s="430"/>
      <c r="D26" s="430"/>
      <c r="E26" s="430"/>
      <c r="F26" s="430"/>
      <c r="G26" s="430"/>
      <c r="H26" s="430"/>
      <c r="I26" s="430">
        <f>Summary_Output!J58/1000</f>
        <v>30.818526441714447</v>
      </c>
      <c r="J26" s="430">
        <f>Summary_Output!K58/1000</f>
        <v>52.182289416721019</v>
      </c>
      <c r="K26" s="430">
        <f>Summary_Output!L58/1000</f>
        <v>52.619529593949125</v>
      </c>
      <c r="L26" s="430">
        <f>Summary_Output!M58/1000</f>
        <v>53.176753432543983</v>
      </c>
      <c r="M26" s="430">
        <f>Summary_Output!N58/1000</f>
        <v>53.612618399820995</v>
      </c>
    </row>
    <row r="27" spans="2:13" x14ac:dyDescent="0.25">
      <c r="B27" t="s">
        <v>364</v>
      </c>
      <c r="C27" s="430">
        <f>Summary_Output!D57/1000</f>
        <v>15.301251843467874</v>
      </c>
      <c r="D27" s="430">
        <f>Summary_Output!E57/1000</f>
        <v>27.738046552340499</v>
      </c>
      <c r="E27" s="430">
        <f>Summary_Output!F57/1000</f>
        <v>51.374055672233609</v>
      </c>
      <c r="F27" s="430">
        <f>Summary_Output!G57/1000</f>
        <v>70.628501901478387</v>
      </c>
      <c r="G27" s="430"/>
      <c r="H27" s="430"/>
      <c r="I27" s="430"/>
      <c r="J27" s="430"/>
      <c r="K27" s="430"/>
      <c r="L27" s="430"/>
      <c r="M27" s="430"/>
    </row>
    <row r="28" spans="2:13" x14ac:dyDescent="0.25">
      <c r="B28" t="s">
        <v>365</v>
      </c>
      <c r="C28" s="430"/>
      <c r="D28" s="430"/>
      <c r="E28" s="430"/>
      <c r="F28" s="430"/>
      <c r="G28" s="430">
        <f>Summary_Output!H57/1000</f>
        <v>67.837990298192807</v>
      </c>
      <c r="H28" s="430">
        <f>Summary_Output!I57/1000</f>
        <v>34.021712761168764</v>
      </c>
      <c r="I28" s="430"/>
      <c r="J28" s="430"/>
      <c r="K28" s="430"/>
      <c r="L28" s="430"/>
      <c r="M28" s="430"/>
    </row>
    <row r="29" spans="2:13" x14ac:dyDescent="0.25">
      <c r="B29" t="s">
        <v>367</v>
      </c>
      <c r="C29" s="430"/>
      <c r="D29" s="430"/>
      <c r="E29" s="430"/>
      <c r="F29" s="430"/>
      <c r="G29" s="430"/>
      <c r="H29" s="430"/>
      <c r="I29" s="430">
        <f>Summary_Output!J57/1000</f>
        <v>47.308648967655493</v>
      </c>
      <c r="J29" s="430">
        <f>Summary_Output!K57/1000</f>
        <v>67.815664138763566</v>
      </c>
      <c r="K29" s="430">
        <f>Summary_Output!L57/1000</f>
        <v>68.338519264326806</v>
      </c>
      <c r="L29" s="430">
        <f>Summary_Output!M57/1000</f>
        <v>68.976827607250044</v>
      </c>
      <c r="M29" s="430">
        <f>Summary_Output!N57/1000</f>
        <v>69.496898176717281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Q23"/>
  <sheetViews>
    <sheetView zoomScale="85" zoomScaleNormal="85" workbookViewId="0">
      <selection activeCell="L17" sqref="L17"/>
    </sheetView>
  </sheetViews>
  <sheetFormatPr defaultRowHeight="15" outlineLevelCol="1" x14ac:dyDescent="0.25"/>
  <cols>
    <col min="1" max="2" width="3.85546875" customWidth="1"/>
    <col min="3" max="3" width="33.28515625" customWidth="1"/>
    <col min="4" max="4" width="8.42578125" customWidth="1" outlineLevel="1"/>
    <col min="5" max="8" width="9.140625" customWidth="1" outlineLevel="1"/>
  </cols>
  <sheetData>
    <row r="2" spans="3:17" x14ac:dyDescent="0.25">
      <c r="C2" s="1" t="s">
        <v>151</v>
      </c>
    </row>
    <row r="3" spans="3:17" x14ac:dyDescent="0.25">
      <c r="D3" s="158" t="s">
        <v>19</v>
      </c>
      <c r="E3" s="158" t="s">
        <v>19</v>
      </c>
      <c r="F3" s="158" t="s">
        <v>19</v>
      </c>
      <c r="G3" s="158" t="s">
        <v>19</v>
      </c>
      <c r="H3" s="158" t="s">
        <v>19</v>
      </c>
      <c r="I3" s="158" t="s">
        <v>19</v>
      </c>
      <c r="J3" s="158" t="s">
        <v>19</v>
      </c>
      <c r="K3" s="158" t="s">
        <v>19</v>
      </c>
      <c r="L3" s="158" t="s">
        <v>20</v>
      </c>
      <c r="M3" s="158" t="s">
        <v>20</v>
      </c>
      <c r="N3" s="158" t="s">
        <v>20</v>
      </c>
      <c r="O3" s="158" t="s">
        <v>20</v>
      </c>
      <c r="P3" s="158" t="s">
        <v>20</v>
      </c>
      <c r="Q3" s="158" t="s">
        <v>20</v>
      </c>
    </row>
    <row r="4" spans="3:17" x14ac:dyDescent="0.25">
      <c r="D4" s="158">
        <v>2013</v>
      </c>
      <c r="E4" s="158">
        <v>2014</v>
      </c>
      <c r="F4" s="158">
        <v>2015</v>
      </c>
      <c r="G4" s="158">
        <v>2016</v>
      </c>
      <c r="H4" s="158">
        <v>2017</v>
      </c>
      <c r="I4" s="158">
        <v>2018</v>
      </c>
      <c r="J4" s="158">
        <v>2019</v>
      </c>
      <c r="K4" s="158">
        <v>2020</v>
      </c>
      <c r="L4" s="158">
        <v>2021</v>
      </c>
      <c r="M4" s="158">
        <v>2022</v>
      </c>
      <c r="N4" s="158">
        <v>2023</v>
      </c>
      <c r="O4" s="158">
        <v>2024</v>
      </c>
      <c r="P4" s="158">
        <v>2025</v>
      </c>
      <c r="Q4" s="158">
        <v>2026</v>
      </c>
    </row>
    <row r="5" spans="3:17" x14ac:dyDescent="0.25">
      <c r="C5" s="151" t="s">
        <v>149</v>
      </c>
      <c r="D5" s="152">
        <v>2.0040080160320661E-2</v>
      </c>
      <c r="E5" s="152">
        <v>2.16110019646365E-2</v>
      </c>
      <c r="F5" s="152">
        <v>2.3076923076923217E-2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3:17" x14ac:dyDescent="0.25">
      <c r="C6" s="151" t="s">
        <v>148</v>
      </c>
      <c r="D6" s="153"/>
      <c r="E6" s="154"/>
      <c r="F6" s="154"/>
      <c r="G6" s="152">
        <v>1.5108593012275628E-2</v>
      </c>
      <c r="H6" s="152">
        <v>1.0232558139534831E-2</v>
      </c>
      <c r="I6" s="155">
        <v>1.9337016574585641E-2</v>
      </c>
      <c r="J6" s="155">
        <v>2.0776874435411097E-2</v>
      </c>
      <c r="K6" s="237">
        <v>1.5929203539823078E-2</v>
      </c>
      <c r="L6" s="436">
        <v>1.2195121951219523E-2</v>
      </c>
      <c r="M6" s="436">
        <v>2.3743086789108414E-2</v>
      </c>
      <c r="N6" s="436">
        <v>2.3743086789108414E-2</v>
      </c>
      <c r="O6" s="436">
        <v>2.3743086789108414E-2</v>
      </c>
      <c r="P6" s="436">
        <v>2.3743086789108414E-2</v>
      </c>
      <c r="Q6" s="436">
        <v>2.3743086789108414E-2</v>
      </c>
    </row>
    <row r="7" spans="3:17" x14ac:dyDescent="0.25">
      <c r="C7" s="151" t="s">
        <v>127</v>
      </c>
      <c r="D7" s="151"/>
      <c r="E7" s="156">
        <v>1</v>
      </c>
      <c r="F7" s="156">
        <f t="shared" ref="F7" si="0">E7*(1+F5)</f>
        <v>1.0230769230769232</v>
      </c>
      <c r="G7" s="156">
        <f t="shared" ref="G7:Q7" si="1">F7*(1+G6)</f>
        <v>1.0385341759279436</v>
      </c>
      <c r="H7" s="156">
        <f t="shared" si="1"/>
        <v>1.0491610372630202</v>
      </c>
      <c r="I7" s="156">
        <f t="shared" si="1"/>
        <v>1.0694486816299846</v>
      </c>
      <c r="J7" s="156">
        <f t="shared" si="1"/>
        <v>1.0916684826033267</v>
      </c>
      <c r="K7" s="156">
        <f t="shared" si="1"/>
        <v>1.109057892060725</v>
      </c>
      <c r="L7" s="462">
        <f t="shared" si="1"/>
        <v>1.122582988305368</v>
      </c>
      <c r="M7" s="156">
        <f t="shared" si="1"/>
        <v>1.149236573624679</v>
      </c>
      <c r="N7" s="156">
        <f t="shared" si="1"/>
        <v>1.1765229973334674</v>
      </c>
      <c r="O7" s="156">
        <f t="shared" si="1"/>
        <v>1.204457284968538</v>
      </c>
      <c r="P7" s="156">
        <f t="shared" si="1"/>
        <v>1.2330548188193198</v>
      </c>
      <c r="Q7" s="156">
        <f t="shared" si="1"/>
        <v>1.2623313463982753</v>
      </c>
    </row>
    <row r="8" spans="3:17" x14ac:dyDescent="0.25">
      <c r="C8" s="151" t="s">
        <v>128</v>
      </c>
      <c r="D8" s="538">
        <f>E8*(1+E5)^0.5*(1+D5)^0.5</f>
        <v>1.0929372581315751</v>
      </c>
      <c r="E8" s="538">
        <f>F8*(1+F5)^0.5*(1+E5)^0.5</f>
        <v>1.0706409055182704</v>
      </c>
      <c r="F8" s="538">
        <f>G8*(1+G6)^0.5*(1+F5)^0.5</f>
        <v>1.0472416524432422</v>
      </c>
      <c r="G8" s="538">
        <f>H8*(1+H6)^0.5*(1+G6)^0.5</f>
        <v>1.0276293766945241</v>
      </c>
      <c r="H8" s="538">
        <f>I8*(1+I6)^0.5*(1+H6)^0.5</f>
        <v>1.0147745768693976</v>
      </c>
      <c r="I8" s="214">
        <v>1</v>
      </c>
      <c r="J8" s="538">
        <f>I8/(1+J6)^0.5/(1+I6)^0.5</f>
        <v>0.98033766983762027</v>
      </c>
      <c r="K8" s="538">
        <f t="shared" ref="K8" si="2">J8/(1+K6)^0.5/(1+J6)^0.5</f>
        <v>0.9626724811387547</v>
      </c>
      <c r="L8" s="538">
        <f>K8/(1+L6)/(1+K6)^0.5</f>
        <v>0.94358840382929021</v>
      </c>
      <c r="M8" s="538">
        <f>L8/(1+M6)^0.5/(1+L6)</f>
        <v>0.92134623186377718</v>
      </c>
      <c r="N8" s="157">
        <f t="shared" ref="N8:Q8" si="3">M8/(1+N6)</f>
        <v>0.89997797665575341</v>
      </c>
      <c r="O8" s="157">
        <f t="shared" si="3"/>
        <v>0.87910530314638335</v>
      </c>
      <c r="P8" s="157">
        <f t="shared" si="3"/>
        <v>0.85871671759330714</v>
      </c>
      <c r="Q8" s="157">
        <f t="shared" si="3"/>
        <v>0.83880099282194542</v>
      </c>
    </row>
    <row r="9" spans="3:17" x14ac:dyDescent="0.25">
      <c r="C9" s="537" t="s">
        <v>374</v>
      </c>
      <c r="D9" s="538">
        <f>E9*(1+E5)^0.5*(1+D5)^0.5</f>
        <v>1.158277543149316</v>
      </c>
      <c r="E9" s="538">
        <f>F9*(1+F5)^0.5*(1+E5)^0.5</f>
        <v>1.1346482228621853</v>
      </c>
      <c r="F9" s="538">
        <f>G9*(1+G6)^0.5*(1+F5)^0.5</f>
        <v>1.1098500661870196</v>
      </c>
      <c r="G9" s="538">
        <f t="shared" ref="G9:H9" si="4">H9*(1+H6)^0.5*(1+G6)^0.5</f>
        <v>1.089065287920217</v>
      </c>
      <c r="H9" s="538">
        <f t="shared" si="4"/>
        <v>1.075441975284158</v>
      </c>
      <c r="I9" s="538">
        <f>J9*(1+J6)^0.5*(1+I6)^0.5</f>
        <v>1.0597841134352426</v>
      </c>
      <c r="J9" s="538">
        <f>K9*(1+K6)^0.5*(1+J6)^0.5</f>
        <v>1.0389462882960341</v>
      </c>
      <c r="K9" s="538">
        <f>L9*(1+L6)*(1+K6)^0.5</f>
        <v>1.0202250019521406</v>
      </c>
      <c r="L9" s="157">
        <v>1</v>
      </c>
      <c r="M9" s="157">
        <f>L9/(1+M6)</f>
        <v>0.97680757301758514</v>
      </c>
      <c r="N9" s="157">
        <f t="shared" ref="N9:Q9" si="5">M9/(1+N6)</f>
        <v>0.95415303470450485</v>
      </c>
      <c r="O9" s="157">
        <f t="shared" si="5"/>
        <v>0.93202391011707109</v>
      </c>
      <c r="P9" s="157">
        <f t="shared" si="5"/>
        <v>0.91040801363581614</v>
      </c>
      <c r="Q9" s="157">
        <f t="shared" si="5"/>
        <v>0.88929344225536211</v>
      </c>
    </row>
    <row r="10" spans="3:17" x14ac:dyDescent="0.25">
      <c r="C10" s="368" t="s">
        <v>392</v>
      </c>
    </row>
    <row r="11" spans="3:17" x14ac:dyDescent="0.25">
      <c r="C11" s="150" t="s">
        <v>150</v>
      </c>
    </row>
    <row r="12" spans="3:17" ht="15.75" x14ac:dyDescent="0.25">
      <c r="C12" s="139"/>
      <c r="D12" s="139"/>
    </row>
    <row r="13" spans="3:17" ht="15.75" x14ac:dyDescent="0.25">
      <c r="C13" s="139"/>
      <c r="D13" s="139"/>
      <c r="G13" s="52"/>
      <c r="H13" s="52"/>
      <c r="I13" s="465"/>
      <c r="J13" s="115"/>
      <c r="K13" s="504" t="s">
        <v>391</v>
      </c>
      <c r="L13" s="539">
        <f>1/L8</f>
        <v>1.0597841134352426</v>
      </c>
      <c r="M13" s="115" t="b">
        <f>L13=CPI_adj_Jun21</f>
        <v>1</v>
      </c>
      <c r="N13" s="115"/>
      <c r="O13" s="115"/>
      <c r="P13" s="115"/>
    </row>
    <row r="14" spans="3:17" x14ac:dyDescent="0.25">
      <c r="C14" s="74" t="s">
        <v>152</v>
      </c>
      <c r="D14" s="1"/>
      <c r="G14" s="52"/>
      <c r="H14" s="52"/>
      <c r="I14" s="465"/>
      <c r="K14" s="115"/>
    </row>
    <row r="15" spans="3:17" x14ac:dyDescent="0.25">
      <c r="C15" s="138"/>
      <c r="D15" s="16"/>
      <c r="E15" s="52"/>
      <c r="F15" s="52"/>
      <c r="G15" s="52"/>
      <c r="H15" s="52"/>
    </row>
    <row r="16" spans="3:17" x14ac:dyDescent="0.25">
      <c r="C16" s="58" t="s">
        <v>79</v>
      </c>
      <c r="D16" s="59">
        <v>2013</v>
      </c>
      <c r="E16" s="59">
        <v>2014</v>
      </c>
      <c r="F16" s="59">
        <v>2015</v>
      </c>
      <c r="G16" s="59">
        <v>2016</v>
      </c>
      <c r="H16" s="59">
        <v>2017</v>
      </c>
      <c r="I16" s="59">
        <v>2018</v>
      </c>
      <c r="J16" s="59">
        <v>2019</v>
      </c>
      <c r="K16" s="59">
        <v>2020</v>
      </c>
      <c r="L16" s="228">
        <v>44377</v>
      </c>
      <c r="M16" s="59" t="s">
        <v>100</v>
      </c>
      <c r="N16" s="59" t="s">
        <v>101</v>
      </c>
      <c r="O16" s="59" t="s">
        <v>102</v>
      </c>
      <c r="P16" s="59" t="s">
        <v>147</v>
      </c>
      <c r="Q16" s="59" t="s">
        <v>220</v>
      </c>
    </row>
    <row r="17" spans="3:17" x14ac:dyDescent="0.25">
      <c r="C17" s="56" t="s">
        <v>80</v>
      </c>
      <c r="D17" s="160"/>
      <c r="E17" s="159"/>
      <c r="F17" s="180">
        <v>1.8974612720283446E-2</v>
      </c>
      <c r="G17" s="180">
        <v>1.32E-2</v>
      </c>
      <c r="H17" s="180">
        <v>7.6E-3</v>
      </c>
      <c r="I17" s="237"/>
      <c r="J17" s="540">
        <f>[39]Escalators!N$26</f>
        <v>1.4906833450926693E-2</v>
      </c>
      <c r="K17" s="540">
        <f>[39]Escalators!O$26</f>
        <v>8.9480509403160879E-3</v>
      </c>
      <c r="L17" s="540">
        <f>[39]Escalators!P$26</f>
        <v>7.3916564274856267E-4</v>
      </c>
      <c r="M17" s="540">
        <f>[39]Escalators!Q$26</f>
        <v>7.762137192630263E-3</v>
      </c>
      <c r="N17" s="540">
        <f>[39]Escalators!R$26</f>
        <v>4.9608934391037352E-3</v>
      </c>
      <c r="O17" s="540">
        <f>[39]Escalators!S$26</f>
        <v>6.5125776994591012E-3</v>
      </c>
      <c r="P17" s="540">
        <f>[39]Escalators!T$26</f>
        <v>9.9346404822831889E-3</v>
      </c>
      <c r="Q17" s="540">
        <f>[39]Escalators!U$26</f>
        <v>1.307542378220742E-2</v>
      </c>
    </row>
    <row r="18" spans="3:17" x14ac:dyDescent="0.25">
      <c r="C18" s="56" t="s">
        <v>81</v>
      </c>
      <c r="D18" s="151"/>
      <c r="E18" s="151"/>
      <c r="F18" s="181">
        <v>1</v>
      </c>
      <c r="G18" s="181">
        <v>1</v>
      </c>
      <c r="H18" s="181">
        <v>1</v>
      </c>
      <c r="I18" s="367">
        <v>1</v>
      </c>
      <c r="J18" s="367">
        <f t="shared" ref="J18:Q18" si="6">(1+J17)*I18</f>
        <v>1.0149068334509268</v>
      </c>
      <c r="K18" s="367">
        <f t="shared" si="6"/>
        <v>1.0239882714963207</v>
      </c>
      <c r="L18" s="367">
        <f t="shared" ref="L18" si="7">(1+L17)*K18</f>
        <v>1.0247451684451883</v>
      </c>
      <c r="M18" s="367">
        <f t="shared" ref="M18" si="8">(1+M17)*L18</f>
        <v>1.0326993810301448</v>
      </c>
      <c r="N18" s="367">
        <f t="shared" si="6"/>
        <v>1.0378224926140636</v>
      </c>
      <c r="O18" s="367">
        <f t="shared" si="6"/>
        <v>1.044581392235459</v>
      </c>
      <c r="P18" s="367">
        <f t="shared" si="6"/>
        <v>1.054958932821801</v>
      </c>
      <c r="Q18" s="367">
        <f t="shared" si="6"/>
        <v>1.0687529679412715</v>
      </c>
    </row>
    <row r="19" spans="3:17" x14ac:dyDescent="0.25">
      <c r="C19" s="56" t="s">
        <v>82</v>
      </c>
      <c r="D19" s="151"/>
      <c r="E19" s="151"/>
      <c r="F19" s="180">
        <v>2.3414596363495743E-3</v>
      </c>
      <c r="G19" s="180">
        <v>1.2999999999999999E-3</v>
      </c>
      <c r="H19" s="180">
        <v>5.0000000000000001E-4</v>
      </c>
      <c r="I19" s="237"/>
      <c r="J19" s="436">
        <v>0</v>
      </c>
      <c r="K19" s="436">
        <v>0</v>
      </c>
      <c r="L19" s="436">
        <v>0</v>
      </c>
      <c r="M19" s="436">
        <v>0</v>
      </c>
      <c r="N19" s="436">
        <v>0</v>
      </c>
      <c r="O19" s="436">
        <v>0</v>
      </c>
      <c r="P19" s="436">
        <v>0</v>
      </c>
      <c r="Q19" s="436">
        <v>0</v>
      </c>
    </row>
    <row r="20" spans="3:17" x14ac:dyDescent="0.25">
      <c r="C20" s="56" t="s">
        <v>83</v>
      </c>
      <c r="D20" s="151"/>
      <c r="E20" s="151"/>
      <c r="F20" s="181">
        <v>1</v>
      </c>
      <c r="G20" s="181">
        <v>1</v>
      </c>
      <c r="H20" s="181">
        <v>1</v>
      </c>
      <c r="I20" s="367">
        <v>1</v>
      </c>
      <c r="J20" s="57">
        <f t="shared" ref="J20:Q20" si="9">(1+J19)*I20</f>
        <v>1</v>
      </c>
      <c r="K20" s="57">
        <f t="shared" si="9"/>
        <v>1</v>
      </c>
      <c r="L20" s="57">
        <f t="shared" ref="L20" si="10">(1+L19)*K20</f>
        <v>1</v>
      </c>
      <c r="M20" s="57">
        <f t="shared" ref="M20" si="11">(1+M19)*L20</f>
        <v>1</v>
      </c>
      <c r="N20" s="57">
        <f t="shared" si="9"/>
        <v>1</v>
      </c>
      <c r="O20" s="57">
        <f t="shared" si="9"/>
        <v>1</v>
      </c>
      <c r="P20" s="57">
        <f t="shared" si="9"/>
        <v>1</v>
      </c>
      <c r="Q20" s="57">
        <f t="shared" si="9"/>
        <v>1</v>
      </c>
    </row>
    <row r="21" spans="3:17" x14ac:dyDescent="0.25">
      <c r="C21" s="505" t="s">
        <v>420</v>
      </c>
    </row>
    <row r="23" spans="3:17" x14ac:dyDescent="0.25">
      <c r="C23" s="1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A05C-F798-4503-9DB9-4FA8CB9215E8}">
  <dimension ref="B23:M29"/>
  <sheetViews>
    <sheetView zoomScale="85" zoomScaleNormal="85" workbookViewId="0">
      <selection activeCell="B25" sqref="B25"/>
    </sheetView>
  </sheetViews>
  <sheetFormatPr defaultRowHeight="15" outlineLevelCol="1" x14ac:dyDescent="0.25"/>
  <cols>
    <col min="2" max="2" width="25.28515625" customWidth="1"/>
    <col min="8" max="8" width="8.85546875" customWidth="1" outlineLevel="1"/>
  </cols>
  <sheetData>
    <row r="23" spans="2:13" x14ac:dyDescent="0.25">
      <c r="C23" s="424">
        <v>2016</v>
      </c>
      <c r="D23" s="424">
        <v>2017</v>
      </c>
      <c r="E23" s="424">
        <v>2018</v>
      </c>
      <c r="F23" s="424">
        <v>2019</v>
      </c>
      <c r="G23" s="424">
        <v>2020</v>
      </c>
      <c r="H23" s="424" t="s">
        <v>398</v>
      </c>
      <c r="I23" s="424" t="s">
        <v>315</v>
      </c>
      <c r="J23" s="424" t="s">
        <v>314</v>
      </c>
      <c r="K23" s="424" t="s">
        <v>313</v>
      </c>
      <c r="L23" s="424" t="s">
        <v>312</v>
      </c>
      <c r="M23" s="424" t="s">
        <v>311</v>
      </c>
    </row>
    <row r="24" spans="2:13" x14ac:dyDescent="0.25">
      <c r="B24" t="s">
        <v>362</v>
      </c>
      <c r="C24" s="430">
        <f>Summary_Output!D63/1000</f>
        <v>58.009444590281213</v>
      </c>
      <c r="D24" s="430">
        <f>Summary_Output!E63/1000</f>
        <v>50.106796854926479</v>
      </c>
      <c r="E24" s="430">
        <f>Summary_Output!F63/1000</f>
        <v>55.35477153425704</v>
      </c>
      <c r="F24" s="430">
        <f>Summary_Output!G63/1000</f>
        <v>44.746109607806865</v>
      </c>
      <c r="G24" s="430"/>
      <c r="H24" s="430"/>
      <c r="I24" s="430"/>
      <c r="J24" s="430"/>
      <c r="K24" s="430"/>
      <c r="L24" s="430"/>
      <c r="M24" s="430"/>
    </row>
    <row r="25" spans="2:13" x14ac:dyDescent="0.25">
      <c r="B25" t="s">
        <v>380</v>
      </c>
      <c r="C25" s="430"/>
      <c r="D25" s="430"/>
      <c r="E25" s="430"/>
      <c r="F25" s="430"/>
      <c r="G25" s="430">
        <f>Summary_Output!H63/1000</f>
        <v>44.45763555513426</v>
      </c>
      <c r="H25" s="430">
        <f>Summary_Output!I63/1000</f>
        <v>21.74095178510558</v>
      </c>
      <c r="I25" s="430"/>
      <c r="J25" s="430"/>
      <c r="K25" s="430"/>
      <c r="L25" s="430"/>
      <c r="M25" s="430"/>
    </row>
    <row r="26" spans="2:13" x14ac:dyDescent="0.25">
      <c r="B26" t="s">
        <v>366</v>
      </c>
      <c r="C26" s="430"/>
      <c r="D26" s="430"/>
      <c r="E26" s="430"/>
      <c r="F26" s="430"/>
      <c r="G26" s="430"/>
      <c r="H26" s="430"/>
      <c r="I26" s="430">
        <f>Summary_Output!J63/1000</f>
        <v>30.818526441714461</v>
      </c>
      <c r="J26" s="430">
        <f>Summary_Output!K63/1000</f>
        <v>52.182289416721005</v>
      </c>
      <c r="K26" s="430">
        <f>Summary_Output!L63/1000</f>
        <v>52.619529593949132</v>
      </c>
      <c r="L26" s="430">
        <f>Summary_Output!M63/1000</f>
        <v>53.176753432543961</v>
      </c>
      <c r="M26" s="430">
        <f>Summary_Output!N63/1000</f>
        <v>53.612618399820988</v>
      </c>
    </row>
    <row r="27" spans="2:13" x14ac:dyDescent="0.25">
      <c r="B27" t="s">
        <v>376</v>
      </c>
      <c r="C27" s="430">
        <f>Summary_Output!D62/1000</f>
        <v>14.615131999555834</v>
      </c>
      <c r="D27" s="430">
        <f>Summary_Output!E62/1000</f>
        <v>21.601196946147375</v>
      </c>
      <c r="E27" s="430">
        <f>Summary_Output!F62/1000</f>
        <v>21.715908235882825</v>
      </c>
      <c r="F27" s="430">
        <f>Summary_Output!G62/1000</f>
        <v>24.854684387766373</v>
      </c>
      <c r="G27" s="430"/>
      <c r="H27" s="430"/>
      <c r="I27" s="430"/>
      <c r="J27" s="430"/>
      <c r="K27" s="430"/>
      <c r="L27" s="430"/>
      <c r="M27" s="430"/>
    </row>
    <row r="28" spans="2:13" x14ac:dyDescent="0.25">
      <c r="B28" t="s">
        <v>381</v>
      </c>
      <c r="C28" s="430"/>
      <c r="D28" s="430"/>
      <c r="E28" s="430"/>
      <c r="F28" s="430"/>
      <c r="G28" s="430">
        <f>Summary_Output!H62/1000</f>
        <v>21.25759984062282</v>
      </c>
      <c r="H28" s="430">
        <f>Summary_Output!I62/1000</f>
        <v>10.443098464995805</v>
      </c>
      <c r="I28" s="430"/>
      <c r="J28" s="430"/>
      <c r="K28" s="430"/>
      <c r="L28" s="430"/>
      <c r="M28" s="430"/>
    </row>
    <row r="29" spans="2:13" x14ac:dyDescent="0.25">
      <c r="B29" t="s">
        <v>377</v>
      </c>
      <c r="C29" s="430"/>
      <c r="D29" s="430"/>
      <c r="E29" s="430"/>
      <c r="F29" s="430"/>
      <c r="G29" s="430"/>
      <c r="H29" s="430"/>
      <c r="I29" s="430">
        <f>Summary_Output!J62/1000</f>
        <v>7.0186288667542724</v>
      </c>
      <c r="J29" s="430">
        <f>Summary_Output!K62/1000</f>
        <v>12.089496150376759</v>
      </c>
      <c r="K29" s="430">
        <f>Summary_Output!L62/1000</f>
        <v>12.180056878680043</v>
      </c>
      <c r="L29" s="430">
        <f>Summary_Output!M62/1000</f>
        <v>12.265611045757632</v>
      </c>
      <c r="M29" s="430">
        <f>Summary_Output!N62/1000</f>
        <v>12.390079799259507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889C-4F0B-4A7E-94F4-6110DA3FEAE4}">
  <dimension ref="B2:M8"/>
  <sheetViews>
    <sheetView zoomScale="85" zoomScaleNormal="85" workbookViewId="0">
      <selection activeCell="S18" sqref="S18"/>
    </sheetView>
  </sheetViews>
  <sheetFormatPr defaultRowHeight="15" outlineLevelCol="1" x14ac:dyDescent="0.25"/>
  <cols>
    <col min="1" max="1" width="4.7109375" customWidth="1"/>
    <col min="2" max="2" width="31.42578125" style="467" bestFit="1" customWidth="1"/>
    <col min="8" max="8" width="8.85546875" customWidth="1" outlineLevel="1"/>
  </cols>
  <sheetData>
    <row r="2" spans="2:13" x14ac:dyDescent="0.25">
      <c r="B2" s="468" t="s">
        <v>111</v>
      </c>
    </row>
    <row r="4" spans="2:13" x14ac:dyDescent="0.25">
      <c r="B4" t="s">
        <v>382</v>
      </c>
      <c r="C4" s="472">
        <v>2016</v>
      </c>
      <c r="D4" s="472">
        <v>2017</v>
      </c>
      <c r="E4" s="472">
        <v>2018</v>
      </c>
      <c r="F4" s="472">
        <v>2019</v>
      </c>
      <c r="G4" s="472">
        <v>2020</v>
      </c>
      <c r="H4" s="472" t="s">
        <v>219</v>
      </c>
      <c r="I4" s="472" t="s">
        <v>315</v>
      </c>
      <c r="J4" s="472" t="s">
        <v>314</v>
      </c>
      <c r="K4" s="472" t="s">
        <v>313</v>
      </c>
      <c r="L4" s="472" t="s">
        <v>312</v>
      </c>
      <c r="M4" s="472" t="s">
        <v>311</v>
      </c>
    </row>
    <row r="5" spans="2:13" x14ac:dyDescent="0.25">
      <c r="B5" s="507" t="s">
        <v>394</v>
      </c>
      <c r="C5" s="477">
        <f>Cost_Recovery!F48/(1+Allocations!E44)*Escalation!G9/Thousands</f>
        <v>0.34183413313719324</v>
      </c>
      <c r="D5" s="477">
        <v>4.0215810043475075</v>
      </c>
      <c r="E5" s="477">
        <v>3.6596037758542934</v>
      </c>
      <c r="F5" s="477">
        <v>8.5117638277137466</v>
      </c>
      <c r="G5" s="477">
        <v>3.9193639959268034</v>
      </c>
      <c r="H5" s="477">
        <v>1.9597560729830679</v>
      </c>
      <c r="I5" s="477">
        <v>2.2717347474058309</v>
      </c>
      <c r="J5" s="477">
        <v>3.9220718155392311</v>
      </c>
      <c r="K5" s="477">
        <v>3.9233947581752835</v>
      </c>
      <c r="L5" s="477">
        <v>3.925425989835476</v>
      </c>
      <c r="M5" s="477">
        <v>3.9281259437044431</v>
      </c>
    </row>
    <row r="7" spans="2:13" x14ac:dyDescent="0.25">
      <c r="B7" s="467" t="s">
        <v>373</v>
      </c>
      <c r="C7" s="478">
        <f>C5</f>
        <v>0.34183413313719324</v>
      </c>
      <c r="D7" s="478">
        <f t="shared" ref="D7:H7" si="0">D5</f>
        <v>4.0215810043475075</v>
      </c>
      <c r="E7" s="478">
        <f t="shared" si="0"/>
        <v>3.6596037758542934</v>
      </c>
      <c r="F7" s="478">
        <f t="shared" si="0"/>
        <v>8.5117638277137466</v>
      </c>
      <c r="G7" s="478">
        <f t="shared" si="0"/>
        <v>3.9193639959268034</v>
      </c>
      <c r="H7" s="478">
        <f t="shared" si="0"/>
        <v>1.9597560729830679</v>
      </c>
    </row>
    <row r="8" spans="2:13" x14ac:dyDescent="0.25">
      <c r="B8" s="467" t="s">
        <v>383</v>
      </c>
      <c r="I8" s="478">
        <f>I5</f>
        <v>2.2717347474058309</v>
      </c>
      <c r="J8" s="478">
        <f t="shared" ref="J8:M8" si="1">J5</f>
        <v>3.9220718155392311</v>
      </c>
      <c r="K8" s="478">
        <f t="shared" si="1"/>
        <v>3.9233947581752835</v>
      </c>
      <c r="L8" s="478">
        <f t="shared" si="1"/>
        <v>3.925425989835476</v>
      </c>
      <c r="M8" s="478">
        <f t="shared" si="1"/>
        <v>3.9281259437044431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571D-2F9F-4D30-95A1-CE85CD17FBE3}">
  <dimension ref="B2:R12"/>
  <sheetViews>
    <sheetView zoomScale="85" zoomScaleNormal="85" workbookViewId="0">
      <selection activeCell="J12" sqref="J12"/>
    </sheetView>
  </sheetViews>
  <sheetFormatPr defaultRowHeight="15" outlineLevelCol="1" x14ac:dyDescent="0.25"/>
  <cols>
    <col min="1" max="1" width="5.28515625" customWidth="1"/>
    <col min="2" max="2" width="30.5703125" bestFit="1" customWidth="1"/>
    <col min="3" max="3" width="9.7109375" customWidth="1" outlineLevel="1"/>
    <col min="4" max="7" width="9" bestFit="1" customWidth="1"/>
    <col min="8" max="8" width="10" bestFit="1" customWidth="1"/>
    <col min="9" max="9" width="9" customWidth="1" outlineLevel="1"/>
    <col min="10" max="12" width="10" bestFit="1" customWidth="1"/>
    <col min="13" max="14" width="9" bestFit="1" customWidth="1"/>
  </cols>
  <sheetData>
    <row r="2" spans="2:18" x14ac:dyDescent="0.25">
      <c r="B2" s="1" t="s">
        <v>378</v>
      </c>
      <c r="C2" s="433">
        <v>2015</v>
      </c>
      <c r="D2" s="472">
        <v>2016</v>
      </c>
      <c r="E2" s="472">
        <v>2017</v>
      </c>
      <c r="F2" s="472">
        <v>2018</v>
      </c>
      <c r="G2" s="472">
        <v>2019</v>
      </c>
      <c r="H2" s="472">
        <v>2020</v>
      </c>
      <c r="I2" s="433" t="s">
        <v>219</v>
      </c>
      <c r="J2" s="433" t="s">
        <v>315</v>
      </c>
      <c r="K2" s="433" t="s">
        <v>314</v>
      </c>
      <c r="L2" s="433" t="s">
        <v>313</v>
      </c>
      <c r="M2" s="433" t="s">
        <v>312</v>
      </c>
      <c r="N2" s="433" t="s">
        <v>311</v>
      </c>
      <c r="R2" s="1"/>
    </row>
    <row r="3" spans="2:18" x14ac:dyDescent="0.25">
      <c r="B3" t="s">
        <v>223</v>
      </c>
      <c r="C3" s="474">
        <v>25.385942426903995</v>
      </c>
      <c r="D3" s="474">
        <v>0.4322319361326169</v>
      </c>
      <c r="E3" s="474">
        <v>0.14548886207297701</v>
      </c>
      <c r="F3" s="474">
        <v>0.13598114795539956</v>
      </c>
      <c r="G3" s="474">
        <v>12.090691532715592</v>
      </c>
      <c r="H3" s="474">
        <v>14.482143495994565</v>
      </c>
      <c r="I3" s="474">
        <v>8.3543240184544807</v>
      </c>
      <c r="J3" s="523">
        <v>16.992047722153249</v>
      </c>
      <c r="K3" s="523">
        <v>14.635036310914836</v>
      </c>
      <c r="L3" s="523">
        <v>12.292677993883901</v>
      </c>
      <c r="M3" s="523">
        <v>12.376575890939163</v>
      </c>
      <c r="N3" s="523">
        <v>12.441642159447508</v>
      </c>
      <c r="O3" s="475">
        <f>SUM(J3:N3)</f>
        <v>68.737980077338662</v>
      </c>
    </row>
    <row r="4" spans="2:18" x14ac:dyDescent="0.25">
      <c r="B4" t="s">
        <v>228</v>
      </c>
      <c r="C4" s="474">
        <v>26.303984707598875</v>
      </c>
      <c r="D4" s="474">
        <v>0.1462338418604652</v>
      </c>
      <c r="E4" s="474">
        <v>0.36147211730386747</v>
      </c>
      <c r="F4" s="474">
        <v>0.25039398222222226</v>
      </c>
      <c r="G4" s="474">
        <v>12.090691532715592</v>
      </c>
      <c r="H4" s="474">
        <v>14.482143495994565</v>
      </c>
      <c r="I4" s="474">
        <v>8.3543240184544807</v>
      </c>
      <c r="J4" s="474">
        <v>16.992047722153249</v>
      </c>
      <c r="K4" s="474">
        <v>14.635036310914836</v>
      </c>
      <c r="L4" s="474">
        <v>12.292677993883901</v>
      </c>
      <c r="M4" s="474">
        <v>12.376575890939163</v>
      </c>
      <c r="N4" s="474">
        <v>12.441642159447508</v>
      </c>
    </row>
    <row r="6" spans="2:18" x14ac:dyDescent="0.25">
      <c r="B6" s="1" t="s">
        <v>379</v>
      </c>
      <c r="C6" s="472">
        <v>2015</v>
      </c>
      <c r="D6" s="472">
        <v>2016</v>
      </c>
      <c r="E6" s="472">
        <v>2017</v>
      </c>
      <c r="F6" s="472">
        <v>2018</v>
      </c>
      <c r="G6" s="472">
        <v>2019</v>
      </c>
      <c r="H6" s="472">
        <v>2020</v>
      </c>
      <c r="I6" s="433" t="s">
        <v>219</v>
      </c>
      <c r="J6" s="433" t="s">
        <v>315</v>
      </c>
      <c r="K6" s="433" t="s">
        <v>314</v>
      </c>
      <c r="L6" s="433" t="s">
        <v>313</v>
      </c>
      <c r="M6" s="433" t="s">
        <v>312</v>
      </c>
      <c r="N6" s="433" t="s">
        <v>311</v>
      </c>
    </row>
    <row r="7" spans="2:18" x14ac:dyDescent="0.25">
      <c r="B7" t="s">
        <v>223</v>
      </c>
      <c r="C7" s="474">
        <f>Summary_Output!C14/Thousands</f>
        <v>24.761327416308333</v>
      </c>
      <c r="D7" s="474">
        <f>Summary_Output!D14/Thousands</f>
        <v>0.43215264212315113</v>
      </c>
      <c r="E7" s="474">
        <f>Summary_Output!E14/Thousands</f>
        <v>0.14511239027945699</v>
      </c>
      <c r="F7" s="474">
        <f>Summary_Output!F14/Thousands</f>
        <v>0.14165516631948716</v>
      </c>
      <c r="G7" s="474">
        <f>Summary_Output!G14/Thousands</f>
        <v>5.0396414045396885</v>
      </c>
      <c r="H7" s="474">
        <f>Summary_Output!H14/Thousands</f>
        <v>8.2202197084890791</v>
      </c>
      <c r="I7" s="474">
        <f>Summary_Output!I14/Thousands</f>
        <v>5.2054137209650646</v>
      </c>
      <c r="J7" s="524">
        <f>Summary_Output!J14/Thousands</f>
        <v>19.026545942562322</v>
      </c>
      <c r="K7" s="524">
        <f>Summary_Output!K14/Thousands</f>
        <v>18.996932056083921</v>
      </c>
      <c r="L7" s="524">
        <f>Summary_Output!L14/Thousands</f>
        <v>19.244929281259708</v>
      </c>
      <c r="M7" s="524">
        <f>Summary_Output!M14/Thousands</f>
        <v>19.411859516163233</v>
      </c>
      <c r="N7" s="524">
        <f>Summary_Output!N14/Thousands</f>
        <v>19.525933421264909</v>
      </c>
      <c r="O7" s="475">
        <f>SUM(J7:N7)</f>
        <v>96.2062002173341</v>
      </c>
    </row>
    <row r="8" spans="2:18" x14ac:dyDescent="0.25">
      <c r="B8" t="s">
        <v>228</v>
      </c>
      <c r="C8" s="474">
        <f>Summary_Output!C29/Thousands</f>
        <v>26.40217807582232</v>
      </c>
      <c r="D8" s="474">
        <f>Summary_Output!D29/Thousands</f>
        <v>0.14620701490328916</v>
      </c>
      <c r="E8" s="474">
        <f>Summary_Output!E29/Thousands</f>
        <v>0.3605367600925326</v>
      </c>
      <c r="F8" s="474">
        <f>Summary_Output!F29/Thousands</f>
        <v>0.25086891598005034</v>
      </c>
      <c r="G8" s="474">
        <f>Summary_Output!G29/Thousands</f>
        <v>6.2122910204316303E-2</v>
      </c>
      <c r="H8" s="474">
        <f>Summary_Output!H29/Thousands</f>
        <v>11.159428776410099</v>
      </c>
      <c r="I8" s="474">
        <f>Summary_Output!I29/Thousands</f>
        <v>5.2054137209650646</v>
      </c>
      <c r="J8" s="474">
        <f>Summary_Output!J29/Thousands</f>
        <v>19.026545942562322</v>
      </c>
      <c r="K8" s="474">
        <f>Summary_Output!K29/Thousands</f>
        <v>18.996932056083921</v>
      </c>
      <c r="L8" s="474">
        <f>Summary_Output!L29/Thousands</f>
        <v>19.244929281259708</v>
      </c>
      <c r="M8" s="474">
        <f>Summary_Output!M29/Thousands</f>
        <v>19.411859516163233</v>
      </c>
      <c r="N8" s="474">
        <f>Summary_Output!N29/Thousands</f>
        <v>19.525933421264909</v>
      </c>
    </row>
    <row r="9" spans="2:18" x14ac:dyDescent="0.25">
      <c r="J9" s="441"/>
    </row>
    <row r="10" spans="2:18" x14ac:dyDescent="0.25">
      <c r="B10" t="s">
        <v>373</v>
      </c>
      <c r="C10" s="474">
        <f t="shared" ref="C10:H10" si="0">C7</f>
        <v>24.761327416308333</v>
      </c>
      <c r="D10" s="474">
        <f t="shared" si="0"/>
        <v>0.43215264212315113</v>
      </c>
      <c r="E10" s="474">
        <f t="shared" si="0"/>
        <v>0.14511239027945699</v>
      </c>
      <c r="F10" s="474">
        <f t="shared" si="0"/>
        <v>0.14165516631948716</v>
      </c>
      <c r="G10" s="474">
        <f t="shared" si="0"/>
        <v>5.0396414045396885</v>
      </c>
      <c r="H10" s="474">
        <f t="shared" si="0"/>
        <v>8.2202197084890791</v>
      </c>
      <c r="I10" s="474">
        <f>I7</f>
        <v>5.2054137209650646</v>
      </c>
      <c r="J10" s="474"/>
      <c r="K10" s="474"/>
      <c r="L10" s="474"/>
      <c r="M10" s="474"/>
      <c r="N10" s="474"/>
    </row>
    <row r="11" spans="2:18" x14ac:dyDescent="0.25">
      <c r="B11" t="s">
        <v>384</v>
      </c>
      <c r="C11" s="474"/>
      <c r="D11" s="474"/>
      <c r="E11" s="474"/>
      <c r="F11" s="474"/>
      <c r="G11" s="474"/>
      <c r="H11" s="474"/>
      <c r="I11" s="474"/>
      <c r="J11" s="474">
        <f>J3</f>
        <v>16.992047722153249</v>
      </c>
      <c r="K11" s="474">
        <f>K3</f>
        <v>14.635036310914836</v>
      </c>
      <c r="L11" s="474">
        <f>L3</f>
        <v>12.292677993883901</v>
      </c>
      <c r="M11" s="474">
        <f>M3</f>
        <v>12.376575890939163</v>
      </c>
      <c r="N11" s="474">
        <f>N3</f>
        <v>12.441642159447508</v>
      </c>
    </row>
    <row r="12" spans="2:18" x14ac:dyDescent="0.25">
      <c r="B12" t="s">
        <v>383</v>
      </c>
      <c r="C12" s="474"/>
      <c r="D12" s="474"/>
      <c r="E12" s="474"/>
      <c r="F12" s="474"/>
      <c r="G12" s="474"/>
      <c r="H12" s="474"/>
      <c r="I12" s="474"/>
      <c r="J12" s="474">
        <f>J7-J11</f>
        <v>2.0344982204090734</v>
      </c>
      <c r="K12" s="474">
        <f t="shared" ref="K12:N12" si="1">K7-K11</f>
        <v>4.3618957451690843</v>
      </c>
      <c r="L12" s="474">
        <f t="shared" si="1"/>
        <v>6.9522512873758071</v>
      </c>
      <c r="M12" s="474">
        <f t="shared" si="1"/>
        <v>7.0352836252240696</v>
      </c>
      <c r="N12" s="474">
        <f t="shared" si="1"/>
        <v>7.0842912618174019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</sheetPr>
  <dimension ref="C3:C4"/>
  <sheetViews>
    <sheetView workbookViewId="0">
      <selection activeCell="E15" sqref="E15"/>
    </sheetView>
  </sheetViews>
  <sheetFormatPr defaultColWidth="9.140625" defaultRowHeight="15" x14ac:dyDescent="0.25"/>
  <cols>
    <col min="1" max="16384" width="9.140625" style="34"/>
  </cols>
  <sheetData>
    <row r="3" spans="3:3" ht="18.75" x14ac:dyDescent="0.3">
      <c r="C3" s="35" t="s">
        <v>43</v>
      </c>
    </row>
    <row r="4" spans="3:3" x14ac:dyDescent="0.25">
      <c r="C4" s="53" t="s">
        <v>70</v>
      </c>
    </row>
  </sheetData>
  <hyperlinks>
    <hyperlink ref="C4" location="Contents!A1" display="Table of Contents" xr:uid="{00000000-0004-0000-11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2:L15"/>
  <sheetViews>
    <sheetView zoomScale="85" zoomScaleNormal="85" workbookViewId="0">
      <selection activeCell="G11" sqref="G11"/>
    </sheetView>
  </sheetViews>
  <sheetFormatPr defaultColWidth="9.140625" defaultRowHeight="15" x14ac:dyDescent="0.25"/>
  <cols>
    <col min="1" max="1" width="3.7109375" style="41" customWidth="1"/>
    <col min="2" max="2" width="4.85546875" style="41" customWidth="1"/>
    <col min="3" max="3" width="40.5703125" style="41" customWidth="1"/>
    <col min="4" max="5" width="12.28515625" style="41" customWidth="1"/>
    <col min="6" max="6" width="12.85546875" style="41" customWidth="1"/>
    <col min="7" max="10" width="11.7109375" style="41" bestFit="1" customWidth="1"/>
    <col min="11" max="16384" width="9.140625" style="41"/>
  </cols>
  <sheetData>
    <row r="2" spans="3:12" x14ac:dyDescent="0.25">
      <c r="C2" s="68" t="s">
        <v>246</v>
      </c>
    </row>
    <row r="4" spans="3:12" x14ac:dyDescent="0.25">
      <c r="C4" s="68" t="s">
        <v>244</v>
      </c>
      <c r="D4" s="70" t="s">
        <v>241</v>
      </c>
      <c r="E4" s="70" t="s">
        <v>242</v>
      </c>
      <c r="F4" s="70" t="s">
        <v>100</v>
      </c>
      <c r="G4" s="70" t="s">
        <v>101</v>
      </c>
      <c r="H4" s="70" t="s">
        <v>102</v>
      </c>
      <c r="I4" s="70" t="s">
        <v>147</v>
      </c>
      <c r="J4" s="70" t="s">
        <v>220</v>
      </c>
    </row>
    <row r="5" spans="3:12" x14ac:dyDescent="0.25">
      <c r="C5" s="272" t="s">
        <v>237</v>
      </c>
      <c r="D5" s="273">
        <f>0.5*E15+0.5*D15</f>
        <v>2092448.5870646494</v>
      </c>
      <c r="E5" s="273">
        <f>F15+0.5*E15</f>
        <v>2259315.1390736345</v>
      </c>
      <c r="F5" s="273">
        <f>SUMPRODUCT(Contr_Fcast!J22:J28,Capex_Fcast_Total!J40:J46)*Thousands</f>
        <v>2082578.9716169483</v>
      </c>
      <c r="G5" s="273">
        <f>SUMPRODUCT(Contr_Fcast!K22:K28,Capex_Fcast_Total!K40:K46)*Thousands</f>
        <v>2232622.197413689</v>
      </c>
      <c r="H5" s="273">
        <f>SUMPRODUCT(Contr_Fcast!L22:L28,Capex_Fcast_Total!L40:L46)*Thousands</f>
        <v>2571583.2053278671</v>
      </c>
      <c r="I5" s="273">
        <f>SUMPRODUCT(Contr_Fcast!M22:M28,Capex_Fcast_Total!M40:M46)*Thousands</f>
        <v>2772203.9671599418</v>
      </c>
      <c r="J5" s="273">
        <f>SUMPRODUCT(Contr_Fcast!N22:N28,Capex_Fcast_Total!N40:N46)*Thousands</f>
        <v>2872376.6338682491</v>
      </c>
    </row>
    <row r="6" spans="3:12" x14ac:dyDescent="0.25">
      <c r="C6" s="69" t="s">
        <v>238</v>
      </c>
      <c r="D6" s="274">
        <f t="shared" ref="D6:J6" si="0">D5*CPI_adj_Jun21</f>
        <v>2217543.7707511354</v>
      </c>
      <c r="E6" s="274">
        <f t="shared" si="0"/>
        <v>2394386.2916339734</v>
      </c>
      <c r="F6" s="274">
        <f t="shared" si="0"/>
        <v>2207084.1090939469</v>
      </c>
      <c r="G6" s="274">
        <f t="shared" si="0"/>
        <v>2366097.5361219095</v>
      </c>
      <c r="H6" s="274">
        <f t="shared" si="0"/>
        <v>2725323.0273833531</v>
      </c>
      <c r="I6" s="274">
        <f t="shared" si="0"/>
        <v>2937937.7235982614</v>
      </c>
      <c r="J6" s="274">
        <f t="shared" si="0"/>
        <v>3044099.1243761689</v>
      </c>
    </row>
    <row r="8" spans="3:12" x14ac:dyDescent="0.25">
      <c r="C8" s="41" t="s">
        <v>239</v>
      </c>
      <c r="D8" s="275">
        <f t="shared" ref="D8:E8" si="1">D$6*$L8</f>
        <v>1864417.4868143881</v>
      </c>
      <c r="E8" s="275">
        <f t="shared" si="1"/>
        <v>2013099.236728448</v>
      </c>
      <c r="F8" s="275">
        <f>F$6*$L8</f>
        <v>1855623.4434421491</v>
      </c>
      <c r="G8" s="275">
        <f t="shared" ref="G8:J9" si="2">G$6*$L8</f>
        <v>1989315.2415024852</v>
      </c>
      <c r="H8" s="275">
        <f t="shared" si="2"/>
        <v>2291336.9181210557</v>
      </c>
      <c r="I8" s="275">
        <f t="shared" si="2"/>
        <v>2470094.4077387387</v>
      </c>
      <c r="J8" s="275">
        <f t="shared" si="2"/>
        <v>2559350.4461744525</v>
      </c>
      <c r="L8" s="238">
        <v>0.84075791937259714</v>
      </c>
    </row>
    <row r="9" spans="3:12" x14ac:dyDescent="0.25">
      <c r="C9" s="41" t="s">
        <v>240</v>
      </c>
      <c r="D9" s="276">
        <f t="shared" ref="D9:F9" si="3">D$6*$L9</f>
        <v>353126.28393674735</v>
      </c>
      <c r="E9" s="276">
        <f t="shared" si="3"/>
        <v>381287.05490552541</v>
      </c>
      <c r="F9" s="276">
        <f t="shared" si="3"/>
        <v>351460.66565179796</v>
      </c>
      <c r="G9" s="276">
        <f t="shared" si="2"/>
        <v>376782.29461942444</v>
      </c>
      <c r="H9" s="276">
        <f t="shared" si="2"/>
        <v>433986.10926229763</v>
      </c>
      <c r="I9" s="276">
        <f t="shared" si="2"/>
        <v>467843.31585952285</v>
      </c>
      <c r="J9" s="276">
        <f t="shared" si="2"/>
        <v>484748.67820171645</v>
      </c>
      <c r="L9" s="238">
        <v>0.15924208062740289</v>
      </c>
    </row>
    <row r="10" spans="3:12" x14ac:dyDescent="0.25">
      <c r="C10" s="68" t="s">
        <v>245</v>
      </c>
      <c r="D10" s="277">
        <f t="shared" ref="D10:E10" si="4">SUM(D8:D9)</f>
        <v>2217543.7707511354</v>
      </c>
      <c r="E10" s="277">
        <f t="shared" si="4"/>
        <v>2394386.2916339734</v>
      </c>
      <c r="F10" s="277">
        <f>SUM(F8:F9)</f>
        <v>2207084.1090939469</v>
      </c>
      <c r="G10" s="277">
        <f t="shared" ref="G10:J10" si="5">SUM(G8:G9)</f>
        <v>2366097.5361219095</v>
      </c>
      <c r="H10" s="277">
        <f t="shared" si="5"/>
        <v>2725323.0273833536</v>
      </c>
      <c r="I10" s="277">
        <f t="shared" si="5"/>
        <v>2937937.7235982614</v>
      </c>
      <c r="J10" s="277">
        <f t="shared" si="5"/>
        <v>3044099.1243761689</v>
      </c>
    </row>
    <row r="11" spans="3:12" x14ac:dyDescent="0.25">
      <c r="D11" s="41" t="b">
        <f t="shared" ref="D11:E11" si="6">D6=D10</f>
        <v>1</v>
      </c>
      <c r="E11" s="41" t="b">
        <f t="shared" si="6"/>
        <v>1</v>
      </c>
      <c r="F11" s="41" t="b">
        <f>F6=F10</f>
        <v>1</v>
      </c>
      <c r="G11" s="41" t="b">
        <f t="shared" ref="G11:J11" si="7">G6=G10</f>
        <v>1</v>
      </c>
      <c r="H11" s="41" t="b">
        <f t="shared" si="7"/>
        <v>1</v>
      </c>
      <c r="I11" s="41" t="b">
        <f t="shared" si="7"/>
        <v>1</v>
      </c>
      <c r="J11" s="41" t="b">
        <f t="shared" si="7"/>
        <v>1</v>
      </c>
    </row>
    <row r="14" spans="3:12" x14ac:dyDescent="0.25">
      <c r="C14" s="41" t="s">
        <v>243</v>
      </c>
      <c r="D14" s="70">
        <v>2019</v>
      </c>
      <c r="E14" s="70">
        <v>2020</v>
      </c>
      <c r="F14" s="70" t="s">
        <v>345</v>
      </c>
    </row>
    <row r="15" spans="3:12" x14ac:dyDescent="0.25">
      <c r="C15" s="41" t="s">
        <v>237</v>
      </c>
      <c r="D15" s="242">
        <f>SUMPRODUCT(Contr_Fcast!G22:G28,Capex_Fcast_Total!G40:G46)*Thousands</f>
        <v>1915163.473945881</v>
      </c>
      <c r="E15" s="77">
        <f>SUMPRODUCT(Contr_Fcast!H22:H28,Capex_Fcast_Total!H40:H46)*Thousands</f>
        <v>2269733.7001834181</v>
      </c>
      <c r="F15" s="77">
        <f>SUMPRODUCT(Contr_Fcast!I22:I28,Capex_Fcast_Total!I40:I46)*Thousands</f>
        <v>1124448.2889819252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AC96"/>
  <sheetViews>
    <sheetView zoomScale="85" zoomScaleNormal="85" workbookViewId="0"/>
  </sheetViews>
  <sheetFormatPr defaultColWidth="9.140625" defaultRowHeight="15" x14ac:dyDescent="0.25"/>
  <cols>
    <col min="1" max="1" width="4.85546875" style="41" customWidth="1"/>
    <col min="2" max="2" width="29" style="41" customWidth="1"/>
    <col min="3" max="3" width="68.85546875" style="41" bestFit="1" customWidth="1"/>
    <col min="4" max="4" width="10" style="41" customWidth="1"/>
    <col min="5" max="11" width="9.42578125" style="41" customWidth="1"/>
    <col min="12" max="12" width="9.140625" style="41" customWidth="1"/>
    <col min="13" max="13" width="9" style="41" bestFit="1" customWidth="1"/>
    <col min="14" max="14" width="1.85546875" style="41" customWidth="1"/>
    <col min="15" max="15" width="10.28515625" style="41" customWidth="1"/>
    <col min="16" max="21" width="10.5703125" style="41" bestFit="1" customWidth="1"/>
    <col min="22" max="16384" width="9.140625" style="41"/>
  </cols>
  <sheetData>
    <row r="1" spans="2:29" x14ac:dyDescent="0.25">
      <c r="B1" s="67" t="s">
        <v>70</v>
      </c>
    </row>
    <row r="2" spans="2:29" x14ac:dyDescent="0.25">
      <c r="B2" s="67"/>
    </row>
    <row r="3" spans="2:29" x14ac:dyDescent="0.25">
      <c r="B3" s="299" t="s">
        <v>320</v>
      </c>
    </row>
    <row r="4" spans="2:29" x14ac:dyDescent="0.25">
      <c r="B4" s="299" t="s">
        <v>271</v>
      </c>
      <c r="G4" s="618" t="s">
        <v>323</v>
      </c>
      <c r="H4" s="619"/>
      <c r="I4" s="619"/>
      <c r="J4" s="619"/>
      <c r="K4" s="620"/>
    </row>
    <row r="5" spans="2:29" x14ac:dyDescent="0.25">
      <c r="B5" s="296" t="s">
        <v>42</v>
      </c>
      <c r="C5" s="292" t="s">
        <v>269</v>
      </c>
      <c r="D5" s="75" t="s">
        <v>322</v>
      </c>
      <c r="E5" s="75" t="s">
        <v>252</v>
      </c>
      <c r="F5" s="75" t="s">
        <v>253</v>
      </c>
      <c r="G5" s="75" t="s">
        <v>100</v>
      </c>
      <c r="H5" s="291" t="s">
        <v>101</v>
      </c>
      <c r="I5" s="76" t="s">
        <v>102</v>
      </c>
      <c r="J5" s="76" t="s">
        <v>147</v>
      </c>
      <c r="K5" s="76" t="s">
        <v>220</v>
      </c>
    </row>
    <row r="6" spans="2:29" x14ac:dyDescent="0.25">
      <c r="B6" s="253" t="s">
        <v>37</v>
      </c>
      <c r="C6" s="293" t="s">
        <v>255</v>
      </c>
      <c r="D6" s="290">
        <f>D25+'4.3 Connections'!D42/Thousands</f>
        <v>9958.1384774015896</v>
      </c>
      <c r="E6" s="290">
        <f>E25+'4.3 Connections'!E42/Thousands</f>
        <v>8616.7911806521188</v>
      </c>
      <c r="F6" s="290">
        <f>F25+'4.3 Connections'!F42/Thousands</f>
        <v>8069.7610319920204</v>
      </c>
      <c r="G6" s="290">
        <f>G25+'4.3 Connections'!G42/Thousands</f>
        <v>8913.1079792748278</v>
      </c>
      <c r="H6" s="256">
        <f>H25+'4.3 Connections'!H42/Thousands</f>
        <v>11208.186802220611</v>
      </c>
      <c r="I6" s="281">
        <f>I25+'4.3 Connections'!I42/Thousands</f>
        <v>11322.309584508099</v>
      </c>
      <c r="J6" s="281">
        <f>J25+'4.3 Connections'!J42/Thousands</f>
        <v>11433.483872815674</v>
      </c>
      <c r="K6" s="281">
        <f>K25+'4.3 Connections'!K42/Thousands</f>
        <v>11552.030578131356</v>
      </c>
      <c r="O6" s="77"/>
      <c r="P6" s="77"/>
      <c r="Q6" s="77"/>
      <c r="R6" s="77"/>
      <c r="S6" s="77"/>
      <c r="T6" s="77"/>
      <c r="U6" s="77"/>
      <c r="W6" s="279"/>
      <c r="X6" s="279"/>
      <c r="Y6" s="279"/>
      <c r="Z6" s="279"/>
      <c r="AA6" s="279"/>
      <c r="AB6" s="279"/>
      <c r="AC6" s="279"/>
    </row>
    <row r="7" spans="2:29" x14ac:dyDescent="0.25">
      <c r="B7" s="258"/>
      <c r="C7" s="294" t="s">
        <v>256</v>
      </c>
      <c r="D7" s="84">
        <f t="shared" ref="D7" si="0">D26</f>
        <v>13147.058817773925</v>
      </c>
      <c r="E7" s="84">
        <f t="shared" ref="E7:K7" si="1">E26</f>
        <v>12709.408659483166</v>
      </c>
      <c r="F7" s="84">
        <f t="shared" si="1"/>
        <v>12868.747231608626</v>
      </c>
      <c r="G7" s="84">
        <f t="shared" si="1"/>
        <v>7680.7600236450944</v>
      </c>
      <c r="H7" s="261">
        <f t="shared" si="1"/>
        <v>13059.082473612041</v>
      </c>
      <c r="I7" s="86">
        <f t="shared" si="1"/>
        <v>13132.692311176546</v>
      </c>
      <c r="J7" s="86">
        <f t="shared" si="1"/>
        <v>13284.207139450837</v>
      </c>
      <c r="K7" s="86">
        <f t="shared" si="1"/>
        <v>13395.517683643748</v>
      </c>
      <c r="O7" s="77"/>
      <c r="P7" s="77"/>
      <c r="Q7" s="77"/>
      <c r="R7" s="77"/>
      <c r="S7" s="77"/>
      <c r="T7" s="77"/>
      <c r="U7" s="77"/>
      <c r="W7" s="279"/>
      <c r="X7" s="279"/>
      <c r="Y7" s="279"/>
      <c r="Z7" s="279"/>
      <c r="AA7" s="279"/>
      <c r="AB7" s="279"/>
      <c r="AC7" s="279"/>
    </row>
    <row r="8" spans="2:29" x14ac:dyDescent="0.25">
      <c r="B8" s="263"/>
      <c r="C8" s="295" t="s">
        <v>257</v>
      </c>
      <c r="D8" s="240">
        <f t="shared" ref="D8" si="2">D27</f>
        <v>5201.1702651710175</v>
      </c>
      <c r="E8" s="240">
        <f t="shared" ref="E8:K8" si="3">E27</f>
        <v>5028.0294112811807</v>
      </c>
      <c r="F8" s="240">
        <f t="shared" si="3"/>
        <v>5091.0660991762215</v>
      </c>
      <c r="G8" s="240">
        <f t="shared" si="3"/>
        <v>3038.621885138969</v>
      </c>
      <c r="H8" s="262">
        <f t="shared" si="3"/>
        <v>5166.365526587615</v>
      </c>
      <c r="I8" s="241">
        <f t="shared" si="3"/>
        <v>5195.4866633887204</v>
      </c>
      <c r="J8" s="241">
        <f t="shared" si="3"/>
        <v>5255.4281628887711</v>
      </c>
      <c r="K8" s="241">
        <f t="shared" si="3"/>
        <v>5299.464254966907</v>
      </c>
      <c r="O8" s="77"/>
      <c r="P8" s="77"/>
      <c r="Q8" s="77"/>
      <c r="R8" s="77"/>
      <c r="S8" s="77"/>
      <c r="T8" s="77"/>
      <c r="U8" s="77"/>
      <c r="W8" s="279"/>
      <c r="X8" s="279"/>
      <c r="Y8" s="279"/>
      <c r="Z8" s="279"/>
      <c r="AA8" s="279"/>
      <c r="AB8" s="279"/>
      <c r="AC8" s="279"/>
    </row>
    <row r="9" spans="2:29" x14ac:dyDescent="0.25">
      <c r="B9" s="253" t="s">
        <v>38</v>
      </c>
      <c r="C9" s="293" t="s">
        <v>255</v>
      </c>
      <c r="D9" s="290">
        <f>D28+'4.3 Connections'!D$43/Thousands</f>
        <v>551.3238079576081</v>
      </c>
      <c r="E9" s="290">
        <f>E28+'4.3 Connections'!E$43/Thousands</f>
        <v>421.78801814502975</v>
      </c>
      <c r="F9" s="290">
        <f>F28+'4.3 Connections'!F$43/Thousands</f>
        <v>343.15661864418331</v>
      </c>
      <c r="G9" s="290">
        <f>G28+'4.3 Connections'!G$43/Thousands</f>
        <v>656.87838132267314</v>
      </c>
      <c r="H9" s="256">
        <f>H28+'4.3 Connections'!H$43/Thousands</f>
        <v>679.16631440370452</v>
      </c>
      <c r="I9" s="281">
        <f>I28+'4.3 Connections'!I$43/Thousands</f>
        <v>687.47911763476884</v>
      </c>
      <c r="J9" s="281">
        <f>J28+'4.3 Connections'!J$43/Thousands</f>
        <v>692.12544738554038</v>
      </c>
      <c r="K9" s="281">
        <f>K28+'4.3 Connections'!K$43/Thousands</f>
        <v>700.04322993605842</v>
      </c>
      <c r="O9" s="77"/>
      <c r="P9" s="77"/>
      <c r="Q9" s="77"/>
      <c r="R9" s="77"/>
      <c r="S9" s="77"/>
      <c r="T9" s="77"/>
      <c r="U9" s="77"/>
      <c r="W9" s="279"/>
      <c r="X9" s="279"/>
      <c r="Y9" s="279"/>
      <c r="Z9" s="279"/>
      <c r="AA9" s="279"/>
      <c r="AB9" s="279"/>
      <c r="AC9" s="279"/>
    </row>
    <row r="10" spans="2:29" x14ac:dyDescent="0.25">
      <c r="B10" s="258"/>
      <c r="C10" s="294" t="s">
        <v>258</v>
      </c>
      <c r="D10" s="84">
        <f t="shared" ref="D10" si="4">D29</f>
        <v>6350.5366951949154</v>
      </c>
      <c r="E10" s="84">
        <f t="shared" ref="E10:K10" si="5">E29</f>
        <v>6225.5277786600309</v>
      </c>
      <c r="F10" s="84">
        <f t="shared" si="5"/>
        <v>5363.1934016759405</v>
      </c>
      <c r="G10" s="84">
        <f t="shared" si="5"/>
        <v>2937.6966712826052</v>
      </c>
      <c r="H10" s="261">
        <f t="shared" si="5"/>
        <v>5060.9610725485463</v>
      </c>
      <c r="I10" s="86">
        <f t="shared" si="5"/>
        <v>4990.1639908273673</v>
      </c>
      <c r="J10" s="86">
        <f t="shared" si="5"/>
        <v>4952.8331335426901</v>
      </c>
      <c r="K10" s="86">
        <f t="shared" si="5"/>
        <v>4959.8157327263452</v>
      </c>
      <c r="O10" s="77"/>
      <c r="P10" s="77"/>
      <c r="Q10" s="77"/>
      <c r="R10" s="77"/>
      <c r="S10" s="77"/>
      <c r="T10" s="77"/>
      <c r="U10" s="77"/>
      <c r="W10" s="279"/>
      <c r="X10" s="279"/>
      <c r="Y10" s="279"/>
      <c r="Z10" s="279"/>
      <c r="AA10" s="279"/>
      <c r="AB10" s="279"/>
      <c r="AC10" s="279"/>
    </row>
    <row r="11" spans="2:29" x14ac:dyDescent="0.25">
      <c r="B11" s="258"/>
      <c r="C11" s="294" t="s">
        <v>259</v>
      </c>
      <c r="D11" s="84">
        <f t="shared" ref="D11" si="6">D30</f>
        <v>15431.654204627856</v>
      </c>
      <c r="E11" s="84">
        <f t="shared" ref="E11:K11" si="7">E30</f>
        <v>15127.885489470102</v>
      </c>
      <c r="F11" s="84">
        <f t="shared" si="7"/>
        <v>13032.433316986711</v>
      </c>
      <c r="G11" s="84">
        <f t="shared" si="7"/>
        <v>7138.5335390032033</v>
      </c>
      <c r="H11" s="261">
        <f t="shared" si="7"/>
        <v>12298.015894269956</v>
      </c>
      <c r="I11" s="86">
        <f t="shared" si="7"/>
        <v>12125.980657524586</v>
      </c>
      <c r="J11" s="86">
        <f t="shared" si="7"/>
        <v>12035.267555872038</v>
      </c>
      <c r="K11" s="86">
        <f t="shared" si="7"/>
        <v>12052.235106997792</v>
      </c>
      <c r="O11" s="77"/>
      <c r="P11" s="77"/>
      <c r="Q11" s="77"/>
      <c r="R11" s="77"/>
      <c r="S11" s="77"/>
      <c r="T11" s="77"/>
      <c r="U11" s="77"/>
      <c r="W11" s="279"/>
      <c r="X11" s="279"/>
      <c r="Y11" s="279"/>
      <c r="Z11" s="279"/>
      <c r="AA11" s="279"/>
      <c r="AB11" s="279"/>
      <c r="AC11" s="279"/>
    </row>
    <row r="12" spans="2:29" x14ac:dyDescent="0.25">
      <c r="B12" s="258"/>
      <c r="C12" s="294" t="s">
        <v>260</v>
      </c>
      <c r="D12" s="84">
        <f t="shared" ref="D12" si="8">D31</f>
        <v>9397.7595803872991</v>
      </c>
      <c r="E12" s="84">
        <f t="shared" ref="E12:K12" si="9">E31</f>
        <v>9212.7667523183809</v>
      </c>
      <c r="F12" s="84">
        <f t="shared" si="9"/>
        <v>7936.6523793502847</v>
      </c>
      <c r="G12" s="84">
        <f t="shared" si="9"/>
        <v>4347.3124181310823</v>
      </c>
      <c r="H12" s="261">
        <f t="shared" si="9"/>
        <v>7489.3977766473618</v>
      </c>
      <c r="I12" s="86">
        <f t="shared" si="9"/>
        <v>7384.6296310649423</v>
      </c>
      <c r="J12" s="86">
        <f t="shared" si="9"/>
        <v>7329.3860448092182</v>
      </c>
      <c r="K12" s="86">
        <f t="shared" si="9"/>
        <v>7339.7191538870466</v>
      </c>
      <c r="O12" s="77"/>
      <c r="P12" s="77"/>
      <c r="Q12" s="77"/>
      <c r="R12" s="77"/>
      <c r="S12" s="77"/>
      <c r="T12" s="77"/>
      <c r="U12" s="77"/>
      <c r="W12" s="279"/>
      <c r="X12" s="279"/>
      <c r="Y12" s="279"/>
      <c r="Z12" s="279"/>
      <c r="AA12" s="279"/>
      <c r="AB12" s="279"/>
      <c r="AC12" s="279"/>
    </row>
    <row r="13" spans="2:29" x14ac:dyDescent="0.25">
      <c r="B13" s="263"/>
      <c r="C13" s="295" t="s">
        <v>261</v>
      </c>
      <c r="D13" s="240">
        <f t="shared" ref="D13" si="10">D32</f>
        <v>175.24038740027945</v>
      </c>
      <c r="E13" s="240">
        <f t="shared" ref="E13:K13" si="11">E32</f>
        <v>171.79081896008165</v>
      </c>
      <c r="F13" s="240">
        <f t="shared" si="11"/>
        <v>147.99506475152614</v>
      </c>
      <c r="G13" s="240">
        <f t="shared" si="11"/>
        <v>81.064503277273701</v>
      </c>
      <c r="H13" s="262">
        <f t="shared" si="11"/>
        <v>139.65509082755094</v>
      </c>
      <c r="I13" s="241">
        <f t="shared" si="11"/>
        <v>137.70147515330154</v>
      </c>
      <c r="J13" s="241">
        <f t="shared" si="11"/>
        <v>136.67134585769395</v>
      </c>
      <c r="K13" s="241">
        <f t="shared" si="11"/>
        <v>136.8640277434518</v>
      </c>
      <c r="O13" s="77"/>
      <c r="P13" s="77"/>
      <c r="Q13" s="77"/>
      <c r="R13" s="77"/>
      <c r="S13" s="77"/>
      <c r="T13" s="77"/>
      <c r="U13" s="77"/>
      <c r="W13" s="279"/>
      <c r="X13" s="279"/>
      <c r="Y13" s="279"/>
      <c r="Z13" s="279"/>
      <c r="AA13" s="279"/>
      <c r="AB13" s="279"/>
      <c r="AC13" s="279"/>
    </row>
    <row r="14" spans="2:29" x14ac:dyDescent="0.25">
      <c r="B14" s="253" t="s">
        <v>39</v>
      </c>
      <c r="C14" s="293" t="s">
        <v>256</v>
      </c>
      <c r="D14" s="290">
        <f t="shared" ref="D14" si="12">D33</f>
        <v>22760.410484940305</v>
      </c>
      <c r="E14" s="290">
        <f t="shared" ref="E14:K14" si="13">E33</f>
        <v>23307.497785454099</v>
      </c>
      <c r="F14" s="290">
        <f t="shared" si="13"/>
        <v>22073.139719333562</v>
      </c>
      <c r="G14" s="290">
        <f t="shared" si="13"/>
        <v>13024.442282483127</v>
      </c>
      <c r="H14" s="256">
        <f t="shared" si="13"/>
        <v>22506.510549386883</v>
      </c>
      <c r="I14" s="281">
        <f t="shared" si="13"/>
        <v>22634.881167548047</v>
      </c>
      <c r="J14" s="281">
        <f t="shared" si="13"/>
        <v>22898.076769877629</v>
      </c>
      <c r="K14" s="281">
        <f t="shared" si="13"/>
        <v>23081.763517328087</v>
      </c>
      <c r="O14" s="77"/>
      <c r="P14" s="77"/>
      <c r="Q14" s="77"/>
      <c r="R14" s="77"/>
      <c r="S14" s="77"/>
      <c r="T14" s="77"/>
      <c r="U14" s="77"/>
      <c r="W14" s="279"/>
      <c r="X14" s="279"/>
      <c r="Y14" s="279"/>
      <c r="Z14" s="279"/>
      <c r="AA14" s="279"/>
      <c r="AB14" s="279"/>
      <c r="AC14" s="279"/>
    </row>
    <row r="15" spans="2:29" x14ac:dyDescent="0.25">
      <c r="B15" s="258"/>
      <c r="C15" s="294" t="s">
        <v>262</v>
      </c>
      <c r="D15" s="84">
        <f t="shared" ref="D15" si="14">D34</f>
        <v>24890.405395227004</v>
      </c>
      <c r="E15" s="84">
        <f t="shared" ref="E15:K15" si="15">E34</f>
        <v>25488.690944838629</v>
      </c>
      <c r="F15" s="84">
        <f t="shared" si="15"/>
        <v>24138.817545633581</v>
      </c>
      <c r="G15" s="84">
        <f t="shared" si="15"/>
        <v>14243.312908272928</v>
      </c>
      <c r="H15" s="261">
        <f t="shared" si="15"/>
        <v>24612.744659278142</v>
      </c>
      <c r="I15" s="86">
        <f t="shared" si="15"/>
        <v>24753.128626824833</v>
      </c>
      <c r="J15" s="86">
        <f t="shared" si="15"/>
        <v>25040.954948962517</v>
      </c>
      <c r="K15" s="86">
        <f t="shared" si="15"/>
        <v>25241.831713149069</v>
      </c>
      <c r="O15" s="77"/>
      <c r="P15" s="77"/>
      <c r="Q15" s="77"/>
      <c r="R15" s="77"/>
      <c r="S15" s="77"/>
      <c r="T15" s="77"/>
      <c r="U15" s="77"/>
      <c r="W15" s="279"/>
      <c r="X15" s="279"/>
      <c r="Y15" s="279"/>
      <c r="Z15" s="279"/>
      <c r="AA15" s="279"/>
      <c r="AB15" s="279"/>
      <c r="AC15" s="279"/>
    </row>
    <row r="16" spans="2:29" x14ac:dyDescent="0.25">
      <c r="B16" s="263"/>
      <c r="C16" s="295" t="s">
        <v>263</v>
      </c>
      <c r="D16" s="240">
        <f t="shared" ref="D16" si="16">D35</f>
        <v>114.9862888973671</v>
      </c>
      <c r="E16" s="240">
        <f t="shared" ref="E16:K16" si="17">E35</f>
        <v>117.75019064819814</v>
      </c>
      <c r="F16" s="240">
        <f t="shared" si="17"/>
        <v>111.51417599953247</v>
      </c>
      <c r="G16" s="240">
        <f t="shared" si="17"/>
        <v>65.799880191599101</v>
      </c>
      <c r="H16" s="262">
        <f t="shared" si="17"/>
        <v>113.70357866857373</v>
      </c>
      <c r="I16" s="241">
        <f t="shared" si="17"/>
        <v>114.35211095210086</v>
      </c>
      <c r="J16" s="241">
        <f t="shared" si="17"/>
        <v>115.68178317334707</v>
      </c>
      <c r="K16" s="241">
        <f t="shared" si="17"/>
        <v>116.60977423145786</v>
      </c>
      <c r="O16" s="77"/>
      <c r="P16" s="77"/>
      <c r="Q16" s="77"/>
      <c r="R16" s="77"/>
      <c r="S16" s="77"/>
      <c r="T16" s="77"/>
      <c r="U16" s="77"/>
      <c r="W16" s="279"/>
      <c r="X16" s="279"/>
      <c r="Y16" s="279"/>
      <c r="Z16" s="279"/>
      <c r="AA16" s="279"/>
      <c r="AB16" s="279"/>
      <c r="AC16" s="279"/>
    </row>
    <row r="17" spans="2:29" x14ac:dyDescent="0.25">
      <c r="B17" s="253" t="s">
        <v>40</v>
      </c>
      <c r="C17" s="293" t="s">
        <v>255</v>
      </c>
      <c r="D17" s="290">
        <f t="shared" ref="D17" si="18">D36</f>
        <v>0</v>
      </c>
      <c r="E17" s="290">
        <f t="shared" ref="E17:K17" si="19">E36</f>
        <v>0</v>
      </c>
      <c r="F17" s="290">
        <f t="shared" si="19"/>
        <v>0</v>
      </c>
      <c r="G17" s="290">
        <f t="shared" si="19"/>
        <v>0</v>
      </c>
      <c r="H17" s="256">
        <f t="shared" si="19"/>
        <v>0</v>
      </c>
      <c r="I17" s="281">
        <f t="shared" si="19"/>
        <v>0</v>
      </c>
      <c r="J17" s="281">
        <f t="shared" si="19"/>
        <v>0</v>
      </c>
      <c r="K17" s="281">
        <f t="shared" si="19"/>
        <v>0</v>
      </c>
      <c r="O17" s="77"/>
      <c r="P17" s="77"/>
      <c r="Q17" s="77"/>
      <c r="R17" s="77"/>
      <c r="S17" s="77"/>
      <c r="T17" s="77"/>
      <c r="U17" s="77"/>
      <c r="W17" s="279"/>
      <c r="X17" s="279"/>
      <c r="Y17" s="279"/>
      <c r="Z17" s="279"/>
      <c r="AA17" s="279"/>
      <c r="AB17" s="279"/>
      <c r="AC17" s="279"/>
    </row>
    <row r="18" spans="2:29" x14ac:dyDescent="0.25">
      <c r="B18" s="258"/>
      <c r="C18" s="294" t="s">
        <v>264</v>
      </c>
      <c r="D18" s="84">
        <f t="shared" ref="D18" si="20">D37</f>
        <v>0</v>
      </c>
      <c r="E18" s="84">
        <f t="shared" ref="E18:K18" si="21">E37</f>
        <v>0</v>
      </c>
      <c r="F18" s="84">
        <f t="shared" si="21"/>
        <v>0</v>
      </c>
      <c r="G18" s="84">
        <f t="shared" si="21"/>
        <v>0</v>
      </c>
      <c r="H18" s="261">
        <f t="shared" si="21"/>
        <v>0</v>
      </c>
      <c r="I18" s="86">
        <f t="shared" si="21"/>
        <v>0</v>
      </c>
      <c r="J18" s="86">
        <f t="shared" si="21"/>
        <v>0</v>
      </c>
      <c r="K18" s="86">
        <f t="shared" si="21"/>
        <v>0</v>
      </c>
      <c r="O18" s="77"/>
      <c r="P18" s="77"/>
      <c r="Q18" s="77"/>
      <c r="R18" s="77"/>
      <c r="S18" s="77"/>
      <c r="T18" s="77"/>
      <c r="U18" s="77"/>
      <c r="W18" s="279"/>
      <c r="X18" s="279"/>
      <c r="Y18" s="279"/>
      <c r="Z18" s="279"/>
      <c r="AA18" s="279"/>
      <c r="AB18" s="279"/>
      <c r="AC18" s="279"/>
    </row>
    <row r="19" spans="2:29" x14ac:dyDescent="0.25">
      <c r="B19" s="263"/>
      <c r="C19" s="295" t="s">
        <v>265</v>
      </c>
      <c r="D19" s="240">
        <f t="shared" ref="D19" si="22">D38</f>
        <v>2388.883609394431</v>
      </c>
      <c r="E19" s="240">
        <f t="shared" ref="E19:K19" si="23">E38</f>
        <v>6160.5964358813371</v>
      </c>
      <c r="F19" s="240">
        <f t="shared" si="23"/>
        <v>8646.1063462508318</v>
      </c>
      <c r="G19" s="240">
        <f t="shared" si="23"/>
        <v>17411.230201314393</v>
      </c>
      <c r="H19" s="262">
        <f t="shared" si="23"/>
        <v>17544.991586433211</v>
      </c>
      <c r="I19" s="241">
        <f t="shared" si="23"/>
        <v>17572.131895103383</v>
      </c>
      <c r="J19" s="241">
        <f t="shared" si="23"/>
        <v>17612.079276358741</v>
      </c>
      <c r="K19" s="241">
        <f t="shared" si="23"/>
        <v>17663.970869932862</v>
      </c>
      <c r="O19" s="77"/>
      <c r="P19" s="77"/>
      <c r="Q19" s="77"/>
      <c r="R19" s="77"/>
      <c r="S19" s="77"/>
      <c r="T19" s="77"/>
      <c r="U19" s="77"/>
      <c r="W19" s="279"/>
      <c r="X19" s="279"/>
      <c r="Y19" s="279"/>
      <c r="Z19" s="279"/>
      <c r="AA19" s="279"/>
      <c r="AB19" s="279"/>
      <c r="AC19" s="279"/>
    </row>
    <row r="20" spans="2:29" x14ac:dyDescent="0.25">
      <c r="B20" s="266"/>
      <c r="C20" s="270"/>
      <c r="D20" s="298">
        <f>SUM(D6:D19)</f>
        <v>110367.5680143736</v>
      </c>
      <c r="E20" s="298">
        <f>SUM(E6:E19)</f>
        <v>112588.52346579234</v>
      </c>
      <c r="F20" s="298">
        <f t="shared" ref="F20:K20" si="24">SUM(F6:F19)</f>
        <v>107822.58293140301</v>
      </c>
      <c r="G20" s="298">
        <f t="shared" si="24"/>
        <v>79538.760673337776</v>
      </c>
      <c r="H20" s="298">
        <f t="shared" si="24"/>
        <v>119878.78132488418</v>
      </c>
      <c r="I20" s="298">
        <f t="shared" si="24"/>
        <v>120050.93723170669</v>
      </c>
      <c r="J20" s="298">
        <f t="shared" si="24"/>
        <v>120786.19548099469</v>
      </c>
      <c r="K20" s="298">
        <f t="shared" si="24"/>
        <v>121539.86564267418</v>
      </c>
    </row>
    <row r="21" spans="2:29" x14ac:dyDescent="0.25">
      <c r="B21" s="67"/>
      <c r="D21" s="289">
        <f>D20-D39-'4.3 Connections'!D40/Thousands</f>
        <v>-7.2759576141834259E-12</v>
      </c>
      <c r="E21" s="289">
        <f>E20-E39-'4.3 Connections'!E40/Thousands</f>
        <v>0</v>
      </c>
      <c r="F21" s="289">
        <f>F20-F39-'4.3 Connections'!F40/Thousands</f>
        <v>-2.4556356947869062E-11</v>
      </c>
      <c r="G21" s="289">
        <f>G20-G39-'4.3 Connections'!G40/Thousands</f>
        <v>0</v>
      </c>
      <c r="H21" s="289">
        <f>H20-H39-'4.3 Connections'!H40/Thousands</f>
        <v>-2.6375346351414919E-11</v>
      </c>
      <c r="I21" s="289">
        <f>I20-I39-'4.3 Connections'!I40/Thousands</f>
        <v>7.2759576141834259E-12</v>
      </c>
      <c r="J21" s="289">
        <f>J20-J39-'4.3 Connections'!J40/Thousands</f>
        <v>0</v>
      </c>
      <c r="K21" s="289">
        <f>K20-K39-'4.3 Connections'!K40/Thousands</f>
        <v>0</v>
      </c>
    </row>
    <row r="22" spans="2:29" x14ac:dyDescent="0.25">
      <c r="B22" s="299" t="s">
        <v>286</v>
      </c>
    </row>
    <row r="23" spans="2:29" x14ac:dyDescent="0.25">
      <c r="B23" s="299" t="s">
        <v>271</v>
      </c>
      <c r="G23" s="618" t="s">
        <v>323</v>
      </c>
      <c r="H23" s="619"/>
      <c r="I23" s="619"/>
      <c r="J23" s="619"/>
      <c r="K23" s="620"/>
    </row>
    <row r="24" spans="2:29" x14ac:dyDescent="0.25">
      <c r="B24" s="296" t="s">
        <v>42</v>
      </c>
      <c r="C24" s="292" t="s">
        <v>269</v>
      </c>
      <c r="D24" s="75" t="s">
        <v>322</v>
      </c>
      <c r="E24" s="75" t="s">
        <v>252</v>
      </c>
      <c r="F24" s="75" t="s">
        <v>253</v>
      </c>
      <c r="G24" s="75" t="s">
        <v>100</v>
      </c>
      <c r="H24" s="291" t="s">
        <v>101</v>
      </c>
      <c r="I24" s="76" t="s">
        <v>102</v>
      </c>
      <c r="J24" s="76" t="s">
        <v>147</v>
      </c>
      <c r="K24" s="76" t="s">
        <v>220</v>
      </c>
    </row>
    <row r="25" spans="2:29" x14ac:dyDescent="0.25">
      <c r="B25" s="253" t="s">
        <v>37</v>
      </c>
      <c r="C25" s="293" t="s">
        <v>255</v>
      </c>
      <c r="D25" s="290">
        <f>Direct_view!F$46*Historical_CY!$S5</f>
        <v>5672.9896294015907</v>
      </c>
      <c r="E25" s="290">
        <f>Direct_view!G$46*Historical_CY!$S5</f>
        <v>5484.1424626168118</v>
      </c>
      <c r="F25" s="290">
        <f>Direct_view!H$46*Historical_CY!$S5</f>
        <v>5552.8974655235725</v>
      </c>
      <c r="G25" s="290">
        <f>Direct_view!I$46*Historical_CY!$S5</f>
        <v>3314.2676673168444</v>
      </c>
      <c r="H25" s="256">
        <f>Direct_view!J$46*Historical_CY!$S5</f>
        <v>5635.0276110535551</v>
      </c>
      <c r="I25" s="281">
        <f>Direct_view!K$46*Historical_CY!$S5</f>
        <v>5666.7904449248717</v>
      </c>
      <c r="J25" s="281">
        <f>Direct_view!L$46*Historical_CY!$S5</f>
        <v>5732.1694822756872</v>
      </c>
      <c r="K25" s="281">
        <f>Direct_view!M$46*Historical_CY!$S5</f>
        <v>5780.2002678378331</v>
      </c>
      <c r="N25" s="70"/>
      <c r="O25" s="42"/>
    </row>
    <row r="26" spans="2:29" x14ac:dyDescent="0.25">
      <c r="B26" s="258"/>
      <c r="C26" s="294" t="s">
        <v>256</v>
      </c>
      <c r="D26" s="84">
        <f>Direct_view!F$46*Historical_CY!$S6</f>
        <v>13147.058817773925</v>
      </c>
      <c r="E26" s="84">
        <f>Direct_view!G$46*Historical_CY!$S6</f>
        <v>12709.408659483166</v>
      </c>
      <c r="F26" s="84">
        <f>Direct_view!H$46*Historical_CY!$S6</f>
        <v>12868.747231608626</v>
      </c>
      <c r="G26" s="84">
        <f>Direct_view!I$46*Historical_CY!$S6</f>
        <v>7680.7600236450944</v>
      </c>
      <c r="H26" s="261">
        <f>Direct_view!J$46*Historical_CY!$S6</f>
        <v>13059.082473612041</v>
      </c>
      <c r="I26" s="86">
        <f>Direct_view!K$46*Historical_CY!$S6</f>
        <v>13132.692311176546</v>
      </c>
      <c r="J26" s="86">
        <f>Direct_view!L$46*Historical_CY!$S6</f>
        <v>13284.207139450837</v>
      </c>
      <c r="K26" s="86">
        <f>Direct_view!M$46*Historical_CY!$S6</f>
        <v>13395.517683643748</v>
      </c>
    </row>
    <row r="27" spans="2:29" x14ac:dyDescent="0.25">
      <c r="B27" s="263"/>
      <c r="C27" s="295" t="s">
        <v>257</v>
      </c>
      <c r="D27" s="240">
        <f>Direct_view!F$46*Historical_CY!$S7</f>
        <v>5201.1702651710175</v>
      </c>
      <c r="E27" s="240">
        <f>Direct_view!G$46*Historical_CY!$S7</f>
        <v>5028.0294112811807</v>
      </c>
      <c r="F27" s="240">
        <f>Direct_view!H$46*Historical_CY!$S7</f>
        <v>5091.0660991762215</v>
      </c>
      <c r="G27" s="240">
        <f>Direct_view!I$46*Historical_CY!$S7</f>
        <v>3038.621885138969</v>
      </c>
      <c r="H27" s="262">
        <f>Direct_view!J$46*Historical_CY!$S7</f>
        <v>5166.365526587615</v>
      </c>
      <c r="I27" s="241">
        <f>Direct_view!K$46*Historical_CY!$S7</f>
        <v>5195.4866633887204</v>
      </c>
      <c r="J27" s="241">
        <f>Direct_view!L$46*Historical_CY!$S7</f>
        <v>5255.4281628887711</v>
      </c>
      <c r="K27" s="241">
        <f>Direct_view!M$46*Historical_CY!$S7</f>
        <v>5299.464254966907</v>
      </c>
      <c r="N27" s="72"/>
    </row>
    <row r="28" spans="2:29" x14ac:dyDescent="0.25">
      <c r="B28" s="253" t="s">
        <v>38</v>
      </c>
      <c r="C28" s="293" t="s">
        <v>255</v>
      </c>
      <c r="D28" s="290">
        <f>Direct_view!F$49*Historical_CY!$S8</f>
        <v>75.19615817983032</v>
      </c>
      <c r="E28" s="290">
        <f>Direct_view!G$49*Historical_CY!$S8</f>
        <v>73.715938363328988</v>
      </c>
      <c r="F28" s="290">
        <f>Direct_view!H$49*Historical_CY!$S8</f>
        <v>63.50511125880017</v>
      </c>
      <c r="G28" s="290">
        <f>Direct_view!I$49*Historical_CY!$S8</f>
        <v>34.785013327341716</v>
      </c>
      <c r="H28" s="256">
        <f>Direct_view!J$49*Historical_CY!$S8</f>
        <v>59.926404274031768</v>
      </c>
      <c r="I28" s="281">
        <f>Direct_view!K$49*Historical_CY!$S8</f>
        <v>59.088102125521345</v>
      </c>
      <c r="J28" s="281">
        <f>Direct_view!L$49*Historical_CY!$S8</f>
        <v>58.646070658875189</v>
      </c>
      <c r="K28" s="281">
        <f>Direct_view!M$49*Historical_CY!$S8</f>
        <v>58.728751014555648</v>
      </c>
      <c r="N28" s="72"/>
    </row>
    <row r="29" spans="2:29" x14ac:dyDescent="0.25">
      <c r="B29" s="258"/>
      <c r="C29" s="294" t="s">
        <v>258</v>
      </c>
      <c r="D29" s="84">
        <f>Direct_view!F$49*Historical_CY!$S9</f>
        <v>6350.5366951949154</v>
      </c>
      <c r="E29" s="84">
        <f>Direct_view!G$49*Historical_CY!$S9</f>
        <v>6225.5277786600309</v>
      </c>
      <c r="F29" s="84">
        <f>Direct_view!H$49*Historical_CY!$S9</f>
        <v>5363.1934016759405</v>
      </c>
      <c r="G29" s="84">
        <f>Direct_view!I$49*Historical_CY!$S9</f>
        <v>2937.6966712826052</v>
      </c>
      <c r="H29" s="261">
        <f>Direct_view!J$49*Historical_CY!$S9</f>
        <v>5060.9610725485463</v>
      </c>
      <c r="I29" s="86">
        <f>Direct_view!K$49*Historical_CY!$S9</f>
        <v>4990.1639908273673</v>
      </c>
      <c r="J29" s="86">
        <f>Direct_view!L$49*Historical_CY!$S9</f>
        <v>4952.8331335426901</v>
      </c>
      <c r="K29" s="86">
        <f>Direct_view!M$49*Historical_CY!$S9</f>
        <v>4959.8157327263452</v>
      </c>
      <c r="N29" s="73"/>
    </row>
    <row r="30" spans="2:29" x14ac:dyDescent="0.25">
      <c r="B30" s="258"/>
      <c r="C30" s="294" t="s">
        <v>259</v>
      </c>
      <c r="D30" s="84">
        <f>Direct_view!F$49*Historical_CY!$S10</f>
        <v>15431.654204627856</v>
      </c>
      <c r="E30" s="84">
        <f>Direct_view!G$49*Historical_CY!$S10</f>
        <v>15127.885489470102</v>
      </c>
      <c r="F30" s="84">
        <f>Direct_view!H$49*Historical_CY!$S10</f>
        <v>13032.433316986711</v>
      </c>
      <c r="G30" s="84">
        <f>Direct_view!I$49*Historical_CY!$S10</f>
        <v>7138.5335390032033</v>
      </c>
      <c r="H30" s="261">
        <f>Direct_view!J$49*Historical_CY!$S10</f>
        <v>12298.015894269956</v>
      </c>
      <c r="I30" s="86">
        <f>Direct_view!K$49*Historical_CY!$S10</f>
        <v>12125.980657524586</v>
      </c>
      <c r="J30" s="86">
        <f>Direct_view!L$49*Historical_CY!$S10</f>
        <v>12035.267555872038</v>
      </c>
      <c r="K30" s="86">
        <f>Direct_view!M$49*Historical_CY!$S10</f>
        <v>12052.235106997792</v>
      </c>
      <c r="N30" s="73"/>
      <c r="P30" s="238"/>
    </row>
    <row r="31" spans="2:29" x14ac:dyDescent="0.25">
      <c r="B31" s="258"/>
      <c r="C31" s="294" t="s">
        <v>260</v>
      </c>
      <c r="D31" s="84">
        <f>Direct_view!F$49*Historical_CY!$S11</f>
        <v>9397.7595803872991</v>
      </c>
      <c r="E31" s="84">
        <f>Direct_view!G$49*Historical_CY!$S11</f>
        <v>9212.7667523183809</v>
      </c>
      <c r="F31" s="84">
        <f>Direct_view!H$49*Historical_CY!$S11</f>
        <v>7936.6523793502847</v>
      </c>
      <c r="G31" s="84">
        <f>Direct_view!I$49*Historical_CY!$S11</f>
        <v>4347.3124181310823</v>
      </c>
      <c r="H31" s="261">
        <f>Direct_view!J$49*Historical_CY!$S11</f>
        <v>7489.3977766473618</v>
      </c>
      <c r="I31" s="86">
        <f>Direct_view!K$49*Historical_CY!$S11</f>
        <v>7384.6296310649423</v>
      </c>
      <c r="J31" s="86">
        <f>Direct_view!L$49*Historical_CY!$S11</f>
        <v>7329.3860448092182</v>
      </c>
      <c r="K31" s="86">
        <f>Direct_view!M$49*Historical_CY!$S11</f>
        <v>7339.7191538870466</v>
      </c>
      <c r="N31" s="72"/>
    </row>
    <row r="32" spans="2:29" x14ac:dyDescent="0.25">
      <c r="B32" s="263"/>
      <c r="C32" s="295" t="s">
        <v>261</v>
      </c>
      <c r="D32" s="240">
        <f>Direct_view!F$49*Historical_CY!$S12</f>
        <v>175.24038740027945</v>
      </c>
      <c r="E32" s="240">
        <f>Direct_view!G$49*Historical_CY!$S12</f>
        <v>171.79081896008165</v>
      </c>
      <c r="F32" s="240">
        <f>Direct_view!H$49*Historical_CY!$S12</f>
        <v>147.99506475152614</v>
      </c>
      <c r="G32" s="240">
        <f>Direct_view!I$49*Historical_CY!$S12</f>
        <v>81.064503277273701</v>
      </c>
      <c r="H32" s="262">
        <f>Direct_view!J$49*Historical_CY!$S12</f>
        <v>139.65509082755094</v>
      </c>
      <c r="I32" s="241">
        <f>Direct_view!K$49*Historical_CY!$S12</f>
        <v>137.70147515330154</v>
      </c>
      <c r="J32" s="241">
        <f>Direct_view!L$49*Historical_CY!$S12</f>
        <v>136.67134585769395</v>
      </c>
      <c r="K32" s="241">
        <f>Direct_view!M$49*Historical_CY!$S12</f>
        <v>136.8640277434518</v>
      </c>
      <c r="N32" s="72"/>
    </row>
    <row r="33" spans="2:16" x14ac:dyDescent="0.25">
      <c r="B33" s="253" t="s">
        <v>39</v>
      </c>
      <c r="C33" s="293" t="s">
        <v>256</v>
      </c>
      <c r="D33" s="290">
        <f>Direct_view!F$52*Historical_CY!$S13</f>
        <v>22760.410484940305</v>
      </c>
      <c r="E33" s="290">
        <f>Direct_view!G$52*Historical_CY!$S13</f>
        <v>23307.497785454099</v>
      </c>
      <c r="F33" s="290">
        <f>Direct_view!H$52*Historical_CY!$S13</f>
        <v>22073.139719333562</v>
      </c>
      <c r="G33" s="290">
        <f>Direct_view!I$52*Historical_CY!$S13</f>
        <v>13024.442282483127</v>
      </c>
      <c r="H33" s="256">
        <f>Direct_view!J$52*Historical_CY!$S13</f>
        <v>22506.510549386883</v>
      </c>
      <c r="I33" s="281">
        <f>Direct_view!K$52*Historical_CY!$S13</f>
        <v>22634.881167548047</v>
      </c>
      <c r="J33" s="281">
        <f>Direct_view!L$52*Historical_CY!$S13</f>
        <v>22898.076769877629</v>
      </c>
      <c r="K33" s="281">
        <f>Direct_view!M$52*Historical_CY!$S13</f>
        <v>23081.763517328087</v>
      </c>
      <c r="N33" s="72"/>
    </row>
    <row r="34" spans="2:16" x14ac:dyDescent="0.25">
      <c r="B34" s="258"/>
      <c r="C34" s="294" t="s">
        <v>262</v>
      </c>
      <c r="D34" s="84">
        <f>Direct_view!F$52*Historical_CY!$S14</f>
        <v>24890.405395227004</v>
      </c>
      <c r="E34" s="84">
        <f>Direct_view!G$52*Historical_CY!$S14</f>
        <v>25488.690944838629</v>
      </c>
      <c r="F34" s="84">
        <f>Direct_view!H$52*Historical_CY!$S14</f>
        <v>24138.817545633581</v>
      </c>
      <c r="G34" s="84">
        <f>Direct_view!I$52*Historical_CY!$S14</f>
        <v>14243.312908272928</v>
      </c>
      <c r="H34" s="261">
        <f>Direct_view!J$52*Historical_CY!$S14</f>
        <v>24612.744659278142</v>
      </c>
      <c r="I34" s="86">
        <f>Direct_view!K$52*Historical_CY!$S14</f>
        <v>24753.128626824833</v>
      </c>
      <c r="J34" s="86">
        <f>Direct_view!L$52*Historical_CY!$S14</f>
        <v>25040.954948962517</v>
      </c>
      <c r="K34" s="86">
        <f>Direct_view!M$52*Historical_CY!$S14</f>
        <v>25241.831713149069</v>
      </c>
      <c r="N34" s="72"/>
    </row>
    <row r="35" spans="2:16" x14ac:dyDescent="0.25">
      <c r="B35" s="263"/>
      <c r="C35" s="295" t="s">
        <v>263</v>
      </c>
      <c r="D35" s="240">
        <f>Direct_view!F$52*Historical_CY!$S15</f>
        <v>114.9862888973671</v>
      </c>
      <c r="E35" s="240">
        <f>Direct_view!G$52*Historical_CY!$S15</f>
        <v>117.75019064819814</v>
      </c>
      <c r="F35" s="240">
        <f>Direct_view!H$52*Historical_CY!$S15</f>
        <v>111.51417599953247</v>
      </c>
      <c r="G35" s="240">
        <f>Direct_view!I$52*Historical_CY!$S15</f>
        <v>65.799880191599101</v>
      </c>
      <c r="H35" s="262">
        <f>Direct_view!J$52*Historical_CY!$S15</f>
        <v>113.70357866857373</v>
      </c>
      <c r="I35" s="241">
        <f>Direct_view!K$52*Historical_CY!$S15</f>
        <v>114.35211095210086</v>
      </c>
      <c r="J35" s="241">
        <f>Direct_view!L$52*Historical_CY!$S15</f>
        <v>115.68178317334707</v>
      </c>
      <c r="K35" s="241">
        <f>Direct_view!M$52*Historical_CY!$S15</f>
        <v>116.60977423145786</v>
      </c>
      <c r="N35" s="72"/>
    </row>
    <row r="36" spans="2:16" x14ac:dyDescent="0.25">
      <c r="B36" s="253" t="s">
        <v>40</v>
      </c>
      <c r="C36" s="293" t="s">
        <v>255</v>
      </c>
      <c r="D36" s="290"/>
      <c r="E36" s="290"/>
      <c r="F36" s="290"/>
      <c r="G36" s="290"/>
      <c r="H36" s="256"/>
      <c r="I36" s="281"/>
      <c r="J36" s="281"/>
      <c r="K36" s="281"/>
      <c r="N36" s="72"/>
      <c r="P36" s="238"/>
    </row>
    <row r="37" spans="2:16" x14ac:dyDescent="0.25">
      <c r="B37" s="258"/>
      <c r="C37" s="294" t="s">
        <v>264</v>
      </c>
      <c r="D37" s="84"/>
      <c r="E37" s="84"/>
      <c r="F37" s="84"/>
      <c r="G37" s="84"/>
      <c r="H37" s="261"/>
      <c r="I37" s="86"/>
      <c r="J37" s="86"/>
      <c r="K37" s="86"/>
      <c r="N37" s="72"/>
      <c r="P37" s="238"/>
    </row>
    <row r="38" spans="2:16" x14ac:dyDescent="0.25">
      <c r="B38" s="263"/>
      <c r="C38" s="295" t="s">
        <v>265</v>
      </c>
      <c r="D38" s="240">
        <f>Direct_view!F53</f>
        <v>2388.883609394431</v>
      </c>
      <c r="E38" s="240">
        <f>Direct_view!G53</f>
        <v>6160.5964358813371</v>
      </c>
      <c r="F38" s="240">
        <f>Direct_view!H53</f>
        <v>8646.1063462508318</v>
      </c>
      <c r="G38" s="240">
        <f>Direct_view!I53</f>
        <v>17411.230201314393</v>
      </c>
      <c r="H38" s="262">
        <f>Direct_view!J53</f>
        <v>17544.991586433211</v>
      </c>
      <c r="I38" s="241">
        <f>Direct_view!K53</f>
        <v>17572.131895103383</v>
      </c>
      <c r="J38" s="241">
        <f>Direct_view!L53</f>
        <v>17612.079276358741</v>
      </c>
      <c r="K38" s="241">
        <f>Direct_view!M53</f>
        <v>17663.970869932862</v>
      </c>
      <c r="N38" s="72"/>
    </row>
    <row r="39" spans="2:16" x14ac:dyDescent="0.25">
      <c r="B39" s="266"/>
      <c r="C39" s="270"/>
      <c r="D39" s="298">
        <f>SUM(D25:D38)</f>
        <v>105606.29151659583</v>
      </c>
      <c r="E39" s="298">
        <f>SUM(E25:E38)</f>
        <v>109107.80266797534</v>
      </c>
      <c r="F39" s="298">
        <f t="shared" ref="F39:K39" si="25">SUM(F25:F38)</f>
        <v>105026.06785754921</v>
      </c>
      <c r="G39" s="298">
        <f t="shared" si="25"/>
        <v>73317.826993384457</v>
      </c>
      <c r="H39" s="298">
        <f t="shared" si="25"/>
        <v>113686.38222358748</v>
      </c>
      <c r="I39" s="298">
        <f t="shared" si="25"/>
        <v>113767.02707661421</v>
      </c>
      <c r="J39" s="298">
        <f t="shared" si="25"/>
        <v>114451.40171372805</v>
      </c>
      <c r="K39" s="298">
        <f t="shared" si="25"/>
        <v>115126.72085345915</v>
      </c>
      <c r="N39" s="73"/>
    </row>
    <row r="40" spans="2:16" x14ac:dyDescent="0.25">
      <c r="D40" s="279">
        <f>D39-Direct_view!F54</f>
        <v>0</v>
      </c>
      <c r="E40" s="279">
        <f>E39-Direct_view!G54</f>
        <v>0</v>
      </c>
      <c r="F40" s="279">
        <f>F39-Direct_view!H54</f>
        <v>0</v>
      </c>
      <c r="G40" s="279">
        <f>G39-Direct_view!I54</f>
        <v>0</v>
      </c>
      <c r="H40" s="279">
        <f>H39-Direct_view!J54</f>
        <v>0</v>
      </c>
      <c r="I40" s="279">
        <f>I39-Direct_view!K54</f>
        <v>0</v>
      </c>
      <c r="J40" s="279">
        <f>J39-Direct_view!L54</f>
        <v>0</v>
      </c>
      <c r="K40" s="279">
        <f>K39-Direct_view!M54</f>
        <v>0</v>
      </c>
      <c r="N40" s="72"/>
    </row>
    <row r="41" spans="2:16" x14ac:dyDescent="0.25">
      <c r="B41" s="299" t="s">
        <v>286</v>
      </c>
      <c r="E41" s="279"/>
      <c r="F41" s="279"/>
      <c r="G41" s="279"/>
      <c r="H41" s="279"/>
      <c r="I41" s="279"/>
      <c r="J41" s="279"/>
      <c r="K41" s="279"/>
      <c r="N41" s="72"/>
    </row>
    <row r="42" spans="2:16" x14ac:dyDescent="0.25">
      <c r="B42" s="299" t="s">
        <v>272</v>
      </c>
      <c r="E42" s="279"/>
      <c r="F42" s="279"/>
      <c r="G42" s="618" t="s">
        <v>323</v>
      </c>
      <c r="H42" s="619"/>
      <c r="I42" s="619"/>
      <c r="J42" s="619"/>
      <c r="K42" s="620"/>
      <c r="N42" s="72"/>
    </row>
    <row r="43" spans="2:16" x14ac:dyDescent="0.25">
      <c r="B43" s="296" t="s">
        <v>42</v>
      </c>
      <c r="C43" s="292" t="s">
        <v>269</v>
      </c>
      <c r="D43" s="75" t="s">
        <v>322</v>
      </c>
      <c r="E43" s="75" t="s">
        <v>252</v>
      </c>
      <c r="F43" s="75" t="s">
        <v>253</v>
      </c>
      <c r="G43" s="75" t="s">
        <v>100</v>
      </c>
      <c r="H43" s="291" t="s">
        <v>101</v>
      </c>
      <c r="I43" s="76" t="s">
        <v>102</v>
      </c>
      <c r="J43" s="76" t="s">
        <v>147</v>
      </c>
      <c r="K43" s="76" t="s">
        <v>220</v>
      </c>
      <c r="L43" s="72"/>
      <c r="M43" s="72"/>
      <c r="N43" s="72"/>
    </row>
    <row r="44" spans="2:16" x14ac:dyDescent="0.25">
      <c r="B44" s="253" t="s">
        <v>37</v>
      </c>
      <c r="C44" s="293" t="s">
        <v>255</v>
      </c>
      <c r="D44" s="290">
        <f>CapCon_view!F$28*Historical_CY!$S5</f>
        <v>2935.1738593386754</v>
      </c>
      <c r="E44" s="290">
        <f>CapCon_view!G$28*Historical_CY!$S5</f>
        <v>2903.3065969415024</v>
      </c>
      <c r="F44" s="290">
        <f>CapCon_view!H$28*Historical_CY!$S5</f>
        <v>2731.9332035490816</v>
      </c>
      <c r="G44" s="290">
        <f>CapCon_view!I$28*Historical_CY!$S5</f>
        <v>934.62848665412889</v>
      </c>
      <c r="H44" s="256">
        <f>CapCon_view!J$28*Historical_CY!$S5</f>
        <v>1610.4529498122345</v>
      </c>
      <c r="I44" s="281">
        <f>CapCon_view!K$28*Historical_CY!$S5</f>
        <v>1638.4948592742676</v>
      </c>
      <c r="J44" s="281">
        <f>CapCon_view!L$28*Historical_CY!$S5</f>
        <v>1668.6854530487979</v>
      </c>
      <c r="K44" s="281">
        <f>CapCon_view!M$28*Historical_CY!$S5</f>
        <v>1688.1575350204853</v>
      </c>
    </row>
    <row r="45" spans="2:16" x14ac:dyDescent="0.25">
      <c r="B45" s="258"/>
      <c r="C45" s="294" t="s">
        <v>256</v>
      </c>
      <c r="D45" s="84">
        <f>CapCon_view!F$28*Historical_CY!$S6</f>
        <v>6802.216448470499</v>
      </c>
      <c r="E45" s="84">
        <f>CapCon_view!G$28*Historical_CY!$S6</f>
        <v>6728.3645995396082</v>
      </c>
      <c r="F45" s="84">
        <f>CapCon_view!H$28*Historical_CY!$S6</f>
        <v>6331.2096195525701</v>
      </c>
      <c r="G45" s="84">
        <f>CapCon_view!I$28*Historical_CY!$S6</f>
        <v>2165.9859244454515</v>
      </c>
      <c r="H45" s="261">
        <f>CapCon_view!J$28*Historical_CY!$S6</f>
        <v>3732.1978423345627</v>
      </c>
      <c r="I45" s="86">
        <f>CapCon_view!K$28*Historical_CY!$S6</f>
        <v>3797.1844996605919</v>
      </c>
      <c r="J45" s="86">
        <f>CapCon_view!L$28*Historical_CY!$S6</f>
        <v>3867.150697032107</v>
      </c>
      <c r="K45" s="86">
        <f>CapCon_view!M$28*Historical_CY!$S6</f>
        <v>3912.2769221285721</v>
      </c>
    </row>
    <row r="46" spans="2:16" x14ac:dyDescent="0.25">
      <c r="B46" s="263"/>
      <c r="C46" s="295" t="s">
        <v>257</v>
      </c>
      <c r="D46" s="240">
        <f>CapCon_view!F$28*Historical_CY!$S7</f>
        <v>2691.0570964519698</v>
      </c>
      <c r="E46" s="240">
        <f>CapCon_view!G$28*Historical_CY!$S7</f>
        <v>2661.840216386905</v>
      </c>
      <c r="F46" s="240">
        <f>CapCon_view!H$28*Historical_CY!$S7</f>
        <v>2504.7198519613253</v>
      </c>
      <c r="G46" s="240">
        <f>CapCon_view!I$28*Historical_CY!$S7</f>
        <v>856.89595986094139</v>
      </c>
      <c r="H46" s="262">
        <f>CapCon_view!J$28*Historical_CY!$S7</f>
        <v>1476.5124816390519</v>
      </c>
      <c r="I46" s="241">
        <f>CapCon_view!K$28*Historical_CY!$S7</f>
        <v>1502.2221612260969</v>
      </c>
      <c r="J46" s="241">
        <f>CapCon_view!L$28*Historical_CY!$S7</f>
        <v>1529.9018202570455</v>
      </c>
      <c r="K46" s="241">
        <f>CapCon_view!M$28*Historical_CY!$S7</f>
        <v>1547.7544200973871</v>
      </c>
    </row>
    <row r="47" spans="2:16" x14ac:dyDescent="0.25">
      <c r="B47" s="253" t="s">
        <v>38</v>
      </c>
      <c r="C47" s="293" t="s">
        <v>255</v>
      </c>
      <c r="D47" s="290">
        <f>CapCon_view!F$31*Historical_CY!$S8</f>
        <v>31.342929328928843</v>
      </c>
      <c r="E47" s="290">
        <f>CapCon_view!G$31*Historical_CY!$S8</f>
        <v>31.621915381179903</v>
      </c>
      <c r="F47" s="290">
        <f>CapCon_view!H$31*Historical_CY!$S8</f>
        <v>23.657281181569786</v>
      </c>
      <c r="G47" s="290">
        <f>CapCon_view!I$31*Historical_CY!$S8</f>
        <v>9.2489239124575864</v>
      </c>
      <c r="H47" s="256">
        <f>CapCon_view!J$31*Historical_CY!$S8</f>
        <v>15.90772662913956</v>
      </c>
      <c r="I47" s="281">
        <f>CapCon_view!K$31*Historical_CY!$S8</f>
        <v>15.873156770312031</v>
      </c>
      <c r="J47" s="281">
        <f>CapCon_view!L$31*Historical_CY!$S8</f>
        <v>15.85920755512883</v>
      </c>
      <c r="K47" s="281">
        <f>CapCon_view!M$31*Historical_CY!$S8</f>
        <v>15.894087331136506</v>
      </c>
    </row>
    <row r="48" spans="2:16" x14ac:dyDescent="0.25">
      <c r="B48" s="258"/>
      <c r="C48" s="294" t="s">
        <v>258</v>
      </c>
      <c r="D48" s="84">
        <f>CapCon_view!F$31*Historical_CY!$S9</f>
        <v>2647.0025551338977</v>
      </c>
      <c r="E48" s="84">
        <f>CapCon_view!G$31*Historical_CY!$S9</f>
        <v>2670.5637476888537</v>
      </c>
      <c r="F48" s="84">
        <f>CapCon_view!H$31*Historical_CY!$S9</f>
        <v>1997.9269671306242</v>
      </c>
      <c r="G48" s="84">
        <f>CapCon_view!I$31*Historical_CY!$S9</f>
        <v>781.09882364817611</v>
      </c>
      <c r="H48" s="261">
        <f>CapCon_view!J$31*Historical_CY!$S9</f>
        <v>1343.4542952830952</v>
      </c>
      <c r="I48" s="86">
        <f>CapCon_view!K$31*Historical_CY!$S9</f>
        <v>1340.5347690420483</v>
      </c>
      <c r="J48" s="86">
        <f>CapCon_view!L$31*Historical_CY!$S9</f>
        <v>1339.3567167979666</v>
      </c>
      <c r="K48" s="86">
        <f>CapCon_view!M$31*Historical_CY!$S9</f>
        <v>1342.3024164562814</v>
      </c>
    </row>
    <row r="49" spans="2:11" x14ac:dyDescent="0.25">
      <c r="B49" s="258"/>
      <c r="C49" s="294" t="s">
        <v>259</v>
      </c>
      <c r="D49" s="84">
        <f>CapCon_view!F$31*Historical_CY!$S10</f>
        <v>6432.1537013556235</v>
      </c>
      <c r="E49" s="84">
        <f>CapCon_view!G$31*Historical_CY!$S10</f>
        <v>6489.4068428785822</v>
      </c>
      <c r="F49" s="84">
        <f>CapCon_view!H$31*Historical_CY!$S10</f>
        <v>4854.9153500977254</v>
      </c>
      <c r="G49" s="84">
        <f>CapCon_view!I$31*Historical_CY!$S10</f>
        <v>1898.0516962134157</v>
      </c>
      <c r="H49" s="261">
        <f>CapCon_view!J$31*Historical_CY!$S10</f>
        <v>3264.5622125476775</v>
      </c>
      <c r="I49" s="86">
        <f>CapCon_view!K$31*Historical_CY!$S10</f>
        <v>3257.4678327250613</v>
      </c>
      <c r="J49" s="86">
        <f>CapCon_view!L$31*Historical_CY!$S10</f>
        <v>3254.6051935910473</v>
      </c>
      <c r="K49" s="86">
        <f>CapCon_view!M$31*Historical_CY!$S10</f>
        <v>3261.7631741995529</v>
      </c>
    </row>
    <row r="50" spans="2:11" x14ac:dyDescent="0.25">
      <c r="B50" s="258"/>
      <c r="C50" s="294" t="s">
        <v>260</v>
      </c>
      <c r="D50" s="84">
        <f>CapCon_view!F$31*Historical_CY!$S11</f>
        <v>3917.1324906509712</v>
      </c>
      <c r="E50" s="84">
        <f>CapCon_view!G$31*Historical_CY!$S11</f>
        <v>3951.9992166752813</v>
      </c>
      <c r="F50" s="84">
        <f>CapCon_view!H$31*Historical_CY!$S11</f>
        <v>2956.606377925933</v>
      </c>
      <c r="G50" s="84">
        <f>CapCon_view!I$31*Historical_CY!$S11</f>
        <v>1155.8989901944963</v>
      </c>
      <c r="H50" s="261">
        <f>CapCon_view!J$31*Historical_CY!$S11</f>
        <v>1988.0934604884867</v>
      </c>
      <c r="I50" s="86">
        <f>CapCon_view!K$31*Historical_CY!$S11</f>
        <v>1983.7730373464942</v>
      </c>
      <c r="J50" s="86">
        <f>CapCon_view!L$31*Historical_CY!$S11</f>
        <v>1982.0297119719012</v>
      </c>
      <c r="K50" s="86">
        <f>CapCon_view!M$31*Historical_CY!$S11</f>
        <v>1986.3888675068688</v>
      </c>
    </row>
    <row r="51" spans="2:11" x14ac:dyDescent="0.25">
      <c r="B51" s="263"/>
      <c r="C51" s="295" t="s">
        <v>261</v>
      </c>
      <c r="D51" s="240">
        <f>CapCon_view!F$31*Historical_CY!$S12</f>
        <v>73.042921484442587</v>
      </c>
      <c r="E51" s="240">
        <f>CapCon_view!G$31*Historical_CY!$S12</f>
        <v>73.69308267697096</v>
      </c>
      <c r="F51" s="240">
        <f>CapCon_view!H$31*Historical_CY!$S12</f>
        <v>55.131953805156286</v>
      </c>
      <c r="G51" s="240">
        <f>CapCon_view!I$31*Historical_CY!$S12</f>
        <v>21.554093303260206</v>
      </c>
      <c r="H51" s="262">
        <f>CapCon_view!J$31*Historical_CY!$S12</f>
        <v>37.072055868618698</v>
      </c>
      <c r="I51" s="241">
        <f>CapCon_view!K$31*Historical_CY!$S12</f>
        <v>36.991492770716519</v>
      </c>
      <c r="J51" s="241">
        <f>CapCon_view!L$31*Historical_CY!$S12</f>
        <v>36.958984914839256</v>
      </c>
      <c r="K51" s="241">
        <f>CapCon_view!M$31*Historical_CY!$S12</f>
        <v>37.040270257175528</v>
      </c>
    </row>
    <row r="52" spans="2:11" x14ac:dyDescent="0.25">
      <c r="B52" s="253" t="s">
        <v>39</v>
      </c>
      <c r="C52" s="293" t="s">
        <v>256</v>
      </c>
      <c r="D52" s="290">
        <f>CapCon_view!F$34*Historical_CY!$S13</f>
        <v>16827.916657578349</v>
      </c>
      <c r="E52" s="290">
        <f>CapCon_view!G$34*Historical_CY!$S13</f>
        <v>18066.020228457164</v>
      </c>
      <c r="F52" s="290">
        <f>CapCon_view!H$34*Historical_CY!$S13</f>
        <v>16918.95214409172</v>
      </c>
      <c r="G52" s="290">
        <f>CapCon_view!I$34*Historical_CY!$S13</f>
        <v>9742.9231759638897</v>
      </c>
      <c r="H52" s="256">
        <f>CapCon_view!J$34*Historical_CY!$S13</f>
        <v>16842.88968420813</v>
      </c>
      <c r="I52" s="281">
        <f>CapCon_view!K$34*Historical_CY!$S13</f>
        <v>16952.743650842916</v>
      </c>
      <c r="J52" s="281">
        <f>CapCon_view!L$34*Historical_CY!$S13</f>
        <v>17143.422358949403</v>
      </c>
      <c r="K52" s="281">
        <f>CapCon_view!M$34*Historical_CY!$S13</f>
        <v>17294.474990533188</v>
      </c>
    </row>
    <row r="53" spans="2:11" x14ac:dyDescent="0.25">
      <c r="B53" s="258"/>
      <c r="C53" s="294" t="s">
        <v>262</v>
      </c>
      <c r="D53" s="84">
        <f>CapCon_view!F$34*Historical_CY!$S14</f>
        <v>18402.729065073672</v>
      </c>
      <c r="E53" s="84">
        <f>CapCon_view!G$34*Historical_CY!$S14</f>
        <v>19756.698485829165</v>
      </c>
      <c r="F53" s="84">
        <f>CapCon_view!H$34*Historical_CY!$S14</f>
        <v>18502.283955182913</v>
      </c>
      <c r="G53" s="84">
        <f>CapCon_view!I$34*Historical_CY!$S14</f>
        <v>10654.698330012559</v>
      </c>
      <c r="H53" s="261">
        <f>CapCon_view!J$34*Historical_CY!$S14</f>
        <v>18419.103317333109</v>
      </c>
      <c r="I53" s="86">
        <f>CapCon_view!K$34*Historical_CY!$S14</f>
        <v>18539.237783520472</v>
      </c>
      <c r="J53" s="86">
        <f>CapCon_view!L$34*Historical_CY!$S14</f>
        <v>18747.760839295275</v>
      </c>
      <c r="K53" s="86">
        <f>CapCon_view!M$34*Historical_CY!$S14</f>
        <v>18912.94947851705</v>
      </c>
    </row>
    <row r="54" spans="2:11" x14ac:dyDescent="0.25">
      <c r="B54" s="263"/>
      <c r="C54" s="295" t="s">
        <v>263</v>
      </c>
      <c r="D54" s="240">
        <f>CapCon_view!F$34*Historical_CY!$S15</f>
        <v>85.015148896783842</v>
      </c>
      <c r="E54" s="240">
        <f>CapCon_view!G$34*Historical_CY!$S15</f>
        <v>91.270085949880084</v>
      </c>
      <c r="F54" s="240">
        <f>CapCon_view!H$34*Historical_CY!$S15</f>
        <v>85.475062954971179</v>
      </c>
      <c r="G54" s="240">
        <f>CapCon_view!I$34*Historical_CY!$S15</f>
        <v>49.221545444336279</v>
      </c>
      <c r="H54" s="262">
        <f>CapCon_view!J$34*Historical_CY!$S15</f>
        <v>85.090793084609857</v>
      </c>
      <c r="I54" s="241">
        <f>CapCon_view!K$34*Historical_CY!$S15</f>
        <v>85.645778679107238</v>
      </c>
      <c r="J54" s="241">
        <f>CapCon_view!L$34*Historical_CY!$S15</f>
        <v>86.609093335994316</v>
      </c>
      <c r="K54" s="241">
        <f>CapCon_view!M$34*Historical_CY!$S15</f>
        <v>87.37221584406565</v>
      </c>
    </row>
    <row r="55" spans="2:11" x14ac:dyDescent="0.25">
      <c r="B55" s="253" t="s">
        <v>40</v>
      </c>
      <c r="C55" s="293" t="s">
        <v>255</v>
      </c>
      <c r="D55" s="290"/>
      <c r="E55" s="290"/>
      <c r="F55" s="290"/>
      <c r="G55" s="290"/>
      <c r="H55" s="256"/>
      <c r="I55" s="281"/>
      <c r="J55" s="281"/>
      <c r="K55" s="281"/>
    </row>
    <row r="56" spans="2:11" x14ac:dyDescent="0.25">
      <c r="B56" s="258"/>
      <c r="C56" s="294" t="s">
        <v>264</v>
      </c>
      <c r="D56" s="84"/>
      <c r="E56" s="84"/>
      <c r="F56" s="84"/>
      <c r="G56" s="84"/>
      <c r="H56" s="261"/>
      <c r="I56" s="86"/>
      <c r="J56" s="86"/>
      <c r="K56" s="86"/>
    </row>
    <row r="57" spans="2:11" x14ac:dyDescent="0.25">
      <c r="B57" s="263"/>
      <c r="C57" s="295" t="s">
        <v>265</v>
      </c>
      <c r="D57" s="240">
        <f>CapCon_view!F35</f>
        <v>156.49591309218332</v>
      </c>
      <c r="E57" s="240">
        <f>CapCon_view!G35</f>
        <v>5610.7758433072077</v>
      </c>
      <c r="F57" s="240">
        <f>CapCon_view!H35</f>
        <v>10785.128109170113</v>
      </c>
      <c r="G57" s="240">
        <f>CapCon_view!I35</f>
        <v>19026.545942562323</v>
      </c>
      <c r="H57" s="262">
        <f>CapCon_view!J35</f>
        <v>18996.932056083922</v>
      </c>
      <c r="I57" s="241">
        <f>CapCon_view!K35</f>
        <v>19244.929281259709</v>
      </c>
      <c r="J57" s="241">
        <f>CapCon_view!L35</f>
        <v>19411.859516163233</v>
      </c>
      <c r="K57" s="241">
        <f>CapCon_view!M35</f>
        <v>19525.933421264908</v>
      </c>
    </row>
    <row r="58" spans="2:11" x14ac:dyDescent="0.25">
      <c r="B58" s="266"/>
      <c r="C58" s="270"/>
      <c r="D58" s="298">
        <f>SUM(D44:D57)</f>
        <v>61001.278786856004</v>
      </c>
      <c r="E58" s="298">
        <f>SUM(E44:E57)</f>
        <v>69035.560861712307</v>
      </c>
      <c r="F58" s="298">
        <f t="shared" ref="F58" si="26">SUM(F44:F57)</f>
        <v>67747.939876603705</v>
      </c>
      <c r="G58" s="298">
        <f t="shared" ref="G58" si="27">SUM(G44:G57)</f>
        <v>47296.751892215427</v>
      </c>
      <c r="H58" s="298">
        <f t="shared" ref="H58" si="28">SUM(H44:H57)</f>
        <v>67812.268875312628</v>
      </c>
      <c r="I58" s="298">
        <f t="shared" ref="I58" si="29">SUM(I44:I57)</f>
        <v>68395.098303117789</v>
      </c>
      <c r="J58" s="298">
        <f t="shared" ref="J58" si="30">SUM(J44:J57)</f>
        <v>69084.199592912744</v>
      </c>
      <c r="K58" s="298">
        <f t="shared" ref="K58" si="31">SUM(K44:K57)</f>
        <v>69612.307799156668</v>
      </c>
    </row>
    <row r="59" spans="2:11" x14ac:dyDescent="0.25">
      <c r="D59" s="279">
        <f>D58-CapCon_view!F36</f>
        <v>0</v>
      </c>
      <c r="E59" s="279">
        <f>E58-CapCon_view!G36</f>
        <v>0</v>
      </c>
      <c r="F59" s="279">
        <f>F58-CapCon_view!H36</f>
        <v>0</v>
      </c>
      <c r="G59" s="279">
        <f>G58-CapCon_view!I36</f>
        <v>0</v>
      </c>
      <c r="H59" s="279">
        <f>H58-CapCon_view!J36</f>
        <v>0</v>
      </c>
      <c r="I59" s="279">
        <f>I58-CapCon_view!K36</f>
        <v>0</v>
      </c>
      <c r="J59" s="279">
        <f>J58-CapCon_view!L36</f>
        <v>0</v>
      </c>
      <c r="K59" s="279">
        <f>K58-CapCon_view!M36</f>
        <v>0</v>
      </c>
    </row>
    <row r="60" spans="2:11" x14ac:dyDescent="0.25">
      <c r="E60" s="279"/>
      <c r="F60" s="279"/>
      <c r="G60" s="279"/>
      <c r="H60" s="279"/>
      <c r="I60" s="279"/>
      <c r="J60" s="279"/>
      <c r="K60" s="279"/>
    </row>
    <row r="61" spans="2:11" x14ac:dyDescent="0.25">
      <c r="B61" s="299" t="s">
        <v>283</v>
      </c>
      <c r="G61" s="618" t="s">
        <v>323</v>
      </c>
      <c r="H61" s="619"/>
      <c r="I61" s="619"/>
      <c r="J61" s="619"/>
      <c r="K61" s="620"/>
    </row>
    <row r="62" spans="2:11" x14ac:dyDescent="0.25">
      <c r="B62" s="296" t="s">
        <v>42</v>
      </c>
      <c r="C62" s="292" t="s">
        <v>269</v>
      </c>
      <c r="D62" s="75" t="s">
        <v>322</v>
      </c>
      <c r="E62" s="75" t="s">
        <v>252</v>
      </c>
      <c r="F62" s="75" t="s">
        <v>253</v>
      </c>
      <c r="G62" s="75" t="s">
        <v>100</v>
      </c>
      <c r="H62" s="291" t="s">
        <v>101</v>
      </c>
      <c r="I62" s="76" t="s">
        <v>102</v>
      </c>
      <c r="J62" s="76" t="s">
        <v>147</v>
      </c>
      <c r="K62" s="76" t="s">
        <v>220</v>
      </c>
    </row>
    <row r="63" spans="2:11" x14ac:dyDescent="0.25">
      <c r="B63" s="253" t="s">
        <v>37</v>
      </c>
      <c r="C63" s="293" t="s">
        <v>255</v>
      </c>
      <c r="D63" s="290">
        <f>D81+'2.5.3 Volumes'!E8</f>
        <v>15783.354989916497</v>
      </c>
      <c r="E63" s="290">
        <f>E81+'2.5.3 Volumes'!F8</f>
        <v>13287.607474010174</v>
      </c>
      <c r="F63" s="290">
        <f>F81+'2.5.3 Volumes'!G8</f>
        <v>10770.406272955754</v>
      </c>
      <c r="G63" s="290">
        <f>G81+'2.5.3 Volumes'!H8</f>
        <v>15582.032734435554</v>
      </c>
      <c r="H63" s="256">
        <f>H81+'2.5.3 Volumes'!I8</f>
        <v>15842.192909245254</v>
      </c>
      <c r="I63" s="281">
        <f>I81+'2.5.3 Volumes'!J8</f>
        <v>16068.409246833227</v>
      </c>
      <c r="J63" s="281">
        <f>J81+'2.5.3 Volumes'!K8</f>
        <v>16201.280114990119</v>
      </c>
      <c r="K63" s="281">
        <f>K81+'2.5.3 Volumes'!L8</f>
        <v>16397.107198447549</v>
      </c>
    </row>
    <row r="64" spans="2:11" x14ac:dyDescent="0.25">
      <c r="B64" s="258"/>
      <c r="C64" s="294" t="s">
        <v>256</v>
      </c>
      <c r="D64" s="84">
        <f t="shared" ref="D64" si="32">D82</f>
        <v>1133.1661214645615</v>
      </c>
      <c r="E64" s="84">
        <f t="shared" ref="E64:K64" si="33">E82</f>
        <v>1093.7531706430245</v>
      </c>
      <c r="F64" s="84">
        <f t="shared" si="33"/>
        <v>1113.5998073630876</v>
      </c>
      <c r="G64" s="84">
        <f t="shared" si="33"/>
        <v>702.09403523947321</v>
      </c>
      <c r="H64" s="261">
        <f t="shared" si="33"/>
        <v>1135.1572813430744</v>
      </c>
      <c r="I64" s="86">
        <f t="shared" si="33"/>
        <v>1141.5409346577721</v>
      </c>
      <c r="J64" s="86">
        <f t="shared" si="33"/>
        <v>1154.412582717275</v>
      </c>
      <c r="K64" s="86">
        <f t="shared" si="33"/>
        <v>1162.6967941854157</v>
      </c>
    </row>
    <row r="65" spans="2:11" x14ac:dyDescent="0.25">
      <c r="B65" s="263"/>
      <c r="C65" s="295" t="s">
        <v>257</v>
      </c>
      <c r="D65" s="240">
        <f t="shared" ref="D65" si="34">D83</f>
        <v>313.07888861894088</v>
      </c>
      <c r="E65" s="240">
        <f t="shared" ref="E65:K65" si="35">E83</f>
        <v>302.18960892140484</v>
      </c>
      <c r="F65" s="240">
        <f t="shared" si="35"/>
        <v>307.67297349562142</v>
      </c>
      <c r="G65" s="240">
        <f t="shared" si="35"/>
        <v>193.9793434476025</v>
      </c>
      <c r="H65" s="262">
        <f t="shared" si="35"/>
        <v>313.62901989274013</v>
      </c>
      <c r="I65" s="241">
        <f t="shared" si="35"/>
        <v>315.39273930442806</v>
      </c>
      <c r="J65" s="241">
        <f t="shared" si="35"/>
        <v>318.9490062919682</v>
      </c>
      <c r="K65" s="241">
        <f t="shared" si="35"/>
        <v>321.23782491299937</v>
      </c>
    </row>
    <row r="66" spans="2:11" x14ac:dyDescent="0.25">
      <c r="B66" s="253" t="s">
        <v>38</v>
      </c>
      <c r="C66" s="293" t="s">
        <v>255</v>
      </c>
      <c r="D66" s="290">
        <f>D84+'2.5.3 Volumes'!E11</f>
        <v>1664.9458856745152</v>
      </c>
      <c r="E66" s="290">
        <f>E84+'2.5.3 Volumes'!F11</f>
        <v>1391.2551289153469</v>
      </c>
      <c r="F66" s="290">
        <f>F84+'2.5.3 Volumes'!G11</f>
        <v>1109.8127975700068</v>
      </c>
      <c r="G66" s="290">
        <f>G84+'2.5.3 Volumes'!H11</f>
        <v>1675.9488745442216</v>
      </c>
      <c r="H66" s="256">
        <f>H84+'2.5.3 Volumes'!I11</f>
        <v>1671.0754522072993</v>
      </c>
      <c r="I66" s="281">
        <f>I84+'2.5.3 Volumes'!J11</f>
        <v>1695.5558216515678</v>
      </c>
      <c r="J66" s="281">
        <f>J84+'2.5.3 Volumes'!K11</f>
        <v>1709.1678900992715</v>
      </c>
      <c r="K66" s="281">
        <f>K84+'2.5.3 Volumes'!L11</f>
        <v>1730.2310607705763</v>
      </c>
    </row>
    <row r="67" spans="2:11" x14ac:dyDescent="0.25">
      <c r="B67" s="258"/>
      <c r="C67" s="294" t="s">
        <v>258</v>
      </c>
      <c r="D67" s="84">
        <f t="shared" ref="D67" si="36">D85</f>
        <v>151.0841888026483</v>
      </c>
      <c r="E67" s="84">
        <f t="shared" ref="E67:K67" si="37">E85</f>
        <v>157.29956402905637</v>
      </c>
      <c r="F67" s="84">
        <f t="shared" si="37"/>
        <v>155.62292075011206</v>
      </c>
      <c r="G67" s="84">
        <f t="shared" si="37"/>
        <v>85.050625275855595</v>
      </c>
      <c r="H67" s="261">
        <f t="shared" si="37"/>
        <v>145.8679652681549</v>
      </c>
      <c r="I67" s="86">
        <f t="shared" si="37"/>
        <v>143.35300034973844</v>
      </c>
      <c r="J67" s="86">
        <f t="shared" si="37"/>
        <v>141.95579761728484</v>
      </c>
      <c r="K67" s="86">
        <f t="shared" si="37"/>
        <v>142.04894446611507</v>
      </c>
    </row>
    <row r="68" spans="2:11" x14ac:dyDescent="0.25">
      <c r="B68" s="258"/>
      <c r="C68" s="294" t="s">
        <v>259</v>
      </c>
      <c r="D68" s="84">
        <f t="shared" ref="D68" si="38">D86</f>
        <v>108.65268781021024</v>
      </c>
      <c r="E68" s="84">
        <f t="shared" ref="E68:K68" si="39">E86</f>
        <v>113.1224952033608</v>
      </c>
      <c r="F68" s="84">
        <f t="shared" si="39"/>
        <v>111.91673171348177</v>
      </c>
      <c r="G68" s="84">
        <f t="shared" si="39"/>
        <v>61.164434937871754</v>
      </c>
      <c r="H68" s="261">
        <f t="shared" si="39"/>
        <v>104.90142361947548</v>
      </c>
      <c r="I68" s="86">
        <f t="shared" si="39"/>
        <v>103.09277838465694</v>
      </c>
      <c r="J68" s="86">
        <f t="shared" si="39"/>
        <v>102.08797547642442</v>
      </c>
      <c r="K68" s="86">
        <f t="shared" si="39"/>
        <v>102.15496233697326</v>
      </c>
    </row>
    <row r="69" spans="2:11" x14ac:dyDescent="0.25">
      <c r="B69" s="258"/>
      <c r="C69" s="294" t="s">
        <v>260</v>
      </c>
      <c r="D69" s="84">
        <f t="shared" ref="D69" si="40">D87</f>
        <v>131.39864756856457</v>
      </c>
      <c r="E69" s="84">
        <f t="shared" ref="E69:K69" si="41">E87</f>
        <v>136.80418937511308</v>
      </c>
      <c r="F69" s="84">
        <f t="shared" si="41"/>
        <v>135.34600463020917</v>
      </c>
      <c r="G69" s="84">
        <f t="shared" si="41"/>
        <v>73.968938938449043</v>
      </c>
      <c r="H69" s="261">
        <f t="shared" si="41"/>
        <v>126.86207280664125</v>
      </c>
      <c r="I69" s="86">
        <f t="shared" si="41"/>
        <v>124.67479568928538</v>
      </c>
      <c r="J69" s="86">
        <f t="shared" si="41"/>
        <v>123.45964173519877</v>
      </c>
      <c r="K69" s="86">
        <f t="shared" si="41"/>
        <v>123.54065199880455</v>
      </c>
    </row>
    <row r="70" spans="2:11" x14ac:dyDescent="0.25">
      <c r="B70" s="263"/>
      <c r="C70" s="295" t="s">
        <v>261</v>
      </c>
      <c r="D70" s="240">
        <f t="shared" ref="D70" si="42">D88</f>
        <v>7.4185901440617341</v>
      </c>
      <c r="E70" s="240">
        <f t="shared" ref="E70:K70" si="43">E88</f>
        <v>7.7237797324739681</v>
      </c>
      <c r="F70" s="240">
        <f t="shared" si="43"/>
        <v>7.6414525915410998</v>
      </c>
      <c r="G70" s="240">
        <f t="shared" si="43"/>
        <v>4.1761863727641781</v>
      </c>
      <c r="H70" s="262">
        <f t="shared" si="43"/>
        <v>7.1624612611594793</v>
      </c>
      <c r="I70" s="241">
        <f t="shared" si="43"/>
        <v>7.0389705497601778</v>
      </c>
      <c r="J70" s="241">
        <f t="shared" si="43"/>
        <v>6.9703645989827878</v>
      </c>
      <c r="K70" s="241">
        <f t="shared" si="43"/>
        <v>6.9749383290346145</v>
      </c>
    </row>
    <row r="71" spans="2:11" x14ac:dyDescent="0.25">
      <c r="B71" s="253" t="s">
        <v>39</v>
      </c>
      <c r="C71" s="293" t="s">
        <v>256</v>
      </c>
      <c r="D71" s="290">
        <f t="shared" ref="D71" si="44">D89</f>
        <v>256.69788540424275</v>
      </c>
      <c r="E71" s="290">
        <f t="shared" ref="E71:K71" si="45">E89</f>
        <v>256.10678726197705</v>
      </c>
      <c r="F71" s="290">
        <f t="shared" si="45"/>
        <v>251.92089867063768</v>
      </c>
      <c r="G71" s="290">
        <f t="shared" si="45"/>
        <v>256.63858681832517</v>
      </c>
      <c r="H71" s="256">
        <f t="shared" si="45"/>
        <v>256.92944068294508</v>
      </c>
      <c r="I71" s="281">
        <f t="shared" si="45"/>
        <v>259.32875396002601</v>
      </c>
      <c r="J71" s="281">
        <f t="shared" si="45"/>
        <v>262.66511244361971</v>
      </c>
      <c r="K71" s="281">
        <f t="shared" si="45"/>
        <v>263.32805271310662</v>
      </c>
    </row>
    <row r="72" spans="2:11" x14ac:dyDescent="0.25">
      <c r="B72" s="258"/>
      <c r="C72" s="294" t="s">
        <v>262</v>
      </c>
      <c r="D72" s="84">
        <f t="shared" ref="D72" si="46">D90</f>
        <v>220.90351938822153</v>
      </c>
      <c r="E72" s="84">
        <f t="shared" ref="E72:K72" si="47">E90</f>
        <v>220.39484492164107</v>
      </c>
      <c r="F72" s="84">
        <f t="shared" si="47"/>
        <v>216.79264336809999</v>
      </c>
      <c r="G72" s="84">
        <f t="shared" si="47"/>
        <v>220.85248949250069</v>
      </c>
      <c r="H72" s="261">
        <f t="shared" si="47"/>
        <v>221.10278622642599</v>
      </c>
      <c r="I72" s="86">
        <f t="shared" si="47"/>
        <v>223.16753540107305</v>
      </c>
      <c r="J72" s="86">
        <f t="shared" si="47"/>
        <v>226.03866669148456</v>
      </c>
      <c r="K72" s="86">
        <f t="shared" si="47"/>
        <v>226.60916550351496</v>
      </c>
    </row>
    <row r="73" spans="2:11" x14ac:dyDescent="0.25">
      <c r="B73" s="263"/>
      <c r="C73" s="295" t="s">
        <v>263</v>
      </c>
      <c r="D73" s="240">
        <f t="shared" ref="D73" si="48">D91</f>
        <v>4.7985952075356506</v>
      </c>
      <c r="E73" s="240">
        <f t="shared" ref="E73:K73" si="49">E91</f>
        <v>4.7875454838178539</v>
      </c>
      <c r="F73" s="240">
        <f t="shared" si="49"/>
        <v>4.709296358773261</v>
      </c>
      <c r="G73" s="240">
        <f t="shared" si="49"/>
        <v>4.7974867063504947</v>
      </c>
      <c r="H73" s="262">
        <f t="shared" si="49"/>
        <v>4.8029237981234187</v>
      </c>
      <c r="I73" s="241">
        <f t="shared" si="49"/>
        <v>4.8477754850574426</v>
      </c>
      <c r="J73" s="241">
        <f t="shared" si="49"/>
        <v>4.9101438750610509</v>
      </c>
      <c r="K73" s="241">
        <f t="shared" si="49"/>
        <v>4.9225365833026196</v>
      </c>
    </row>
    <row r="74" spans="2:11" x14ac:dyDescent="0.25">
      <c r="B74" s="253" t="s">
        <v>40</v>
      </c>
      <c r="C74" s="293" t="s">
        <v>255</v>
      </c>
      <c r="D74" s="290">
        <f t="shared" ref="D74" si="50">D92</f>
        <v>0</v>
      </c>
      <c r="E74" s="290">
        <f t="shared" ref="E74:K74" si="51">E92</f>
        <v>0</v>
      </c>
      <c r="F74" s="290">
        <f t="shared" si="51"/>
        <v>0</v>
      </c>
      <c r="G74" s="290">
        <f t="shared" si="51"/>
        <v>0</v>
      </c>
      <c r="H74" s="256">
        <f t="shared" si="51"/>
        <v>0</v>
      </c>
      <c r="I74" s="281">
        <f t="shared" si="51"/>
        <v>0</v>
      </c>
      <c r="J74" s="281">
        <f t="shared" si="51"/>
        <v>0</v>
      </c>
      <c r="K74" s="281">
        <f t="shared" si="51"/>
        <v>0</v>
      </c>
    </row>
    <row r="75" spans="2:11" x14ac:dyDescent="0.25">
      <c r="B75" s="258"/>
      <c r="C75" s="294" t="s">
        <v>264</v>
      </c>
      <c r="D75" s="84">
        <f t="shared" ref="D75" si="52">D93</f>
        <v>0</v>
      </c>
      <c r="E75" s="84">
        <f t="shared" ref="E75:K75" si="53">E93</f>
        <v>0</v>
      </c>
      <c r="F75" s="84">
        <f t="shared" si="53"/>
        <v>0</v>
      </c>
      <c r="G75" s="84">
        <f t="shared" si="53"/>
        <v>0</v>
      </c>
      <c r="H75" s="261">
        <f t="shared" si="53"/>
        <v>0</v>
      </c>
      <c r="I75" s="86">
        <f t="shared" si="53"/>
        <v>0</v>
      </c>
      <c r="J75" s="86">
        <f t="shared" si="53"/>
        <v>0</v>
      </c>
      <c r="K75" s="86">
        <f t="shared" si="53"/>
        <v>0</v>
      </c>
    </row>
    <row r="76" spans="2:11" x14ac:dyDescent="0.25">
      <c r="B76" s="263"/>
      <c r="C76" s="295" t="s">
        <v>265</v>
      </c>
      <c r="D76" s="240">
        <f t="shared" ref="D76" si="54">D94</f>
        <v>0</v>
      </c>
      <c r="E76" s="240">
        <f t="shared" ref="E76:K76" si="55">E94</f>
        <v>0.5</v>
      </c>
      <c r="F76" s="240">
        <f t="shared" si="55"/>
        <v>0.5</v>
      </c>
      <c r="G76" s="240">
        <f t="shared" si="55"/>
        <v>1</v>
      </c>
      <c r="H76" s="262">
        <f t="shared" si="55"/>
        <v>1</v>
      </c>
      <c r="I76" s="241">
        <f t="shared" si="55"/>
        <v>1</v>
      </c>
      <c r="J76" s="241">
        <f t="shared" si="55"/>
        <v>1</v>
      </c>
      <c r="K76" s="241">
        <f t="shared" si="55"/>
        <v>1</v>
      </c>
    </row>
    <row r="77" spans="2:11" x14ac:dyDescent="0.25">
      <c r="B77" s="266"/>
      <c r="C77" s="270"/>
      <c r="D77" s="298">
        <f>SUM(D63:D76)</f>
        <v>19775.499999999996</v>
      </c>
      <c r="E77" s="298">
        <f>SUM(E63:E76)</f>
        <v>16971.544588497392</v>
      </c>
      <c r="F77" s="298">
        <f t="shared" ref="F77" si="56">SUM(F63:F76)</f>
        <v>14185.941799467324</v>
      </c>
      <c r="G77" s="298">
        <f t="shared" ref="G77" si="57">SUM(G63:G76)</f>
        <v>18861.703736208965</v>
      </c>
      <c r="H77" s="298">
        <f t="shared" ref="H77" si="58">SUM(H63:H76)</f>
        <v>19830.6837363513</v>
      </c>
      <c r="I77" s="298">
        <f t="shared" ref="I77" si="59">SUM(I63:I76)</f>
        <v>20087.402352266599</v>
      </c>
      <c r="J77" s="298">
        <f t="shared" ref="J77" si="60">SUM(J63:J76)</f>
        <v>20252.897296536692</v>
      </c>
      <c r="K77" s="298">
        <f t="shared" ref="K77" si="61">SUM(K63:K76)</f>
        <v>20481.852130247389</v>
      </c>
    </row>
    <row r="78" spans="2:11" x14ac:dyDescent="0.25">
      <c r="D78" s="279">
        <f>D77-'2.5.3 Volumes'!E17</f>
        <v>0</v>
      </c>
      <c r="E78" s="279">
        <f>E77-'2.5.3 Volumes'!F17</f>
        <v>0</v>
      </c>
      <c r="F78" s="279">
        <f>F77-'2.5.3 Volumes'!G17</f>
        <v>0</v>
      </c>
      <c r="G78" s="279">
        <f>G77-'2.5.3 Volumes'!H17</f>
        <v>0</v>
      </c>
      <c r="H78" s="279">
        <f>H77-'2.5.3 Volumes'!I17</f>
        <v>0</v>
      </c>
      <c r="I78" s="279">
        <f>I77-'2.5.3 Volumes'!J17</f>
        <v>0</v>
      </c>
      <c r="J78" s="279">
        <f>J77-'2.5.3 Volumes'!K17</f>
        <v>0</v>
      </c>
      <c r="K78" s="279">
        <f>K77-'2.5.3 Volumes'!L17</f>
        <v>0</v>
      </c>
    </row>
    <row r="79" spans="2:11" x14ac:dyDescent="0.25">
      <c r="B79" s="299" t="s">
        <v>284</v>
      </c>
      <c r="G79" s="618" t="s">
        <v>323</v>
      </c>
      <c r="H79" s="619"/>
      <c r="I79" s="619"/>
      <c r="J79" s="619"/>
      <c r="K79" s="620"/>
    </row>
    <row r="80" spans="2:11" x14ac:dyDescent="0.25">
      <c r="B80" s="296" t="s">
        <v>42</v>
      </c>
      <c r="C80" s="292" t="s">
        <v>269</v>
      </c>
      <c r="D80" s="75" t="s">
        <v>322</v>
      </c>
      <c r="E80" s="75" t="s">
        <v>252</v>
      </c>
      <c r="F80" s="75" t="s">
        <v>253</v>
      </c>
      <c r="G80" s="75" t="s">
        <v>100</v>
      </c>
      <c r="H80" s="291" t="s">
        <v>101</v>
      </c>
      <c r="I80" s="76" t="s">
        <v>102</v>
      </c>
      <c r="J80" s="76" t="s">
        <v>147</v>
      </c>
      <c r="K80" s="76" t="s">
        <v>220</v>
      </c>
    </row>
    <row r="81" spans="2:11" x14ac:dyDescent="0.25">
      <c r="B81" s="253" t="s">
        <v>37</v>
      </c>
      <c r="C81" s="293" t="s">
        <v>255</v>
      </c>
      <c r="D81" s="290">
        <f>'2.5.3 Volumes'!E$30*Historical_CY!$S32</f>
        <v>861.35498991649729</v>
      </c>
      <c r="E81" s="290">
        <f>'2.5.3 Volumes'!F$30*Historical_CY!$S32</f>
        <v>831.39597401017329</v>
      </c>
      <c r="F81" s="290">
        <f>'2.5.3 Volumes'!G$30*Historical_CY!$S32</f>
        <v>846.4820229557522</v>
      </c>
      <c r="G81" s="290">
        <f>'2.5.3 Volumes'!H$30*Historical_CY!$S32</f>
        <v>533.68362254116539</v>
      </c>
      <c r="H81" s="256">
        <f>'2.5.3 Volumes'!I$30*Historical_CY!$S32</f>
        <v>862.86853278068213</v>
      </c>
      <c r="I81" s="281">
        <f>'2.5.3 Volumes'!J$30*Historical_CY!$S32</f>
        <v>867.72094720814948</v>
      </c>
      <c r="J81" s="281">
        <f>'2.5.3 Volumes'!K$30*Historical_CY!$S32</f>
        <v>877.50508924565781</v>
      </c>
      <c r="K81" s="281">
        <f>'2.5.3 Volumes'!L$30*Historical_CY!$S32</f>
        <v>883.80217733401685</v>
      </c>
    </row>
    <row r="82" spans="2:11" x14ac:dyDescent="0.25">
      <c r="B82" s="258"/>
      <c r="C82" s="294" t="s">
        <v>256</v>
      </c>
      <c r="D82" s="84">
        <f>'2.5.3 Volumes'!E$30*Historical_CY!$S33</f>
        <v>1133.1661214645615</v>
      </c>
      <c r="E82" s="84">
        <f>'2.5.3 Volumes'!F$30*Historical_CY!$S33</f>
        <v>1093.7531706430245</v>
      </c>
      <c r="F82" s="84">
        <f>'2.5.3 Volumes'!G$30*Historical_CY!$S33</f>
        <v>1113.5998073630876</v>
      </c>
      <c r="G82" s="84">
        <f>'2.5.3 Volumes'!H$30*Historical_CY!$S33</f>
        <v>702.09403523947321</v>
      </c>
      <c r="H82" s="261">
        <f>'2.5.3 Volumes'!I$30*Historical_CY!$S33</f>
        <v>1135.1572813430744</v>
      </c>
      <c r="I82" s="86">
        <f>'2.5.3 Volumes'!J$30*Historical_CY!$S33</f>
        <v>1141.5409346577721</v>
      </c>
      <c r="J82" s="86">
        <f>'2.5.3 Volumes'!K$30*Historical_CY!$S33</f>
        <v>1154.412582717275</v>
      </c>
      <c r="K82" s="86">
        <f>'2.5.3 Volumes'!L$30*Historical_CY!$S33</f>
        <v>1162.6967941854157</v>
      </c>
    </row>
    <row r="83" spans="2:11" x14ac:dyDescent="0.25">
      <c r="B83" s="263"/>
      <c r="C83" s="295" t="s">
        <v>257</v>
      </c>
      <c r="D83" s="240">
        <f>'2.5.3 Volumes'!E$30*Historical_CY!$S34</f>
        <v>313.07888861894088</v>
      </c>
      <c r="E83" s="240">
        <f>'2.5.3 Volumes'!F$30*Historical_CY!$S34</f>
        <v>302.18960892140484</v>
      </c>
      <c r="F83" s="240">
        <f>'2.5.3 Volumes'!G$30*Historical_CY!$S34</f>
        <v>307.67297349562142</v>
      </c>
      <c r="G83" s="240">
        <f>'2.5.3 Volumes'!H$30*Historical_CY!$S34</f>
        <v>193.9793434476025</v>
      </c>
      <c r="H83" s="262">
        <f>'2.5.3 Volumes'!I$30*Historical_CY!$S34</f>
        <v>313.62901989274013</v>
      </c>
      <c r="I83" s="241">
        <f>'2.5.3 Volumes'!J$30*Historical_CY!$S34</f>
        <v>315.39273930442806</v>
      </c>
      <c r="J83" s="241">
        <f>'2.5.3 Volumes'!K$30*Historical_CY!$S34</f>
        <v>318.9490062919682</v>
      </c>
      <c r="K83" s="241">
        <f>'2.5.3 Volumes'!L$30*Historical_CY!$S34</f>
        <v>321.23782491299937</v>
      </c>
    </row>
    <row r="84" spans="2:11" x14ac:dyDescent="0.25">
      <c r="B84" s="253" t="s">
        <v>38</v>
      </c>
      <c r="C84" s="293" t="s">
        <v>255</v>
      </c>
      <c r="D84" s="290">
        <f>'2.5.3 Volumes'!E$33*Historical_CY!$S35</f>
        <v>6.9458856745151918</v>
      </c>
      <c r="E84" s="290">
        <f>'2.5.3 Volumes'!F$33*Historical_CY!$S35</f>
        <v>7.2316289153465432</v>
      </c>
      <c r="F84" s="290">
        <f>'2.5.3 Volumes'!G$33*Historical_CY!$S35</f>
        <v>7.1545475700066703</v>
      </c>
      <c r="G84" s="290">
        <f>'2.5.3 Volumes'!H$33*Historical_CY!$S35</f>
        <v>3.9100843337338684</v>
      </c>
      <c r="H84" s="256">
        <f>'2.5.3 Volumes'!I$33*Historical_CY!$S35</f>
        <v>6.7060770445689215</v>
      </c>
      <c r="I84" s="281">
        <f>'2.5.3 Volumes'!J$33*Historical_CY!$S35</f>
        <v>6.5904550265591118</v>
      </c>
      <c r="J84" s="281">
        <f>'2.5.3 Volumes'!K$33*Historical_CY!$S35</f>
        <v>6.5262205721092181</v>
      </c>
      <c r="K84" s="281">
        <f>'2.5.3 Volumes'!L$33*Historical_CY!$S35</f>
        <v>6.5305028690725448</v>
      </c>
    </row>
    <row r="85" spans="2:11" x14ac:dyDescent="0.25">
      <c r="B85" s="258"/>
      <c r="C85" s="294" t="s">
        <v>258</v>
      </c>
      <c r="D85" s="84">
        <f>'2.5.3 Volumes'!E$33*Historical_CY!$S36</f>
        <v>151.0841888026483</v>
      </c>
      <c r="E85" s="84">
        <f>'2.5.3 Volumes'!F$33*Historical_CY!$S36</f>
        <v>157.29956402905637</v>
      </c>
      <c r="F85" s="84">
        <f>'2.5.3 Volumes'!G$33*Historical_CY!$S36</f>
        <v>155.62292075011206</v>
      </c>
      <c r="G85" s="84">
        <f>'2.5.3 Volumes'!H$33*Historical_CY!$S36</f>
        <v>85.050625275855595</v>
      </c>
      <c r="H85" s="261">
        <f>'2.5.3 Volumes'!I$33*Historical_CY!$S36</f>
        <v>145.8679652681549</v>
      </c>
      <c r="I85" s="86">
        <f>'2.5.3 Volumes'!J$33*Historical_CY!$S36</f>
        <v>143.35300034973844</v>
      </c>
      <c r="J85" s="86">
        <f>'2.5.3 Volumes'!K$33*Historical_CY!$S36</f>
        <v>141.95579761728484</v>
      </c>
      <c r="K85" s="86">
        <f>'2.5.3 Volumes'!L$33*Historical_CY!$S36</f>
        <v>142.04894446611507</v>
      </c>
    </row>
    <row r="86" spans="2:11" x14ac:dyDescent="0.25">
      <c r="B86" s="258"/>
      <c r="C86" s="294" t="s">
        <v>259</v>
      </c>
      <c r="D86" s="84">
        <f>'2.5.3 Volumes'!E$33*Historical_CY!$S37</f>
        <v>108.65268781021024</v>
      </c>
      <c r="E86" s="84">
        <f>'2.5.3 Volumes'!F$33*Historical_CY!$S37</f>
        <v>113.1224952033608</v>
      </c>
      <c r="F86" s="84">
        <f>'2.5.3 Volumes'!G$33*Historical_CY!$S37</f>
        <v>111.91673171348177</v>
      </c>
      <c r="G86" s="84">
        <f>'2.5.3 Volumes'!H$33*Historical_CY!$S37</f>
        <v>61.164434937871754</v>
      </c>
      <c r="H86" s="261">
        <f>'2.5.3 Volumes'!I$33*Historical_CY!$S37</f>
        <v>104.90142361947548</v>
      </c>
      <c r="I86" s="86">
        <f>'2.5.3 Volumes'!J$33*Historical_CY!$S37</f>
        <v>103.09277838465694</v>
      </c>
      <c r="J86" s="86">
        <f>'2.5.3 Volumes'!K$33*Historical_CY!$S37</f>
        <v>102.08797547642442</v>
      </c>
      <c r="K86" s="86">
        <f>'2.5.3 Volumes'!L$33*Historical_CY!$S37</f>
        <v>102.15496233697326</v>
      </c>
    </row>
    <row r="87" spans="2:11" x14ac:dyDescent="0.25">
      <c r="B87" s="258"/>
      <c r="C87" s="294" t="s">
        <v>260</v>
      </c>
      <c r="D87" s="84">
        <f>'2.5.3 Volumes'!E$33*Historical_CY!$S38</f>
        <v>131.39864756856457</v>
      </c>
      <c r="E87" s="84">
        <f>'2.5.3 Volumes'!F$33*Historical_CY!$S38</f>
        <v>136.80418937511308</v>
      </c>
      <c r="F87" s="84">
        <f>'2.5.3 Volumes'!G$33*Historical_CY!$S38</f>
        <v>135.34600463020917</v>
      </c>
      <c r="G87" s="84">
        <f>'2.5.3 Volumes'!H$33*Historical_CY!$S38</f>
        <v>73.968938938449043</v>
      </c>
      <c r="H87" s="261">
        <f>'2.5.3 Volumes'!I$33*Historical_CY!$S38</f>
        <v>126.86207280664125</v>
      </c>
      <c r="I87" s="86">
        <f>'2.5.3 Volumes'!J$33*Historical_CY!$S38</f>
        <v>124.67479568928538</v>
      </c>
      <c r="J87" s="86">
        <f>'2.5.3 Volumes'!K$33*Historical_CY!$S38</f>
        <v>123.45964173519877</v>
      </c>
      <c r="K87" s="86">
        <f>'2.5.3 Volumes'!L$33*Historical_CY!$S38</f>
        <v>123.54065199880455</v>
      </c>
    </row>
    <row r="88" spans="2:11" x14ac:dyDescent="0.25">
      <c r="B88" s="263"/>
      <c r="C88" s="295" t="s">
        <v>261</v>
      </c>
      <c r="D88" s="240">
        <f>'2.5.3 Volumes'!E$33*Historical_CY!$S39</f>
        <v>7.4185901440617341</v>
      </c>
      <c r="E88" s="240">
        <f>'2.5.3 Volumes'!F$33*Historical_CY!$S39</f>
        <v>7.7237797324739681</v>
      </c>
      <c r="F88" s="240">
        <f>'2.5.3 Volumes'!G$33*Historical_CY!$S39</f>
        <v>7.6414525915410998</v>
      </c>
      <c r="G88" s="240">
        <f>'2.5.3 Volumes'!H$33*Historical_CY!$S39</f>
        <v>4.1761863727641781</v>
      </c>
      <c r="H88" s="262">
        <f>'2.5.3 Volumes'!I$33*Historical_CY!$S39</f>
        <v>7.1624612611594793</v>
      </c>
      <c r="I88" s="241">
        <f>'2.5.3 Volumes'!J$33*Historical_CY!$S39</f>
        <v>7.0389705497601778</v>
      </c>
      <c r="J88" s="241">
        <f>'2.5.3 Volumes'!K$33*Historical_CY!$S39</f>
        <v>6.9703645989827878</v>
      </c>
      <c r="K88" s="241">
        <f>'2.5.3 Volumes'!L$33*Historical_CY!$S39</f>
        <v>6.9749383290346145</v>
      </c>
    </row>
    <row r="89" spans="2:11" x14ac:dyDescent="0.25">
      <c r="B89" s="253" t="s">
        <v>39</v>
      </c>
      <c r="C89" s="293" t="s">
        <v>256</v>
      </c>
      <c r="D89" s="290">
        <f>'2.5.3 Volumes'!E$36*Historical_CY!$S40</f>
        <v>256.69788540424275</v>
      </c>
      <c r="E89" s="290">
        <f>'2.5.3 Volumes'!F$36*Historical_CY!$S40</f>
        <v>256.10678726197705</v>
      </c>
      <c r="F89" s="290">
        <f>'2.5.3 Volumes'!G$36*Historical_CY!$S40</f>
        <v>251.92089867063768</v>
      </c>
      <c r="G89" s="290">
        <f>'2.5.3 Volumes'!H$36*Historical_CY!$S40</f>
        <v>256.63858681832517</v>
      </c>
      <c r="H89" s="256">
        <f>'2.5.3 Volumes'!I$36*Historical_CY!$S40</f>
        <v>256.92944068294508</v>
      </c>
      <c r="I89" s="281">
        <f>'2.5.3 Volumes'!J$36*Historical_CY!$S40</f>
        <v>259.32875396002601</v>
      </c>
      <c r="J89" s="281">
        <f>'2.5.3 Volumes'!K$36*Historical_CY!$S40</f>
        <v>262.66511244361971</v>
      </c>
      <c r="K89" s="281">
        <f>'2.5.3 Volumes'!L$36*Historical_CY!$S40</f>
        <v>263.32805271310662</v>
      </c>
    </row>
    <row r="90" spans="2:11" x14ac:dyDescent="0.25">
      <c r="B90" s="258"/>
      <c r="C90" s="294" t="s">
        <v>262</v>
      </c>
      <c r="D90" s="84">
        <f>'2.5.3 Volumes'!E$36*Historical_CY!$S41</f>
        <v>220.90351938822153</v>
      </c>
      <c r="E90" s="84">
        <f>'2.5.3 Volumes'!F$36*Historical_CY!$S41</f>
        <v>220.39484492164107</v>
      </c>
      <c r="F90" s="84">
        <f>'2.5.3 Volumes'!G$36*Historical_CY!$S41</f>
        <v>216.79264336809999</v>
      </c>
      <c r="G90" s="84">
        <f>'2.5.3 Volumes'!H$36*Historical_CY!$S41</f>
        <v>220.85248949250069</v>
      </c>
      <c r="H90" s="261">
        <f>'2.5.3 Volumes'!I$36*Historical_CY!$S41</f>
        <v>221.10278622642599</v>
      </c>
      <c r="I90" s="86">
        <f>'2.5.3 Volumes'!J$36*Historical_CY!$S41</f>
        <v>223.16753540107305</v>
      </c>
      <c r="J90" s="86">
        <f>'2.5.3 Volumes'!K$36*Historical_CY!$S41</f>
        <v>226.03866669148456</v>
      </c>
      <c r="K90" s="86">
        <f>'2.5.3 Volumes'!L$36*Historical_CY!$S41</f>
        <v>226.60916550351496</v>
      </c>
    </row>
    <row r="91" spans="2:11" x14ac:dyDescent="0.25">
      <c r="B91" s="263"/>
      <c r="C91" s="295" t="s">
        <v>263</v>
      </c>
      <c r="D91" s="240">
        <f>'2.5.3 Volumes'!E$36*Historical_CY!$S42</f>
        <v>4.7985952075356506</v>
      </c>
      <c r="E91" s="240">
        <f>'2.5.3 Volumes'!F$36*Historical_CY!$S42</f>
        <v>4.7875454838178539</v>
      </c>
      <c r="F91" s="240">
        <f>'2.5.3 Volumes'!G$36*Historical_CY!$S42</f>
        <v>4.709296358773261</v>
      </c>
      <c r="G91" s="240">
        <f>'2.5.3 Volumes'!H$36*Historical_CY!$S42</f>
        <v>4.7974867063504947</v>
      </c>
      <c r="H91" s="262">
        <f>'2.5.3 Volumes'!I$36*Historical_CY!$S42</f>
        <v>4.8029237981234187</v>
      </c>
      <c r="I91" s="241">
        <f>'2.5.3 Volumes'!J$36*Historical_CY!$S42</f>
        <v>4.8477754850574426</v>
      </c>
      <c r="J91" s="241">
        <f>'2.5.3 Volumes'!K$36*Historical_CY!$S42</f>
        <v>4.9101438750610509</v>
      </c>
      <c r="K91" s="241">
        <f>'2.5.3 Volumes'!L$36*Historical_CY!$S42</f>
        <v>4.9225365833026196</v>
      </c>
    </row>
    <row r="92" spans="2:11" x14ac:dyDescent="0.25">
      <c r="B92" s="253" t="s">
        <v>40</v>
      </c>
      <c r="C92" s="293" t="s">
        <v>255</v>
      </c>
      <c r="D92" s="290"/>
      <c r="E92" s="290"/>
      <c r="F92" s="290"/>
      <c r="G92" s="290"/>
      <c r="H92" s="256"/>
      <c r="I92" s="281"/>
      <c r="J92" s="281"/>
      <c r="K92" s="281"/>
    </row>
    <row r="93" spans="2:11" x14ac:dyDescent="0.25">
      <c r="B93" s="258"/>
      <c r="C93" s="294" t="s">
        <v>264</v>
      </c>
      <c r="D93" s="84"/>
      <c r="E93" s="84"/>
      <c r="F93" s="84"/>
      <c r="G93" s="84"/>
      <c r="H93" s="261"/>
      <c r="I93" s="86"/>
      <c r="J93" s="86"/>
      <c r="K93" s="86"/>
    </row>
    <row r="94" spans="2:11" x14ac:dyDescent="0.25">
      <c r="B94" s="263"/>
      <c r="C94" s="295" t="s">
        <v>265</v>
      </c>
      <c r="D94" s="240">
        <f>'2.5.3 Volumes'!E37</f>
        <v>0</v>
      </c>
      <c r="E94" s="240">
        <f>'2.5.3 Volumes'!F37</f>
        <v>0.5</v>
      </c>
      <c r="F94" s="240">
        <f>'2.5.3 Volumes'!G37</f>
        <v>0.5</v>
      </c>
      <c r="G94" s="240">
        <f>'2.5.3 Volumes'!H37</f>
        <v>1</v>
      </c>
      <c r="H94" s="262">
        <f>'2.5.3 Volumes'!I37</f>
        <v>1</v>
      </c>
      <c r="I94" s="241">
        <f>'2.5.3 Volumes'!J37</f>
        <v>1</v>
      </c>
      <c r="J94" s="241">
        <f>'2.5.3 Volumes'!K37</f>
        <v>1</v>
      </c>
      <c r="K94" s="241">
        <f>'2.5.3 Volumes'!L37</f>
        <v>1</v>
      </c>
    </row>
    <row r="95" spans="2:11" x14ac:dyDescent="0.25">
      <c r="B95" s="266"/>
      <c r="C95" s="270"/>
      <c r="D95" s="298">
        <f>SUM(D81:D94)</f>
        <v>3195.4999999999995</v>
      </c>
      <c r="E95" s="298">
        <f>SUM(E81:E94)</f>
        <v>3131.3095884973882</v>
      </c>
      <c r="F95" s="298">
        <f t="shared" ref="F95:K95" si="62">SUM(F81:F94)</f>
        <v>3159.3592994673231</v>
      </c>
      <c r="G95" s="298">
        <f t="shared" si="62"/>
        <v>2141.3158341040917</v>
      </c>
      <c r="H95" s="298">
        <f t="shared" si="62"/>
        <v>3186.9899847239903</v>
      </c>
      <c r="I95" s="298">
        <f t="shared" si="62"/>
        <v>3197.7486860165063</v>
      </c>
      <c r="J95" s="298">
        <f t="shared" si="62"/>
        <v>3226.4806012650665</v>
      </c>
      <c r="K95" s="298">
        <f t="shared" si="62"/>
        <v>3244.846551232356</v>
      </c>
    </row>
    <row r="96" spans="2:11" x14ac:dyDescent="0.25">
      <c r="D96" s="279">
        <f>D95-'2.5.3 Volumes'!E38</f>
        <v>0</v>
      </c>
      <c r="E96" s="279">
        <f>E95-'2.5.3 Volumes'!F38</f>
        <v>0</v>
      </c>
      <c r="F96" s="279">
        <f>F95-'2.5.3 Volumes'!G38</f>
        <v>0</v>
      </c>
      <c r="G96" s="279">
        <f>G95-'2.5.3 Volumes'!H38</f>
        <v>0</v>
      </c>
      <c r="H96" s="279">
        <f>H95-'2.5.3 Volumes'!I38</f>
        <v>0</v>
      </c>
      <c r="I96" s="279">
        <f>I95-'2.5.3 Volumes'!J38</f>
        <v>0</v>
      </c>
      <c r="J96" s="279">
        <f>J95-'2.5.3 Volumes'!K38</f>
        <v>0</v>
      </c>
      <c r="K96" s="279">
        <f>K95-'2.5.3 Volumes'!L38</f>
        <v>0</v>
      </c>
    </row>
  </sheetData>
  <mergeCells count="5">
    <mergeCell ref="G4:K4"/>
    <mergeCell ref="G23:K23"/>
    <mergeCell ref="G42:K42"/>
    <mergeCell ref="G61:K61"/>
    <mergeCell ref="G79:K79"/>
  </mergeCells>
  <hyperlinks>
    <hyperlink ref="B1" location="Contents!A1" display="Table of Contents" xr:uid="{00000000-0004-0000-1400-000000000000}"/>
  </hyperlinks>
  <pageMargins left="0.25" right="0.25" top="0.75" bottom="0.75" header="0.3" footer="0.3"/>
  <pageSetup paperSize="9" scale="70" orientation="portrait" verticalDpi="0" r:id="rId1"/>
  <ignoredErrors>
    <ignoredError sqref="E66:K66 D9:K9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59"/>
  <sheetViews>
    <sheetView zoomScale="85" zoomScaleNormal="85" workbookViewId="0">
      <selection activeCell="I14" sqref="I14"/>
    </sheetView>
  </sheetViews>
  <sheetFormatPr defaultColWidth="9.140625" defaultRowHeight="15" outlineLevelCol="1" x14ac:dyDescent="0.25"/>
  <cols>
    <col min="1" max="1" width="4.7109375" style="41" customWidth="1"/>
    <col min="2" max="2" width="28.42578125" style="41" customWidth="1"/>
    <col min="3" max="3" width="8.28515625" style="41" customWidth="1"/>
    <col min="4" max="4" width="36.85546875" style="41" hidden="1" customWidth="1" outlineLevel="1"/>
    <col min="5" max="5" width="8.28515625" style="41" hidden="1" customWidth="1" outlineLevel="1"/>
    <col min="6" max="6" width="9" style="41" bestFit="1" customWidth="1" collapsed="1"/>
    <col min="7" max="7" width="9" style="41" bestFit="1" customWidth="1"/>
    <col min="8" max="8" width="9.5703125" style="41" bestFit="1" customWidth="1"/>
    <col min="9" max="13" width="9" style="41" bestFit="1" customWidth="1"/>
    <col min="14" max="14" width="9.85546875" style="41" customWidth="1"/>
    <col min="15" max="15" width="10.85546875" style="41" customWidth="1"/>
    <col min="16" max="16384" width="9.140625" style="41"/>
  </cols>
  <sheetData>
    <row r="1" spans="2:16" x14ac:dyDescent="0.25">
      <c r="B1" s="67" t="s">
        <v>70</v>
      </c>
    </row>
    <row r="3" spans="2:16" x14ac:dyDescent="0.25">
      <c r="B3" s="68" t="s">
        <v>249</v>
      </c>
    </row>
    <row r="4" spans="2:16" x14ac:dyDescent="0.25">
      <c r="B4" s="41" t="s">
        <v>286</v>
      </c>
      <c r="I4" s="618" t="s">
        <v>323</v>
      </c>
      <c r="J4" s="619"/>
      <c r="K4" s="619"/>
      <c r="L4" s="619"/>
      <c r="M4" s="620"/>
    </row>
    <row r="5" spans="2:16" x14ac:dyDescent="0.25">
      <c r="B5" s="250" t="s">
        <v>42</v>
      </c>
      <c r="C5" s="55" t="s">
        <v>41</v>
      </c>
      <c r="D5" s="251"/>
      <c r="E5" s="55" t="s">
        <v>10</v>
      </c>
      <c r="F5" s="55" t="s">
        <v>11</v>
      </c>
      <c r="G5" s="252" t="s">
        <v>12</v>
      </c>
      <c r="H5" s="55" t="s">
        <v>219</v>
      </c>
      <c r="I5" s="55" t="s">
        <v>100</v>
      </c>
      <c r="J5" s="55" t="s">
        <v>101</v>
      </c>
      <c r="K5" s="55" t="s">
        <v>102</v>
      </c>
      <c r="L5" s="55" t="s">
        <v>147</v>
      </c>
      <c r="M5" s="55" t="s">
        <v>220</v>
      </c>
      <c r="O5" s="70" t="s">
        <v>250</v>
      </c>
    </row>
    <row r="6" spans="2:16" x14ac:dyDescent="0.25">
      <c r="B6" s="253" t="s">
        <v>37</v>
      </c>
      <c r="C6" s="254">
        <v>1013</v>
      </c>
      <c r="D6" s="255" t="str">
        <f>VLOOKUP(C6,Assumptions!$B$8:$C$14,2,FALSE)</f>
        <v>UNDERGROUND SERVICE INSTALLATION</v>
      </c>
      <c r="E6" s="256">
        <f>INDEX(Capex_Fcast_Total!$C$29:$N$36,MATCH(Direct_view!$D6,Capex_Fcast_Total!$B$29:$B$36,0),MATCH(Direct_view!E$5,Capex_Fcast_Total!$C$5:$N$5,0))*$O6</f>
        <v>11662.520239999998</v>
      </c>
      <c r="F6" s="256">
        <f>INDEX(Capex_Fcast_Total!$C$29:$N$36,MATCH(Direct_view!$D6,Capex_Fcast_Total!$B$29:$B$36,0),MATCH(Direct_view!F$5,Capex_Fcast_Total!$C$5:$N$5,0))*$O6</f>
        <v>9649.563472783102</v>
      </c>
      <c r="G6" s="257">
        <f>INDEX(Capex_Fcast_Total!$C$29:$N$36,MATCH(Direct_view!$D6,Capex_Fcast_Total!$B$29:$B$36,0),MATCH(Direct_view!G$5,Capex_Fcast_Total!$C$5:$N$5,0))*$O6</f>
        <v>10660.190958932269</v>
      </c>
      <c r="H6" s="256">
        <f>INDEX(Capex_Fcast_Total!$C$29:$N$36,MATCH(Direct_view!$D6,Capex_Fcast_Total!$B$29:$B$36,0),MATCH(Direct_view!H$5,Capex_Fcast_Total!$C$5:$N$5,0))*$O6</f>
        <v>5553.0317779044135</v>
      </c>
      <c r="I6" s="256">
        <f>INDEX(Capex_Fcast_Total!$C$29:$N$36,MATCH(Direct_view!$D6,Capex_Fcast_Total!$B$29:$B$36,0),MATCH(Direct_view!I$5,Capex_Fcast_Total!$C$5:$N$5,0))*$O6</f>
        <v>6352.0053920478349</v>
      </c>
      <c r="J6" s="256">
        <f>INDEX(Capex_Fcast_Total!$C$29:$N$36,MATCH(Direct_view!$D6,Capex_Fcast_Total!$B$29:$B$36,0),MATCH(Direct_view!J$5,Capex_Fcast_Total!$C$5:$N$5,0))*$O6</f>
        <v>11044.069709644536</v>
      </c>
      <c r="K6" s="256">
        <f>INDEX(Capex_Fcast_Total!$C$29:$N$36,MATCH(Direct_view!$D6,Capex_Fcast_Total!$B$29:$B$36,0),MATCH(Direct_view!K$5,Capex_Fcast_Total!$C$5:$N$5,0))*$O6</f>
        <v>11105.669382095588</v>
      </c>
      <c r="L6" s="256">
        <f>INDEX(Capex_Fcast_Total!$C$29:$N$36,MATCH(Direct_view!$D6,Capex_Fcast_Total!$B$29:$B$36,0),MATCH(Direct_view!L$5,Capex_Fcast_Total!$C$5:$N$5,0))*$O6</f>
        <v>11233.772792406275</v>
      </c>
      <c r="M6" s="256">
        <f>INDEX(Capex_Fcast_Total!$C$29:$N$36,MATCH(Direct_view!$D6,Capex_Fcast_Total!$B$29:$B$36,0),MATCH(Direct_view!M$5,Capex_Fcast_Total!$C$5:$N$5,0))*$O6</f>
        <v>11325.390019107819</v>
      </c>
      <c r="O6" s="238">
        <v>1</v>
      </c>
    </row>
    <row r="7" spans="2:16" x14ac:dyDescent="0.25">
      <c r="B7" s="258"/>
      <c r="C7" s="259">
        <v>1016</v>
      </c>
      <c r="D7" s="260" t="str">
        <f>VLOOKUP(C7,Assumptions!$B$8:$C$14,2,FALSE)</f>
        <v>PRIVATE ELECTRIC LINE REPLACEMENT - RESIDENTIAL</v>
      </c>
      <c r="E7" s="261">
        <f>INDEX(Capex_Fcast_Total!$C$29:$N$36,MATCH(Direct_view!$D7,Capex_Fcast_Total!$B$29:$B$36,0),MATCH(Direct_view!E$5,Capex_Fcast_Total!$C$5:$N$5,0))*$O7</f>
        <v>904.30830900000001</v>
      </c>
      <c r="F7" s="261">
        <f>INDEX(Capex_Fcast_Total!$C$29:$N$36,MATCH(Direct_view!$D7,Capex_Fcast_Total!$B$29:$B$36,0),MATCH(Direct_view!F$5,Capex_Fcast_Total!$C$5:$N$5,0))*$O7</f>
        <v>687.3758458075738</v>
      </c>
      <c r="G7" s="85">
        <f>INDEX(Capex_Fcast_Total!$C$29:$N$36,MATCH(Direct_view!$D7,Capex_Fcast_Total!$B$29:$B$36,0),MATCH(Direct_view!G$5,Capex_Fcast_Total!$C$5:$N$5,0))*$O7</f>
        <v>693.90222892754082</v>
      </c>
      <c r="H7" s="261">
        <f>INDEX(Capex_Fcast_Total!$C$29:$N$36,MATCH(Direct_view!$D7,Capex_Fcast_Total!$B$29:$B$36,0),MATCH(Direct_view!H$5,Capex_Fcast_Total!$C$5:$N$5,0))*$O7</f>
        <v>346.97459809317866</v>
      </c>
      <c r="I7" s="261">
        <f>INDEX(Capex_Fcast_Total!$C$29:$N$36,MATCH(Direct_view!$D7,Capex_Fcast_Total!$B$29:$B$36,0),MATCH(Direct_view!I$5,Capex_Fcast_Total!$C$5:$N$5,0))*$O7</f>
        <v>694.44277402640341</v>
      </c>
      <c r="J7" s="261">
        <f>INDEX(Capex_Fcast_Total!$C$29:$N$36,MATCH(Direct_view!$D7,Capex_Fcast_Total!$B$29:$B$36,0),MATCH(Direct_view!J$5,Capex_Fcast_Total!$C$5:$N$5,0))*$O7</f>
        <v>694.76067530486398</v>
      </c>
      <c r="K7" s="261">
        <f>INDEX(Capex_Fcast_Total!$C$29:$N$36,MATCH(Direct_view!$D7,Capex_Fcast_Total!$B$29:$B$36,0),MATCH(Direct_view!K$5,Capex_Fcast_Total!$C$5:$N$5,0))*$O7</f>
        <v>695.18008112795269</v>
      </c>
      <c r="L7" s="261">
        <f>INDEX(Capex_Fcast_Total!$C$29:$N$36,MATCH(Direct_view!$D7,Capex_Fcast_Total!$B$29:$B$36,0),MATCH(Direct_view!L$5,Capex_Fcast_Total!$C$5:$N$5,0))*$O7</f>
        <v>695.82403224352674</v>
      </c>
      <c r="M7" s="261">
        <f>INDEX(Capex_Fcast_Total!$C$29:$N$36,MATCH(Direct_view!$D7,Capex_Fcast_Total!$B$29:$B$36,0),MATCH(Direct_view!M$5,Capex_Fcast_Total!$C$5:$N$5,0))*$O7</f>
        <v>696.67998498392285</v>
      </c>
      <c r="O7" s="238">
        <v>0.9</v>
      </c>
      <c r="P7" s="41" t="s">
        <v>293</v>
      </c>
    </row>
    <row r="8" spans="2:16" x14ac:dyDescent="0.25">
      <c r="B8" s="258"/>
      <c r="C8" s="259">
        <v>1018</v>
      </c>
      <c r="D8" s="260" t="str">
        <f>VLOOKUP(C8,Assumptions!$B$8:$C$14,2,FALSE)</f>
        <v>COMPLEX RESIDENTIAL SUPPLY PROJECTS</v>
      </c>
      <c r="E8" s="261">
        <f>INDEX(Capex_Fcast_Total!$C$29:$N$36,MATCH(Direct_view!$D8,Capex_Fcast_Total!$B$29:$B$36,0),MATCH(Direct_view!E$5,Capex_Fcast_Total!$C$5:$N$5,0))*$O8</f>
        <v>7310.2184900000011</v>
      </c>
      <c r="F8" s="261">
        <f>INDEX(Capex_Fcast_Total!$C$29:$N$36,MATCH(Direct_view!$D8,Capex_Fcast_Total!$B$29:$B$36,0),MATCH(Direct_view!F$5,Capex_Fcast_Total!$C$5:$N$5,0))*$O8</f>
        <v>7734.1669694579041</v>
      </c>
      <c r="G8" s="85">
        <f>INDEX(Capex_Fcast_Total!$C$29:$N$36,MATCH(Direct_view!$D8,Capex_Fcast_Total!$B$29:$B$36,0),MATCH(Direct_view!G$5,Capex_Fcast_Total!$C$5:$N$5,0))*$O8</f>
        <v>6142.8834389340955</v>
      </c>
      <c r="H8" s="261">
        <f>INDEX(Capex_Fcast_Total!$C$29:$N$36,MATCH(Direct_view!$D8,Capex_Fcast_Total!$B$29:$B$36,0),MATCH(Direct_view!H$5,Capex_Fcast_Total!$C$5:$N$5,0))*$O8</f>
        <v>3200.1165274044165</v>
      </c>
      <c r="I8" s="261">
        <f>INDEX(Capex_Fcast_Total!$C$29:$N$36,MATCH(Direct_view!$D8,Capex_Fcast_Total!$B$29:$B$36,0),MATCH(Direct_view!I$5,Capex_Fcast_Total!$C$5:$N$5,0))*$O8</f>
        <v>3663.0608052361222</v>
      </c>
      <c r="J8" s="261">
        <f>INDEX(Capex_Fcast_Total!$C$29:$N$36,MATCH(Direct_view!$D8,Capex_Fcast_Total!$B$29:$B$36,0),MATCH(Direct_view!J$5,Capex_Fcast_Total!$C$5:$N$5,0))*$O8</f>
        <v>6371.6790073626717</v>
      </c>
      <c r="K8" s="261">
        <f>INDEX(Capex_Fcast_Total!$C$29:$N$36,MATCH(Direct_view!$D8,Capex_Fcast_Total!$B$29:$B$36,0),MATCH(Direct_view!K$5,Capex_Fcast_Total!$C$5:$N$5,0))*$O8</f>
        <v>6410.9419603189372</v>
      </c>
      <c r="L8" s="261">
        <f>INDEX(Capex_Fcast_Total!$C$29:$N$36,MATCH(Direct_view!$D8,Capex_Fcast_Total!$B$29:$B$36,0),MATCH(Direct_view!L$5,Capex_Fcast_Total!$C$5:$N$5,0))*$O8</f>
        <v>6490.6713952872406</v>
      </c>
      <c r="M8" s="261">
        <f>INDEX(Capex_Fcast_Total!$C$29:$N$36,MATCH(Direct_view!$D8,Capex_Fcast_Total!$B$29:$B$36,0),MATCH(Direct_view!M$5,Capex_Fcast_Total!$C$5:$N$5,0))*$O8</f>
        <v>6551.3426933090514</v>
      </c>
      <c r="O8" s="238">
        <v>1</v>
      </c>
    </row>
    <row r="9" spans="2:16" x14ac:dyDescent="0.25">
      <c r="B9" s="258"/>
      <c r="C9" s="259">
        <v>1019</v>
      </c>
      <c r="D9" s="260" t="str">
        <f>VLOOKUP(C9,Assumptions!$B$8:$C$14,2,FALSE)</f>
        <v>LOW DENSITY HOUSING - SUBDIVISION</v>
      </c>
      <c r="E9" s="262">
        <f>INDEX(Capex_Fcast_Total!$C$29:$N$36,MATCH(Direct_view!$D9,Capex_Fcast_Total!$B$29:$B$36,0),MATCH(Direct_view!E$5,Capex_Fcast_Total!$C$5:$N$5,0))*$O9</f>
        <v>3377.7837869999998</v>
      </c>
      <c r="F9" s="262">
        <f>INDEX(Capex_Fcast_Total!$C$29:$N$36,MATCH(Direct_view!$D9,Capex_Fcast_Total!$B$29:$B$36,0),MATCH(Direct_view!F$5,Capex_Fcast_Total!$C$5:$N$5,0))*$O9</f>
        <v>4006.3497315861064</v>
      </c>
      <c r="G9" s="79">
        <f>INDEX(Capex_Fcast_Total!$C$29:$N$36,MATCH(Direct_view!$D9,Capex_Fcast_Total!$B$29:$B$36,0),MATCH(Direct_view!G$5,Capex_Fcast_Total!$C$5:$N$5,0))*$O9</f>
        <v>4248.7955733442914</v>
      </c>
      <c r="H9" s="262">
        <f>INDEX(Capex_Fcast_Total!$C$29:$N$36,MATCH(Direct_view!$D9,Capex_Fcast_Total!$B$29:$B$36,0),MATCH(Direct_view!H$5,Capex_Fcast_Total!$C$5:$N$5,0))*$O9</f>
        <v>2213.3122465172778</v>
      </c>
      <c r="I9" s="262">
        <f>INDEX(Capex_Fcast_Total!$C$29:$N$36,MATCH(Direct_view!$D9,Capex_Fcast_Total!$B$29:$B$36,0),MATCH(Direct_view!I$5,Capex_Fcast_Total!$C$5:$N$5,0))*$O9</f>
        <v>2532.4800321022904</v>
      </c>
      <c r="J9" s="262">
        <f>INDEX(Capex_Fcast_Total!$C$29:$N$36,MATCH(Direct_view!$D9,Capex_Fcast_Total!$B$29:$B$36,0),MATCH(Direct_view!J$5,Capex_Fcast_Total!$C$5:$N$5,0))*$O9</f>
        <v>4403.9587043180518</v>
      </c>
      <c r="K9" s="262">
        <f>INDEX(Capex_Fcast_Total!$C$29:$N$36,MATCH(Direct_view!$D9,Capex_Fcast_Total!$B$29:$B$36,0),MATCH(Direct_view!K$5,Capex_Fcast_Total!$C$5:$N$5,0))*$O9</f>
        <v>4429.583470926852</v>
      </c>
      <c r="L9" s="262">
        <f>INDEX(Capex_Fcast_Total!$C$29:$N$36,MATCH(Direct_view!$D9,Capex_Fcast_Total!$B$29:$B$36,0),MATCH(Direct_view!L$5,Capex_Fcast_Total!$C$5:$N$5,0))*$O9</f>
        <v>4482.3253148342346</v>
      </c>
      <c r="M9" s="262">
        <f>INDEX(Capex_Fcast_Total!$C$29:$N$36,MATCH(Direct_view!$D9,Capex_Fcast_Total!$B$29:$B$36,0),MATCH(Direct_view!M$5,Capex_Fcast_Total!$C$5:$N$5,0))*$O9</f>
        <v>4521.085414212981</v>
      </c>
      <c r="O9" s="238">
        <v>0.7</v>
      </c>
      <c r="P9" s="41" t="s">
        <v>236</v>
      </c>
    </row>
    <row r="10" spans="2:16" x14ac:dyDescent="0.25">
      <c r="B10" s="278" t="s">
        <v>251</v>
      </c>
      <c r="C10" s="264"/>
      <c r="D10" s="265"/>
      <c r="E10" s="262">
        <f>SUBTOTAL(9,E6:E9)</f>
        <v>23254.830825999998</v>
      </c>
      <c r="F10" s="262">
        <f>SUBTOTAL(9,F6:F9)</f>
        <v>22077.456019634687</v>
      </c>
      <c r="G10" s="79">
        <f t="shared" ref="G10:H10" si="0">SUBTOTAL(9,G6:G9)</f>
        <v>21745.772200138195</v>
      </c>
      <c r="H10" s="262">
        <f t="shared" si="0"/>
        <v>11313.435149919287</v>
      </c>
      <c r="I10" s="262">
        <f t="shared" ref="I10" si="1">SUBTOTAL(9,I6:I9)</f>
        <v>13241.989003412651</v>
      </c>
      <c r="J10" s="262">
        <f t="shared" ref="J10" si="2">SUBTOTAL(9,J6:J9)</f>
        <v>22514.468096630124</v>
      </c>
      <c r="K10" s="262">
        <f t="shared" ref="K10" si="3">SUBTOTAL(9,K6:K9)</f>
        <v>22641.374894469333</v>
      </c>
      <c r="L10" s="262">
        <f t="shared" ref="L10" si="4">SUBTOTAL(9,L6:L9)</f>
        <v>22902.593534771277</v>
      </c>
      <c r="M10" s="262">
        <f t="shared" ref="M10" si="5">SUBTOTAL(9,M6:M9)</f>
        <v>23094.498111613771</v>
      </c>
    </row>
    <row r="11" spans="2:16" x14ac:dyDescent="0.25">
      <c r="B11" s="253" t="s">
        <v>38</v>
      </c>
      <c r="C11" s="254">
        <v>1014</v>
      </c>
      <c r="D11" s="255" t="str">
        <f>VLOOKUP(C11,Assumptions!$B$8:$C$14,2,FALSE)</f>
        <v>BUSINESS SUPPLY PROJECTS</v>
      </c>
      <c r="E11" s="256">
        <f>INDEX(Capex_Fcast_Total!$C$29:$N$36,MATCH(Direct_view!$D11,Capex_Fcast_Total!$B$29:$B$36,0),MATCH(Direct_view!E$5,Capex_Fcast_Total!$C$5:$N$5,0))*$O11</f>
        <v>27575.948430000008</v>
      </c>
      <c r="F11" s="256">
        <f>INDEX(Capex_Fcast_Total!$C$29:$N$36,MATCH(Direct_view!$D11,Capex_Fcast_Total!$B$29:$B$36,0),MATCH(Direct_view!F$5,Capex_Fcast_Total!$C$5:$N$5,0))*$O11</f>
        <v>31561.895225825756</v>
      </c>
      <c r="G11" s="257">
        <f>INDEX(Capex_Fcast_Total!$C$29:$N$36,MATCH(Direct_view!$D11,Capex_Fcast_Total!$B$29:$B$36,0),MATCH(Direct_view!G$5,Capex_Fcast_Total!$C$5:$N$5,0))*$O11</f>
        <v>26431.73012438873</v>
      </c>
      <c r="H11" s="256">
        <f>INDEX(Capex_Fcast_Total!$C$29:$N$36,MATCH(Direct_view!$D11,Capex_Fcast_Total!$B$29:$B$36,0),MATCH(Direct_view!H$5,Capex_Fcast_Total!$C$5:$N$5,0))*$O11</f>
        <v>11753.434397627469</v>
      </c>
      <c r="I11" s="256">
        <f>INDEX(Capex_Fcast_Total!$C$29:$N$36,MATCH(Direct_view!$D11,Capex_Fcast_Total!$B$29:$B$36,0),MATCH(Direct_view!I$5,Capex_Fcast_Total!$C$5:$N$5,0))*$O11</f>
        <v>13642.041518543809</v>
      </c>
      <c r="J11" s="256">
        <f>INDEX(Capex_Fcast_Total!$C$29:$N$36,MATCH(Direct_view!$D11,Capex_Fcast_Total!$B$29:$B$36,0),MATCH(Direct_view!J$5,Capex_Fcast_Total!$C$5:$N$5,0))*$O11</f>
        <v>23557.765415746344</v>
      </c>
      <c r="K11" s="256">
        <f>INDEX(Capex_Fcast_Total!$C$29:$N$36,MATCH(Direct_view!$D11,Capex_Fcast_Total!$B$29:$B$36,0),MATCH(Direct_view!K$5,Capex_Fcast_Total!$C$5:$N$5,0))*$O11</f>
        <v>23227.092626775047</v>
      </c>
      <c r="L11" s="256">
        <f>INDEX(Capex_Fcast_Total!$C$29:$N$36,MATCH(Direct_view!$D11,Capex_Fcast_Total!$B$29:$B$36,0),MATCH(Direct_view!L$5,Capex_Fcast_Total!$C$5:$N$5,0))*$O11</f>
        <v>23052.683960616851</v>
      </c>
      <c r="M11" s="256">
        <f>INDEX(Capex_Fcast_Total!$C$29:$N$36,MATCH(Direct_view!$D11,Capex_Fcast_Total!$B$29:$B$36,0),MATCH(Direct_view!M$5,Capex_Fcast_Total!$C$5:$N$5,0))*$O11</f>
        <v>23085.19796937795</v>
      </c>
      <c r="O11" s="238">
        <v>1</v>
      </c>
    </row>
    <row r="12" spans="2:16" x14ac:dyDescent="0.25">
      <c r="B12" s="258"/>
      <c r="C12" s="259">
        <v>1016</v>
      </c>
      <c r="D12" s="260" t="str">
        <f>VLOOKUP(C12,Assumptions!$B$8:$C$14,2,FALSE)</f>
        <v>PRIVATE ELECTRIC LINE REPLACEMENT - RESIDENTIAL</v>
      </c>
      <c r="E12" s="262">
        <f>INDEX(Capex_Fcast_Total!$C$29:$N$36,MATCH(Direct_view!$D12,Capex_Fcast_Total!$B$29:$B$36,0),MATCH(Direct_view!E$5,Capex_Fcast_Total!$C$5:$N$5,0))*$O12</f>
        <v>100.478701</v>
      </c>
      <c r="F12" s="262">
        <f>INDEX(Capex_Fcast_Total!$C$29:$N$36,MATCH(Direct_view!$D12,Capex_Fcast_Total!$B$29:$B$36,0),MATCH(Direct_view!F$5,Capex_Fcast_Total!$C$5:$N$5,0))*$O12</f>
        <v>76.375093978619304</v>
      </c>
      <c r="G12" s="79">
        <f>INDEX(Capex_Fcast_Total!$C$29:$N$36,MATCH(Direct_view!$D12,Capex_Fcast_Total!$B$29:$B$36,0),MATCH(Direct_view!G$5,Capex_Fcast_Total!$C$5:$N$5,0))*$O12</f>
        <v>77.100247658615658</v>
      </c>
      <c r="H12" s="262">
        <f>INDEX(Capex_Fcast_Total!$C$29:$N$36,MATCH(Direct_view!$D12,Capex_Fcast_Total!$B$29:$B$36,0),MATCH(Direct_view!H$5,Capex_Fcast_Total!$C$5:$N$5,0))*$O12</f>
        <v>38.5527331214643</v>
      </c>
      <c r="I12" s="262">
        <f>INDEX(Capex_Fcast_Total!$C$29:$N$36,MATCH(Direct_view!$D12,Capex_Fcast_Total!$B$29:$B$36,0),MATCH(Direct_view!I$5,Capex_Fcast_Total!$C$5:$N$5,0))*$O12</f>
        <v>77.16030822515593</v>
      </c>
      <c r="J12" s="262">
        <f>INDEX(Capex_Fcast_Total!$C$29:$N$36,MATCH(Direct_view!$D12,Capex_Fcast_Total!$B$29:$B$36,0),MATCH(Direct_view!J$5,Capex_Fcast_Total!$C$5:$N$5,0))*$O12</f>
        <v>77.195630589429342</v>
      </c>
      <c r="K12" s="262">
        <f>INDEX(Capex_Fcast_Total!$C$29:$N$36,MATCH(Direct_view!$D12,Capex_Fcast_Total!$B$29:$B$36,0),MATCH(Direct_view!K$5,Capex_Fcast_Total!$C$5:$N$5,0))*$O12</f>
        <v>77.242231236439181</v>
      </c>
      <c r="L12" s="262">
        <f>INDEX(Capex_Fcast_Total!$C$29:$N$36,MATCH(Direct_view!$D12,Capex_Fcast_Total!$B$29:$B$36,0),MATCH(Direct_view!L$5,Capex_Fcast_Total!$C$5:$N$5,0))*$O12</f>
        <v>77.313781360391872</v>
      </c>
      <c r="M12" s="262">
        <f>INDEX(Capex_Fcast_Total!$C$29:$N$36,MATCH(Direct_view!$D12,Capex_Fcast_Total!$B$29:$B$36,0),MATCH(Direct_view!M$5,Capex_Fcast_Total!$C$5:$N$5,0))*$O12</f>
        <v>77.408887220435872</v>
      </c>
      <c r="O12" s="238">
        <v>0.1</v>
      </c>
      <c r="P12" s="41" t="s">
        <v>294</v>
      </c>
    </row>
    <row r="13" spans="2:16" x14ac:dyDescent="0.25">
      <c r="B13" s="278" t="s">
        <v>251</v>
      </c>
      <c r="C13" s="264"/>
      <c r="D13" s="265"/>
      <c r="E13" s="262">
        <f>SUBTOTAL(9,E11:E12)</f>
        <v>27676.427131000008</v>
      </c>
      <c r="F13" s="262">
        <f>SUBTOTAL(9,F11:F12)</f>
        <v>31638.270319804375</v>
      </c>
      <c r="G13" s="79">
        <f t="shared" ref="G13:H13" si="6">SUBTOTAL(9,G11:G12)</f>
        <v>26508.830372047345</v>
      </c>
      <c r="H13" s="262">
        <f t="shared" si="6"/>
        <v>11791.987130748932</v>
      </c>
      <c r="I13" s="262">
        <f t="shared" ref="I13" si="7">SUBTOTAL(9,I11:I12)</f>
        <v>13719.201826768965</v>
      </c>
      <c r="J13" s="262">
        <f t="shared" ref="J13" si="8">SUBTOTAL(9,J11:J12)</f>
        <v>23634.961046335775</v>
      </c>
      <c r="K13" s="262">
        <f t="shared" ref="K13" si="9">SUBTOTAL(9,K11:K12)</f>
        <v>23304.334858011487</v>
      </c>
      <c r="L13" s="262">
        <f t="shared" ref="L13" si="10">SUBTOTAL(9,L11:L12)</f>
        <v>23129.997741977244</v>
      </c>
      <c r="M13" s="262">
        <f t="shared" ref="M13" si="11">SUBTOTAL(9,M11:M12)</f>
        <v>23162.606856598388</v>
      </c>
    </row>
    <row r="14" spans="2:16" x14ac:dyDescent="0.25">
      <c r="B14" s="253" t="s">
        <v>39</v>
      </c>
      <c r="C14" s="254">
        <v>1012</v>
      </c>
      <c r="D14" s="255" t="str">
        <f>VLOOKUP(C14,Assumptions!$B$8:$C$14,2,FALSE)</f>
        <v>MEDIUM DENSITY HOUSING - SUBDIVISION</v>
      </c>
      <c r="E14" s="256">
        <f>INDEX(Capex_Fcast_Total!$C$29:$N$36,MATCH(Direct_view!$D14,Capex_Fcast_Total!$B$29:$B$36,0),MATCH(Direct_view!E$5,Capex_Fcast_Total!$C$5:$N$5,0))*$O14</f>
        <v>39195.811750000001</v>
      </c>
      <c r="F14" s="256">
        <f>INDEX(Capex_Fcast_Total!$C$29:$N$36,MATCH(Direct_view!$D14,Capex_Fcast_Total!$B$29:$B$36,0),MATCH(Direct_view!F$5,Capex_Fcast_Total!$C$5:$N$5,0))*$O14</f>
        <v>47782.073651844126</v>
      </c>
      <c r="G14" s="257">
        <f>INDEX(Capex_Fcast_Total!$C$29:$N$36,MATCH(Direct_view!$D14,Capex_Fcast_Total!$B$29:$B$36,0),MATCH(Direct_view!G$5,Capex_Fcast_Total!$C$5:$N$5,0))*$O14</f>
        <v>40989.258034585211</v>
      </c>
      <c r="H14" s="256">
        <f>INDEX(Capex_Fcast_Total!$C$29:$N$36,MATCH(Direct_view!$D14,Capex_Fcast_Total!$B$29:$B$36,0),MATCH(Direct_view!H$5,Capex_Fcast_Total!$C$5:$N$5,0))*$O14</f>
        <v>21356.642873868233</v>
      </c>
      <c r="I14" s="256">
        <f>INDEX(Capex_Fcast_Total!$C$29:$N$36,MATCH(Direct_view!$D14,Capex_Fcast_Total!$B$29:$B$36,0),MATCH(Direct_view!I$5,Capex_Fcast_Total!$C$5:$N$5,0))*$O14</f>
        <v>24706.2770151888</v>
      </c>
      <c r="J14" s="256">
        <f>INDEX(Capex_Fcast_Total!$C$29:$N$36,MATCH(Direct_view!$D14,Capex_Fcast_Total!$B$29:$B$36,0),MATCH(Direct_view!J$5,Capex_Fcast_Total!$C$5:$N$5,0))*$O14</f>
        <v>42681.061316995583</v>
      </c>
      <c r="K14" s="256">
        <f>INDEX(Capex_Fcast_Total!$C$29:$N$36,MATCH(Direct_view!$D14,Capex_Fcast_Total!$B$29:$B$36,0),MATCH(Direct_view!K$5,Capex_Fcast_Total!$C$5:$N$5,0))*$O14</f>
        <v>42924.284932255367</v>
      </c>
      <c r="L14" s="256">
        <f>INDEX(Capex_Fcast_Total!$C$29:$N$36,MATCH(Direct_view!$D14,Capex_Fcast_Total!$B$29:$B$36,0),MATCH(Direct_view!L$5,Capex_Fcast_Total!$C$5:$N$5,0))*$O14</f>
        <v>43422.873846338363</v>
      </c>
      <c r="M14" s="256">
        <f>INDEX(Capex_Fcast_Total!$C$29:$N$36,MATCH(Direct_view!$D14,Capex_Fcast_Total!$B$29:$B$36,0),MATCH(Direct_view!M$5,Capex_Fcast_Total!$C$5:$N$5,0))*$O14</f>
        <v>43770.007686893885</v>
      </c>
      <c r="O14" s="238">
        <v>1</v>
      </c>
    </row>
    <row r="15" spans="2:16" x14ac:dyDescent="0.25">
      <c r="B15" s="258"/>
      <c r="C15" s="259">
        <v>1019</v>
      </c>
      <c r="D15" s="260" t="str">
        <f>VLOOKUP(C15,Assumptions!$B$8:$C$14,2,FALSE)</f>
        <v>LOW DENSITY HOUSING - SUBDIVISION</v>
      </c>
      <c r="E15" s="262">
        <f>INDEX(Capex_Fcast_Total!$C$29:$N$36,MATCH(Direct_view!$D15,Capex_Fcast_Total!$B$29:$B$36,0),MATCH(Direct_view!E$5,Capex_Fcast_Total!$C$5:$N$5,0))*$O15</f>
        <v>1447.621623</v>
      </c>
      <c r="F15" s="262">
        <f>INDEX(Capex_Fcast_Total!$C$29:$N$36,MATCH(Direct_view!$D15,Capex_Fcast_Total!$B$29:$B$36,0),MATCH(Direct_view!F$5,Capex_Fcast_Total!$C$5:$N$5,0))*$O15</f>
        <v>1717.0070278226169</v>
      </c>
      <c r="G15" s="79">
        <f>INDEX(Capex_Fcast_Total!$C$29:$N$36,MATCH(Direct_view!$D15,Capex_Fcast_Total!$B$29:$B$36,0),MATCH(Direct_view!G$5,Capex_Fcast_Total!$C$5:$N$5,0))*$O15</f>
        <v>1820.9123885761248</v>
      </c>
      <c r="H15" s="262">
        <f>INDEX(Capex_Fcast_Total!$C$29:$N$36,MATCH(Direct_view!$D15,Capex_Fcast_Total!$B$29:$B$36,0),MATCH(Direct_view!H$5,Capex_Fcast_Total!$C$5:$N$5,0))*$O15</f>
        <v>948.56239136454758</v>
      </c>
      <c r="I15" s="262">
        <f>INDEX(Capex_Fcast_Total!$C$29:$N$36,MATCH(Direct_view!$D15,Capex_Fcast_Total!$B$29:$B$36,0),MATCH(Direct_view!I$5,Capex_Fcast_Total!$C$5:$N$5,0))*$O15</f>
        <v>1085.348585186696</v>
      </c>
      <c r="J15" s="262">
        <f>INDEX(Capex_Fcast_Total!$C$29:$N$36,MATCH(Direct_view!$D15,Capex_Fcast_Total!$B$29:$B$36,0),MATCH(Direct_view!J$5,Capex_Fcast_Total!$C$5:$N$5,0))*$O15</f>
        <v>1887.4108732791651</v>
      </c>
      <c r="K15" s="262">
        <f>INDEX(Capex_Fcast_Total!$C$29:$N$36,MATCH(Direct_view!$D15,Capex_Fcast_Total!$B$29:$B$36,0),MATCH(Direct_view!K$5,Capex_Fcast_Total!$C$5:$N$5,0))*$O15</f>
        <v>1898.3929161115079</v>
      </c>
      <c r="L15" s="262">
        <f>INDEX(Capex_Fcast_Total!$C$29:$N$36,MATCH(Direct_view!$D15,Capex_Fcast_Total!$B$29:$B$36,0),MATCH(Direct_view!L$5,Capex_Fcast_Total!$C$5:$N$5,0))*$O15</f>
        <v>1920.9965635003864</v>
      </c>
      <c r="M15" s="262">
        <f>INDEX(Capex_Fcast_Total!$C$29:$N$36,MATCH(Direct_view!$D15,Capex_Fcast_Total!$B$29:$B$36,0),MATCH(Direct_view!M$5,Capex_Fcast_Total!$C$5:$N$5,0))*$O15</f>
        <v>1937.6080346627064</v>
      </c>
      <c r="O15" s="238">
        <v>0.3</v>
      </c>
      <c r="P15" s="41" t="s">
        <v>236</v>
      </c>
    </row>
    <row r="16" spans="2:16" x14ac:dyDescent="0.25">
      <c r="B16" s="278" t="s">
        <v>251</v>
      </c>
      <c r="C16" s="264"/>
      <c r="D16" s="265"/>
      <c r="E16" s="262">
        <f>SUBTOTAL(9,E14:E15)</f>
        <v>40643.433373</v>
      </c>
      <c r="F16" s="262">
        <f>SUBTOTAL(9,F14:F15)</f>
        <v>49499.080679666746</v>
      </c>
      <c r="G16" s="79">
        <f t="shared" ref="G16" si="12">SUBTOTAL(9,G14:G15)</f>
        <v>42810.170423161333</v>
      </c>
      <c r="H16" s="262">
        <f t="shared" ref="H16" si="13">SUBTOTAL(9,H14:H15)</f>
        <v>22305.20526523278</v>
      </c>
      <c r="I16" s="262">
        <f t="shared" ref="I16" si="14">SUBTOTAL(9,I14:I15)</f>
        <v>25791.625600375497</v>
      </c>
      <c r="J16" s="262">
        <f t="shared" ref="J16" si="15">SUBTOTAL(9,J14:J15)</f>
        <v>44568.472190274748</v>
      </c>
      <c r="K16" s="262">
        <f t="shared" ref="K16" si="16">SUBTOTAL(9,K14:K15)</f>
        <v>44822.677848366875</v>
      </c>
      <c r="L16" s="262">
        <f t="shared" ref="L16" si="17">SUBTOTAL(9,L14:L15)</f>
        <v>45343.870409838753</v>
      </c>
      <c r="M16" s="262">
        <f t="shared" ref="M16" si="18">SUBTOTAL(9,M14:M15)</f>
        <v>45707.615721556591</v>
      </c>
    </row>
    <row r="17" spans="2:15" x14ac:dyDescent="0.25">
      <c r="B17" s="266" t="s">
        <v>40</v>
      </c>
      <c r="C17" s="267">
        <v>1015</v>
      </c>
      <c r="D17" s="268" t="str">
        <f>VLOOKUP(C17,Assumptions!$B$8:$C$14,2,FALSE)</f>
        <v>COGENERATION PROJECTS</v>
      </c>
      <c r="E17" s="269">
        <f>INDEX(Capex_Fcast_Total!$C$29:$N$36,MATCH(Direct_view!$D17,Capex_Fcast_Total!$B$29:$B$36,0),MATCH(Direct_view!E$5,Capex_Fcast_Total!$C$5:$N$5,0))*$O17</f>
        <v>128.63875000000002</v>
      </c>
      <c r="F17" s="269">
        <f>INDEX(Capex_Fcast_Total!$C$29:$N$36,MATCH(Direct_view!$D17,Capex_Fcast_Total!$B$29:$B$36,0),MATCH(Direct_view!F$5,Capex_Fcast_Total!$C$5:$N$5,0))*$O17</f>
        <v>4379.6069938448891</v>
      </c>
      <c r="G17" s="81">
        <f>INDEX(Capex_Fcast_Total!$C$29:$N$36,MATCH(Direct_view!$D17,Capex_Fcast_Total!$B$29:$B$36,0),MATCH(Direct_view!G$5,Capex_Fcast_Total!$C$5:$N$5,0))*$O17</f>
        <v>7246.527721294482</v>
      </c>
      <c r="H17" s="269">
        <f>INDEX(Capex_Fcast_Total!$C$29:$N$36,MATCH(Direct_view!$D17,Capex_Fcast_Total!$B$29:$B$36,0),MATCH(Direct_view!H$5,Capex_Fcast_Total!$C$5:$N$5,0))*$O17</f>
        <v>4535.1018259498778</v>
      </c>
      <c r="I17" s="269">
        <f>INDEX(Capex_Fcast_Total!$C$29:$N$36,MATCH(Direct_view!$D17,Capex_Fcast_Total!$B$29:$B$36,0),MATCH(Direct_view!I$5,Capex_Fcast_Total!$C$5:$N$5,0))*$O17</f>
        <v>16429.034914362579</v>
      </c>
      <c r="J17" s="269">
        <f>INDEX(Capex_Fcast_Total!$C$29:$N$36,MATCH(Direct_view!$D17,Capex_Fcast_Total!$B$29:$B$36,0),MATCH(Direct_view!J$5,Capex_Fcast_Total!$C$5:$N$5,0))*$O17</f>
        <v>16555.250606240839</v>
      </c>
      <c r="K17" s="269">
        <f>INDEX(Capex_Fcast_Total!$C$29:$N$36,MATCH(Direct_view!$D17,Capex_Fcast_Total!$B$29:$B$36,0),MATCH(Direct_view!K$5,Capex_Fcast_Total!$C$5:$N$5,0))*$O17</f>
        <v>16580.859886778362</v>
      </c>
      <c r="L17" s="269">
        <f>INDEX(Capex_Fcast_Total!$C$29:$N$36,MATCH(Direct_view!$D17,Capex_Fcast_Total!$B$29:$B$36,0),MATCH(Direct_view!L$5,Capex_Fcast_Total!$C$5:$N$5,0))*$O17</f>
        <v>16618.553772494266</v>
      </c>
      <c r="M17" s="269">
        <f>INDEX(Capex_Fcast_Total!$C$29:$N$36,MATCH(Direct_view!$D17,Capex_Fcast_Total!$B$29:$B$36,0),MATCH(Direct_view!M$5,Capex_Fcast_Total!$C$5:$N$5,0))*$O17</f>
        <v>16667.518078447029</v>
      </c>
      <c r="O17" s="238">
        <v>1</v>
      </c>
    </row>
    <row r="18" spans="2:15" x14ac:dyDescent="0.25">
      <c r="B18" s="266"/>
      <c r="C18" s="270"/>
      <c r="D18" s="270"/>
      <c r="E18" s="354">
        <f>SUBTOTAL(9,E6:E17)</f>
        <v>91703.330080000014</v>
      </c>
      <c r="F18" s="271">
        <f>SUBTOTAL(9,F6:F17)</f>
        <v>107594.4140129507</v>
      </c>
      <c r="G18" s="83">
        <f t="shared" ref="G18:H18" si="19">SUBTOTAL(9,G6:G17)</f>
        <v>98311.300716641359</v>
      </c>
      <c r="H18" s="271">
        <f t="shared" si="19"/>
        <v>49945.729371850874</v>
      </c>
      <c r="I18" s="271">
        <f t="shared" ref="I18" si="20">SUBTOTAL(9,I6:I17)</f>
        <v>69181.851344919691</v>
      </c>
      <c r="J18" s="271">
        <f t="shared" ref="J18" si="21">SUBTOTAL(9,J6:J17)</f>
        <v>107273.15193948147</v>
      </c>
      <c r="K18" s="271">
        <f t="shared" ref="K18" si="22">SUBTOTAL(9,K6:K17)</f>
        <v>107349.24748762605</v>
      </c>
      <c r="L18" s="271">
        <f t="shared" ref="L18" si="23">SUBTOTAL(9,L6:L17)</f>
        <v>107995.01545908154</v>
      </c>
      <c r="M18" s="271">
        <f t="shared" ref="M18" si="24">SUBTOTAL(9,M6:M17)</f>
        <v>108632.23876821579</v>
      </c>
    </row>
    <row r="19" spans="2:15" x14ac:dyDescent="0.25">
      <c r="E19" s="355" t="b">
        <f>E18=Capex_Fcast_Total!F37</f>
        <v>1</v>
      </c>
      <c r="F19" s="41" t="b">
        <f>F18=Capex_Fcast_Total!G37</f>
        <v>1</v>
      </c>
      <c r="G19" s="41" t="b">
        <f>G18=Capex_Fcast_Total!H37</f>
        <v>0</v>
      </c>
      <c r="H19" s="41" t="b">
        <f>H18=Capex_Fcast_Total!I37</f>
        <v>0</v>
      </c>
      <c r="I19" s="41" t="b">
        <f>I18=Capex_Fcast_Total!J37</f>
        <v>0</v>
      </c>
      <c r="J19" s="41" t="b">
        <f>J18=Capex_Fcast_Total!K37</f>
        <v>0</v>
      </c>
      <c r="K19" s="41" t="b">
        <f>K18=Capex_Fcast_Total!L37</f>
        <v>0</v>
      </c>
      <c r="L19" s="41" t="b">
        <f>L18=Capex_Fcast_Total!M37</f>
        <v>0</v>
      </c>
      <c r="M19" s="41" t="b">
        <f>M18=Capex_Fcast_Total!N37</f>
        <v>0</v>
      </c>
    </row>
    <row r="21" spans="2:15" x14ac:dyDescent="0.25">
      <c r="B21" s="68" t="s">
        <v>273</v>
      </c>
    </row>
    <row r="22" spans="2:15" x14ac:dyDescent="0.25">
      <c r="B22" s="41" t="s">
        <v>286</v>
      </c>
      <c r="I22" s="618" t="s">
        <v>323</v>
      </c>
      <c r="J22" s="619"/>
      <c r="K22" s="619"/>
      <c r="L22" s="619"/>
      <c r="M22" s="620"/>
    </row>
    <row r="23" spans="2:15" x14ac:dyDescent="0.25">
      <c r="B23" s="250" t="s">
        <v>42</v>
      </c>
      <c r="C23" s="55" t="s">
        <v>41</v>
      </c>
      <c r="F23" s="55" t="s">
        <v>322</v>
      </c>
      <c r="G23" s="55" t="s">
        <v>252</v>
      </c>
      <c r="H23" s="55" t="s">
        <v>253</v>
      </c>
      <c r="I23" s="55" t="s">
        <v>100</v>
      </c>
      <c r="J23" s="55" t="s">
        <v>101</v>
      </c>
      <c r="K23" s="55" t="s">
        <v>102</v>
      </c>
      <c r="L23" s="55" t="s">
        <v>147</v>
      </c>
      <c r="M23" s="55" t="s">
        <v>220</v>
      </c>
      <c r="N23" s="55" t="s">
        <v>221</v>
      </c>
    </row>
    <row r="24" spans="2:15" x14ac:dyDescent="0.25">
      <c r="B24" s="253" t="s">
        <v>37</v>
      </c>
      <c r="C24" s="254">
        <v>1013</v>
      </c>
      <c r="F24" s="256">
        <f t="shared" ref="F24:G27" si="25">F6*0.5+E6*0.5</f>
        <v>10656.04185639155</v>
      </c>
      <c r="G24" s="256">
        <f t="shared" si="25"/>
        <v>10154.877215857687</v>
      </c>
      <c r="H24" s="257">
        <f>H6+0.5*G6</f>
        <v>10883.127257370548</v>
      </c>
      <c r="I24" s="256">
        <f t="shared" ref="I24:M27" si="26">I6</f>
        <v>6352.0053920478349</v>
      </c>
      <c r="J24" s="256">
        <f t="shared" si="26"/>
        <v>11044.069709644536</v>
      </c>
      <c r="K24" s="256">
        <f t="shared" si="26"/>
        <v>11105.669382095588</v>
      </c>
      <c r="L24" s="256">
        <f t="shared" si="26"/>
        <v>11233.772792406275</v>
      </c>
      <c r="M24" s="256">
        <f t="shared" si="26"/>
        <v>11325.390019107819</v>
      </c>
      <c r="N24" s="256">
        <f>SUM(I24:M24)</f>
        <v>51060.907295302059</v>
      </c>
    </row>
    <row r="25" spans="2:15" x14ac:dyDescent="0.25">
      <c r="B25" s="258"/>
      <c r="C25" s="259">
        <v>1016</v>
      </c>
      <c r="F25" s="261">
        <f t="shared" si="25"/>
        <v>795.8420774037869</v>
      </c>
      <c r="G25" s="261">
        <f t="shared" si="25"/>
        <v>690.63903736755731</v>
      </c>
      <c r="H25" s="85">
        <f>H7+0.5*G7</f>
        <v>693.92571255694907</v>
      </c>
      <c r="I25" s="261">
        <f t="shared" si="26"/>
        <v>694.44277402640341</v>
      </c>
      <c r="J25" s="261">
        <f t="shared" si="26"/>
        <v>694.76067530486398</v>
      </c>
      <c r="K25" s="261">
        <f t="shared" si="26"/>
        <v>695.18008112795269</v>
      </c>
      <c r="L25" s="261">
        <f t="shared" si="26"/>
        <v>695.82403224352674</v>
      </c>
      <c r="M25" s="261">
        <f t="shared" si="26"/>
        <v>696.67998498392285</v>
      </c>
      <c r="N25" s="261">
        <f t="shared" ref="N25:N27" si="27">SUM(I25:M25)</f>
        <v>3476.8875476866697</v>
      </c>
    </row>
    <row r="26" spans="2:15" x14ac:dyDescent="0.25">
      <c r="B26" s="258"/>
      <c r="C26" s="259">
        <v>1018</v>
      </c>
      <c r="F26" s="261">
        <f t="shared" si="25"/>
        <v>7522.1927297289531</v>
      </c>
      <c r="G26" s="261">
        <f t="shared" si="25"/>
        <v>6938.5252041959993</v>
      </c>
      <c r="H26" s="85">
        <f>H8+0.5*G8</f>
        <v>6271.5582468714638</v>
      </c>
      <c r="I26" s="261">
        <f t="shared" si="26"/>
        <v>3663.0608052361222</v>
      </c>
      <c r="J26" s="261">
        <f t="shared" si="26"/>
        <v>6371.6790073626717</v>
      </c>
      <c r="K26" s="261">
        <f t="shared" si="26"/>
        <v>6410.9419603189372</v>
      </c>
      <c r="L26" s="261">
        <f t="shared" si="26"/>
        <v>6490.6713952872406</v>
      </c>
      <c r="M26" s="261">
        <f t="shared" si="26"/>
        <v>6551.3426933090514</v>
      </c>
      <c r="N26" s="261">
        <f t="shared" si="27"/>
        <v>29487.695861514025</v>
      </c>
    </row>
    <row r="27" spans="2:15" x14ac:dyDescent="0.25">
      <c r="B27" s="258"/>
      <c r="C27" s="259">
        <v>1019</v>
      </c>
      <c r="F27" s="262">
        <f t="shared" si="25"/>
        <v>3692.0667592930531</v>
      </c>
      <c r="G27" s="262">
        <f t="shared" si="25"/>
        <v>4127.5726524651991</v>
      </c>
      <c r="H27" s="79">
        <f>H9+0.5*G9</f>
        <v>4337.7100331894235</v>
      </c>
      <c r="I27" s="262">
        <f t="shared" si="26"/>
        <v>2532.4800321022904</v>
      </c>
      <c r="J27" s="262">
        <f t="shared" si="26"/>
        <v>4403.9587043180518</v>
      </c>
      <c r="K27" s="262">
        <f t="shared" si="26"/>
        <v>4429.583470926852</v>
      </c>
      <c r="L27" s="262">
        <f t="shared" si="26"/>
        <v>4482.3253148342346</v>
      </c>
      <c r="M27" s="262">
        <f t="shared" si="26"/>
        <v>4521.085414212981</v>
      </c>
      <c r="N27" s="262">
        <f t="shared" si="27"/>
        <v>20369.432936394413</v>
      </c>
    </row>
    <row r="28" spans="2:15" x14ac:dyDescent="0.25">
      <c r="B28" s="278" t="s">
        <v>251</v>
      </c>
      <c r="C28" s="264"/>
      <c r="F28" s="262">
        <f>SUBTOTAL(9,F24:F27)</f>
        <v>22666.143422817346</v>
      </c>
      <c r="G28" s="262">
        <f>SUBTOTAL(9,G24:G27)</f>
        <v>21911.614109886439</v>
      </c>
      <c r="H28" s="79">
        <f t="shared" ref="H28" si="28">SUBTOTAL(9,H24:H27)</f>
        <v>22186.321249988388</v>
      </c>
      <c r="I28" s="262">
        <f t="shared" ref="I28" si="29">SUBTOTAL(9,I24:I27)</f>
        <v>13241.989003412651</v>
      </c>
      <c r="J28" s="262">
        <f t="shared" ref="J28" si="30">SUBTOTAL(9,J24:J27)</f>
        <v>22514.468096630124</v>
      </c>
      <c r="K28" s="262">
        <f t="shared" ref="K28" si="31">SUBTOTAL(9,K24:K27)</f>
        <v>22641.374894469333</v>
      </c>
      <c r="L28" s="262">
        <f t="shared" ref="L28" si="32">SUBTOTAL(9,L24:L27)</f>
        <v>22902.593534771277</v>
      </c>
      <c r="M28" s="262">
        <f t="shared" ref="M28:N28" si="33">SUBTOTAL(9,M24:M27)</f>
        <v>23094.498111613771</v>
      </c>
      <c r="N28" s="262">
        <f t="shared" si="33"/>
        <v>104394.92364089716</v>
      </c>
    </row>
    <row r="29" spans="2:15" x14ac:dyDescent="0.25">
      <c r="B29" s="253" t="s">
        <v>38</v>
      </c>
      <c r="C29" s="254">
        <v>1014</v>
      </c>
      <c r="F29" s="256">
        <f>F11*0.5+E11*0.5</f>
        <v>29568.921827912884</v>
      </c>
      <c r="G29" s="256">
        <f>G11*0.5+F11*0.5</f>
        <v>28996.812675107241</v>
      </c>
      <c r="H29" s="257">
        <f>H11+0.5*G11</f>
        <v>24969.299459821836</v>
      </c>
      <c r="I29" s="256">
        <f t="shared" ref="I29:M30" si="34">I11</f>
        <v>13642.041518543809</v>
      </c>
      <c r="J29" s="256">
        <f t="shared" si="34"/>
        <v>23557.765415746344</v>
      </c>
      <c r="K29" s="256">
        <f t="shared" si="34"/>
        <v>23227.092626775047</v>
      </c>
      <c r="L29" s="256">
        <f t="shared" si="34"/>
        <v>23052.683960616851</v>
      </c>
      <c r="M29" s="256">
        <f t="shared" si="34"/>
        <v>23085.19796937795</v>
      </c>
      <c r="N29" s="256">
        <f t="shared" ref="N29:N30" si="35">SUM(I29:M29)</f>
        <v>106564.78149105998</v>
      </c>
    </row>
    <row r="30" spans="2:15" x14ac:dyDescent="0.25">
      <c r="B30" s="258"/>
      <c r="C30" s="259">
        <v>1016</v>
      </c>
      <c r="F30" s="262">
        <f>F12*0.5+E12*0.5</f>
        <v>88.426897489309653</v>
      </c>
      <c r="G30" s="262">
        <f>G12*0.5+F12*0.5</f>
        <v>76.737670818617488</v>
      </c>
      <c r="H30" s="79">
        <f>H12+0.5*G12</f>
        <v>77.102856950772122</v>
      </c>
      <c r="I30" s="262">
        <f t="shared" si="34"/>
        <v>77.16030822515593</v>
      </c>
      <c r="J30" s="262">
        <f t="shared" si="34"/>
        <v>77.195630589429342</v>
      </c>
      <c r="K30" s="262">
        <f t="shared" si="34"/>
        <v>77.242231236439181</v>
      </c>
      <c r="L30" s="262">
        <f t="shared" si="34"/>
        <v>77.313781360391872</v>
      </c>
      <c r="M30" s="262">
        <f t="shared" si="34"/>
        <v>77.408887220435872</v>
      </c>
      <c r="N30" s="262">
        <f t="shared" si="35"/>
        <v>386.32083863185221</v>
      </c>
    </row>
    <row r="31" spans="2:15" x14ac:dyDescent="0.25">
      <c r="B31" s="278" t="s">
        <v>251</v>
      </c>
      <c r="C31" s="264"/>
      <c r="F31" s="262">
        <f>SUBTOTAL(9,F29:F30)</f>
        <v>29657.348725402193</v>
      </c>
      <c r="G31" s="262">
        <f>SUBTOTAL(9,G29:G30)</f>
        <v>29073.550345925858</v>
      </c>
      <c r="H31" s="79">
        <f t="shared" ref="H31" si="36">SUBTOTAL(9,H29:H30)</f>
        <v>25046.402316772608</v>
      </c>
      <c r="I31" s="262">
        <f t="shared" ref="I31" si="37">SUBTOTAL(9,I29:I30)</f>
        <v>13719.201826768965</v>
      </c>
      <c r="J31" s="262">
        <f t="shared" ref="J31" si="38">SUBTOTAL(9,J29:J30)</f>
        <v>23634.961046335775</v>
      </c>
      <c r="K31" s="262">
        <f t="shared" ref="K31" si="39">SUBTOTAL(9,K29:K30)</f>
        <v>23304.334858011487</v>
      </c>
      <c r="L31" s="262">
        <f t="shared" ref="L31" si="40">SUBTOTAL(9,L29:L30)</f>
        <v>23129.997741977244</v>
      </c>
      <c r="M31" s="262">
        <f t="shared" ref="M31:N31" si="41">SUBTOTAL(9,M29:M30)</f>
        <v>23162.606856598388</v>
      </c>
      <c r="N31" s="262">
        <f t="shared" si="41"/>
        <v>106951.10232969184</v>
      </c>
    </row>
    <row r="32" spans="2:15" x14ac:dyDescent="0.25">
      <c r="B32" s="253" t="s">
        <v>39</v>
      </c>
      <c r="C32" s="254">
        <v>1012</v>
      </c>
      <c r="F32" s="256">
        <f>F14*0.5+E14*0.5</f>
        <v>43488.942700922067</v>
      </c>
      <c r="G32" s="256">
        <f>G14*0.5+F14*0.5</f>
        <v>44385.665843214665</v>
      </c>
      <c r="H32" s="257">
        <f>H14+0.5*G14</f>
        <v>41851.271891160839</v>
      </c>
      <c r="I32" s="256">
        <f t="shared" ref="I32:M33" si="42">I14</f>
        <v>24706.2770151888</v>
      </c>
      <c r="J32" s="256">
        <f t="shared" si="42"/>
        <v>42681.061316995583</v>
      </c>
      <c r="K32" s="256">
        <f t="shared" si="42"/>
        <v>42924.284932255367</v>
      </c>
      <c r="L32" s="256">
        <f t="shared" si="42"/>
        <v>43422.873846338363</v>
      </c>
      <c r="M32" s="256">
        <f t="shared" si="42"/>
        <v>43770.007686893885</v>
      </c>
      <c r="N32" s="256">
        <f t="shared" ref="N32:N33" si="43">SUM(I32:M32)</f>
        <v>197504.50479767201</v>
      </c>
    </row>
    <row r="33" spans="2:14" x14ac:dyDescent="0.25">
      <c r="B33" s="258"/>
      <c r="C33" s="259">
        <v>1019</v>
      </c>
      <c r="F33" s="262">
        <f>F15*0.5+E15*0.5</f>
        <v>1582.3143254113083</v>
      </c>
      <c r="G33" s="262">
        <f>G15*0.5+F15*0.5</f>
        <v>1768.9597081993709</v>
      </c>
      <c r="H33" s="79">
        <f>H15+0.5*G15</f>
        <v>1859.01858565261</v>
      </c>
      <c r="I33" s="262">
        <f t="shared" si="42"/>
        <v>1085.348585186696</v>
      </c>
      <c r="J33" s="262">
        <f t="shared" si="42"/>
        <v>1887.4108732791651</v>
      </c>
      <c r="K33" s="262">
        <f t="shared" si="42"/>
        <v>1898.3929161115079</v>
      </c>
      <c r="L33" s="262">
        <f t="shared" si="42"/>
        <v>1920.9965635003864</v>
      </c>
      <c r="M33" s="262">
        <f t="shared" si="42"/>
        <v>1937.6080346627064</v>
      </c>
      <c r="N33" s="262">
        <f t="shared" si="43"/>
        <v>8729.7569727404607</v>
      </c>
    </row>
    <row r="34" spans="2:14" x14ac:dyDescent="0.25">
      <c r="B34" s="278" t="s">
        <v>251</v>
      </c>
      <c r="C34" s="264"/>
      <c r="F34" s="262">
        <f>SUBTOTAL(9,F32:F33)</f>
        <v>45071.257026333376</v>
      </c>
      <c r="G34" s="262">
        <f>SUBTOTAL(9,G32:G33)</f>
        <v>46154.625551414036</v>
      </c>
      <c r="H34" s="79">
        <f t="shared" ref="H34" si="44">SUBTOTAL(9,H32:H33)</f>
        <v>43710.290476813447</v>
      </c>
      <c r="I34" s="262">
        <f t="shared" ref="I34" si="45">SUBTOTAL(9,I32:I33)</f>
        <v>25791.625600375497</v>
      </c>
      <c r="J34" s="262">
        <f t="shared" ref="J34" si="46">SUBTOTAL(9,J32:J33)</f>
        <v>44568.472190274748</v>
      </c>
      <c r="K34" s="262">
        <f t="shared" ref="K34" si="47">SUBTOTAL(9,K32:K33)</f>
        <v>44822.677848366875</v>
      </c>
      <c r="L34" s="262">
        <f t="shared" ref="L34" si="48">SUBTOTAL(9,L32:L33)</f>
        <v>45343.870409838753</v>
      </c>
      <c r="M34" s="262">
        <f t="shared" ref="M34:N34" si="49">SUBTOTAL(9,M32:M33)</f>
        <v>45707.615721556591</v>
      </c>
      <c r="N34" s="262">
        <f t="shared" si="49"/>
        <v>206234.26177041247</v>
      </c>
    </row>
    <row r="35" spans="2:14" x14ac:dyDescent="0.25">
      <c r="B35" s="266" t="s">
        <v>40</v>
      </c>
      <c r="C35" s="267">
        <v>1015</v>
      </c>
      <c r="F35" s="269">
        <f>F17*0.5+E17*0.5</f>
        <v>2254.1228719224446</v>
      </c>
      <c r="G35" s="269">
        <f>G17*0.5+F17*0.5</f>
        <v>5813.0673575696856</v>
      </c>
      <c r="H35" s="81">
        <f>H17+0.5*G17</f>
        <v>8158.3656865971188</v>
      </c>
      <c r="I35" s="269">
        <f>I17</f>
        <v>16429.034914362579</v>
      </c>
      <c r="J35" s="269">
        <f>J17</f>
        <v>16555.250606240839</v>
      </c>
      <c r="K35" s="269">
        <f>K17</f>
        <v>16580.859886778362</v>
      </c>
      <c r="L35" s="269">
        <f>L17</f>
        <v>16618.553772494266</v>
      </c>
      <c r="M35" s="269">
        <f>M17</f>
        <v>16667.518078447029</v>
      </c>
      <c r="N35" s="269">
        <f>SUM(I35:M35)</f>
        <v>82851.217258323071</v>
      </c>
    </row>
    <row r="36" spans="2:14" x14ac:dyDescent="0.25">
      <c r="B36" s="250" t="s">
        <v>254</v>
      </c>
      <c r="C36" s="270"/>
      <c r="F36" s="271">
        <f>SUBTOTAL(9,F24:F35)</f>
        <v>99648.872046475357</v>
      </c>
      <c r="G36" s="271">
        <f>SUBTOTAL(9,G24:G35)</f>
        <v>102952.85736479603</v>
      </c>
      <c r="H36" s="83">
        <f t="shared" ref="H36" si="50">SUBTOTAL(9,H24:H35)</f>
        <v>99101.379730171553</v>
      </c>
      <c r="I36" s="271">
        <f t="shared" ref="I36" si="51">SUBTOTAL(9,I24:I35)</f>
        <v>69181.851344919691</v>
      </c>
      <c r="J36" s="271">
        <f t="shared" ref="J36" si="52">SUBTOTAL(9,J24:J35)</f>
        <v>107273.15193948147</v>
      </c>
      <c r="K36" s="271">
        <f t="shared" ref="K36" si="53">SUBTOTAL(9,K24:K35)</f>
        <v>107349.24748762605</v>
      </c>
      <c r="L36" s="271">
        <f t="shared" ref="L36" si="54">SUBTOTAL(9,L24:L35)</f>
        <v>107995.01545908154</v>
      </c>
      <c r="M36" s="271">
        <f t="shared" ref="M36:N36" si="55">SUBTOTAL(9,M24:M35)</f>
        <v>108632.23876821579</v>
      </c>
      <c r="N36" s="271">
        <f t="shared" si="55"/>
        <v>500431.50499932456</v>
      </c>
    </row>
    <row r="37" spans="2:14" x14ac:dyDescent="0.25">
      <c r="F37" s="41" t="b">
        <f>ROUND(F36,5)=ROUND(F18*0.5+E18*0.5,5)</f>
        <v>1</v>
      </c>
      <c r="G37" s="41" t="b">
        <f>ROUND(G36,5)=ROUND(G18*0.5+F18*0.5,5)</f>
        <v>1</v>
      </c>
      <c r="H37" s="41" t="b">
        <f>ROUND(H36,5)=ROUND(H18+0.5*G18,5)</f>
        <v>1</v>
      </c>
      <c r="I37" s="41" t="b">
        <f>I36=I18</f>
        <v>1</v>
      </c>
      <c r="J37" s="41" t="b">
        <f>J36=J18</f>
        <v>1</v>
      </c>
      <c r="K37" s="41" t="b">
        <f>K36=K18</f>
        <v>1</v>
      </c>
      <c r="L37" s="41" t="b">
        <f>L36=L18</f>
        <v>1</v>
      </c>
      <c r="M37" s="41" t="b">
        <f>M36=M18</f>
        <v>1</v>
      </c>
    </row>
    <row r="39" spans="2:14" x14ac:dyDescent="0.25">
      <c r="B39" s="68" t="s">
        <v>248</v>
      </c>
      <c r="G39" s="69"/>
    </row>
    <row r="40" spans="2:14" x14ac:dyDescent="0.25">
      <c r="B40" s="41" t="s">
        <v>286</v>
      </c>
      <c r="N40" s="70" t="s">
        <v>224</v>
      </c>
    </row>
    <row r="41" spans="2:14" x14ac:dyDescent="0.25">
      <c r="B41" s="68" t="s">
        <v>42</v>
      </c>
      <c r="C41" s="70" t="s">
        <v>41</v>
      </c>
      <c r="D41" s="70"/>
      <c r="E41" s="70"/>
      <c r="F41" s="70" t="s">
        <v>322</v>
      </c>
      <c r="G41" s="70" t="s">
        <v>252</v>
      </c>
      <c r="H41" s="70" t="s">
        <v>253</v>
      </c>
      <c r="I41" s="71" t="s">
        <v>100</v>
      </c>
      <c r="J41" s="70" t="s">
        <v>101</v>
      </c>
      <c r="K41" s="70" t="s">
        <v>102</v>
      </c>
      <c r="L41" s="70" t="s">
        <v>147</v>
      </c>
      <c r="M41" s="70" t="s">
        <v>220</v>
      </c>
      <c r="N41" s="70" t="s">
        <v>4</v>
      </c>
    </row>
    <row r="42" spans="2:14" x14ac:dyDescent="0.25">
      <c r="B42" s="253" t="s">
        <v>37</v>
      </c>
      <c r="C42" s="254">
        <v>1013</v>
      </c>
      <c r="D42" s="254"/>
      <c r="E42" s="254"/>
      <c r="F42" s="283">
        <f>Direct_view!F24*CPI_adj_Jun21</f>
        <v>11293.103871504756</v>
      </c>
      <c r="G42" s="283">
        <f>Direct_view!G24*CPI_adj_Jun21</f>
        <v>10761.977547251483</v>
      </c>
      <c r="H42" s="257">
        <f>Direct_view!H24*CPI_adj_Jun21</f>
        <v>11533.76537185537</v>
      </c>
      <c r="I42" s="280">
        <f>Direct_view!I24*CPI_adj_Jun21</f>
        <v>6731.7544029472956</v>
      </c>
      <c r="J42" s="257">
        <f>Direct_view!J24*CPI_adj_Jun21</f>
        <v>11704.329625952652</v>
      </c>
      <c r="K42" s="257">
        <f>Direct_view!K24*CPI_adj_Jun21</f>
        <v>11769.611980209091</v>
      </c>
      <c r="L42" s="257">
        <f>Direct_view!L24*CPI_adj_Jun21</f>
        <v>11905.373939333233</v>
      </c>
      <c r="M42" s="257">
        <f>Direct_view!M24*CPI_adj_Jun21</f>
        <v>12002.468420708525</v>
      </c>
      <c r="N42" s="281">
        <f>SUM(I42:M42)</f>
        <v>54113.538369150789</v>
      </c>
    </row>
    <row r="43" spans="2:14" x14ac:dyDescent="0.25">
      <c r="B43" s="258"/>
      <c r="C43" s="259">
        <v>1016</v>
      </c>
      <c r="D43" s="259"/>
      <c r="E43" s="259"/>
      <c r="F43" s="284">
        <f>Direct_view!F25*CPI_adj_Jun21</f>
        <v>843.42079043583396</v>
      </c>
      <c r="G43" s="284">
        <f>Direct_view!G25*CPI_adj_Jun21</f>
        <v>731.92827992034609</v>
      </c>
      <c r="H43" s="85">
        <f>Direct_view!H25*CPI_adj_Jun21</f>
        <v>735.41144607208525</v>
      </c>
      <c r="I43" s="78">
        <f>Direct_view!I25*CPI_adj_Jun21</f>
        <v>735.95941960308244</v>
      </c>
      <c r="J43" s="85">
        <f>Direct_view!J25*CPI_adj_Jun21</f>
        <v>736.29632632763571</v>
      </c>
      <c r="K43" s="85">
        <f>Direct_view!K25*CPI_adj_Jun21</f>
        <v>736.74080595602732</v>
      </c>
      <c r="L43" s="85">
        <f>Direct_view!L25*CPI_adj_Jun21</f>
        <v>737.4232551181417</v>
      </c>
      <c r="M43" s="85">
        <f>Direct_view!M25*CPI_adj_Jun21</f>
        <v>738.33038023426479</v>
      </c>
      <c r="N43" s="86">
        <f>SUM(I43:M43)</f>
        <v>3684.7501872391522</v>
      </c>
    </row>
    <row r="44" spans="2:14" x14ac:dyDescent="0.25">
      <c r="B44" s="258"/>
      <c r="C44" s="259">
        <v>1018</v>
      </c>
      <c r="D44" s="259"/>
      <c r="E44" s="259"/>
      <c r="F44" s="284">
        <f>Direct_view!F26*CPI_adj_Jun21</f>
        <v>7971.9003531648259</v>
      </c>
      <c r="G44" s="284">
        <f>Direct_view!G26*CPI_adj_Jun21</f>
        <v>7353.3387820769431</v>
      </c>
      <c r="H44" s="85">
        <f>Direct_view!H26*CPI_adj_Jun21</f>
        <v>6646.4977965181588</v>
      </c>
      <c r="I44" s="78">
        <f>Direct_view!I26*CPI_adj_Jun21</f>
        <v>3882.0536479365496</v>
      </c>
      <c r="J44" s="85">
        <f>Direct_view!J26*CPI_adj_Jun21</f>
        <v>6752.6041879117956</v>
      </c>
      <c r="K44" s="85">
        <f>Direct_view!K26*CPI_adj_Jun21</f>
        <v>6794.2144417014006</v>
      </c>
      <c r="L44" s="85">
        <f>Direct_view!L26*CPI_adj_Jun21</f>
        <v>6878.7104302539774</v>
      </c>
      <c r="M44" s="85">
        <f>Direct_view!M26*CPI_adj_Jun21</f>
        <v>6943.0089080389871</v>
      </c>
      <c r="N44" s="86">
        <f>SUM(I44:M44)</f>
        <v>31250.59161584271</v>
      </c>
    </row>
    <row r="45" spans="2:14" x14ac:dyDescent="0.25">
      <c r="B45" s="258"/>
      <c r="C45" s="259">
        <v>1019</v>
      </c>
      <c r="D45" s="259"/>
      <c r="E45" s="259"/>
      <c r="F45" s="285">
        <f>Direct_view!F27*CPI_adj_Jun21</f>
        <v>3912.7936972411176</v>
      </c>
      <c r="G45" s="285">
        <f>Direct_view!G27*CPI_adj_Jun21</f>
        <v>4374.3359241323833</v>
      </c>
      <c r="H45" s="79">
        <f>Direct_view!H27*CPI_adj_Jun21</f>
        <v>4597.0361818628098</v>
      </c>
      <c r="I45" s="80">
        <f>Direct_view!I27*CPI_adj_Jun21</f>
        <v>2683.8821056139805</v>
      </c>
      <c r="J45" s="79">
        <f>Direct_view!J27*CPI_adj_Jun21</f>
        <v>4667.2454710611264</v>
      </c>
      <c r="K45" s="79">
        <f>Direct_view!K27*CPI_adj_Jun21</f>
        <v>4694.4021916236188</v>
      </c>
      <c r="L45" s="79">
        <f>Direct_view!L27*CPI_adj_Jun21</f>
        <v>4750.2971599099437</v>
      </c>
      <c r="M45" s="79">
        <f>Direct_view!M27*CPI_adj_Jun21</f>
        <v>4791.3744974667106</v>
      </c>
      <c r="N45" s="241">
        <f>SUM(I45:M45)</f>
        <v>21587.201425675379</v>
      </c>
    </row>
    <row r="46" spans="2:14" x14ac:dyDescent="0.25">
      <c r="B46" s="278" t="s">
        <v>251</v>
      </c>
      <c r="C46" s="264"/>
      <c r="D46" s="264"/>
      <c r="E46" s="264"/>
      <c r="F46" s="334">
        <f t="shared" ref="F46" si="56">SUBTOTAL(9,F42:F45)</f>
        <v>24021.218712346534</v>
      </c>
      <c r="G46" s="334">
        <f t="shared" ref="G46:N46" si="57">SUBTOTAL(9,G42:G45)</f>
        <v>23221.580533381159</v>
      </c>
      <c r="H46" s="79">
        <f t="shared" si="57"/>
        <v>23512.71079630842</v>
      </c>
      <c r="I46" s="80">
        <f t="shared" si="57"/>
        <v>14033.649576100908</v>
      </c>
      <c r="J46" s="79">
        <f t="shared" si="57"/>
        <v>23860.475611253212</v>
      </c>
      <c r="K46" s="79">
        <f t="shared" si="57"/>
        <v>23994.969419490139</v>
      </c>
      <c r="L46" s="79">
        <f t="shared" si="57"/>
        <v>24271.804784615295</v>
      </c>
      <c r="M46" s="79">
        <f t="shared" si="57"/>
        <v>24475.182206448488</v>
      </c>
      <c r="N46" s="241">
        <f t="shared" si="57"/>
        <v>110636.08159790802</v>
      </c>
    </row>
    <row r="47" spans="2:14" x14ac:dyDescent="0.25">
      <c r="B47" s="253" t="s">
        <v>38</v>
      </c>
      <c r="C47" s="254">
        <v>1014</v>
      </c>
      <c r="D47" s="254"/>
      <c r="E47" s="254"/>
      <c r="F47" s="283">
        <f>Direct_view!F29*CPI_adj_Jun21</f>
        <v>31336.673604630647</v>
      </c>
      <c r="G47" s="283">
        <f>Direct_view!G29*CPI_adj_Jun21</f>
        <v>30730.361413336333</v>
      </c>
      <c r="H47" s="257">
        <f>Direct_view!H29*CPI_adj_Jun21</f>
        <v>26462.066891126367</v>
      </c>
      <c r="I47" s="280">
        <f>Direct_view!I29*CPI_adj_Jun21</f>
        <v>14457.618876176721</v>
      </c>
      <c r="J47" s="257">
        <f>Direct_view!J29*CPI_adj_Jun21</f>
        <v>24966.145535642157</v>
      </c>
      <c r="K47" s="257">
        <f>Direct_view!K29*CPI_adj_Jun21</f>
        <v>24615.703767145053</v>
      </c>
      <c r="L47" s="257">
        <f>Direct_view!L29*CPI_adj_Jun21</f>
        <v>24430.868233505167</v>
      </c>
      <c r="M47" s="257">
        <f>Direct_view!M29*CPI_adj_Jun21</f>
        <v>24465.326063454275</v>
      </c>
      <c r="N47" s="281">
        <f>SUM(I47:M47)</f>
        <v>112935.66247592337</v>
      </c>
    </row>
    <row r="48" spans="2:14" x14ac:dyDescent="0.25">
      <c r="B48" s="258"/>
      <c r="C48" s="259">
        <v>1016</v>
      </c>
      <c r="D48" s="259"/>
      <c r="E48" s="259"/>
      <c r="F48" s="285">
        <f>Direct_view!F30*CPI_adj_Jun21</f>
        <v>93.713421159537106</v>
      </c>
      <c r="G48" s="285">
        <f>Direct_view!G30*CPI_adj_Jun21</f>
        <v>81.325364435594025</v>
      </c>
      <c r="H48" s="79">
        <f>Direct_view!H30*CPI_adj_Jun21</f>
        <v>81.712382896898362</v>
      </c>
      <c r="I48" s="80">
        <f>Direct_view!I30*CPI_adj_Jun21</f>
        <v>81.773268844786941</v>
      </c>
      <c r="J48" s="79">
        <f>Direct_view!J30*CPI_adj_Jun21</f>
        <v>81.810702925292873</v>
      </c>
      <c r="K48" s="79">
        <f>Direct_view!K30*CPI_adj_Jun21</f>
        <v>81.860089550669699</v>
      </c>
      <c r="L48" s="79">
        <f>Direct_view!L30*CPI_adj_Jun21</f>
        <v>81.935917235349081</v>
      </c>
      <c r="M48" s="79">
        <f>Direct_view!M30*CPI_adj_Jun21</f>
        <v>82.036708914918307</v>
      </c>
      <c r="N48" s="241">
        <f>SUM(I48:M48)</f>
        <v>409.41668747101687</v>
      </c>
    </row>
    <row r="49" spans="2:14" x14ac:dyDescent="0.25">
      <c r="B49" s="278" t="s">
        <v>251</v>
      </c>
      <c r="C49" s="264"/>
      <c r="D49" s="264"/>
      <c r="E49" s="264"/>
      <c r="F49" s="285">
        <f t="shared" ref="F49" si="58">SUBTOTAL(9,F47:F48)</f>
        <v>31430.387025790184</v>
      </c>
      <c r="G49" s="285">
        <f t="shared" ref="G49:N49" si="59">SUBTOTAL(9,G47:G48)</f>
        <v>30811.686777771927</v>
      </c>
      <c r="H49" s="79">
        <f t="shared" si="59"/>
        <v>26543.779274023265</v>
      </c>
      <c r="I49" s="80">
        <f t="shared" si="59"/>
        <v>14539.392145021508</v>
      </c>
      <c r="J49" s="79">
        <f t="shared" si="59"/>
        <v>25047.956238567451</v>
      </c>
      <c r="K49" s="79">
        <f t="shared" si="59"/>
        <v>24697.56385669572</v>
      </c>
      <c r="L49" s="79">
        <f t="shared" si="59"/>
        <v>24512.804150740518</v>
      </c>
      <c r="M49" s="79">
        <f t="shared" si="59"/>
        <v>24547.362772369193</v>
      </c>
      <c r="N49" s="241">
        <f t="shared" si="59"/>
        <v>113345.07916339439</v>
      </c>
    </row>
    <row r="50" spans="2:14" x14ac:dyDescent="0.25">
      <c r="B50" s="253" t="s">
        <v>39</v>
      </c>
      <c r="C50" s="254">
        <v>1012</v>
      </c>
      <c r="D50" s="254"/>
      <c r="E50" s="254"/>
      <c r="F50" s="283">
        <f>Direct_view!F32*CPI_adj_Jun21</f>
        <v>46088.890584532761</v>
      </c>
      <c r="G50" s="283">
        <f>Direct_view!G32*CPI_adj_Jun21</f>
        <v>47039.223524884183</v>
      </c>
      <c r="H50" s="257">
        <f>Direct_view!H32*CPI_adj_Jun21</f>
        <v>44353.313077311177</v>
      </c>
      <c r="I50" s="280">
        <f>Direct_view!I32*CPI_adj_Jun21</f>
        <v>26183.319882827374</v>
      </c>
      <c r="J50" s="257">
        <f>Direct_view!J32*CPI_adj_Jun21</f>
        <v>45232.710728307393</v>
      </c>
      <c r="K50" s="257">
        <f>Direct_view!K32*CPI_adj_Jun21</f>
        <v>45490.475251771997</v>
      </c>
      <c r="L50" s="257">
        <f>Direct_view!L32*CPI_adj_Jun21</f>
        <v>46018.871862052081</v>
      </c>
      <c r="M50" s="257">
        <f>Direct_view!M32*CPI_adj_Jun21</f>
        <v>46386.75879150859</v>
      </c>
      <c r="N50" s="281">
        <f>SUM(I50:M50)</f>
        <v>209312.13651646746</v>
      </c>
    </row>
    <row r="51" spans="2:14" x14ac:dyDescent="0.25">
      <c r="B51" s="258"/>
      <c r="C51" s="259">
        <v>1019</v>
      </c>
      <c r="D51" s="259"/>
      <c r="E51" s="259"/>
      <c r="F51" s="285">
        <f>Direct_view!F33*CPI_adj_Jun21</f>
        <v>1676.9115845319075</v>
      </c>
      <c r="G51" s="285">
        <f>Direct_view!G33*CPI_adj_Jun21</f>
        <v>1874.7153960567357</v>
      </c>
      <c r="H51" s="79">
        <f>Direct_view!H33*CPI_adj_Jun21</f>
        <v>1970.1583636554899</v>
      </c>
      <c r="I51" s="80">
        <f>Direct_view!I33*CPI_adj_Jun21</f>
        <v>1150.2351881202776</v>
      </c>
      <c r="J51" s="79">
        <f>Direct_view!J33*CPI_adj_Jun21</f>
        <v>2000.2480590261971</v>
      </c>
      <c r="K51" s="79">
        <f>Direct_view!K33*CPI_adj_Jun21</f>
        <v>2011.8866535529794</v>
      </c>
      <c r="L51" s="79">
        <f>Direct_view!L33*CPI_adj_Jun21</f>
        <v>2035.8416399614048</v>
      </c>
      <c r="M51" s="79">
        <f>Direct_view!M33*CPI_adj_Jun21</f>
        <v>2053.446213200019</v>
      </c>
      <c r="N51" s="241">
        <f>SUM(I51:M51)</f>
        <v>9251.6577538608781</v>
      </c>
    </row>
    <row r="52" spans="2:14" x14ac:dyDescent="0.25">
      <c r="B52" s="278" t="s">
        <v>251</v>
      </c>
      <c r="C52" s="264"/>
      <c r="D52" s="264"/>
      <c r="E52" s="264"/>
      <c r="F52" s="285">
        <f t="shared" ref="F52" si="60">SUBTOTAL(9,F50:F51)</f>
        <v>47765.802169064671</v>
      </c>
      <c r="G52" s="285">
        <f t="shared" ref="G52:N52" si="61">SUBTOTAL(9,G50:G51)</f>
        <v>48913.93892094092</v>
      </c>
      <c r="H52" s="79">
        <f t="shared" si="61"/>
        <v>46323.47144096667</v>
      </c>
      <c r="I52" s="80">
        <f t="shared" si="61"/>
        <v>27333.555070947652</v>
      </c>
      <c r="J52" s="79">
        <f t="shared" si="61"/>
        <v>47232.958787333591</v>
      </c>
      <c r="K52" s="79">
        <f t="shared" si="61"/>
        <v>47502.361905324979</v>
      </c>
      <c r="L52" s="79">
        <f t="shared" si="61"/>
        <v>48054.713502013488</v>
      </c>
      <c r="M52" s="79">
        <f t="shared" si="61"/>
        <v>48440.205004708609</v>
      </c>
      <c r="N52" s="241">
        <f t="shared" si="61"/>
        <v>218563.79427032833</v>
      </c>
    </row>
    <row r="53" spans="2:14" x14ac:dyDescent="0.25">
      <c r="B53" s="266" t="s">
        <v>40</v>
      </c>
      <c r="C53" s="267">
        <v>1015</v>
      </c>
      <c r="D53" s="267"/>
      <c r="E53" s="267"/>
      <c r="F53" s="286">
        <f>Direct_view!F35*CPI_adj_Jun21</f>
        <v>2388.883609394431</v>
      </c>
      <c r="G53" s="286">
        <f>Direct_view!G35*CPI_adj_Jun21</f>
        <v>6160.5964358813371</v>
      </c>
      <c r="H53" s="81">
        <f>Direct_view!H35*CPI_adj_Jun21</f>
        <v>8646.1063462508318</v>
      </c>
      <c r="I53" s="282">
        <f>Direct_view!I35*CPI_adj_Jun21</f>
        <v>17411.230201314393</v>
      </c>
      <c r="J53" s="81">
        <f>Direct_view!J35*CPI_adj_Jun21</f>
        <v>17544.991586433211</v>
      </c>
      <c r="K53" s="81">
        <f>Direct_view!K35*CPI_adj_Jun21</f>
        <v>17572.131895103383</v>
      </c>
      <c r="L53" s="81">
        <f>Direct_view!L35*CPI_adj_Jun21</f>
        <v>17612.079276358741</v>
      </c>
      <c r="M53" s="81">
        <f>Direct_view!M35*CPI_adj_Jun21</f>
        <v>17663.970869932862</v>
      </c>
      <c r="N53" s="87">
        <f>SUM(I53:M53)</f>
        <v>87804.403829142597</v>
      </c>
    </row>
    <row r="54" spans="2:14" x14ac:dyDescent="0.25">
      <c r="B54" s="250" t="s">
        <v>247</v>
      </c>
      <c r="C54" s="287"/>
      <c r="D54" s="287"/>
      <c r="E54" s="287"/>
      <c r="F54" s="83">
        <f t="shared" ref="F54" si="62">SUBTOTAL(9,F42:F53)</f>
        <v>105606.29151659581</v>
      </c>
      <c r="G54" s="83">
        <f t="shared" ref="G54:N54" si="63">SUBTOTAL(9,G42:G53)</f>
        <v>109107.80266797534</v>
      </c>
      <c r="H54" s="83">
        <f t="shared" si="63"/>
        <v>105026.06785754919</v>
      </c>
      <c r="I54" s="82">
        <f t="shared" si="63"/>
        <v>73317.826993384457</v>
      </c>
      <c r="J54" s="83">
        <f t="shared" si="63"/>
        <v>113686.38222358747</v>
      </c>
      <c r="K54" s="83">
        <f t="shared" si="63"/>
        <v>113767.02707661423</v>
      </c>
      <c r="L54" s="83">
        <f t="shared" si="63"/>
        <v>114451.40171372803</v>
      </c>
      <c r="M54" s="83">
        <f t="shared" si="63"/>
        <v>115126.72085345915</v>
      </c>
      <c r="N54" s="288">
        <f t="shared" si="63"/>
        <v>530349.35886077338</v>
      </c>
    </row>
    <row r="55" spans="2:14" x14ac:dyDescent="0.25">
      <c r="B55" s="41" t="s">
        <v>78</v>
      </c>
      <c r="F55" s="289">
        <f>F54-Direct_view!F36*CPI_adj_Jun21</f>
        <v>0</v>
      </c>
      <c r="G55" s="289">
        <f>G54-Direct_view!G36*CPI_adj_Jun21</f>
        <v>0</v>
      </c>
      <c r="H55" s="77">
        <f>H54-Direct_view!H36*CPI_adj_Jun21</f>
        <v>0</v>
      </c>
      <c r="I55" s="78">
        <f>I54-Direct_view!I36*CPI_adj_Jun21</f>
        <v>0</v>
      </c>
      <c r="J55" s="77">
        <f>J54-Direct_view!J36*CPI_adj_Jun21</f>
        <v>0</v>
      </c>
      <c r="K55" s="77">
        <f>K54-Direct_view!K36*CPI_adj_Jun21</f>
        <v>0</v>
      </c>
      <c r="L55" s="77">
        <f>L54-Direct_view!L36*CPI_adj_Jun21</f>
        <v>0</v>
      </c>
      <c r="M55" s="77">
        <f>M54-Direct_view!M36*CPI_adj_Jun21</f>
        <v>0</v>
      </c>
      <c r="N55" s="77">
        <f>N54-Direct_view!N36*CPI_adj_Jun21</f>
        <v>0</v>
      </c>
    </row>
    <row r="59" spans="2:14" x14ac:dyDescent="0.25">
      <c r="G59" s="279"/>
    </row>
  </sheetData>
  <mergeCells count="2">
    <mergeCell ref="I4:M4"/>
    <mergeCell ref="I22:M22"/>
  </mergeCells>
  <hyperlinks>
    <hyperlink ref="B1" location="Contents!A1" display="Table of Contents" xr:uid="{00000000-0004-0000-15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N37"/>
  <sheetViews>
    <sheetView zoomScale="85" zoomScaleNormal="85" workbookViewId="0">
      <selection activeCell="L19" sqref="L19"/>
    </sheetView>
  </sheetViews>
  <sheetFormatPr defaultColWidth="9.140625" defaultRowHeight="15" outlineLevelCol="1" x14ac:dyDescent="0.25"/>
  <cols>
    <col min="1" max="1" width="4.7109375" style="41" customWidth="1"/>
    <col min="2" max="2" width="28.42578125" style="41" customWidth="1"/>
    <col min="3" max="3" width="8.28515625" style="41" customWidth="1"/>
    <col min="4" max="4" width="36.85546875" style="41" customWidth="1" outlineLevel="1"/>
    <col min="5" max="5" width="10.140625" style="41" customWidth="1" outlineLevel="1"/>
    <col min="6" max="7" width="9" style="41" bestFit="1" customWidth="1"/>
    <col min="8" max="8" width="9.5703125" style="41" bestFit="1" customWidth="1"/>
    <col min="9" max="13" width="9" style="41" bestFit="1" customWidth="1"/>
    <col min="14" max="14" width="11" style="41" customWidth="1"/>
    <col min="15" max="15" width="10.85546875" style="41" customWidth="1"/>
    <col min="16" max="16384" width="9.140625" style="41"/>
  </cols>
  <sheetData>
    <row r="1" spans="2:13" x14ac:dyDescent="0.25">
      <c r="B1" s="67" t="s">
        <v>70</v>
      </c>
    </row>
    <row r="3" spans="2:13" x14ac:dyDescent="0.25">
      <c r="B3" s="68" t="s">
        <v>272</v>
      </c>
    </row>
    <row r="4" spans="2:13" x14ac:dyDescent="0.25">
      <c r="B4" s="41" t="s">
        <v>286</v>
      </c>
      <c r="I4" s="618" t="s">
        <v>323</v>
      </c>
      <c r="J4" s="619"/>
      <c r="K4" s="619"/>
      <c r="L4" s="619"/>
      <c r="M4" s="620"/>
    </row>
    <row r="5" spans="2:13" x14ac:dyDescent="0.25">
      <c r="B5" s="250" t="s">
        <v>42</v>
      </c>
      <c r="C5" s="55" t="s">
        <v>41</v>
      </c>
      <c r="D5" s="251"/>
      <c r="E5" s="55" t="s">
        <v>10</v>
      </c>
      <c r="F5" s="55" t="s">
        <v>11</v>
      </c>
      <c r="G5" s="252" t="s">
        <v>12</v>
      </c>
      <c r="H5" s="55" t="s">
        <v>219</v>
      </c>
      <c r="I5" s="55" t="s">
        <v>100</v>
      </c>
      <c r="J5" s="55" t="s">
        <v>101</v>
      </c>
      <c r="K5" s="55" t="s">
        <v>102</v>
      </c>
      <c r="L5" s="55" t="s">
        <v>147</v>
      </c>
      <c r="M5" s="55" t="s">
        <v>220</v>
      </c>
    </row>
    <row r="6" spans="2:13" x14ac:dyDescent="0.25">
      <c r="B6" s="253" t="s">
        <v>37</v>
      </c>
      <c r="C6" s="254">
        <v>1013</v>
      </c>
      <c r="D6" s="255" t="str">
        <f>VLOOKUP(C6,Assumptions!$B$8:$C$14,2,FALSE)</f>
        <v>UNDERGROUND SERVICE INSTALLATION</v>
      </c>
      <c r="E6" s="302">
        <f>INDEX(Summary_Output!$C$22:$N$31,MATCH(CapCon_view!$D6,Summary_Output!$B$22:$B$31,0),MATCH(CapCon_view!E$5,Summary_Output!$C$21:$N$21,0))*Direct_view!$O6</f>
        <v>5506.1354176412178</v>
      </c>
      <c r="F6" s="302">
        <f>INDEX(Summary_Output!$C$22:$N$31,MATCH(CapCon_view!$D6,Summary_Output!$B$22:$B$31,0),MATCH(CapCon_view!F$5,Summary_Output!$C$21:$N$21,0))*Direct_view!$O6</f>
        <v>5711.7624384829187</v>
      </c>
      <c r="G6" s="257">
        <f>INDEX(Summary_Output!$C$22:$N$31,MATCH(CapCon_view!$D6,Summary_Output!$B$22:$B$31,0),MATCH(CapCon_view!G$5,Summary_Output!$C$21:$N$21,0))*Direct_view!$O6</f>
        <v>5486.1119672185268</v>
      </c>
      <c r="H6" s="256">
        <f>INDEX(Summary_Output!$C$22:$N$31,MATCH(CapCon_view!$D6,Summary_Output!$B$22:$B$31,0),MATCH(CapCon_view!H$5,Summary_Output!$C$21:$N$21,0))*Direct_view!$O6</f>
        <v>2891.6423968420636</v>
      </c>
      <c r="I6" s="256">
        <f>INDEX(Summary_Output!$C$22:$N$31,MATCH(CapCon_view!$D6,Summary_Output!$B$22:$B$31,0),MATCH(CapCon_view!I$5,Summary_Output!$C$21:$N$21,0))*Direct_view!$O6</f>
        <v>1799.993268827928</v>
      </c>
      <c r="J6" s="256">
        <f>INDEX(Summary_Output!$C$22:$N$31,MATCH(CapCon_view!$D6,Summary_Output!$B$22:$B$31,0),MATCH(CapCon_view!J$5,Summary_Output!$C$21:$N$21,0))*Direct_view!$O6</f>
        <v>3100.9086376240061</v>
      </c>
      <c r="K6" s="256">
        <f>INDEX(Summary_Output!$C$22:$N$31,MATCH(CapCon_view!$D6,Summary_Output!$B$22:$B$31,0),MATCH(CapCon_view!K$5,Summary_Output!$C$21:$N$21,0))*Direct_view!$O6</f>
        <v>3154.0322657350162</v>
      </c>
      <c r="L6" s="256">
        <f>INDEX(Summary_Output!$C$22:$N$31,MATCH(CapCon_view!$D6,Summary_Output!$B$22:$B$31,0),MATCH(CapCon_view!L$5,Summary_Output!$C$21:$N$21,0))*Direct_view!$O6</f>
        <v>3210.7882887928781</v>
      </c>
      <c r="M6" s="256">
        <f>INDEX(Summary_Output!$C$22:$N$31,MATCH(CapCon_view!$D6,Summary_Output!$B$22:$B$31,0),MATCH(CapCon_view!M$5,Summary_Output!$C$21:$N$21,0))*Direct_view!$O6</f>
        <v>3246.4308573329949</v>
      </c>
    </row>
    <row r="7" spans="2:13" x14ac:dyDescent="0.25">
      <c r="B7" s="258"/>
      <c r="C7" s="259">
        <v>1016</v>
      </c>
      <c r="D7" s="260" t="str">
        <f>VLOOKUP(C7,Assumptions!$B$8:$C$14,2,FALSE)</f>
        <v>PRIVATE ELECTRIC LINE REPLACEMENT - RESIDENTIAL</v>
      </c>
      <c r="E7" s="261">
        <f>INDEX(Summary_Output!$C$22:$N$31,MATCH(CapCon_view!$D7,Summary_Output!$B$22:$B$31,0),MATCH(CapCon_view!E$5,Summary_Output!$C$21:$N$21,0))*Direct_view!$O7</f>
        <v>29.88855086131629</v>
      </c>
      <c r="F7" s="261">
        <f>INDEX(Summary_Output!$C$22:$N$31,MATCH(CapCon_view!$D7,Summary_Output!$B$22:$B$31,0),MATCH(CapCon_view!F$5,Summary_Output!$C$21:$N$21,0))*Direct_view!$O7</f>
        <v>5.6579975914313723</v>
      </c>
      <c r="G7" s="85">
        <f>INDEX(Summary_Output!$C$22:$N$31,MATCH(CapCon_view!$D7,Summary_Output!$B$22:$B$31,0),MATCH(CapCon_view!G$5,Summary_Output!$C$21:$N$21,0))*Direct_view!$O7</f>
        <v>13.87726892925053</v>
      </c>
      <c r="H7" s="261">
        <f>INDEX(Summary_Output!$C$22:$N$31,MATCH(CapCon_view!$D7,Summary_Output!$B$22:$B$31,0),MATCH(CapCon_view!H$5,Summary_Output!$C$21:$N$21,0))*Direct_view!$O7</f>
        <v>7.0213099626332092</v>
      </c>
      <c r="I7" s="261">
        <f>INDEX(Summary_Output!$C$22:$N$31,MATCH(CapCon_view!$D7,Summary_Output!$B$22:$B$31,0),MATCH(CapCon_view!I$5,Summary_Output!$C$21:$N$21,0))*Direct_view!$O7</f>
        <v>0</v>
      </c>
      <c r="J7" s="261">
        <f>INDEX(Summary_Output!$C$22:$N$31,MATCH(CapCon_view!$D7,Summary_Output!$B$22:$B$31,0),MATCH(CapCon_view!J$5,Summary_Output!$C$21:$N$21,0))*Direct_view!$O7</f>
        <v>0</v>
      </c>
      <c r="K7" s="261">
        <f>INDEX(Summary_Output!$C$22:$N$31,MATCH(CapCon_view!$D7,Summary_Output!$B$22:$B$31,0),MATCH(CapCon_view!K$5,Summary_Output!$C$21:$N$21,0))*Direct_view!$O7</f>
        <v>0</v>
      </c>
      <c r="L7" s="261">
        <f>INDEX(Summary_Output!$C$22:$N$31,MATCH(CapCon_view!$D7,Summary_Output!$B$22:$B$31,0),MATCH(CapCon_view!L$5,Summary_Output!$C$21:$N$21,0))*Direct_view!$O7</f>
        <v>0</v>
      </c>
      <c r="M7" s="261">
        <f>INDEX(Summary_Output!$C$22:$N$31,MATCH(CapCon_view!$D7,Summary_Output!$B$22:$B$31,0),MATCH(CapCon_view!M$5,Summary_Output!$C$21:$N$21,0))*Direct_view!$O7</f>
        <v>0</v>
      </c>
    </row>
    <row r="8" spans="2:13" x14ac:dyDescent="0.25">
      <c r="B8" s="258"/>
      <c r="C8" s="259">
        <v>1018</v>
      </c>
      <c r="D8" s="260" t="str">
        <f>VLOOKUP(C8,Assumptions!$B$8:$C$14,2,FALSE)</f>
        <v>COMPLEX RESIDENTIAL SUPPLY PROJECTS</v>
      </c>
      <c r="E8" s="261">
        <f>INDEX(Summary_Output!$C$22:$N$31,MATCH(CapCon_view!$D8,Summary_Output!$B$22:$B$31,0),MATCH(CapCon_view!E$5,Summary_Output!$C$21:$N$21,0))*Direct_view!$O8</f>
        <v>3738.9074046296441</v>
      </c>
      <c r="F8" s="261">
        <f>INDEX(Summary_Output!$C$22:$N$31,MATCH(CapCon_view!$D8,Summary_Output!$B$22:$B$31,0),MATCH(CapCon_view!F$5,Summary_Output!$C$21:$N$21,0))*Direct_view!$O8</f>
        <v>4408.4254415935857</v>
      </c>
      <c r="G8" s="85">
        <f>INDEX(Summary_Output!$C$22:$N$31,MATCH(CapCon_view!$D8,Summary_Output!$B$22:$B$31,0),MATCH(CapCon_view!G$5,Summary_Output!$C$21:$N$21,0))*Direct_view!$O8</f>
        <v>3170.3549686469696</v>
      </c>
      <c r="H8" s="261">
        <f>INDEX(Summary_Output!$C$22:$N$31,MATCH(CapCon_view!$D8,Summary_Output!$B$22:$B$31,0),MATCH(CapCon_view!H$5,Summary_Output!$C$21:$N$21,0))*Direct_view!$O8</f>
        <v>1671.1527623084412</v>
      </c>
      <c r="I8" s="261">
        <f>INDEX(Summary_Output!$C$22:$N$31,MATCH(CapCon_view!$D8,Summary_Output!$B$22:$B$31,0),MATCH(CapCon_view!I$5,Summary_Output!$C$21:$N$21,0))*Direct_view!$O8</f>
        <v>1684.2192673350999</v>
      </c>
      <c r="J8" s="261">
        <f>INDEX(Summary_Output!$C$22:$N$31,MATCH(CapCon_view!$D8,Summary_Output!$B$22:$B$31,0),MATCH(CapCon_view!J$5,Summary_Output!$C$21:$N$21,0))*Direct_view!$O8</f>
        <v>2902.7404230704815</v>
      </c>
      <c r="K8" s="261">
        <f>INDEX(Summary_Output!$C$22:$N$31,MATCH(CapCon_view!$D8,Summary_Output!$B$22:$B$31,0),MATCH(CapCon_view!K$5,Summary_Output!$C$21:$N$21,0))*Direct_view!$O8</f>
        <v>2954.1851944007567</v>
      </c>
      <c r="L8" s="261">
        <f>INDEX(Summary_Output!$C$22:$N$31,MATCH(CapCon_view!$D8,Summary_Output!$B$22:$B$31,0),MATCH(CapCon_view!L$5,Summary_Output!$C$21:$N$21,0))*Direct_view!$O8</f>
        <v>3010.025241413437</v>
      </c>
      <c r="M8" s="261">
        <f>INDEX(Summary_Output!$C$22:$N$31,MATCH(CapCon_view!$D8,Summary_Output!$B$22:$B$31,0),MATCH(CapCon_view!M$5,Summary_Output!$C$21:$N$21,0))*Direct_view!$O8</f>
        <v>3047.0374269167851</v>
      </c>
    </row>
    <row r="9" spans="2:13" x14ac:dyDescent="0.25">
      <c r="B9" s="258"/>
      <c r="C9" s="259">
        <v>1019</v>
      </c>
      <c r="D9" s="260" t="str">
        <f>VLOOKUP(C9,Assumptions!$B$8:$C$14,2,FALSE)</f>
        <v>LOW DENSITY HOUSING - SUBDIVISION</v>
      </c>
      <c r="E9" s="262">
        <f>INDEX(Summary_Output!$C$22:$N$31,MATCH(CapCon_view!$D9,Summary_Output!$B$22:$B$31,0),MATCH(CapCon_view!E$5,Summary_Output!$C$21:$N$21,0))*Direct_view!$O9</f>
        <v>2257.903430514652</v>
      </c>
      <c r="F9" s="262">
        <f>INDEX(Summary_Output!$C$22:$N$31,MATCH(CapCon_view!$D9,Summary_Output!$B$22:$B$31,0),MATCH(CapCon_view!F$5,Summary_Output!$C$21:$N$21,0))*Direct_view!$O9</f>
        <v>3198.2141272075228</v>
      </c>
      <c r="G9" s="79">
        <f>INDEX(Summary_Output!$C$22:$N$31,MATCH(CapCon_view!$D9,Summary_Output!$B$22:$B$31,0),MATCH(CapCon_view!G$5,Summary_Output!$C$21:$N$21,0))*Direct_view!$O9</f>
        <v>2592.6186160658294</v>
      </c>
      <c r="H9" s="262">
        <f>INDEX(Summary_Output!$C$22:$N$31,MATCH(CapCon_view!$D9,Summary_Output!$B$22:$B$31,0),MATCH(CapCon_view!H$5,Summary_Output!$C$21:$N$21,0))*Direct_view!$O9</f>
        <v>1366.5647955195504</v>
      </c>
      <c r="I9" s="262">
        <f>INDEX(Summary_Output!$C$22:$N$31,MATCH(CapCon_view!$D9,Summary_Output!$B$22:$B$31,0),MATCH(CapCon_view!I$5,Summary_Output!$C$21:$N$21,0))*Direct_view!$O9</f>
        <v>473.29783479749403</v>
      </c>
      <c r="J9" s="262">
        <f>INDEX(Summary_Output!$C$22:$N$31,MATCH(CapCon_view!$D9,Summary_Output!$B$22:$B$31,0),MATCH(CapCon_view!J$5,Summary_Output!$C$21:$N$21,0))*Direct_view!$O9</f>
        <v>815.5142130913606</v>
      </c>
      <c r="K9" s="262">
        <f>INDEX(Summary_Output!$C$22:$N$31,MATCH(CapCon_view!$D9,Summary_Output!$B$22:$B$31,0),MATCH(CapCon_view!K$5,Summary_Output!$C$21:$N$21,0))*Direct_view!$O9</f>
        <v>829.68406002518395</v>
      </c>
      <c r="L9" s="262">
        <f>INDEX(Summary_Output!$C$22:$N$31,MATCH(CapCon_view!$D9,Summary_Output!$B$22:$B$31,0),MATCH(CapCon_view!L$5,Summary_Output!$C$21:$N$21,0))*Direct_view!$O9</f>
        <v>844.92444013163595</v>
      </c>
      <c r="M9" s="262">
        <f>INDEX(Summary_Output!$C$22:$N$31,MATCH(CapCon_view!$D9,Summary_Output!$B$22:$B$31,0),MATCH(CapCon_view!M$5,Summary_Output!$C$21:$N$21,0))*Direct_view!$O9</f>
        <v>854.72059299666364</v>
      </c>
    </row>
    <row r="10" spans="2:13" x14ac:dyDescent="0.25">
      <c r="B10" s="278" t="s">
        <v>251</v>
      </c>
      <c r="C10" s="264"/>
      <c r="D10" s="265"/>
      <c r="E10" s="262">
        <f>SUBTOTAL(9,E6:E9)</f>
        <v>11532.834803646831</v>
      </c>
      <c r="F10" s="262">
        <f>SUBTOTAL(9,F6:F9)</f>
        <v>13324.060004875459</v>
      </c>
      <c r="G10" s="79">
        <f t="shared" ref="G10:M10" si="0">SUBTOTAL(9,G6:G9)</f>
        <v>11262.962820860575</v>
      </c>
      <c r="H10" s="262">
        <f t="shared" si="0"/>
        <v>5936.3812646326878</v>
      </c>
      <c r="I10" s="262">
        <f t="shared" si="0"/>
        <v>3957.5103709605219</v>
      </c>
      <c r="J10" s="262">
        <f t="shared" si="0"/>
        <v>6819.163273785849</v>
      </c>
      <c r="K10" s="262">
        <f t="shared" si="0"/>
        <v>6937.9015201609564</v>
      </c>
      <c r="L10" s="262">
        <f t="shared" si="0"/>
        <v>7065.7379703379502</v>
      </c>
      <c r="M10" s="262">
        <f t="shared" si="0"/>
        <v>7148.1888772464445</v>
      </c>
    </row>
    <row r="11" spans="2:13" x14ac:dyDescent="0.25">
      <c r="B11" s="253" t="s">
        <v>38</v>
      </c>
      <c r="C11" s="254">
        <v>1014</v>
      </c>
      <c r="D11" s="535" t="str">
        <f>VLOOKUP(C11,Assumptions!$B$8:$C$14,2,FALSE)</f>
        <v>BUSINESS SUPPLY PROJECTS</v>
      </c>
      <c r="E11" s="302">
        <f>INDEX(Summary_Output!$C$22:$N$31,MATCH(CapCon_view!$D11,Summary_Output!$B$22:$B$31,0),MATCH(CapCon_view!E$5,Summary_Output!$C$21:$N$21,0))*Direct_view!$O11+Summary_Output!F26</f>
        <v>10028.059630236712</v>
      </c>
      <c r="F11" s="302">
        <f>INDEX(Summary_Output!$C$22:$N$31,MATCH(CapCon_view!$D11,Summary_Output!$B$22:$B$31,0),MATCH(CapCon_view!F$5,Summary_Output!$C$21:$N$21,0))*Direct_view!$O11+Summary_Output!G26</f>
        <v>16169.33994917627</v>
      </c>
      <c r="G11" s="536">
        <f>INDEX(Summary_Output!$C$22:$N$31,MATCH(CapCon_view!$D11,Summary_Output!$B$22:$B$31,0),MATCH(CapCon_view!G$5,Summary_Output!$C$21:$N$21,0))*Direct_view!$O11+Summary_Output!H26</f>
        <v>10263.059076256504</v>
      </c>
      <c r="H11" s="256">
        <f>INDEX(Summary_Output!$C$22:$N$31,MATCH(CapCon_view!$D11,Summary_Output!$B$22:$B$31,0),MATCH(CapCon_view!H$5,Summary_Output!$C$21:$N$21,0))*Direct_view!$O11+Summary_Output!I26</f>
        <v>4755.1572870763957</v>
      </c>
      <c r="I11" s="256">
        <f>INDEX(Summary_Output!$C$22:$N$31,MATCH(CapCon_view!$D11,Summary_Output!$B$22:$B$31,0),MATCH(CapCon_view!I$5,Summary_Output!$C$21:$N$21,0))*Direct_view!$O11+Summary_Output!J26</f>
        <v>3865.8525272718061</v>
      </c>
      <c r="J11" s="256">
        <f>INDEX(Summary_Output!$C$22:$N$31,MATCH(CapCon_view!$D11,Summary_Output!$B$22:$B$31,0),MATCH(CapCon_view!J$5,Summary_Output!$C$21:$N$21,0))*Direct_view!$O11+Summary_Output!K26</f>
        <v>6649.0897508170183</v>
      </c>
      <c r="K11" s="256">
        <f>INDEX(Summary_Output!$C$22:$N$31,MATCH(CapCon_view!$D11,Summary_Output!$B$22:$B$31,0),MATCH(CapCon_view!K$5,Summary_Output!$C$21:$N$21,0))*Direct_view!$O11+Summary_Output!L26</f>
        <v>6634.640288654633</v>
      </c>
      <c r="L11" s="256">
        <f>INDEX(Summary_Output!$C$22:$N$31,MATCH(CapCon_view!$D11,Summary_Output!$B$22:$B$31,0),MATCH(CapCon_view!L$5,Summary_Output!$C$21:$N$21,0))*Direct_view!$O11+Summary_Output!M26</f>
        <v>6628.8098148308836</v>
      </c>
      <c r="M11" s="256">
        <f>INDEX(Summary_Output!$C$22:$N$31,MATCH(CapCon_view!$D11,Summary_Output!$B$22:$B$31,0),MATCH(CapCon_view!M$5,Summary_Output!$C$21:$N$21,0))*Direct_view!$O11+Summary_Output!N26</f>
        <v>6643.3888157510155</v>
      </c>
    </row>
    <row r="12" spans="2:13" x14ac:dyDescent="0.25">
      <c r="B12" s="258"/>
      <c r="C12" s="259">
        <v>1016</v>
      </c>
      <c r="D12" s="260" t="str">
        <f>VLOOKUP(C12,Assumptions!$B$8:$C$14,2,FALSE)</f>
        <v>PRIVATE ELECTRIC LINE REPLACEMENT - RESIDENTIAL</v>
      </c>
      <c r="E12" s="262">
        <f>INDEX(Summary_Output!$C$22:$N$31,MATCH(CapCon_view!$D12,Summary_Output!$B$22:$B$31,0),MATCH(CapCon_view!E$5,Summary_Output!$C$21:$N$21,0))*Direct_view!$O12</f>
        <v>3.3209500957018103</v>
      </c>
      <c r="F12" s="262">
        <f>INDEX(Summary_Output!$C$22:$N$31,MATCH(CapCon_view!$D12,Summary_Output!$B$22:$B$31,0),MATCH(CapCon_view!F$5,Summary_Output!$C$21:$N$21,0))*Direct_view!$O12</f>
        <v>0.6286663990479302</v>
      </c>
      <c r="G12" s="79">
        <f>INDEX(Summary_Output!$C$22:$N$31,MATCH(CapCon_view!$D12,Summary_Output!$B$22:$B$31,0),MATCH(CapCon_view!G$5,Summary_Output!$C$21:$N$21,0))*Direct_view!$O12</f>
        <v>1.5419187699167256</v>
      </c>
      <c r="H12" s="262">
        <f>INDEX(Summary_Output!$C$22:$N$31,MATCH(CapCon_view!$D12,Summary_Output!$B$22:$B$31,0),MATCH(CapCon_view!H$5,Summary_Output!$C$21:$N$21,0))*Direct_view!$O12</f>
        <v>0.78014555140368991</v>
      </c>
      <c r="I12" s="262">
        <f>INDEX(Summary_Output!$C$22:$N$31,MATCH(CapCon_view!$D12,Summary_Output!$B$22:$B$31,0),MATCH(CapCon_view!I$5,Summary_Output!$C$21:$N$21,0))*Direct_view!$O12</f>
        <v>0</v>
      </c>
      <c r="J12" s="262">
        <f>INDEX(Summary_Output!$C$22:$N$31,MATCH(CapCon_view!$D12,Summary_Output!$B$22:$B$31,0),MATCH(CapCon_view!J$5,Summary_Output!$C$21:$N$21,0))*Direct_view!$O12</f>
        <v>0</v>
      </c>
      <c r="K12" s="262">
        <f>INDEX(Summary_Output!$C$22:$N$31,MATCH(CapCon_view!$D12,Summary_Output!$B$22:$B$31,0),MATCH(CapCon_view!K$5,Summary_Output!$C$21:$N$21,0))*Direct_view!$O12</f>
        <v>0</v>
      </c>
      <c r="L12" s="262">
        <f>INDEX(Summary_Output!$C$22:$N$31,MATCH(CapCon_view!$D12,Summary_Output!$B$22:$B$31,0),MATCH(CapCon_view!L$5,Summary_Output!$C$21:$N$21,0))*Direct_view!$O12</f>
        <v>0</v>
      </c>
      <c r="M12" s="262">
        <f>INDEX(Summary_Output!$C$22:$N$31,MATCH(CapCon_view!$D12,Summary_Output!$B$22:$B$31,0),MATCH(CapCon_view!M$5,Summary_Output!$C$21:$N$21,0))*Direct_view!$O12</f>
        <v>0</v>
      </c>
    </row>
    <row r="13" spans="2:13" x14ac:dyDescent="0.25">
      <c r="B13" s="278" t="s">
        <v>251</v>
      </c>
      <c r="C13" s="264"/>
      <c r="D13" s="265"/>
      <c r="E13" s="262">
        <f t="shared" ref="E13:M13" si="1">SUBTOTAL(9,E11:E12)</f>
        <v>10031.380580332414</v>
      </c>
      <c r="F13" s="262">
        <f t="shared" si="1"/>
        <v>16169.968615575319</v>
      </c>
      <c r="G13" s="79">
        <f t="shared" si="1"/>
        <v>10264.600995026422</v>
      </c>
      <c r="H13" s="262">
        <f t="shared" si="1"/>
        <v>4755.9374326277994</v>
      </c>
      <c r="I13" s="262">
        <f t="shared" si="1"/>
        <v>3865.8525272718061</v>
      </c>
      <c r="J13" s="262">
        <f t="shared" si="1"/>
        <v>6649.0897508170183</v>
      </c>
      <c r="K13" s="262">
        <f t="shared" si="1"/>
        <v>6634.640288654633</v>
      </c>
      <c r="L13" s="262">
        <f t="shared" si="1"/>
        <v>6628.8098148308836</v>
      </c>
      <c r="M13" s="262">
        <f t="shared" si="1"/>
        <v>6643.3888157510155</v>
      </c>
    </row>
    <row r="14" spans="2:13" x14ac:dyDescent="0.25">
      <c r="B14" s="253" t="s">
        <v>39</v>
      </c>
      <c r="C14" s="254">
        <v>1012</v>
      </c>
      <c r="D14" s="255" t="str">
        <f>VLOOKUP(C14,Assumptions!$B$8:$C$14,2,FALSE)</f>
        <v>MEDIUM DENSITY HOUSING - SUBDIVISION</v>
      </c>
      <c r="E14" s="256">
        <f>INDEX(Summary_Output!$C$22:$N$31,MATCH(CapCon_view!$D14,Summary_Output!$B$22:$B$31,0),MATCH(CapCon_view!E$5,Summary_Output!$C$21:$N$21,0))*Direct_view!$O14+Summary_Output!F23</f>
        <v>28591.298473482319</v>
      </c>
      <c r="F14" s="256">
        <f>INDEX(Summary_Output!$C$22:$N$31,MATCH(CapCon_view!$D14,Summary_Output!$B$22:$B$31,0),MATCH(CapCon_view!F$5,Summary_Output!$C$21:$N$21,0))*Direct_view!$O14+Summary_Output!G23</f>
        <v>39701.687173448641</v>
      </c>
      <c r="G14" s="257">
        <f>INDEX(Summary_Output!$C$22:$N$31,MATCH(CapCon_view!$D14,Summary_Output!$B$22:$B$31,0),MATCH(CapCon_view!G$5,Summary_Output!$C$21:$N$21,0))*Direct_view!$O14+Summary_Output!H23</f>
        <v>33644.504965620908</v>
      </c>
      <c r="H14" s="256">
        <f>INDEX(Summary_Output!$C$22:$N$31,MATCH(CapCon_view!$D14,Summary_Output!$B$22:$B$31,0),MATCH(CapCon_view!H$5,Summary_Output!$C$21:$N$21,0))*Direct_view!$O14+Summary_Output!I23</f>
        <v>17543.226920753801</v>
      </c>
      <c r="I14" s="256">
        <f>INDEX(Summary_Output!$C$22:$N$31,MATCH(CapCon_view!$D14,Summary_Output!$B$22:$B$31,0),MATCH(CapCon_view!I$5,Summary_Output!$C$21:$N$21,0))*Direct_view!$O14+Summary_Output!J23</f>
        <v>20244.001122221856</v>
      </c>
      <c r="J14" s="302">
        <f>INDEX(Summary_Output!$C$22:$N$31,MATCH(CapCon_view!$D14,Summary_Output!$B$22:$B$31,0),MATCH(CapCon_view!J$5,Summary_Output!$C$21:$N$21,0))*Direct_view!$O14+Summary_Output!K23</f>
        <v>34997.57770330098</v>
      </c>
      <c r="K14" s="256">
        <f>INDEX(Summary_Output!$C$22:$N$31,MATCH(CapCon_view!$D14,Summary_Output!$B$22:$B$31,0),MATCH(CapCon_view!K$5,Summary_Output!$C$21:$N$21,0))*Direct_view!$O14+Summary_Output!L23</f>
        <v>35222.048330174555</v>
      </c>
      <c r="L14" s="256">
        <f>INDEX(Summary_Output!$C$22:$N$31,MATCH(CapCon_view!$D14,Summary_Output!$B$22:$B$31,0),MATCH(CapCon_view!L$5,Summary_Output!$C$21:$N$21,0))*Direct_view!$O14+Summary_Output!M23</f>
        <v>35615.681817238539</v>
      </c>
      <c r="M14" s="256">
        <f>INDEX(Summary_Output!$C$22:$N$31,MATCH(CapCon_view!$D14,Summary_Output!$B$22:$B$31,0),MATCH(CapCon_view!M$5,Summary_Output!$C$21:$N$21,0))*Direct_view!$O14+Summary_Output!N23</f>
        <v>35928.487859324305</v>
      </c>
    </row>
    <row r="15" spans="2:13" x14ac:dyDescent="0.25">
      <c r="B15" s="258"/>
      <c r="C15" s="259">
        <v>1019</v>
      </c>
      <c r="D15" s="260" t="str">
        <f>VLOOKUP(C15,Assumptions!$B$8:$C$14,2,FALSE)</f>
        <v>LOW DENSITY HOUSING - SUBDIVISION</v>
      </c>
      <c r="E15" s="262">
        <f>INDEX(Summary_Output!$C$22:$N$31,MATCH(CapCon_view!$D15,Summary_Output!$B$22:$B$31,0),MATCH(CapCon_view!E$5,Summary_Output!$C$21:$N$21,0))*Direct_view!$O15</f>
        <v>967.67289879199382</v>
      </c>
      <c r="F15" s="262">
        <f>INDEX(Summary_Output!$C$22:$N$31,MATCH(CapCon_view!$D15,Summary_Output!$B$22:$B$31,0),MATCH(CapCon_view!F$5,Summary_Output!$C$21:$N$21,0))*Direct_view!$O15</f>
        <v>1370.6631973746528</v>
      </c>
      <c r="G15" s="79">
        <f>INDEX(Summary_Output!$C$22:$N$31,MATCH(CapCon_view!$D15,Summary_Output!$B$22:$B$31,0),MATCH(CapCon_view!G$5,Summary_Output!$C$21:$N$21,0))*Direct_view!$O15</f>
        <v>1111.1222640282126</v>
      </c>
      <c r="H15" s="262">
        <f>INDEX(Summary_Output!$C$22:$N$31,MATCH(CapCon_view!$D15,Summary_Output!$B$22:$B$31,0),MATCH(CapCon_view!H$5,Summary_Output!$C$21:$N$21,0))*Direct_view!$O15</f>
        <v>585.67062665123592</v>
      </c>
      <c r="I15" s="262">
        <f>INDEX(Summary_Output!$C$22:$N$31,MATCH(CapCon_view!$D15,Summary_Output!$B$22:$B$31,0),MATCH(CapCon_view!I$5,Summary_Output!$C$21:$N$21,0))*Direct_view!$O15</f>
        <v>202.84192919892604</v>
      </c>
      <c r="J15" s="262">
        <f>INDEX(Summary_Output!$C$22:$N$31,MATCH(CapCon_view!$D15,Summary_Output!$B$22:$B$31,0),MATCH(CapCon_view!J$5,Summary_Output!$C$21:$N$21,0))*Direct_view!$O15</f>
        <v>349.50609132486881</v>
      </c>
      <c r="K15" s="262">
        <f>INDEX(Summary_Output!$C$22:$N$31,MATCH(CapCon_view!$D15,Summary_Output!$B$22:$B$31,0),MATCH(CapCon_view!K$5,Summary_Output!$C$21:$N$21,0))*Direct_view!$O15</f>
        <v>355.57888286793599</v>
      </c>
      <c r="L15" s="262">
        <f>INDEX(Summary_Output!$C$22:$N$31,MATCH(CapCon_view!$D15,Summary_Output!$B$22:$B$31,0),MATCH(CapCon_view!L$5,Summary_Output!$C$21:$N$21,0))*Direct_view!$O15</f>
        <v>362.11047434212969</v>
      </c>
      <c r="M15" s="262">
        <f>INDEX(Summary_Output!$C$22:$N$31,MATCH(CapCon_view!$D15,Summary_Output!$B$22:$B$31,0),MATCH(CapCon_view!M$5,Summary_Output!$C$21:$N$21,0))*Direct_view!$O15</f>
        <v>366.3088255699987</v>
      </c>
    </row>
    <row r="16" spans="2:13" x14ac:dyDescent="0.25">
      <c r="B16" s="278" t="s">
        <v>251</v>
      </c>
      <c r="C16" s="264"/>
      <c r="D16" s="265"/>
      <c r="E16" s="262">
        <f>SUBTOTAL(9,E14:E15)</f>
        <v>29558.971372274311</v>
      </c>
      <c r="F16" s="262">
        <f>SUBTOTAL(9,F14:F15)</f>
        <v>41072.350370823297</v>
      </c>
      <c r="G16" s="79">
        <f t="shared" ref="G16:M16" si="2">SUBTOTAL(9,G14:G15)</f>
        <v>34755.627229649122</v>
      </c>
      <c r="H16" s="262">
        <f t="shared" si="2"/>
        <v>18128.897547405038</v>
      </c>
      <c r="I16" s="262">
        <f t="shared" si="2"/>
        <v>20446.843051420783</v>
      </c>
      <c r="J16" s="262">
        <f t="shared" si="2"/>
        <v>35347.083794625847</v>
      </c>
      <c r="K16" s="262">
        <f t="shared" si="2"/>
        <v>35577.627213042491</v>
      </c>
      <c r="L16" s="262">
        <f t="shared" si="2"/>
        <v>35977.79229158067</v>
      </c>
      <c r="M16" s="262">
        <f t="shared" si="2"/>
        <v>36294.796684894303</v>
      </c>
    </row>
    <row r="17" spans="2:14" x14ac:dyDescent="0.25">
      <c r="B17" s="266" t="s">
        <v>40</v>
      </c>
      <c r="C17" s="267">
        <v>1015</v>
      </c>
      <c r="D17" s="268" t="str">
        <f>VLOOKUP(C17,Assumptions!$B$8:$C$14,2,FALSE)</f>
        <v>COGENERATION PROJECTS</v>
      </c>
      <c r="E17" s="269">
        <f>INDEX(Summary_Output!$C$22:$N$31,MATCH(CapCon_view!$D17,Summary_Output!$B$22:$B$31,0),MATCH(CapCon_view!E$5,Summary_Output!$C$21:$N$21,0))*Direct_view!$O17</f>
        <v>250.86891598005033</v>
      </c>
      <c r="F17" s="269">
        <f>INDEX(Summary_Output!$C$22:$N$31,MATCH(CapCon_view!$D17,Summary_Output!$B$22:$B$31,0),MATCH(CapCon_view!F$5,Summary_Output!$C$21:$N$21,0))*Direct_view!$O17</f>
        <v>62.122910204316305</v>
      </c>
      <c r="G17" s="81">
        <f>INDEX(Summary_Output!$C$22:$N$31,MATCH(CapCon_view!$D17,Summary_Output!$B$22:$B$31,0),MATCH(CapCon_view!G$5,Summary_Output!$C$21:$N$21,0))*Direct_view!$O17</f>
        <v>11159.428776410099</v>
      </c>
      <c r="H17" s="269">
        <f>INDEX(Summary_Output!$C$22:$N$31,MATCH(CapCon_view!$D17,Summary_Output!$B$22:$B$31,0),MATCH(CapCon_view!H$5,Summary_Output!$C$21:$N$21,0))*Direct_view!$O17</f>
        <v>5205.4137209650644</v>
      </c>
      <c r="I17" s="269">
        <f>INDEX(Summary_Output!$C$22:$N$31,MATCH(CapCon_view!$D17,Summary_Output!$B$22:$B$31,0),MATCH(CapCon_view!I$5,Summary_Output!$C$21:$N$21,0))*Direct_view!$O17</f>
        <v>19026.545942562323</v>
      </c>
      <c r="J17" s="269">
        <f>INDEX(Summary_Output!$C$22:$N$31,MATCH(CapCon_view!$D17,Summary_Output!$B$22:$B$31,0),MATCH(CapCon_view!J$5,Summary_Output!$C$21:$N$21,0))*Direct_view!$O17</f>
        <v>18996.932056083922</v>
      </c>
      <c r="K17" s="269">
        <f>INDEX(Summary_Output!$C$22:$N$31,MATCH(CapCon_view!$D17,Summary_Output!$B$22:$B$31,0),MATCH(CapCon_view!K$5,Summary_Output!$C$21:$N$21,0))*Direct_view!$O17</f>
        <v>19244.929281259709</v>
      </c>
      <c r="L17" s="269">
        <f>INDEX(Summary_Output!$C$22:$N$31,MATCH(CapCon_view!$D17,Summary_Output!$B$22:$B$31,0),MATCH(CapCon_view!L$5,Summary_Output!$C$21:$N$21,0))*Direct_view!$O17</f>
        <v>19411.859516163233</v>
      </c>
      <c r="M17" s="269">
        <f>INDEX(Summary_Output!$C$22:$N$31,MATCH(CapCon_view!$D17,Summary_Output!$B$22:$B$31,0),MATCH(CapCon_view!M$5,Summary_Output!$C$21:$N$21,0))*Direct_view!$O17</f>
        <v>19525.933421264908</v>
      </c>
    </row>
    <row r="18" spans="2:14" x14ac:dyDescent="0.25">
      <c r="B18" s="266"/>
      <c r="C18" s="270"/>
      <c r="D18" s="270"/>
      <c r="E18" s="354">
        <f t="shared" ref="E18:M18" si="3">SUBTOTAL(9,E6:E17)</f>
        <v>51374.055672233604</v>
      </c>
      <c r="F18" s="271">
        <f t="shared" si="3"/>
        <v>70628.50190147839</v>
      </c>
      <c r="G18" s="83">
        <f t="shared" si="3"/>
        <v>67442.619821946209</v>
      </c>
      <c r="H18" s="271">
        <f t="shared" si="3"/>
        <v>34026.629965630586</v>
      </c>
      <c r="I18" s="271">
        <f t="shared" si="3"/>
        <v>47296.751892215434</v>
      </c>
      <c r="J18" s="271">
        <f t="shared" si="3"/>
        <v>67812.268875312642</v>
      </c>
      <c r="K18" s="271">
        <f t="shared" si="3"/>
        <v>68395.098303117789</v>
      </c>
      <c r="L18" s="271">
        <f t="shared" si="3"/>
        <v>69084.199592912744</v>
      </c>
      <c r="M18" s="271">
        <f t="shared" si="3"/>
        <v>69612.307799156668</v>
      </c>
    </row>
    <row r="19" spans="2:14" x14ac:dyDescent="0.25">
      <c r="E19" s="355" t="b">
        <f>E18=Summary_Output!F33</f>
        <v>1</v>
      </c>
      <c r="F19" s="41" t="b">
        <f>F18=Summary_Output!G33</f>
        <v>1</v>
      </c>
      <c r="G19" s="41" t="b">
        <f>G18=Summary_Output!H33</f>
        <v>0</v>
      </c>
      <c r="H19" s="41" t="b">
        <f>H18=Summary_Output!I33</f>
        <v>0</v>
      </c>
      <c r="I19" s="41" t="b">
        <f>I18=Summary_Output!J33</f>
        <v>0</v>
      </c>
      <c r="J19" s="41" t="b">
        <f>J18=Summary_Output!K33</f>
        <v>0</v>
      </c>
      <c r="K19" s="41" t="b">
        <f>K18=Summary_Output!L33</f>
        <v>0</v>
      </c>
      <c r="L19" s="41" t="b">
        <f>L18=Summary_Output!M33</f>
        <v>0</v>
      </c>
      <c r="M19" s="41" t="b">
        <f>M18=Summary_Output!N33</f>
        <v>0</v>
      </c>
    </row>
    <row r="21" spans="2:14" x14ac:dyDescent="0.25">
      <c r="B21" s="68" t="s">
        <v>274</v>
      </c>
    </row>
    <row r="22" spans="2:14" x14ac:dyDescent="0.25">
      <c r="B22" s="41" t="s">
        <v>286</v>
      </c>
      <c r="I22" s="618" t="s">
        <v>323</v>
      </c>
      <c r="J22" s="619"/>
      <c r="K22" s="619"/>
      <c r="L22" s="619"/>
      <c r="M22" s="620"/>
    </row>
    <row r="23" spans="2:14" x14ac:dyDescent="0.25">
      <c r="B23" s="250" t="s">
        <v>42</v>
      </c>
      <c r="C23" s="55" t="s">
        <v>41</v>
      </c>
      <c r="F23" s="55" t="s">
        <v>322</v>
      </c>
      <c r="G23" s="55" t="s">
        <v>252</v>
      </c>
      <c r="H23" s="55" t="s">
        <v>253</v>
      </c>
      <c r="I23" s="55" t="s">
        <v>100</v>
      </c>
      <c r="J23" s="55" t="s">
        <v>101</v>
      </c>
      <c r="K23" s="55" t="s">
        <v>102</v>
      </c>
      <c r="L23" s="55" t="s">
        <v>147</v>
      </c>
      <c r="M23" s="55" t="s">
        <v>220</v>
      </c>
      <c r="N23" s="55" t="s">
        <v>221</v>
      </c>
    </row>
    <row r="24" spans="2:14" x14ac:dyDescent="0.25">
      <c r="B24" s="253" t="s">
        <v>37</v>
      </c>
      <c r="C24" s="254">
        <v>1013</v>
      </c>
      <c r="F24" s="256">
        <f t="shared" ref="F24:G27" si="4">F6*0.5+E6*0.5</f>
        <v>5608.9489280620683</v>
      </c>
      <c r="G24" s="256">
        <f t="shared" si="4"/>
        <v>5598.9372028507223</v>
      </c>
      <c r="H24" s="257">
        <f>H6+0.5*G6</f>
        <v>5634.6983804513275</v>
      </c>
      <c r="I24" s="256">
        <f t="shared" ref="I24:M27" si="5">I6</f>
        <v>1799.993268827928</v>
      </c>
      <c r="J24" s="256">
        <f t="shared" si="5"/>
        <v>3100.9086376240061</v>
      </c>
      <c r="K24" s="256">
        <f t="shared" si="5"/>
        <v>3154.0322657350162</v>
      </c>
      <c r="L24" s="256">
        <f t="shared" si="5"/>
        <v>3210.7882887928781</v>
      </c>
      <c r="M24" s="256">
        <f t="shared" si="5"/>
        <v>3246.4308573329949</v>
      </c>
      <c r="N24" s="256">
        <f>SUM(I24:M24)</f>
        <v>14512.153318312823</v>
      </c>
    </row>
    <row r="25" spans="2:14" x14ac:dyDescent="0.25">
      <c r="B25" s="258"/>
      <c r="C25" s="259">
        <v>1016</v>
      </c>
      <c r="F25" s="261">
        <f t="shared" si="4"/>
        <v>17.773274226373832</v>
      </c>
      <c r="G25" s="261">
        <f t="shared" si="4"/>
        <v>9.7676332603409506</v>
      </c>
      <c r="H25" s="85">
        <f>H7+0.5*G7</f>
        <v>13.959944427258474</v>
      </c>
      <c r="I25" s="261">
        <f t="shared" si="5"/>
        <v>0</v>
      </c>
      <c r="J25" s="261">
        <f t="shared" si="5"/>
        <v>0</v>
      </c>
      <c r="K25" s="261">
        <f t="shared" si="5"/>
        <v>0</v>
      </c>
      <c r="L25" s="261">
        <f t="shared" si="5"/>
        <v>0</v>
      </c>
      <c r="M25" s="261">
        <f t="shared" si="5"/>
        <v>0</v>
      </c>
      <c r="N25" s="261">
        <f t="shared" ref="N25:N27" si="6">SUM(I25:M25)</f>
        <v>0</v>
      </c>
    </row>
    <row r="26" spans="2:14" x14ac:dyDescent="0.25">
      <c r="B26" s="258"/>
      <c r="C26" s="259">
        <v>1018</v>
      </c>
      <c r="F26" s="261">
        <f t="shared" si="4"/>
        <v>4073.6664231116147</v>
      </c>
      <c r="G26" s="261">
        <f t="shared" si="4"/>
        <v>3789.3902051202776</v>
      </c>
      <c r="H26" s="85">
        <f>H8+0.5*G8</f>
        <v>3256.330246631926</v>
      </c>
      <c r="I26" s="261">
        <f t="shared" si="5"/>
        <v>1684.2192673350999</v>
      </c>
      <c r="J26" s="261">
        <f t="shared" si="5"/>
        <v>2902.7404230704815</v>
      </c>
      <c r="K26" s="261">
        <f t="shared" si="5"/>
        <v>2954.1851944007567</v>
      </c>
      <c r="L26" s="261">
        <f t="shared" si="5"/>
        <v>3010.025241413437</v>
      </c>
      <c r="M26" s="261">
        <f t="shared" si="5"/>
        <v>3047.0374269167851</v>
      </c>
      <c r="N26" s="261">
        <f t="shared" si="6"/>
        <v>13598.207553136559</v>
      </c>
    </row>
    <row r="27" spans="2:14" x14ac:dyDescent="0.25">
      <c r="B27" s="258"/>
      <c r="C27" s="259">
        <v>1019</v>
      </c>
      <c r="F27" s="262">
        <f t="shared" si="4"/>
        <v>2728.0587788610874</v>
      </c>
      <c r="G27" s="262">
        <f t="shared" si="4"/>
        <v>2895.4163716366761</v>
      </c>
      <c r="H27" s="79">
        <f>H9+0.5*G9</f>
        <v>2662.8741035524654</v>
      </c>
      <c r="I27" s="262">
        <f t="shared" si="5"/>
        <v>473.29783479749403</v>
      </c>
      <c r="J27" s="262">
        <f t="shared" si="5"/>
        <v>815.5142130913606</v>
      </c>
      <c r="K27" s="262">
        <f t="shared" si="5"/>
        <v>829.68406002518395</v>
      </c>
      <c r="L27" s="262">
        <f t="shared" si="5"/>
        <v>844.92444013163595</v>
      </c>
      <c r="M27" s="262">
        <f t="shared" si="5"/>
        <v>854.72059299666364</v>
      </c>
      <c r="N27" s="262">
        <f t="shared" si="6"/>
        <v>3818.1411410423379</v>
      </c>
    </row>
    <row r="28" spans="2:14" x14ac:dyDescent="0.25">
      <c r="B28" s="278" t="s">
        <v>251</v>
      </c>
      <c r="C28" s="264"/>
      <c r="F28" s="262">
        <f>SUBTOTAL(9,F24:F27)</f>
        <v>12428.447404261144</v>
      </c>
      <c r="G28" s="262">
        <f>SUBTOTAL(9,G24:G27)</f>
        <v>12293.511412868016</v>
      </c>
      <c r="H28" s="79">
        <f t="shared" ref="H28:N28" si="7">SUBTOTAL(9,H24:H27)</f>
        <v>11567.862675062977</v>
      </c>
      <c r="I28" s="262">
        <f t="shared" si="7"/>
        <v>3957.5103709605219</v>
      </c>
      <c r="J28" s="262">
        <f t="shared" si="7"/>
        <v>6819.163273785849</v>
      </c>
      <c r="K28" s="262">
        <f t="shared" si="7"/>
        <v>6937.9015201609564</v>
      </c>
      <c r="L28" s="262">
        <f t="shared" si="7"/>
        <v>7065.7379703379502</v>
      </c>
      <c r="M28" s="262">
        <f t="shared" si="7"/>
        <v>7148.1888772464445</v>
      </c>
      <c r="N28" s="262">
        <f t="shared" si="7"/>
        <v>31928.502012491721</v>
      </c>
    </row>
    <row r="29" spans="2:14" x14ac:dyDescent="0.25">
      <c r="B29" s="253" t="s">
        <v>38</v>
      </c>
      <c r="C29" s="254">
        <v>1014</v>
      </c>
      <c r="F29" s="256">
        <f>F11*0.5+E11*0.5</f>
        <v>13098.69978970649</v>
      </c>
      <c r="G29" s="256">
        <f>G11*0.5+F11*0.5</f>
        <v>13216.199512716386</v>
      </c>
      <c r="H29" s="257">
        <f>H11+0.5*G11</f>
        <v>9886.6868252046479</v>
      </c>
      <c r="I29" s="256">
        <f>I11</f>
        <v>3865.8525272718061</v>
      </c>
      <c r="J29" s="256">
        <f>J11</f>
        <v>6649.0897508170183</v>
      </c>
      <c r="K29" s="256">
        <f>K11</f>
        <v>6634.640288654633</v>
      </c>
      <c r="L29" s="256">
        <f>L11</f>
        <v>6628.8098148308836</v>
      </c>
      <c r="M29" s="256">
        <f>M11</f>
        <v>6643.3888157510155</v>
      </c>
      <c r="N29" s="256">
        <f t="shared" ref="N29:N30" si="8">SUM(I29:M29)</f>
        <v>30421.781197325356</v>
      </c>
    </row>
    <row r="30" spans="2:14" x14ac:dyDescent="0.25">
      <c r="B30" s="258"/>
      <c r="C30" s="259">
        <v>1016</v>
      </c>
      <c r="F30" s="262">
        <f>F12*0.5+E12*0.5</f>
        <v>1.9748082473748703</v>
      </c>
      <c r="G30" s="262">
        <f>G12*0.5+F12*0.5</f>
        <v>1.0852925844823278</v>
      </c>
      <c r="H30" s="79">
        <f>H12+0.5*G12</f>
        <v>1.5511049363620528</v>
      </c>
      <c r="I30" s="262">
        <f t="shared" ref="I30:M30" si="9">I12</f>
        <v>0</v>
      </c>
      <c r="J30" s="262">
        <f t="shared" si="9"/>
        <v>0</v>
      </c>
      <c r="K30" s="262">
        <f t="shared" si="9"/>
        <v>0</v>
      </c>
      <c r="L30" s="262">
        <f t="shared" si="9"/>
        <v>0</v>
      </c>
      <c r="M30" s="262">
        <f t="shared" si="9"/>
        <v>0</v>
      </c>
      <c r="N30" s="262">
        <f t="shared" si="8"/>
        <v>0</v>
      </c>
    </row>
    <row r="31" spans="2:14" x14ac:dyDescent="0.25">
      <c r="B31" s="278" t="s">
        <v>251</v>
      </c>
      <c r="C31" s="264"/>
      <c r="F31" s="262">
        <f>SUBTOTAL(9,F29:F30)</f>
        <v>13100.674597953865</v>
      </c>
      <c r="G31" s="262">
        <f>SUBTOTAL(9,G29:G30)</f>
        <v>13217.284805300869</v>
      </c>
      <c r="H31" s="79">
        <f t="shared" ref="H31:N31" si="10">SUBTOTAL(9,H29:H30)</f>
        <v>9888.2379301410092</v>
      </c>
      <c r="I31" s="262">
        <f t="shared" si="10"/>
        <v>3865.8525272718061</v>
      </c>
      <c r="J31" s="262">
        <f t="shared" si="10"/>
        <v>6649.0897508170183</v>
      </c>
      <c r="K31" s="262">
        <f t="shared" si="10"/>
        <v>6634.640288654633</v>
      </c>
      <c r="L31" s="262">
        <f t="shared" si="10"/>
        <v>6628.8098148308836</v>
      </c>
      <c r="M31" s="262">
        <f t="shared" si="10"/>
        <v>6643.3888157510155</v>
      </c>
      <c r="N31" s="262">
        <f t="shared" si="10"/>
        <v>30421.781197325356</v>
      </c>
    </row>
    <row r="32" spans="2:14" x14ac:dyDescent="0.25">
      <c r="B32" s="253" t="s">
        <v>39</v>
      </c>
      <c r="C32" s="254">
        <v>1012</v>
      </c>
      <c r="F32" s="256">
        <f>F14*0.5+E14*0.5</f>
        <v>34146.49282346548</v>
      </c>
      <c r="G32" s="256">
        <f>G14*0.5+F14*0.5</f>
        <v>36673.096069534775</v>
      </c>
      <c r="H32" s="257">
        <f>H14+0.5*G14</f>
        <v>34365.479403564255</v>
      </c>
      <c r="I32" s="256">
        <f t="shared" ref="I32:M33" si="11">I14</f>
        <v>20244.001122221856</v>
      </c>
      <c r="J32" s="256">
        <f t="shared" si="11"/>
        <v>34997.57770330098</v>
      </c>
      <c r="K32" s="256">
        <f t="shared" si="11"/>
        <v>35222.048330174555</v>
      </c>
      <c r="L32" s="256">
        <f t="shared" si="11"/>
        <v>35615.681817238539</v>
      </c>
      <c r="M32" s="256">
        <f t="shared" si="11"/>
        <v>35928.487859324305</v>
      </c>
      <c r="N32" s="256">
        <f t="shared" ref="N32:N33" si="12">SUM(I32:M32)</f>
        <v>162007.79683226024</v>
      </c>
    </row>
    <row r="33" spans="2:14" x14ac:dyDescent="0.25">
      <c r="B33" s="258"/>
      <c r="C33" s="259">
        <v>1019</v>
      </c>
      <c r="F33" s="262">
        <f>F15*0.5+E15*0.5</f>
        <v>1169.1680480833234</v>
      </c>
      <c r="G33" s="262">
        <f>G15*0.5+F15*0.5</f>
        <v>1240.8927307014328</v>
      </c>
      <c r="H33" s="79">
        <f>H15+0.5*G15</f>
        <v>1141.2317586653421</v>
      </c>
      <c r="I33" s="262">
        <f t="shared" si="11"/>
        <v>202.84192919892604</v>
      </c>
      <c r="J33" s="262">
        <f t="shared" si="11"/>
        <v>349.50609132486881</v>
      </c>
      <c r="K33" s="262">
        <f t="shared" si="11"/>
        <v>355.57888286793599</v>
      </c>
      <c r="L33" s="262">
        <f t="shared" si="11"/>
        <v>362.11047434212969</v>
      </c>
      <c r="M33" s="262">
        <f t="shared" si="11"/>
        <v>366.3088255699987</v>
      </c>
      <c r="N33" s="262">
        <f t="shared" si="12"/>
        <v>1636.3462033038591</v>
      </c>
    </row>
    <row r="34" spans="2:14" x14ac:dyDescent="0.25">
      <c r="B34" s="278" t="s">
        <v>251</v>
      </c>
      <c r="C34" s="264"/>
      <c r="F34" s="262">
        <f>SUBTOTAL(9,F32:F33)</f>
        <v>35315.660871548804</v>
      </c>
      <c r="G34" s="262">
        <f>SUBTOTAL(9,G32:G33)</f>
        <v>37913.988800236206</v>
      </c>
      <c r="H34" s="79">
        <f t="shared" ref="H34:N34" si="13">SUBTOTAL(9,H32:H33)</f>
        <v>35506.7111622296</v>
      </c>
      <c r="I34" s="262">
        <f t="shared" si="13"/>
        <v>20446.843051420783</v>
      </c>
      <c r="J34" s="262">
        <f t="shared" si="13"/>
        <v>35347.083794625847</v>
      </c>
      <c r="K34" s="262">
        <f t="shared" si="13"/>
        <v>35577.627213042491</v>
      </c>
      <c r="L34" s="262">
        <f t="shared" si="13"/>
        <v>35977.79229158067</v>
      </c>
      <c r="M34" s="262">
        <f t="shared" si="13"/>
        <v>36294.796684894303</v>
      </c>
      <c r="N34" s="262">
        <f t="shared" si="13"/>
        <v>163644.14303556411</v>
      </c>
    </row>
    <row r="35" spans="2:14" x14ac:dyDescent="0.25">
      <c r="B35" s="266" t="s">
        <v>40</v>
      </c>
      <c r="C35" s="267">
        <v>1015</v>
      </c>
      <c r="F35" s="269">
        <f>F17*0.5+E17*0.5</f>
        <v>156.49591309218332</v>
      </c>
      <c r="G35" s="269">
        <f>G17*0.5+F17*0.5</f>
        <v>5610.7758433072077</v>
      </c>
      <c r="H35" s="81">
        <f>H17+0.5*G17</f>
        <v>10785.128109170113</v>
      </c>
      <c r="I35" s="269">
        <f>I17</f>
        <v>19026.545942562323</v>
      </c>
      <c r="J35" s="269">
        <f>J17</f>
        <v>18996.932056083922</v>
      </c>
      <c r="K35" s="269">
        <f>K17</f>
        <v>19244.929281259709</v>
      </c>
      <c r="L35" s="269">
        <f>L17</f>
        <v>19411.859516163233</v>
      </c>
      <c r="M35" s="269">
        <f>M17</f>
        <v>19525.933421264908</v>
      </c>
      <c r="N35" s="269">
        <f>SUM(I35:M35)</f>
        <v>96206.200217334102</v>
      </c>
    </row>
    <row r="36" spans="2:14" x14ac:dyDescent="0.25">
      <c r="B36" s="250" t="s">
        <v>254</v>
      </c>
      <c r="C36" s="270"/>
      <c r="F36" s="271">
        <f>SUBTOTAL(9,F24:F35)</f>
        <v>61001.278786855997</v>
      </c>
      <c r="G36" s="271">
        <f>SUBTOTAL(9,G24:G35)</f>
        <v>69035.560861712293</v>
      </c>
      <c r="H36" s="83">
        <f t="shared" ref="H36:N36" si="14">SUBTOTAL(9,H24:H35)</f>
        <v>67747.939876603705</v>
      </c>
      <c r="I36" s="271">
        <f t="shared" si="14"/>
        <v>47296.751892215434</v>
      </c>
      <c r="J36" s="271">
        <f t="shared" si="14"/>
        <v>67812.268875312642</v>
      </c>
      <c r="K36" s="271">
        <f t="shared" si="14"/>
        <v>68395.098303117789</v>
      </c>
      <c r="L36" s="271">
        <f t="shared" si="14"/>
        <v>69084.199592912744</v>
      </c>
      <c r="M36" s="271">
        <f t="shared" si="14"/>
        <v>69612.307799156668</v>
      </c>
      <c r="N36" s="271">
        <f t="shared" si="14"/>
        <v>322200.62646271527</v>
      </c>
    </row>
    <row r="37" spans="2:14" x14ac:dyDescent="0.25">
      <c r="F37" s="41" t="b">
        <f>ROUND(F36,5)=ROUND(F18*0.5+E18*0.5,5)</f>
        <v>1</v>
      </c>
      <c r="G37" s="41" t="b">
        <f>ROUND(G36,5)=ROUND(G18*0.5+F18*0.5,5)</f>
        <v>1</v>
      </c>
      <c r="H37" s="41" t="b">
        <f>ROUND(H36,5)=ROUND(H18+0.5*G18,5)</f>
        <v>1</v>
      </c>
      <c r="I37" s="41" t="b">
        <f>I36=I18</f>
        <v>1</v>
      </c>
      <c r="J37" s="41" t="b">
        <f>J36=J18</f>
        <v>1</v>
      </c>
      <c r="K37" s="41" t="b">
        <f>K36=K18</f>
        <v>1</v>
      </c>
      <c r="L37" s="41" t="b">
        <f>L36=L18</f>
        <v>1</v>
      </c>
      <c r="M37" s="41" t="b">
        <f>M36=M18</f>
        <v>1</v>
      </c>
    </row>
  </sheetData>
  <mergeCells count="2">
    <mergeCell ref="I4:M4"/>
    <mergeCell ref="I22:M22"/>
  </mergeCells>
  <hyperlinks>
    <hyperlink ref="B1" location="Contents!A1" display="Table of Contents" xr:uid="{00000000-0004-0000-16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C1:Z76"/>
  <sheetViews>
    <sheetView zoomScale="85" zoomScaleNormal="85" workbookViewId="0">
      <pane xSplit="4" topLeftCell="E1" activePane="topRight" state="frozen"/>
      <selection activeCell="AZ19" sqref="AZ19:BE19"/>
      <selection pane="topRight" activeCell="L13" sqref="L13"/>
    </sheetView>
  </sheetViews>
  <sheetFormatPr defaultRowHeight="15" outlineLevelCol="1" x14ac:dyDescent="0.25"/>
  <cols>
    <col min="1" max="1" width="3.140625" customWidth="1"/>
    <col min="2" max="2" width="2.85546875" customWidth="1"/>
    <col min="3" max="3" width="30.5703125" customWidth="1"/>
    <col min="4" max="4" width="68.85546875" bestFit="1" customWidth="1"/>
    <col min="5" max="11" width="10.5703125" hidden="1" customWidth="1" outlineLevel="1"/>
    <col min="12" max="12" width="10.5703125" bestFit="1" customWidth="1" collapsed="1"/>
    <col min="13" max="14" width="10.5703125" bestFit="1" customWidth="1"/>
    <col min="23" max="23" width="13.28515625" bestFit="1" customWidth="1"/>
  </cols>
  <sheetData>
    <row r="1" spans="3:26" x14ac:dyDescent="0.25">
      <c r="C1" t="s">
        <v>266</v>
      </c>
    </row>
    <row r="2" spans="3:26" x14ac:dyDescent="0.25">
      <c r="C2" t="s">
        <v>286</v>
      </c>
    </row>
    <row r="3" spans="3:26" x14ac:dyDescent="0.25">
      <c r="C3" t="s">
        <v>270</v>
      </c>
      <c r="S3" s="244" t="s">
        <v>268</v>
      </c>
    </row>
    <row r="4" spans="3:26" x14ac:dyDescent="0.25">
      <c r="C4" t="s">
        <v>42</v>
      </c>
      <c r="D4" t="s">
        <v>269</v>
      </c>
      <c r="E4" s="244">
        <v>2009</v>
      </c>
      <c r="F4" s="244">
        <v>2010</v>
      </c>
      <c r="G4" s="244">
        <v>2011</v>
      </c>
      <c r="H4" s="244">
        <v>2012</v>
      </c>
      <c r="I4" s="244">
        <v>2013</v>
      </c>
      <c r="J4" s="244">
        <v>2014</v>
      </c>
      <c r="K4" s="244">
        <v>2015</v>
      </c>
      <c r="L4" s="244">
        <v>2016</v>
      </c>
      <c r="M4" s="244">
        <v>2017</v>
      </c>
      <c r="N4" s="244">
        <v>2018</v>
      </c>
      <c r="P4" s="244">
        <v>2016</v>
      </c>
      <c r="Q4" s="244">
        <v>2017</v>
      </c>
      <c r="R4" s="244">
        <v>2018</v>
      </c>
      <c r="S4" s="244" t="s">
        <v>36</v>
      </c>
    </row>
    <row r="5" spans="3:26" x14ac:dyDescent="0.25">
      <c r="C5" t="s">
        <v>37</v>
      </c>
      <c r="D5" t="s">
        <v>255</v>
      </c>
      <c r="E5" s="186">
        <v>3239.695796355049</v>
      </c>
      <c r="F5" s="186">
        <v>3868.1161461463312</v>
      </c>
      <c r="G5" s="186">
        <v>3596.1675595278239</v>
      </c>
      <c r="H5" s="186">
        <v>3858.4109667316557</v>
      </c>
      <c r="I5" s="186">
        <v>5223.8145411449959</v>
      </c>
      <c r="J5" s="186">
        <v>6117.3438218547453</v>
      </c>
      <c r="K5" s="186">
        <v>4468.2134490221624</v>
      </c>
      <c r="L5" s="186">
        <v>5008.0322885376645</v>
      </c>
      <c r="M5" s="186">
        <v>4681.3535760214163</v>
      </c>
      <c r="N5" s="186">
        <v>5247.5498218796201</v>
      </c>
      <c r="P5" s="20">
        <f>L5/L$22</f>
        <v>0.26732291396864988</v>
      </c>
      <c r="Q5" s="20">
        <f t="shared" ref="Q5:R7" si="0">M5/M$22</f>
        <v>0.21283914867154766</v>
      </c>
      <c r="R5" s="20">
        <f t="shared" si="0"/>
        <v>0.22833524934078389</v>
      </c>
      <c r="S5" s="338">
        <f>AVERAGE(P5:R5)</f>
        <v>0.23616577066032715</v>
      </c>
      <c r="W5" s="97"/>
      <c r="X5" s="97"/>
      <c r="Y5" s="97"/>
      <c r="Z5" s="97"/>
    </row>
    <row r="6" spans="3:26" x14ac:dyDescent="0.25">
      <c r="D6" t="s">
        <v>256</v>
      </c>
      <c r="E6" s="186">
        <v>7919.0861915684445</v>
      </c>
      <c r="F6" s="186">
        <v>9152.3221311400084</v>
      </c>
      <c r="G6" s="186">
        <v>8001.7024205312491</v>
      </c>
      <c r="H6" s="186">
        <v>7033.2800537489056</v>
      </c>
      <c r="I6" s="186">
        <v>8474.2448480611256</v>
      </c>
      <c r="J6" s="186">
        <v>9996.5937214007481</v>
      </c>
      <c r="K6" s="186">
        <v>10646.346698680629</v>
      </c>
      <c r="L6" s="186">
        <v>10275.638865195297</v>
      </c>
      <c r="M6" s="186">
        <v>12827.798927136544</v>
      </c>
      <c r="N6" s="186">
        <v>11725.517878690549</v>
      </c>
      <c r="P6" s="20">
        <f t="shared" ref="P6:P7" si="1">L6/L$22</f>
        <v>0.54850160024339834</v>
      </c>
      <c r="Q6" s="20">
        <f t="shared" si="0"/>
        <v>0.58321973733544019</v>
      </c>
      <c r="R6" s="20">
        <f t="shared" si="0"/>
        <v>0.51020936234229519</v>
      </c>
      <c r="S6" s="339">
        <f t="shared" ref="S6:S18" si="2">AVERAGE(P6:R6)</f>
        <v>0.54731023330704454</v>
      </c>
      <c r="W6" s="97"/>
      <c r="X6" s="97"/>
      <c r="Y6" s="97"/>
      <c r="Z6" s="97"/>
    </row>
    <row r="7" spans="3:26" x14ac:dyDescent="0.25">
      <c r="D7" t="s">
        <v>257</v>
      </c>
      <c r="E7" s="186">
        <v>7957.6685038292035</v>
      </c>
      <c r="F7" s="186">
        <v>7612.450479152003</v>
      </c>
      <c r="G7" s="186">
        <v>10670.070099019016</v>
      </c>
      <c r="H7" s="186">
        <v>10948.287013073263</v>
      </c>
      <c r="I7" s="186">
        <v>8737.8406367323423</v>
      </c>
      <c r="J7" s="186">
        <v>9429.2279566090328</v>
      </c>
      <c r="K7" s="186">
        <v>7138.6328299015568</v>
      </c>
      <c r="L7" s="186">
        <v>3450.3468703447597</v>
      </c>
      <c r="M7" s="186">
        <v>4485.643121803213</v>
      </c>
      <c r="N7" s="186">
        <v>6008.7094758823423</v>
      </c>
      <c r="P7" s="340">
        <f t="shared" si="1"/>
        <v>0.18417548578795184</v>
      </c>
      <c r="Q7" s="340">
        <f t="shared" si="0"/>
        <v>0.20394111399301224</v>
      </c>
      <c r="R7" s="340">
        <f t="shared" si="0"/>
        <v>0.26145538831692094</v>
      </c>
      <c r="S7" s="341">
        <f t="shared" si="2"/>
        <v>0.21652399603262831</v>
      </c>
      <c r="T7" s="116">
        <f>SUM(S5:S7)</f>
        <v>1</v>
      </c>
      <c r="W7" s="97"/>
      <c r="X7" s="97"/>
      <c r="Y7" s="97"/>
      <c r="Z7" s="97"/>
    </row>
    <row r="8" spans="3:26" x14ac:dyDescent="0.25">
      <c r="C8" t="s">
        <v>38</v>
      </c>
      <c r="D8" t="s">
        <v>255</v>
      </c>
      <c r="E8" s="186">
        <v>20.888441737135807</v>
      </c>
      <c r="F8" s="186">
        <v>18.664573844772512</v>
      </c>
      <c r="G8" s="186">
        <v>44.671533025268545</v>
      </c>
      <c r="H8" s="186">
        <v>46.995761601711024</v>
      </c>
      <c r="I8" s="186">
        <v>69.417142209937751</v>
      </c>
      <c r="J8" s="186">
        <v>79.484944302905149</v>
      </c>
      <c r="K8" s="186">
        <v>43.623819943819875</v>
      </c>
      <c r="L8" s="186">
        <v>42.105928173810625</v>
      </c>
      <c r="M8" s="186">
        <v>-81.951114752224512</v>
      </c>
      <c r="N8" s="186">
        <v>47.890132299528013</v>
      </c>
      <c r="P8" s="342">
        <f>L8/L$23</f>
        <v>3.0760058881115424E-3</v>
      </c>
      <c r="Q8" s="544">
        <f t="shared" ref="Q8:Q12" si="3">M8/M$23</f>
        <v>-4.1817422623303957E-3</v>
      </c>
      <c r="R8" s="342">
        <f t="shared" ref="R8:R12" si="4">N8/N$23</f>
        <v>1.7089277570343574E-3</v>
      </c>
      <c r="S8" s="545">
        <f>AVERAGE(P8,R8)</f>
        <v>2.3924668225729501E-3</v>
      </c>
      <c r="W8" s="97"/>
      <c r="X8" s="97"/>
      <c r="Y8" s="97"/>
      <c r="Z8" s="97"/>
    </row>
    <row r="9" spans="3:26" x14ac:dyDescent="0.25">
      <c r="D9" t="s">
        <v>258</v>
      </c>
      <c r="E9" s="186">
        <v>4493.0914061300991</v>
      </c>
      <c r="F9" s="186">
        <v>3129.4188187498958</v>
      </c>
      <c r="G9" s="186">
        <v>1537.2159618132607</v>
      </c>
      <c r="H9" s="186">
        <v>1211.5577453887856</v>
      </c>
      <c r="I9" s="186">
        <v>1114.8049081311201</v>
      </c>
      <c r="J9" s="186">
        <v>1374.9006708069921</v>
      </c>
      <c r="K9" s="186">
        <v>2629.8636624702522</v>
      </c>
      <c r="L9" s="186">
        <v>3021.7102496489024</v>
      </c>
      <c r="M9" s="186">
        <v>4800.3912924949318</v>
      </c>
      <c r="N9" s="186">
        <v>3936.0038913555322</v>
      </c>
      <c r="P9" s="20">
        <f t="shared" ref="P9:P12" si="5">L9/L$23</f>
        <v>0.22074797833024079</v>
      </c>
      <c r="Q9" s="20">
        <f t="shared" si="3"/>
        <v>0.24495089791324642</v>
      </c>
      <c r="R9" s="20">
        <f t="shared" si="4"/>
        <v>0.14045370055908166</v>
      </c>
      <c r="S9" s="339">
        <f t="shared" si="2"/>
        <v>0.20205085893418961</v>
      </c>
      <c r="W9" s="97"/>
      <c r="X9" s="97"/>
      <c r="Y9" s="97"/>
      <c r="Z9" s="97"/>
    </row>
    <row r="10" spans="3:26" x14ac:dyDescent="0.25">
      <c r="D10" t="s">
        <v>259</v>
      </c>
      <c r="E10" s="186">
        <v>13894.127035726349</v>
      </c>
      <c r="F10" s="186">
        <v>12486.774770108041</v>
      </c>
      <c r="G10" s="186">
        <v>3868.8499741768792</v>
      </c>
      <c r="H10" s="186">
        <v>6706.7361043560195</v>
      </c>
      <c r="I10" s="186">
        <v>7551.116987870073</v>
      </c>
      <c r="J10" s="186">
        <v>7992.7463394304086</v>
      </c>
      <c r="K10" s="186">
        <v>6978.2527712706433</v>
      </c>
      <c r="L10" s="186">
        <v>6356.4434540181383</v>
      </c>
      <c r="M10" s="186">
        <v>10341.138600970016</v>
      </c>
      <c r="N10" s="186">
        <v>13660.529514984521</v>
      </c>
      <c r="P10" s="20">
        <f t="shared" si="5"/>
        <v>0.46436353121813506</v>
      </c>
      <c r="Q10" s="20">
        <f t="shared" si="3"/>
        <v>0.52768014759822057</v>
      </c>
      <c r="R10" s="20">
        <f t="shared" si="4"/>
        <v>0.4874669779138241</v>
      </c>
      <c r="S10" s="338">
        <f>(AVERAGE(P10:R10))-0.00219140302830123</f>
        <v>0.49097881588175868</v>
      </c>
      <c r="W10" s="97"/>
      <c r="X10" s="97"/>
      <c r="Y10" s="97"/>
      <c r="Z10" s="97"/>
    </row>
    <row r="11" spans="3:26" x14ac:dyDescent="0.25">
      <c r="D11" t="s">
        <v>260</v>
      </c>
      <c r="E11" s="186">
        <v>15494.219291850428</v>
      </c>
      <c r="F11" s="186">
        <v>10282.79216723854</v>
      </c>
      <c r="G11" s="186">
        <v>19117.465989327571</v>
      </c>
      <c r="H11" s="186">
        <v>7291.9137576383255</v>
      </c>
      <c r="I11" s="186">
        <v>7378.7197227270663</v>
      </c>
      <c r="J11" s="186">
        <v>7419.8786849201597</v>
      </c>
      <c r="K11" s="186">
        <v>5176.4710756338391</v>
      </c>
      <c r="L11" s="186">
        <v>4257.2099912955591</v>
      </c>
      <c r="M11" s="186">
        <v>4505.5505167560614</v>
      </c>
      <c r="N11" s="186">
        <v>9979.0248650148933</v>
      </c>
      <c r="P11" s="20">
        <f t="shared" si="5"/>
        <v>0.31100615918253249</v>
      </c>
      <c r="Q11" s="20">
        <f t="shared" si="3"/>
        <v>0.2299059758729145</v>
      </c>
      <c r="R11" s="20">
        <f t="shared" si="4"/>
        <v>0.35609491477909438</v>
      </c>
      <c r="S11" s="339">
        <f t="shared" si="2"/>
        <v>0.29900234994484715</v>
      </c>
      <c r="W11" s="97"/>
      <c r="X11" s="97"/>
      <c r="Y11" s="97"/>
      <c r="Z11" s="97"/>
    </row>
    <row r="12" spans="3:26" x14ac:dyDescent="0.25">
      <c r="D12" t="s">
        <v>261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36.221325842394847</v>
      </c>
      <c r="K12" s="186">
        <v>27.771702340294009</v>
      </c>
      <c r="L12" s="186">
        <v>11.037390632925581</v>
      </c>
      <c r="M12" s="186">
        <v>32.23218958718445</v>
      </c>
      <c r="N12" s="186">
        <v>400.04884624431145</v>
      </c>
      <c r="P12" s="340">
        <f t="shared" si="5"/>
        <v>8.0632538098004513E-4</v>
      </c>
      <c r="Q12" s="340">
        <f t="shared" si="3"/>
        <v>1.6447208779489632E-3</v>
      </c>
      <c r="R12" s="340">
        <f t="shared" si="4"/>
        <v>1.4275478990965568E-2</v>
      </c>
      <c r="S12" s="341">
        <f t="shared" si="2"/>
        <v>5.5755084166315251E-3</v>
      </c>
      <c r="T12" s="337">
        <f>SUM(S8:S12)</f>
        <v>1</v>
      </c>
      <c r="U12" s="337">
        <f>1-T12</f>
        <v>0</v>
      </c>
      <c r="W12" s="97"/>
      <c r="X12" s="97"/>
      <c r="Y12" s="97"/>
      <c r="Z12" s="97"/>
    </row>
    <row r="13" spans="3:26" x14ac:dyDescent="0.25">
      <c r="C13" t="s">
        <v>39</v>
      </c>
      <c r="D13" t="s">
        <v>256</v>
      </c>
      <c r="E13" s="186">
        <v>5918.6237129375932</v>
      </c>
      <c r="F13" s="186">
        <v>4463.1162792585101</v>
      </c>
      <c r="G13" s="186">
        <v>4757.6984081873006</v>
      </c>
      <c r="H13" s="186">
        <v>2508.6566210528426</v>
      </c>
      <c r="I13" s="186">
        <v>2326.9172665624465</v>
      </c>
      <c r="J13" s="186">
        <v>4217.4769231670043</v>
      </c>
      <c r="K13" s="186">
        <v>2907.5370432893574</v>
      </c>
      <c r="L13" s="186">
        <v>16754.67698076116</v>
      </c>
      <c r="M13" s="186">
        <v>16894.237913255372</v>
      </c>
      <c r="N13" s="186">
        <v>6957.9366283035552</v>
      </c>
      <c r="P13" s="20">
        <f>L13/L$24</f>
        <v>0.55432562120616724</v>
      </c>
      <c r="Q13" s="20">
        <f t="shared" ref="Q13:Q15" si="6">M13/M$24</f>
        <v>0.71240643806846882</v>
      </c>
      <c r="R13" s="20">
        <f t="shared" ref="R13:R15" si="7">N13/N$24</f>
        <v>0.16276830194913039</v>
      </c>
      <c r="S13" s="339">
        <f t="shared" si="2"/>
        <v>0.47650012040792217</v>
      </c>
      <c r="W13" s="97"/>
      <c r="X13" s="97"/>
      <c r="Y13" s="97"/>
      <c r="Z13" s="97"/>
    </row>
    <row r="14" spans="3:26" x14ac:dyDescent="0.25">
      <c r="D14" t="s">
        <v>262</v>
      </c>
      <c r="E14" s="186">
        <v>17026.050469865808</v>
      </c>
      <c r="F14" s="186">
        <v>11578.647814361893</v>
      </c>
      <c r="G14" s="186">
        <v>20227.868678564148</v>
      </c>
      <c r="H14" s="186">
        <v>16363.911906507261</v>
      </c>
      <c r="I14" s="186">
        <v>13450.545639293183</v>
      </c>
      <c r="J14" s="186">
        <v>12319.62578166562</v>
      </c>
      <c r="K14" s="186">
        <v>11736.16285107433</v>
      </c>
      <c r="L14" s="186">
        <v>13368.023990649817</v>
      </c>
      <c r="M14" s="186">
        <v>6788.7995146857784</v>
      </c>
      <c r="N14" s="186">
        <v>35682.390159463394</v>
      </c>
      <c r="P14" s="20">
        <f t="shared" ref="P14:P15" si="8">L14/L$24</f>
        <v>0.44227878648002805</v>
      </c>
      <c r="Q14" s="20">
        <f t="shared" si="6"/>
        <v>0.28627420223693983</v>
      </c>
      <c r="R14" s="20">
        <f t="shared" si="7"/>
        <v>0.83472477057588279</v>
      </c>
      <c r="S14" s="339">
        <f t="shared" si="2"/>
        <v>0.52109258643095024</v>
      </c>
      <c r="W14" s="97"/>
      <c r="X14" s="97"/>
      <c r="Y14" s="97"/>
      <c r="Z14" s="97"/>
    </row>
    <row r="15" spans="3:26" x14ac:dyDescent="0.25">
      <c r="D15" t="s">
        <v>263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100.52706431798802</v>
      </c>
      <c r="L15" s="186">
        <v>102.63291141470646</v>
      </c>
      <c r="M15" s="186">
        <v>31.287724790950481</v>
      </c>
      <c r="N15" s="186">
        <v>107.16486130182005</v>
      </c>
      <c r="P15" s="340">
        <f t="shared" si="8"/>
        <v>3.3955923138047927E-3</v>
      </c>
      <c r="Q15" s="340">
        <f t="shared" si="6"/>
        <v>1.3193596945914295E-3</v>
      </c>
      <c r="R15" s="340">
        <f t="shared" si="7"/>
        <v>2.506927474986818E-3</v>
      </c>
      <c r="S15" s="341">
        <f t="shared" si="2"/>
        <v>2.4072931611276802E-3</v>
      </c>
      <c r="T15" s="116">
        <f>SUM(S13:S15)</f>
        <v>1</v>
      </c>
      <c r="W15" s="97"/>
      <c r="X15" s="97"/>
      <c r="Y15" s="97"/>
      <c r="Z15" s="97"/>
    </row>
    <row r="16" spans="3:26" x14ac:dyDescent="0.25">
      <c r="C16" t="s">
        <v>40</v>
      </c>
      <c r="D16" t="s">
        <v>255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P16" s="20">
        <f>L16/L$25</f>
        <v>0</v>
      </c>
      <c r="Q16" s="20">
        <f t="shared" ref="Q16:Q18" si="9">M16/M$25</f>
        <v>0</v>
      </c>
      <c r="R16" s="20">
        <f t="shared" ref="R16:R18" si="10">N16/N$25</f>
        <v>0</v>
      </c>
      <c r="S16" s="339">
        <f t="shared" si="2"/>
        <v>0</v>
      </c>
      <c r="W16" s="97"/>
      <c r="X16" s="97"/>
      <c r="Y16" s="97"/>
      <c r="Z16" s="97"/>
    </row>
    <row r="17" spans="3:26" x14ac:dyDescent="0.25">
      <c r="D17" t="s">
        <v>264</v>
      </c>
      <c r="E17" s="186">
        <v>2072.7372299999997</v>
      </c>
      <c r="F17" s="186">
        <v>1294.7473518777217</v>
      </c>
      <c r="G17" s="186">
        <v>345.25919999646209</v>
      </c>
      <c r="H17" s="186">
        <v>1468.9298411296984</v>
      </c>
      <c r="I17" s="186">
        <v>569.24044274596076</v>
      </c>
      <c r="J17" s="186">
        <v>503.55709269104341</v>
      </c>
      <c r="K17" s="186">
        <v>353.41698784563039</v>
      </c>
      <c r="L17" s="186">
        <v>289.97783091566458</v>
      </c>
      <c r="M17" s="186">
        <v>126.15343307337136</v>
      </c>
      <c r="N17" s="186">
        <v>130.08398129773821</v>
      </c>
      <c r="P17" s="20">
        <f t="shared" ref="P17:P18" si="11">L17/L$25</f>
        <v>0.73115423194966833</v>
      </c>
      <c r="Q17" s="20">
        <f t="shared" si="9"/>
        <v>1</v>
      </c>
      <c r="R17" s="20">
        <f t="shared" si="10"/>
        <v>1</v>
      </c>
      <c r="S17" s="339">
        <f t="shared" si="2"/>
        <v>0.91038474398322278</v>
      </c>
      <c r="W17" s="97"/>
      <c r="X17" s="97"/>
      <c r="Y17" s="97"/>
      <c r="Z17" s="97"/>
    </row>
    <row r="18" spans="3:26" x14ac:dyDescent="0.25">
      <c r="D18" t="s">
        <v>265</v>
      </c>
      <c r="E18" s="187">
        <v>-3.8572199999999999</v>
      </c>
      <c r="F18" s="187">
        <v>213.19167812227801</v>
      </c>
      <c r="G18" s="187">
        <v>83.449890003537789</v>
      </c>
      <c r="H18" s="187">
        <v>182.39009887030167</v>
      </c>
      <c r="I18" s="187">
        <v>171.49655725403952</v>
      </c>
      <c r="J18" s="187">
        <v>5170.9677973089574</v>
      </c>
      <c r="K18" s="187">
        <v>21488.334289516344</v>
      </c>
      <c r="L18" s="187">
        <v>106.62499</v>
      </c>
      <c r="M18" s="187">
        <v>0</v>
      </c>
      <c r="N18" s="187">
        <v>0</v>
      </c>
      <c r="P18" s="20">
        <f t="shared" si="11"/>
        <v>0.26884576805033172</v>
      </c>
      <c r="Q18" s="20">
        <f t="shared" si="9"/>
        <v>0</v>
      </c>
      <c r="R18" s="20">
        <f t="shared" si="10"/>
        <v>0</v>
      </c>
      <c r="S18" s="339">
        <f t="shared" si="2"/>
        <v>8.9615256016777237E-2</v>
      </c>
      <c r="W18" s="97"/>
      <c r="X18" s="97"/>
      <c r="Y18" s="97"/>
      <c r="Z18" s="97"/>
    </row>
    <row r="19" spans="3:26" x14ac:dyDescent="0.25">
      <c r="E19" s="297">
        <f>SUM(E5:E18)</f>
        <v>78032.330860000104</v>
      </c>
      <c r="F19" s="297">
        <f t="shared" ref="F19:N19" si="12">SUM(F5:F18)</f>
        <v>64100.242209999989</v>
      </c>
      <c r="G19" s="297">
        <f t="shared" si="12"/>
        <v>72250.419714172531</v>
      </c>
      <c r="H19" s="297">
        <f t="shared" si="12"/>
        <v>57621.06987009877</v>
      </c>
      <c r="I19" s="297">
        <f t="shared" si="12"/>
        <v>55068.158692732286</v>
      </c>
      <c r="J19" s="297">
        <f t="shared" si="12"/>
        <v>64658.025060000014</v>
      </c>
      <c r="K19" s="297">
        <f t="shared" si="12"/>
        <v>73695.154245306854</v>
      </c>
      <c r="L19" s="297">
        <f t="shared" si="12"/>
        <v>63044.461741588406</v>
      </c>
      <c r="M19" s="297">
        <f t="shared" si="12"/>
        <v>65432.635695822617</v>
      </c>
      <c r="N19" s="297">
        <f t="shared" si="12"/>
        <v>93882.850056717798</v>
      </c>
    </row>
    <row r="20" spans="3:26" x14ac:dyDescent="0.25">
      <c r="E20" s="210"/>
      <c r="F20" s="210"/>
      <c r="G20" s="210"/>
      <c r="H20" s="210"/>
      <c r="I20" s="210"/>
      <c r="J20" s="210"/>
      <c r="K20" s="210"/>
      <c r="L20" s="210"/>
      <c r="M20" s="210"/>
      <c r="N20" s="210"/>
    </row>
    <row r="21" spans="3:26" x14ac:dyDescent="0.25">
      <c r="D21" t="s">
        <v>267</v>
      </c>
    </row>
    <row r="22" spans="3:26" x14ac:dyDescent="0.25">
      <c r="D22" t="s">
        <v>37</v>
      </c>
      <c r="E22" s="186">
        <f>SUM(E5:E7)</f>
        <v>19116.450491752697</v>
      </c>
      <c r="F22" s="186">
        <f t="shared" ref="F22:N22" si="13">SUM(F5:F7)</f>
        <v>20632.88875643834</v>
      </c>
      <c r="G22" s="186">
        <f t="shared" si="13"/>
        <v>22267.940079078089</v>
      </c>
      <c r="H22" s="186">
        <f t="shared" si="13"/>
        <v>21839.978033553823</v>
      </c>
      <c r="I22" s="186">
        <f t="shared" si="13"/>
        <v>22435.900025938463</v>
      </c>
      <c r="J22" s="186">
        <f t="shared" si="13"/>
        <v>25543.165499864524</v>
      </c>
      <c r="K22" s="186">
        <f t="shared" si="13"/>
        <v>22253.192977604347</v>
      </c>
      <c r="L22" s="186">
        <f t="shared" si="13"/>
        <v>18734.018024077719</v>
      </c>
      <c r="M22" s="186">
        <f t="shared" si="13"/>
        <v>21994.795624961171</v>
      </c>
      <c r="N22" s="186">
        <f t="shared" si="13"/>
        <v>22981.77717645251</v>
      </c>
    </row>
    <row r="23" spans="3:26" x14ac:dyDescent="0.25">
      <c r="D23" t="s">
        <v>38</v>
      </c>
      <c r="E23" s="186">
        <f>SUM(E8:E12)</f>
        <v>33902.32617544401</v>
      </c>
      <c r="F23" s="186">
        <f t="shared" ref="F23:N23" si="14">SUM(F8:F12)</f>
        <v>25917.650329941251</v>
      </c>
      <c r="G23" s="186">
        <f t="shared" si="14"/>
        <v>24568.203458342978</v>
      </c>
      <c r="H23" s="186">
        <f t="shared" si="14"/>
        <v>15257.203368984841</v>
      </c>
      <c r="I23" s="186">
        <f t="shared" si="14"/>
        <v>16114.058760938196</v>
      </c>
      <c r="J23" s="186">
        <f t="shared" si="14"/>
        <v>16903.231965302861</v>
      </c>
      <c r="K23" s="186">
        <f t="shared" si="14"/>
        <v>14855.983031658849</v>
      </c>
      <c r="L23" s="186">
        <f t="shared" si="14"/>
        <v>13688.507013769336</v>
      </c>
      <c r="M23" s="186">
        <f t="shared" si="14"/>
        <v>19597.361485055968</v>
      </c>
      <c r="N23" s="186">
        <f t="shared" si="14"/>
        <v>28023.497249898785</v>
      </c>
    </row>
    <row r="24" spans="3:26" x14ac:dyDescent="0.25">
      <c r="D24" t="s">
        <v>39</v>
      </c>
      <c r="E24" s="186">
        <f>SUM(E13:E15)</f>
        <v>22944.674182803399</v>
      </c>
      <c r="F24" s="186">
        <f t="shared" ref="F24:N24" si="15">SUM(F13:F15)</f>
        <v>16041.764093620404</v>
      </c>
      <c r="G24" s="186">
        <f t="shared" si="15"/>
        <v>24985.567086751449</v>
      </c>
      <c r="H24" s="186">
        <f t="shared" si="15"/>
        <v>18872.568527560103</v>
      </c>
      <c r="I24" s="186">
        <f t="shared" si="15"/>
        <v>15777.462905855629</v>
      </c>
      <c r="J24" s="186">
        <f t="shared" si="15"/>
        <v>16537.102704832625</v>
      </c>
      <c r="K24" s="186">
        <f t="shared" si="15"/>
        <v>14744.226958681676</v>
      </c>
      <c r="L24" s="186">
        <f t="shared" si="15"/>
        <v>30225.333882825682</v>
      </c>
      <c r="M24" s="186">
        <f t="shared" si="15"/>
        <v>23714.325152732101</v>
      </c>
      <c r="N24" s="186">
        <f t="shared" si="15"/>
        <v>42747.491649068768</v>
      </c>
    </row>
    <row r="25" spans="3:26" x14ac:dyDescent="0.25">
      <c r="D25" t="s">
        <v>40</v>
      </c>
      <c r="E25" s="186">
        <f>SUM(E16:E18)</f>
        <v>2068.8800099999999</v>
      </c>
      <c r="F25" s="186">
        <f t="shared" ref="F25:N25" si="16">SUM(F16:F18)</f>
        <v>1507.9390299999998</v>
      </c>
      <c r="G25" s="186">
        <f t="shared" si="16"/>
        <v>428.70908999999989</v>
      </c>
      <c r="H25" s="186">
        <f t="shared" si="16"/>
        <v>1651.3199400000001</v>
      </c>
      <c r="I25" s="186">
        <f t="shared" si="16"/>
        <v>740.73700000000031</v>
      </c>
      <c r="J25" s="186">
        <f t="shared" si="16"/>
        <v>5674.5248900000006</v>
      </c>
      <c r="K25" s="186">
        <f t="shared" si="16"/>
        <v>21841.751277361975</v>
      </c>
      <c r="L25" s="186">
        <f t="shared" si="16"/>
        <v>396.60282091566455</v>
      </c>
      <c r="M25" s="186">
        <f t="shared" si="16"/>
        <v>126.15343307337136</v>
      </c>
      <c r="N25" s="186">
        <f t="shared" si="16"/>
        <v>130.08398129773821</v>
      </c>
    </row>
    <row r="29" spans="3:26" x14ac:dyDescent="0.25">
      <c r="C29" t="s">
        <v>277</v>
      </c>
      <c r="E29" t="s">
        <v>278</v>
      </c>
    </row>
    <row r="30" spans="3:26" x14ac:dyDescent="0.25">
      <c r="C30" t="s">
        <v>279</v>
      </c>
      <c r="S30" s="244" t="s">
        <v>268</v>
      </c>
    </row>
    <row r="31" spans="3:26" x14ac:dyDescent="0.25">
      <c r="C31" t="s">
        <v>42</v>
      </c>
      <c r="D31" t="s">
        <v>269</v>
      </c>
      <c r="E31" s="244">
        <v>2009</v>
      </c>
      <c r="F31" s="244">
        <v>2010</v>
      </c>
      <c r="G31" s="244">
        <v>2011</v>
      </c>
      <c r="H31" s="244">
        <v>2012</v>
      </c>
      <c r="I31" s="244">
        <v>2013</v>
      </c>
      <c r="J31" s="244">
        <v>2014</v>
      </c>
      <c r="K31" s="244">
        <v>2015</v>
      </c>
      <c r="L31" s="244">
        <v>2016</v>
      </c>
      <c r="M31" s="244">
        <v>2017</v>
      </c>
      <c r="N31" s="244">
        <v>2018</v>
      </c>
      <c r="P31" s="244">
        <v>2016</v>
      </c>
      <c r="Q31" s="244">
        <v>2017</v>
      </c>
      <c r="R31" s="244">
        <v>2018</v>
      </c>
      <c r="S31" s="244" t="s">
        <v>36</v>
      </c>
    </row>
    <row r="32" spans="3:26" x14ac:dyDescent="0.25">
      <c r="C32" t="s">
        <v>37</v>
      </c>
      <c r="D32" t="s">
        <v>255</v>
      </c>
      <c r="E32" s="333">
        <f t="shared" ref="E32:M32" si="17">E62-E55-E57</f>
        <v>1039.9627929374001</v>
      </c>
      <c r="F32" s="333">
        <f t="shared" si="17"/>
        <v>1135.7861336556743</v>
      </c>
      <c r="G32" s="333">
        <f t="shared" si="17"/>
        <v>1166.3226598106812</v>
      </c>
      <c r="H32" s="333">
        <f t="shared" si="17"/>
        <v>923.0065266742331</v>
      </c>
      <c r="I32" s="333">
        <f t="shared" si="17"/>
        <v>1294.3145093653893</v>
      </c>
      <c r="J32" s="333">
        <f t="shared" si="17"/>
        <v>952.28500493258798</v>
      </c>
      <c r="K32" s="333">
        <f t="shared" si="17"/>
        <v>661.09937767405609</v>
      </c>
      <c r="L32" s="333">
        <f t="shared" si="17"/>
        <v>925.87688719774087</v>
      </c>
      <c r="M32" s="333">
        <f t="shared" si="17"/>
        <v>1113.9631444033039</v>
      </c>
      <c r="N32" s="333">
        <f>N62-N55-N57</f>
        <v>803.32313236164191</v>
      </c>
      <c r="P32" s="20">
        <f>L32/L$49</f>
        <v>0.39153204753185306</v>
      </c>
      <c r="Q32" s="20">
        <f t="shared" ref="Q32:R34" si="18">M32/M$49</f>
        <v>0.35647661463039509</v>
      </c>
      <c r="R32" s="20">
        <f t="shared" si="18"/>
        <v>0.37179761698036418</v>
      </c>
      <c r="S32" s="339">
        <f>AVERAGE(P32:R32)</f>
        <v>0.37326875971420409</v>
      </c>
    </row>
    <row r="33" spans="3:19" x14ac:dyDescent="0.25">
      <c r="D33" t="s">
        <v>256</v>
      </c>
      <c r="E33" s="303">
        <v>1461.7807929373996</v>
      </c>
      <c r="F33" s="303">
        <v>1647.5908211556725</v>
      </c>
      <c r="G33" s="303">
        <v>1633.1226598106812</v>
      </c>
      <c r="H33" s="303">
        <v>1202.3098053627584</v>
      </c>
      <c r="I33" s="303">
        <v>1558.6674505418605</v>
      </c>
      <c r="J33" s="303">
        <v>1121.0355161800317</v>
      </c>
      <c r="K33" s="303">
        <v>883.92411994209806</v>
      </c>
      <c r="L33" s="303">
        <v>1180.722048488064</v>
      </c>
      <c r="M33" s="303">
        <v>1628.3061332117304</v>
      </c>
      <c r="N33" s="303">
        <v>978.35018893447557</v>
      </c>
      <c r="P33" s="20">
        <f t="shared" ref="P33:P34" si="19">L33/L$49</f>
        <v>0.49930020675827019</v>
      </c>
      <c r="Q33" s="20">
        <f t="shared" si="18"/>
        <v>0.52107025341502422</v>
      </c>
      <c r="R33" s="20">
        <f t="shared" si="18"/>
        <v>0.45280442472603172</v>
      </c>
      <c r="S33" s="339">
        <f t="shared" ref="S33:S45" si="20">AVERAGE(P33:R33)</f>
        <v>0.49105829496644199</v>
      </c>
    </row>
    <row r="34" spans="3:19" x14ac:dyDescent="0.25">
      <c r="D34" t="s">
        <v>257</v>
      </c>
      <c r="E34" s="303">
        <v>265.18200000000002</v>
      </c>
      <c r="F34" s="303">
        <v>241.1953125</v>
      </c>
      <c r="G34" s="303">
        <v>311.20000000000005</v>
      </c>
      <c r="H34" s="303">
        <v>445.69672131147541</v>
      </c>
      <c r="I34" s="303">
        <v>377.64705882352945</v>
      </c>
      <c r="J34" s="303">
        <v>292.2494887525562</v>
      </c>
      <c r="K34" s="303">
        <v>202.96907216494844</v>
      </c>
      <c r="L34" s="303">
        <v>258.15483870967739</v>
      </c>
      <c r="M34" s="303">
        <v>382.65701119157342</v>
      </c>
      <c r="N34" s="303">
        <v>378.97294342716589</v>
      </c>
      <c r="P34" s="340">
        <f t="shared" si="19"/>
        <v>0.10916774570987681</v>
      </c>
      <c r="Q34" s="340">
        <f t="shared" si="18"/>
        <v>0.12245313195458062</v>
      </c>
      <c r="R34" s="340">
        <f t="shared" si="18"/>
        <v>0.17539795829360408</v>
      </c>
      <c r="S34" s="341">
        <f t="shared" si="20"/>
        <v>0.13567294531935384</v>
      </c>
    </row>
    <row r="35" spans="3:19" x14ac:dyDescent="0.25">
      <c r="C35" t="s">
        <v>38</v>
      </c>
      <c r="D35" t="s">
        <v>255</v>
      </c>
      <c r="E35" s="333">
        <f t="shared" ref="E35:M35" si="21">E65-E56-E58</f>
        <v>7.5372070626003733</v>
      </c>
      <c r="F35" s="333">
        <f t="shared" si="21"/>
        <v>5.7138663443274709</v>
      </c>
      <c r="G35" s="333">
        <f t="shared" si="21"/>
        <v>17.177340189318784</v>
      </c>
      <c r="H35" s="333">
        <f t="shared" si="21"/>
        <v>10.993473325766217</v>
      </c>
      <c r="I35" s="333">
        <f t="shared" si="21"/>
        <v>17.185490634610005</v>
      </c>
      <c r="J35" s="333">
        <f t="shared" si="21"/>
        <v>13.214995067412019</v>
      </c>
      <c r="K35" s="333">
        <f t="shared" si="21"/>
        <v>6.9006223259432318</v>
      </c>
      <c r="L35" s="333">
        <f t="shared" si="21"/>
        <v>7.1231128022584471</v>
      </c>
      <c r="M35" s="333">
        <f t="shared" si="21"/>
        <v>8.0368555966958866</v>
      </c>
      <c r="N35" s="333">
        <f>N65-N56-N58</f>
        <v>5.1768676383585444</v>
      </c>
      <c r="P35" s="343">
        <f>L35/L$50</f>
        <v>2.075219556956058E-2</v>
      </c>
      <c r="Q35" s="343">
        <f t="shared" ref="Q35:R39" si="22">M35/M$50</f>
        <v>1.6952755250791287E-2</v>
      </c>
      <c r="R35" s="343">
        <f t="shared" si="22"/>
        <v>1.3682612739563236E-2</v>
      </c>
      <c r="S35" s="339">
        <f t="shared" si="20"/>
        <v>1.7129187853305035E-2</v>
      </c>
    </row>
    <row r="36" spans="3:19" x14ac:dyDescent="0.25">
      <c r="D36" t="s">
        <v>258</v>
      </c>
      <c r="E36" s="303">
        <v>121.30643783183109</v>
      </c>
      <c r="F36" s="303">
        <v>188.61041806846535</v>
      </c>
      <c r="G36" s="303">
        <v>210.43224215010298</v>
      </c>
      <c r="H36" s="303">
        <v>129.07347332576617</v>
      </c>
      <c r="I36" s="303">
        <v>122.03734248646185</v>
      </c>
      <c r="J36" s="303">
        <v>127.78472800509749</v>
      </c>
      <c r="K36" s="303">
        <v>92.567288992609875</v>
      </c>
      <c r="L36" s="303">
        <v>160.53322516180907</v>
      </c>
      <c r="M36" s="303">
        <v>211.15219585044463</v>
      </c>
      <c r="N36" s="303">
        <v>77.43823510215104</v>
      </c>
      <c r="P36" s="343">
        <f t="shared" ref="P36:P39" si="23">L36/L$50</f>
        <v>0.46769115925188065</v>
      </c>
      <c r="Q36" s="343">
        <f t="shared" si="22"/>
        <v>0.44539950405372286</v>
      </c>
      <c r="R36" s="343">
        <f t="shared" si="22"/>
        <v>0.20467152265726923</v>
      </c>
      <c r="S36" s="339">
        <f t="shared" si="20"/>
        <v>0.37258739532095758</v>
      </c>
    </row>
    <row r="37" spans="3:19" x14ac:dyDescent="0.25">
      <c r="D37" t="s">
        <v>259</v>
      </c>
      <c r="E37" s="303">
        <v>109.84615384615384</v>
      </c>
      <c r="F37" s="303">
        <v>114.11494252873563</v>
      </c>
      <c r="G37" s="303">
        <v>94.870588235294122</v>
      </c>
      <c r="H37" s="303">
        <v>112.545</v>
      </c>
      <c r="I37" s="303">
        <v>132.44444444444443</v>
      </c>
      <c r="J37" s="303">
        <v>89.958456973293764</v>
      </c>
      <c r="K37" s="303">
        <v>107.32950191570882</v>
      </c>
      <c r="L37" s="303">
        <v>89.643258426966298</v>
      </c>
      <c r="M37" s="303">
        <v>128.36678200692043</v>
      </c>
      <c r="N37" s="303">
        <v>102.87638935668575</v>
      </c>
      <c r="P37" s="343">
        <f t="shared" si="23"/>
        <v>0.26116312938063274</v>
      </c>
      <c r="Q37" s="343">
        <f t="shared" si="22"/>
        <v>0.27077388806010999</v>
      </c>
      <c r="R37" s="343">
        <f t="shared" si="22"/>
        <v>0.27190530914527622</v>
      </c>
      <c r="S37" s="339">
        <f t="shared" si="20"/>
        <v>0.26794744219533967</v>
      </c>
    </row>
    <row r="38" spans="3:19" x14ac:dyDescent="0.25">
      <c r="D38" t="s">
        <v>260</v>
      </c>
      <c r="E38" s="303">
        <v>150.38461538461539</v>
      </c>
      <c r="F38" s="303">
        <v>110.98850574712644</v>
      </c>
      <c r="G38" s="303">
        <v>159.87450980392157</v>
      </c>
      <c r="H38" s="303">
        <v>138.375</v>
      </c>
      <c r="I38" s="303">
        <v>209.7037037037037</v>
      </c>
      <c r="J38" s="303">
        <v>80.623145400593472</v>
      </c>
      <c r="K38" s="303">
        <v>63.019157088122597</v>
      </c>
      <c r="L38" s="303">
        <v>80.401685393258418</v>
      </c>
      <c r="M38" s="303">
        <v>117.00922722029989</v>
      </c>
      <c r="N38" s="303">
        <v>185.79723812731558</v>
      </c>
      <c r="P38" s="343">
        <f t="shared" si="23"/>
        <v>0.23423909542386642</v>
      </c>
      <c r="Q38" s="343">
        <f t="shared" si="22"/>
        <v>0.24681652759388625</v>
      </c>
      <c r="R38" s="343">
        <f t="shared" si="22"/>
        <v>0.49106754025152899</v>
      </c>
      <c r="S38" s="339">
        <f t="shared" si="20"/>
        <v>0.32404105442309389</v>
      </c>
    </row>
    <row r="39" spans="3:19" x14ac:dyDescent="0.25">
      <c r="D39" t="s">
        <v>261</v>
      </c>
      <c r="E39" s="303">
        <v>0</v>
      </c>
      <c r="F39" s="303">
        <v>0</v>
      </c>
      <c r="G39" s="303">
        <v>0</v>
      </c>
      <c r="H39" s="303">
        <v>0</v>
      </c>
      <c r="I39" s="303">
        <v>0</v>
      </c>
      <c r="J39" s="303">
        <v>0.8486646884272997</v>
      </c>
      <c r="K39" s="303">
        <v>0.98467432950191558</v>
      </c>
      <c r="L39" s="303">
        <v>5.5449438202247192</v>
      </c>
      <c r="M39" s="303">
        <v>9.508650519031141</v>
      </c>
      <c r="N39" s="303">
        <v>7.0650050522061303</v>
      </c>
      <c r="P39" s="344">
        <f t="shared" si="23"/>
        <v>1.6154420374059755E-2</v>
      </c>
      <c r="Q39" s="344">
        <f t="shared" si="22"/>
        <v>2.0057325041489625E-2</v>
      </c>
      <c r="R39" s="344">
        <f t="shared" si="22"/>
        <v>1.8673015206362345E-2</v>
      </c>
      <c r="S39" s="341">
        <f t="shared" si="20"/>
        <v>1.8294920207303906E-2</v>
      </c>
    </row>
    <row r="40" spans="3:19" x14ac:dyDescent="0.25">
      <c r="C40" t="s">
        <v>39</v>
      </c>
      <c r="D40" t="s">
        <v>256</v>
      </c>
      <c r="E40" s="303">
        <v>143.27513513513512</v>
      </c>
      <c r="F40" s="303">
        <v>231.79492774024024</v>
      </c>
      <c r="G40" s="303">
        <v>242.25114942528734</v>
      </c>
      <c r="H40" s="303">
        <v>177.53557217889542</v>
      </c>
      <c r="I40" s="303">
        <v>187.29053708439898</v>
      </c>
      <c r="J40" s="303">
        <v>115.01301357129577</v>
      </c>
      <c r="K40" s="303">
        <v>141.56434806651657</v>
      </c>
      <c r="L40" s="303">
        <v>305.25474528768478</v>
      </c>
      <c r="M40" s="303">
        <v>254.19512636376885</v>
      </c>
      <c r="N40" s="303">
        <v>68.684185365986238</v>
      </c>
      <c r="P40" s="20">
        <f>L40/L$51</f>
        <v>0.67088955008282369</v>
      </c>
      <c r="Q40" s="20">
        <f t="shared" ref="Q40:R42" si="24">M40/M$51</f>
        <v>0.65011541269506101</v>
      </c>
      <c r="R40" s="20">
        <f t="shared" si="24"/>
        <v>0.27537492157685889</v>
      </c>
      <c r="S40" s="339">
        <f t="shared" si="20"/>
        <v>0.53212662811824785</v>
      </c>
    </row>
    <row r="41" spans="3:19" x14ac:dyDescent="0.25">
      <c r="D41" t="s">
        <v>262</v>
      </c>
      <c r="E41" s="303">
        <v>124.72486486486487</v>
      </c>
      <c r="F41" s="303">
        <v>171.20507225975976</v>
      </c>
      <c r="G41" s="303">
        <v>220.74885057471266</v>
      </c>
      <c r="H41" s="303">
        <v>224.46442782110458</v>
      </c>
      <c r="I41" s="303">
        <v>217.70946291560102</v>
      </c>
      <c r="J41" s="303">
        <v>174.9869864287042</v>
      </c>
      <c r="K41" s="303">
        <v>164.23977564482365</v>
      </c>
      <c r="L41" s="303">
        <v>147.09733252733966</v>
      </c>
      <c r="M41" s="303">
        <v>133.47040791199512</v>
      </c>
      <c r="N41" s="303">
        <v>176.87182894218301</v>
      </c>
      <c r="P41" s="20">
        <f t="shared" ref="P41:P42" si="25">L41/L$51</f>
        <v>0.32329084071942782</v>
      </c>
      <c r="Q41" s="20">
        <f t="shared" si="24"/>
        <v>0.34135654197441206</v>
      </c>
      <c r="R41" s="20">
        <f t="shared" si="24"/>
        <v>0.70913072295430402</v>
      </c>
      <c r="S41" s="339">
        <f t="shared" si="20"/>
        <v>0.45792603521604797</v>
      </c>
    </row>
    <row r="42" spans="3:19" x14ac:dyDescent="0.25">
      <c r="D42" t="s">
        <v>263</v>
      </c>
      <c r="E42" s="303">
        <v>0</v>
      </c>
      <c r="F42" s="303">
        <v>0</v>
      </c>
      <c r="G42" s="303">
        <v>0</v>
      </c>
      <c r="H42" s="303">
        <v>0</v>
      </c>
      <c r="I42" s="303">
        <v>0</v>
      </c>
      <c r="J42" s="303">
        <v>0</v>
      </c>
      <c r="K42" s="303">
        <v>2.402061855670103</v>
      </c>
      <c r="L42" s="303">
        <v>2.6479221849755454</v>
      </c>
      <c r="M42" s="303">
        <v>3.3344657242360132</v>
      </c>
      <c r="N42" s="303">
        <v>3.8646118428436749</v>
      </c>
      <c r="P42" s="340">
        <f t="shared" si="25"/>
        <v>5.8196091977484512E-3</v>
      </c>
      <c r="Q42" s="340">
        <f t="shared" si="24"/>
        <v>8.5280453305268886E-3</v>
      </c>
      <c r="R42" s="340">
        <f t="shared" si="24"/>
        <v>1.5494355468836913E-2</v>
      </c>
      <c r="S42" s="341">
        <f t="shared" si="20"/>
        <v>9.9473366657040849E-3</v>
      </c>
    </row>
    <row r="43" spans="3:19" x14ac:dyDescent="0.25">
      <c r="C43" t="s">
        <v>40</v>
      </c>
      <c r="D43" t="s">
        <v>255</v>
      </c>
      <c r="E43" s="303">
        <v>0</v>
      </c>
      <c r="F43" s="303">
        <v>0</v>
      </c>
      <c r="G43" s="303">
        <v>0</v>
      </c>
      <c r="H43" s="303">
        <v>0</v>
      </c>
      <c r="I43" s="303">
        <v>0</v>
      </c>
      <c r="J43" s="303">
        <v>0</v>
      </c>
      <c r="K43" s="303">
        <v>0</v>
      </c>
      <c r="L43" s="303">
        <v>0</v>
      </c>
      <c r="M43" s="303">
        <v>0</v>
      </c>
      <c r="N43" s="303">
        <v>0</v>
      </c>
      <c r="P43" s="14">
        <f>L43/L$52</f>
        <v>0</v>
      </c>
      <c r="Q43" s="14" t="e">
        <f t="shared" ref="Q43:R45" si="26">M43/M$52</f>
        <v>#DIV/0!</v>
      </c>
      <c r="R43" s="14" t="e">
        <f t="shared" si="26"/>
        <v>#DIV/0!</v>
      </c>
      <c r="S43" s="116" t="e">
        <f t="shared" si="20"/>
        <v>#DIV/0!</v>
      </c>
    </row>
    <row r="44" spans="3:19" x14ac:dyDescent="0.25">
      <c r="D44" t="s">
        <v>264</v>
      </c>
      <c r="E44" s="303">
        <v>4</v>
      </c>
      <c r="F44" s="303">
        <v>4</v>
      </c>
      <c r="G44" s="303">
        <v>0</v>
      </c>
      <c r="H44" s="303">
        <v>1</v>
      </c>
      <c r="I44" s="303">
        <v>2</v>
      </c>
      <c r="J44" s="303">
        <v>3</v>
      </c>
      <c r="K44" s="303">
        <v>2</v>
      </c>
      <c r="L44" s="303">
        <v>1</v>
      </c>
      <c r="M44" s="303">
        <v>0</v>
      </c>
      <c r="N44" s="303">
        <v>0</v>
      </c>
      <c r="P44" s="14">
        <f t="shared" ref="P44:P45" si="27">L44/L$52</f>
        <v>1</v>
      </c>
      <c r="Q44" s="14" t="e">
        <f t="shared" si="26"/>
        <v>#DIV/0!</v>
      </c>
      <c r="R44" s="14" t="e">
        <f t="shared" si="26"/>
        <v>#DIV/0!</v>
      </c>
      <c r="S44" s="116" t="e">
        <f t="shared" si="20"/>
        <v>#DIV/0!</v>
      </c>
    </row>
    <row r="45" spans="3:19" x14ac:dyDescent="0.25">
      <c r="D45" t="s">
        <v>265</v>
      </c>
      <c r="E45" s="304">
        <v>0</v>
      </c>
      <c r="F45" s="304">
        <v>0</v>
      </c>
      <c r="G45" s="304">
        <v>0</v>
      </c>
      <c r="H45" s="304">
        <v>0</v>
      </c>
      <c r="I45" s="304">
        <v>0</v>
      </c>
      <c r="J45" s="304">
        <v>1</v>
      </c>
      <c r="K45" s="304">
        <v>1</v>
      </c>
      <c r="L45" s="304">
        <v>0</v>
      </c>
      <c r="M45" s="304">
        <v>0</v>
      </c>
      <c r="N45" s="304">
        <v>0</v>
      </c>
      <c r="P45" s="14">
        <f t="shared" si="27"/>
        <v>0</v>
      </c>
      <c r="Q45" s="14" t="e">
        <f t="shared" si="26"/>
        <v>#DIV/0!</v>
      </c>
      <c r="R45" s="14" t="e">
        <f t="shared" si="26"/>
        <v>#DIV/0!</v>
      </c>
      <c r="S45" s="116" t="e">
        <f t="shared" si="20"/>
        <v>#DIV/0!</v>
      </c>
    </row>
    <row r="46" spans="3:19" x14ac:dyDescent="0.25">
      <c r="E46" s="303">
        <f t="shared" ref="E46:M46" si="28">SUM(E32:E45)</f>
        <v>3427.9999999999995</v>
      </c>
      <c r="F46" s="303">
        <f t="shared" si="28"/>
        <v>3851.0000000000018</v>
      </c>
      <c r="G46" s="303">
        <f t="shared" si="28"/>
        <v>4056</v>
      </c>
      <c r="H46" s="303">
        <f t="shared" si="28"/>
        <v>3364.9999999999995</v>
      </c>
      <c r="I46" s="303">
        <f t="shared" si="28"/>
        <v>4118.9999999999991</v>
      </c>
      <c r="J46" s="303">
        <f t="shared" si="28"/>
        <v>2971.9999999999995</v>
      </c>
      <c r="K46" s="303">
        <f t="shared" si="28"/>
        <v>2329.9999999999995</v>
      </c>
      <c r="L46" s="303">
        <f t="shared" si="28"/>
        <v>3164</v>
      </c>
      <c r="M46" s="303">
        <f t="shared" si="28"/>
        <v>3990</v>
      </c>
      <c r="N46" s="303">
        <f>SUM(N32:N45)</f>
        <v>2788.4206261510135</v>
      </c>
    </row>
    <row r="48" spans="3:19" x14ac:dyDescent="0.25">
      <c r="D48" t="s">
        <v>267</v>
      </c>
    </row>
    <row r="49" spans="3:14" x14ac:dyDescent="0.25">
      <c r="D49" t="s">
        <v>37</v>
      </c>
      <c r="E49" s="186">
        <f>SUM(E32:E34)</f>
        <v>2766.9255858747993</v>
      </c>
      <c r="F49" s="186">
        <f t="shared" ref="F49:N49" si="29">SUM(F32:F34)</f>
        <v>3024.5722673113469</v>
      </c>
      <c r="G49" s="186">
        <f t="shared" si="29"/>
        <v>3110.6453196213624</v>
      </c>
      <c r="H49" s="186">
        <f t="shared" si="29"/>
        <v>2571.0130533484667</v>
      </c>
      <c r="I49" s="186">
        <f t="shared" si="29"/>
        <v>3230.6290187307791</v>
      </c>
      <c r="J49" s="186">
        <f t="shared" si="29"/>
        <v>2365.570009865176</v>
      </c>
      <c r="K49" s="186">
        <f t="shared" si="29"/>
        <v>1747.9925697811027</v>
      </c>
      <c r="L49" s="186">
        <f t="shared" si="29"/>
        <v>2364.7537743954822</v>
      </c>
      <c r="M49" s="186">
        <f t="shared" si="29"/>
        <v>3124.9262888066078</v>
      </c>
      <c r="N49" s="186">
        <f t="shared" si="29"/>
        <v>2160.6462647232834</v>
      </c>
    </row>
    <row r="50" spans="3:14" x14ac:dyDescent="0.25">
      <c r="D50" t="s">
        <v>38</v>
      </c>
      <c r="E50" s="186">
        <f>SUM(E35:E39)</f>
        <v>389.07441412520069</v>
      </c>
      <c r="F50" s="186">
        <f t="shared" ref="F50:N50" si="30">SUM(F35:F39)</f>
        <v>419.42773268865488</v>
      </c>
      <c r="G50" s="186">
        <f t="shared" si="30"/>
        <v>482.35468037863745</v>
      </c>
      <c r="H50" s="186">
        <f t="shared" si="30"/>
        <v>390.98694665153238</v>
      </c>
      <c r="I50" s="186">
        <f t="shared" si="30"/>
        <v>481.37098126922001</v>
      </c>
      <c r="J50" s="186">
        <f t="shared" si="30"/>
        <v>312.42999013482398</v>
      </c>
      <c r="K50" s="186">
        <f t="shared" si="30"/>
        <v>270.80124465188641</v>
      </c>
      <c r="L50" s="186">
        <f t="shared" si="30"/>
        <v>343.24622560451689</v>
      </c>
      <c r="M50" s="186">
        <f t="shared" si="30"/>
        <v>474.07371119339194</v>
      </c>
      <c r="N50" s="186">
        <f t="shared" si="30"/>
        <v>378.35373527671703</v>
      </c>
    </row>
    <row r="51" spans="3:14" x14ac:dyDescent="0.25">
      <c r="D51" t="s">
        <v>39</v>
      </c>
      <c r="E51" s="186">
        <f>SUM(E40:E42)</f>
        <v>268</v>
      </c>
      <c r="F51" s="186">
        <f t="shared" ref="F51:N51" si="31">SUM(F40:F42)</f>
        <v>403</v>
      </c>
      <c r="G51" s="186">
        <f t="shared" si="31"/>
        <v>463</v>
      </c>
      <c r="H51" s="186">
        <f t="shared" si="31"/>
        <v>402</v>
      </c>
      <c r="I51" s="186">
        <f t="shared" si="31"/>
        <v>405</v>
      </c>
      <c r="J51" s="186">
        <f t="shared" si="31"/>
        <v>290</v>
      </c>
      <c r="K51" s="186">
        <f t="shared" si="31"/>
        <v>308.20618556701038</v>
      </c>
      <c r="L51" s="186">
        <f t="shared" si="31"/>
        <v>455</v>
      </c>
      <c r="M51" s="186">
        <f t="shared" si="31"/>
        <v>391</v>
      </c>
      <c r="N51" s="186">
        <f t="shared" si="31"/>
        <v>249.42062615101295</v>
      </c>
    </row>
    <row r="52" spans="3:14" x14ac:dyDescent="0.25">
      <c r="D52" t="s">
        <v>40</v>
      </c>
      <c r="E52" s="186">
        <f>SUM(E43:E45)</f>
        <v>4</v>
      </c>
      <c r="F52" s="186">
        <f t="shared" ref="F52:N52" si="32">SUM(F43:F45)</f>
        <v>4</v>
      </c>
      <c r="G52" s="186">
        <f t="shared" si="32"/>
        <v>0</v>
      </c>
      <c r="H52" s="186">
        <f t="shared" si="32"/>
        <v>1</v>
      </c>
      <c r="I52" s="186">
        <f t="shared" si="32"/>
        <v>2</v>
      </c>
      <c r="J52" s="186">
        <f t="shared" si="32"/>
        <v>4</v>
      </c>
      <c r="K52" s="186">
        <f t="shared" si="32"/>
        <v>3</v>
      </c>
      <c r="L52" s="186">
        <f t="shared" si="32"/>
        <v>1</v>
      </c>
      <c r="M52" s="186">
        <f t="shared" si="32"/>
        <v>0</v>
      </c>
      <c r="N52" s="186">
        <f t="shared" si="32"/>
        <v>0</v>
      </c>
    </row>
    <row r="54" spans="3:14" x14ac:dyDescent="0.25">
      <c r="D54" t="s">
        <v>288</v>
      </c>
      <c r="E54" s="326">
        <v>2009</v>
      </c>
      <c r="F54" s="326">
        <v>2010</v>
      </c>
      <c r="G54" s="326">
        <v>2011</v>
      </c>
      <c r="H54" s="326">
        <v>2012</v>
      </c>
      <c r="I54" s="326">
        <v>2013</v>
      </c>
      <c r="J54" s="326">
        <v>2014</v>
      </c>
      <c r="K54" s="326">
        <v>2015</v>
      </c>
      <c r="L54" s="326">
        <v>2016</v>
      </c>
      <c r="M54" s="326">
        <v>2017</v>
      </c>
      <c r="N54" s="326">
        <v>2018</v>
      </c>
    </row>
    <row r="55" spans="3:14" x14ac:dyDescent="0.25">
      <c r="D55" t="s">
        <v>289</v>
      </c>
      <c r="E55" s="303">
        <v>942.69476725521668</v>
      </c>
      <c r="F55" s="303">
        <v>1021.0205491279571</v>
      </c>
      <c r="G55" s="303">
        <v>815.29017178917843</v>
      </c>
      <c r="H55" s="303">
        <v>694.52282759490481</v>
      </c>
      <c r="I55" s="303">
        <v>695.65655577299412</v>
      </c>
      <c r="J55" s="303">
        <v>721.36941795462019</v>
      </c>
      <c r="K55" s="303">
        <v>674.44574095682606</v>
      </c>
      <c r="L55" s="303">
        <v>673.3304283785443</v>
      </c>
      <c r="M55" s="303">
        <v>654.46573625747646</v>
      </c>
      <c r="N55" s="303">
        <v>603.5499381487657</v>
      </c>
    </row>
    <row r="56" spans="3:14" x14ac:dyDescent="0.25">
      <c r="D56" t="s">
        <v>290</v>
      </c>
      <c r="E56" s="303">
        <v>88.305232744783311</v>
      </c>
      <c r="F56" s="303">
        <v>76.979450872042818</v>
      </c>
      <c r="G56" s="303">
        <v>95.709828210821541</v>
      </c>
      <c r="H56" s="303">
        <v>102.47717240509522</v>
      </c>
      <c r="I56" s="303">
        <v>102.34344422700586</v>
      </c>
      <c r="J56" s="303">
        <v>87.630582045379811</v>
      </c>
      <c r="K56" s="303">
        <v>75.554259043173857</v>
      </c>
      <c r="L56" s="303">
        <v>67.669571621455759</v>
      </c>
      <c r="M56" s="303">
        <v>91.534263742523507</v>
      </c>
      <c r="N56" s="303">
        <v>67.450061851234338</v>
      </c>
    </row>
    <row r="57" spans="3:14" x14ac:dyDescent="0.25">
      <c r="D57" t="s">
        <v>291</v>
      </c>
      <c r="E57" s="303">
        <v>13024.914606741573</v>
      </c>
      <c r="F57" s="303">
        <v>15007.514246244171</v>
      </c>
      <c r="G57" s="303">
        <v>13999.543531611545</v>
      </c>
      <c r="H57" s="303">
        <v>12050.014629839829</v>
      </c>
      <c r="I57" s="303">
        <v>10126.248811853508</v>
      </c>
      <c r="J57" s="303">
        <v>12107.236040776061</v>
      </c>
      <c r="K57" s="303">
        <v>12904.39517697394</v>
      </c>
      <c r="L57" s="303">
        <v>13429.352767890021</v>
      </c>
      <c r="M57" s="303">
        <v>13730.620962688692</v>
      </c>
      <c r="N57" s="303">
        <v>15428.751250470608</v>
      </c>
    </row>
    <row r="58" spans="3:14" x14ac:dyDescent="0.25">
      <c r="D58" t="s">
        <v>292</v>
      </c>
      <c r="E58" s="303">
        <v>1220.0853932584271</v>
      </c>
      <c r="F58" s="303">
        <v>1131.485753755828</v>
      </c>
      <c r="G58" s="303">
        <v>1643.4564683884539</v>
      </c>
      <c r="H58" s="303">
        <v>1777.9853701601717</v>
      </c>
      <c r="I58" s="303">
        <v>1489.7511881464914</v>
      </c>
      <c r="J58" s="303">
        <v>1470.7639592239393</v>
      </c>
      <c r="K58" s="303">
        <v>1445.6048230260599</v>
      </c>
      <c r="L58" s="303">
        <v>1349.6472321099791</v>
      </c>
      <c r="M58" s="303">
        <v>1920.3790373113075</v>
      </c>
      <c r="N58" s="303">
        <v>1724.2487495293929</v>
      </c>
    </row>
    <row r="60" spans="3:14" x14ac:dyDescent="0.25">
      <c r="C60" t="s">
        <v>287</v>
      </c>
    </row>
    <row r="61" spans="3:14" x14ac:dyDescent="0.25">
      <c r="C61" t="s">
        <v>42</v>
      </c>
      <c r="D61" t="s">
        <v>269</v>
      </c>
      <c r="E61" s="326">
        <v>2009</v>
      </c>
      <c r="F61" s="326">
        <v>2010</v>
      </c>
      <c r="G61" s="326">
        <v>2011</v>
      </c>
      <c r="H61" s="326">
        <v>2012</v>
      </c>
      <c r="I61" s="326">
        <v>2013</v>
      </c>
      <c r="J61" s="326">
        <v>2014</v>
      </c>
      <c r="K61" s="326">
        <v>2015</v>
      </c>
      <c r="L61" s="326">
        <v>2016</v>
      </c>
      <c r="M61" s="326">
        <v>2017</v>
      </c>
      <c r="N61" s="326">
        <v>2018</v>
      </c>
    </row>
    <row r="62" spans="3:14" x14ac:dyDescent="0.25">
      <c r="C62" t="s">
        <v>37</v>
      </c>
      <c r="D62" t="s">
        <v>255</v>
      </c>
      <c r="E62" s="303">
        <v>15007.572166934189</v>
      </c>
      <c r="F62" s="303">
        <v>17164.320929027803</v>
      </c>
      <c r="G62" s="303">
        <v>15981.156363211405</v>
      </c>
      <c r="H62" s="303">
        <v>13667.543984108966</v>
      </c>
      <c r="I62" s="303">
        <v>12116.21987699189</v>
      </c>
      <c r="J62" s="303">
        <v>13780.890463663269</v>
      </c>
      <c r="K62" s="303">
        <v>14239.940295604822</v>
      </c>
      <c r="L62" s="303">
        <v>15028.560083466306</v>
      </c>
      <c r="M62" s="303">
        <v>15499.049843349472</v>
      </c>
      <c r="N62" s="303">
        <v>16835.624320981016</v>
      </c>
    </row>
    <row r="63" spans="3:14" x14ac:dyDescent="0.25">
      <c r="D63" t="s">
        <v>256</v>
      </c>
      <c r="E63" s="303">
        <v>1461.7807929373996</v>
      </c>
      <c r="F63" s="303">
        <v>1647.5908211556725</v>
      </c>
      <c r="G63" s="303">
        <v>1633.1226598106812</v>
      </c>
      <c r="H63" s="303">
        <v>1202.3098053627584</v>
      </c>
      <c r="I63" s="303">
        <v>1558.6674505418605</v>
      </c>
      <c r="J63" s="303">
        <v>1121.0355161800317</v>
      </c>
      <c r="K63" s="303">
        <v>883.92411994209806</v>
      </c>
      <c r="L63" s="303">
        <v>1180.722048488064</v>
      </c>
      <c r="M63" s="303">
        <v>1628.3061332117304</v>
      </c>
      <c r="N63" s="303">
        <v>978.35018893447557</v>
      </c>
    </row>
    <row r="64" spans="3:14" x14ac:dyDescent="0.25">
      <c r="D64" t="s">
        <v>257</v>
      </c>
      <c r="E64" s="303">
        <v>265.18200000000002</v>
      </c>
      <c r="F64" s="303">
        <v>241.1953125</v>
      </c>
      <c r="G64" s="303">
        <v>311.20000000000005</v>
      </c>
      <c r="H64" s="303">
        <v>445.69672131147541</v>
      </c>
      <c r="I64" s="303">
        <v>377.64705882352945</v>
      </c>
      <c r="J64" s="303">
        <v>292.2494887525562</v>
      </c>
      <c r="K64" s="303">
        <v>202.96907216494844</v>
      </c>
      <c r="L64" s="303">
        <v>258.15483870967739</v>
      </c>
      <c r="M64" s="303">
        <v>382.65701119157342</v>
      </c>
      <c r="N64" s="303">
        <v>378.97294342716589</v>
      </c>
    </row>
    <row r="65" spans="3:14" x14ac:dyDescent="0.25">
      <c r="C65" t="s">
        <v>38</v>
      </c>
      <c r="D65" t="s">
        <v>255</v>
      </c>
      <c r="E65" s="303">
        <v>1315.9278330658108</v>
      </c>
      <c r="F65" s="303">
        <v>1214.1790709721984</v>
      </c>
      <c r="G65" s="303">
        <v>1756.3436367885943</v>
      </c>
      <c r="H65" s="303">
        <v>1891.4560158910331</v>
      </c>
      <c r="I65" s="303">
        <v>1609.2801230081072</v>
      </c>
      <c r="J65" s="303">
        <v>1571.6095363367313</v>
      </c>
      <c r="K65" s="303">
        <v>1528.0597043951771</v>
      </c>
      <c r="L65" s="303">
        <v>1424.4399165336933</v>
      </c>
      <c r="M65" s="303">
        <v>2019.9501566505269</v>
      </c>
      <c r="N65" s="303">
        <v>1796.8756790189857</v>
      </c>
    </row>
    <row r="66" spans="3:14" x14ac:dyDescent="0.25">
      <c r="D66" t="s">
        <v>258</v>
      </c>
      <c r="E66" s="303">
        <v>121.30643783183109</v>
      </c>
      <c r="F66" s="303">
        <v>188.61041806846535</v>
      </c>
      <c r="G66" s="303">
        <v>210.43224215010298</v>
      </c>
      <c r="H66" s="303">
        <v>129.07347332576617</v>
      </c>
      <c r="I66" s="303">
        <v>122.03734248646185</v>
      </c>
      <c r="J66" s="303">
        <v>127.78472800509749</v>
      </c>
      <c r="K66" s="303">
        <v>92.567288992609875</v>
      </c>
      <c r="L66" s="303">
        <v>160.53322516180907</v>
      </c>
      <c r="M66" s="303">
        <v>211.15219585044463</v>
      </c>
      <c r="N66" s="303">
        <v>77.43823510215104</v>
      </c>
    </row>
    <row r="67" spans="3:14" x14ac:dyDescent="0.25">
      <c r="D67" t="s">
        <v>259</v>
      </c>
      <c r="E67" s="303">
        <v>109.84615384615384</v>
      </c>
      <c r="F67" s="303">
        <v>114.11494252873563</v>
      </c>
      <c r="G67" s="303">
        <v>94.870588235294122</v>
      </c>
      <c r="H67" s="303">
        <v>112.545</v>
      </c>
      <c r="I67" s="303">
        <v>132.44444444444443</v>
      </c>
      <c r="J67" s="303">
        <v>89.958456973293764</v>
      </c>
      <c r="K67" s="303">
        <v>107.32950191570882</v>
      </c>
      <c r="L67" s="303">
        <v>89.643258426966298</v>
      </c>
      <c r="M67" s="303">
        <v>128.36678200692043</v>
      </c>
      <c r="N67" s="303">
        <v>102.87638935668575</v>
      </c>
    </row>
    <row r="68" spans="3:14" x14ac:dyDescent="0.25">
      <c r="D68" t="s">
        <v>260</v>
      </c>
      <c r="E68" s="303">
        <v>150.38461538461539</v>
      </c>
      <c r="F68" s="303">
        <v>110.98850574712644</v>
      </c>
      <c r="G68" s="303">
        <v>159.87450980392157</v>
      </c>
      <c r="H68" s="303">
        <v>138.375</v>
      </c>
      <c r="I68" s="303">
        <v>209.7037037037037</v>
      </c>
      <c r="J68" s="303">
        <v>80.623145400593472</v>
      </c>
      <c r="K68" s="303">
        <v>63.019157088122597</v>
      </c>
      <c r="L68" s="303">
        <v>80.401685393258418</v>
      </c>
      <c r="M68" s="303">
        <v>117.00922722029989</v>
      </c>
      <c r="N68" s="303">
        <v>185.79723812731558</v>
      </c>
    </row>
    <row r="69" spans="3:14" x14ac:dyDescent="0.25">
      <c r="D69" t="s">
        <v>261</v>
      </c>
      <c r="E69" s="303">
        <v>0</v>
      </c>
      <c r="F69" s="303">
        <v>0</v>
      </c>
      <c r="G69" s="303">
        <v>0</v>
      </c>
      <c r="H69" s="303">
        <v>0</v>
      </c>
      <c r="I69" s="303">
        <v>0</v>
      </c>
      <c r="J69" s="303">
        <v>0.8486646884272997</v>
      </c>
      <c r="K69" s="303">
        <v>0.98467432950191558</v>
      </c>
      <c r="L69" s="303">
        <v>5.5449438202247192</v>
      </c>
      <c r="M69" s="303">
        <v>9.508650519031141</v>
      </c>
      <c r="N69" s="303">
        <v>7.0650050522061303</v>
      </c>
    </row>
    <row r="70" spans="3:14" x14ac:dyDescent="0.25">
      <c r="C70" t="s">
        <v>39</v>
      </c>
      <c r="D70" t="s">
        <v>256</v>
      </c>
      <c r="E70" s="303">
        <v>143.27513513513512</v>
      </c>
      <c r="F70" s="303">
        <v>231.79492774024024</v>
      </c>
      <c r="G70" s="303">
        <v>242.25114942528734</v>
      </c>
      <c r="H70" s="303">
        <v>177.53557217889542</v>
      </c>
      <c r="I70" s="303">
        <v>187.29053708439898</v>
      </c>
      <c r="J70" s="303">
        <v>115.01301357129577</v>
      </c>
      <c r="K70" s="303">
        <v>141.56434806651657</v>
      </c>
      <c r="L70" s="303">
        <v>305.25474528768478</v>
      </c>
      <c r="M70" s="303">
        <v>254.19512636376885</v>
      </c>
      <c r="N70" s="303">
        <v>68.684185365986238</v>
      </c>
    </row>
    <row r="71" spans="3:14" x14ac:dyDescent="0.25">
      <c r="D71" t="s">
        <v>262</v>
      </c>
      <c r="E71" s="303">
        <v>124.72486486486487</v>
      </c>
      <c r="F71" s="303">
        <v>171.20507225975976</v>
      </c>
      <c r="G71" s="303">
        <v>220.74885057471266</v>
      </c>
      <c r="H71" s="303">
        <v>224.46442782110458</v>
      </c>
      <c r="I71" s="303">
        <v>217.70946291560102</v>
      </c>
      <c r="J71" s="303">
        <v>174.9869864287042</v>
      </c>
      <c r="K71" s="303">
        <v>164.23977564482365</v>
      </c>
      <c r="L71" s="303">
        <v>147.09733252733966</v>
      </c>
      <c r="M71" s="303">
        <v>133.47040791199512</v>
      </c>
      <c r="N71" s="303">
        <v>176.87182894218301</v>
      </c>
    </row>
    <row r="72" spans="3:14" x14ac:dyDescent="0.25">
      <c r="D72" t="s">
        <v>263</v>
      </c>
      <c r="E72" s="303">
        <v>0</v>
      </c>
      <c r="F72" s="303">
        <v>0</v>
      </c>
      <c r="G72" s="303">
        <v>0</v>
      </c>
      <c r="H72" s="303">
        <v>0</v>
      </c>
      <c r="I72" s="303">
        <v>0</v>
      </c>
      <c r="J72" s="303">
        <v>0</v>
      </c>
      <c r="K72" s="303">
        <v>2.402061855670103</v>
      </c>
      <c r="L72" s="303">
        <v>2.6479221849755454</v>
      </c>
      <c r="M72" s="303">
        <v>3.3344657242360132</v>
      </c>
      <c r="N72" s="303">
        <v>3.8646118428436749</v>
      </c>
    </row>
    <row r="73" spans="3:14" x14ac:dyDescent="0.25">
      <c r="C73" t="s">
        <v>40</v>
      </c>
      <c r="D73" t="s">
        <v>255</v>
      </c>
      <c r="E73" s="303">
        <v>0</v>
      </c>
      <c r="F73" s="303">
        <v>0</v>
      </c>
      <c r="G73" s="303">
        <v>0</v>
      </c>
      <c r="H73" s="303">
        <v>0</v>
      </c>
      <c r="I73" s="303">
        <v>0</v>
      </c>
      <c r="J73" s="303">
        <v>0</v>
      </c>
      <c r="K73" s="303">
        <v>0</v>
      </c>
      <c r="L73" s="303">
        <v>0</v>
      </c>
      <c r="M73" s="303">
        <v>0</v>
      </c>
      <c r="N73" s="303">
        <v>0</v>
      </c>
    </row>
    <row r="74" spans="3:14" x14ac:dyDescent="0.25">
      <c r="D74" t="s">
        <v>264</v>
      </c>
      <c r="E74" s="303">
        <v>4</v>
      </c>
      <c r="F74" s="303">
        <v>4</v>
      </c>
      <c r="G74" s="303">
        <v>0</v>
      </c>
      <c r="H74" s="303">
        <v>1</v>
      </c>
      <c r="I74" s="303">
        <v>2</v>
      </c>
      <c r="J74" s="303">
        <v>3</v>
      </c>
      <c r="K74" s="303">
        <v>2</v>
      </c>
      <c r="L74" s="303">
        <v>1</v>
      </c>
      <c r="M74" s="303">
        <v>0</v>
      </c>
      <c r="N74" s="303">
        <v>0</v>
      </c>
    </row>
    <row r="75" spans="3:14" x14ac:dyDescent="0.25">
      <c r="D75" t="s">
        <v>265</v>
      </c>
      <c r="E75" s="304">
        <v>0</v>
      </c>
      <c r="F75" s="304">
        <v>0</v>
      </c>
      <c r="G75" s="304">
        <v>0</v>
      </c>
      <c r="H75" s="304">
        <v>0</v>
      </c>
      <c r="I75" s="304">
        <v>0</v>
      </c>
      <c r="J75" s="304">
        <v>1</v>
      </c>
      <c r="K75" s="304">
        <v>1</v>
      </c>
      <c r="L75" s="304">
        <v>0</v>
      </c>
      <c r="M75" s="304">
        <v>0</v>
      </c>
      <c r="N75" s="304">
        <v>0</v>
      </c>
    </row>
    <row r="76" spans="3:14" x14ac:dyDescent="0.25">
      <c r="E76" s="303">
        <v>18704.000000000004</v>
      </c>
      <c r="F76" s="303">
        <v>21088.000000000004</v>
      </c>
      <c r="G76" s="303">
        <v>20610</v>
      </c>
      <c r="H76" s="303">
        <v>17989.999999999996</v>
      </c>
      <c r="I76" s="303">
        <v>16532.999999999996</v>
      </c>
      <c r="J76" s="303">
        <v>17359</v>
      </c>
      <c r="K76" s="303">
        <v>17429.999999999996</v>
      </c>
      <c r="L76" s="303">
        <v>18684.000000000004</v>
      </c>
      <c r="M76" s="303">
        <v>20386.999999999996</v>
      </c>
      <c r="N76" s="303">
        <v>20612.420626151015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2:O38"/>
  <sheetViews>
    <sheetView zoomScale="85" zoomScaleNormal="85" workbookViewId="0">
      <selection activeCell="I31" sqref="I31"/>
    </sheetView>
  </sheetViews>
  <sheetFormatPr defaultRowHeight="15" x14ac:dyDescent="0.25"/>
  <cols>
    <col min="1" max="2" width="4.42578125" customWidth="1"/>
    <col min="3" max="3" width="30.42578125" customWidth="1"/>
  </cols>
  <sheetData>
    <row r="2" spans="3:15" x14ac:dyDescent="0.25">
      <c r="C2" s="1" t="s">
        <v>283</v>
      </c>
    </row>
    <row r="3" spans="3:15" x14ac:dyDescent="0.25">
      <c r="H3" s="618" t="s">
        <v>323</v>
      </c>
      <c r="I3" s="619"/>
      <c r="J3" s="619"/>
      <c r="K3" s="619"/>
      <c r="L3" s="620"/>
    </row>
    <row r="4" spans="3:15" x14ac:dyDescent="0.25">
      <c r="C4" s="37" t="s">
        <v>42</v>
      </c>
      <c r="D4" s="243" t="s">
        <v>41</v>
      </c>
      <c r="E4" s="351" t="s">
        <v>322</v>
      </c>
      <c r="F4" s="38" t="s">
        <v>252</v>
      </c>
      <c r="G4" s="38" t="s">
        <v>253</v>
      </c>
      <c r="H4" s="38" t="s">
        <v>100</v>
      </c>
      <c r="I4" s="38" t="s">
        <v>101</v>
      </c>
      <c r="J4" s="38" t="s">
        <v>102</v>
      </c>
      <c r="K4" s="38" t="s">
        <v>147</v>
      </c>
      <c r="L4" s="38" t="s">
        <v>220</v>
      </c>
      <c r="N4" s="113" t="s">
        <v>250</v>
      </c>
      <c r="O4" s="52"/>
    </row>
    <row r="5" spans="3:15" x14ac:dyDescent="0.25">
      <c r="C5" s="245" t="s">
        <v>37</v>
      </c>
      <c r="D5" s="307">
        <v>1013</v>
      </c>
      <c r="E5" s="321">
        <f>(Connections!L13*0.5+Connections!M13*0.5)*$N5</f>
        <v>1734</v>
      </c>
      <c r="F5" s="308">
        <f>(Connections!M13*0.5+Connections!N13*0.5)*$N5</f>
        <v>1697.7810244151517</v>
      </c>
      <c r="G5" s="308">
        <f>(Connections!N13*0.5+Connections!O13)*$N5</f>
        <v>1739.3634429216718</v>
      </c>
      <c r="H5" s="308">
        <f>Connections!P13*$N5</f>
        <v>1026.5999215789386</v>
      </c>
      <c r="I5" s="308">
        <f>Connections!Q13*$N5</f>
        <v>1772.9403499329781</v>
      </c>
      <c r="J5" s="308">
        <f>Connections!R13*$N5</f>
        <v>1782.2273491583601</v>
      </c>
      <c r="K5" s="308">
        <f>Connections!S13*$N5</f>
        <v>1802.028044205417</v>
      </c>
      <c r="L5" s="309">
        <f>Connections!T13*$N5</f>
        <v>1815.8344296326243</v>
      </c>
      <c r="N5" s="306">
        <v>1</v>
      </c>
      <c r="O5" s="52"/>
    </row>
    <row r="6" spans="3:15" x14ac:dyDescent="0.25">
      <c r="C6" s="246"/>
      <c r="D6" s="310">
        <v>1018</v>
      </c>
      <c r="E6" s="322">
        <f>(Connections!L16*0.5+Connections!M16*0.5)*$N6</f>
        <v>403.5</v>
      </c>
      <c r="F6" s="311">
        <f>(Connections!M16*0.5+Connections!N16*0.5)*$N6</f>
        <v>343.67780260206285</v>
      </c>
      <c r="G6" s="311">
        <f>(Connections!N16*0.5+Connections!O16)*$N6</f>
        <v>315.34639387063373</v>
      </c>
      <c r="H6" s="311">
        <f>Connections!P16*$N6</f>
        <v>186.12244872411773</v>
      </c>
      <c r="I6" s="311">
        <f>Connections!Q16*$N6</f>
        <v>321.43388328317394</v>
      </c>
      <c r="J6" s="311">
        <f>Connections!R16*$N6</f>
        <v>323.11761518378478</v>
      </c>
      <c r="K6" s="311">
        <f>Connections!S16*$N6</f>
        <v>326.70747893804025</v>
      </c>
      <c r="L6" s="312">
        <f>Connections!T16*$N6</f>
        <v>329.21057504171864</v>
      </c>
      <c r="N6" s="306">
        <v>1</v>
      </c>
      <c r="O6" s="52"/>
    </row>
    <row r="7" spans="3:15" x14ac:dyDescent="0.25">
      <c r="C7" s="246"/>
      <c r="D7" s="310">
        <v>1019</v>
      </c>
      <c r="E7" s="335">
        <f>(Connections!L40*0.5+Connections!M40*0.5)*$N7</f>
        <v>170.1</v>
      </c>
      <c r="F7" s="356">
        <f>(Connections!M40*0.5+Connections!N40*0.5)*$N7</f>
        <v>185.8799265573883</v>
      </c>
      <c r="G7" s="311">
        <f>(Connections!N40*0.5+Connections!O40)*$N7</f>
        <v>213.04496702215584</v>
      </c>
      <c r="H7" s="311">
        <f>Connections!P40*$N7</f>
        <v>217.03463092518498</v>
      </c>
      <c r="I7" s="311">
        <f>Connections!Q40*$N7</f>
        <v>217.28060080034498</v>
      </c>
      <c r="J7" s="311">
        <f>Connections!R40*$N7</f>
        <v>219.30965682820485</v>
      </c>
      <c r="K7" s="311">
        <f>Connections!S40*$N7</f>
        <v>222.13115511144412</v>
      </c>
      <c r="L7" s="312">
        <f>Connections!T40*$N7</f>
        <v>222.69179175808912</v>
      </c>
      <c r="N7" s="306">
        <v>0.7</v>
      </c>
      <c r="O7" s="52" t="s">
        <v>276</v>
      </c>
    </row>
    <row r="8" spans="3:15" x14ac:dyDescent="0.25">
      <c r="C8" s="328" t="s">
        <v>275</v>
      </c>
      <c r="D8" s="329"/>
      <c r="E8" s="330">
        <f t="shared" ref="E8:L8" si="0">E$20*$N8</f>
        <v>14922</v>
      </c>
      <c r="F8" s="331">
        <f t="shared" si="0"/>
        <v>12456.211500000001</v>
      </c>
      <c r="G8" s="331">
        <f t="shared" si="0"/>
        <v>9923.9242500000018</v>
      </c>
      <c r="H8" s="331">
        <f t="shared" si="0"/>
        <v>15048.349111894388</v>
      </c>
      <c r="I8" s="331">
        <f t="shared" si="0"/>
        <v>14979.324376464572</v>
      </c>
      <c r="J8" s="331">
        <f t="shared" si="0"/>
        <v>15200.688299625079</v>
      </c>
      <c r="K8" s="331">
        <f t="shared" si="0"/>
        <v>15323.77502574446</v>
      </c>
      <c r="L8" s="332">
        <f t="shared" si="0"/>
        <v>15513.305021113532</v>
      </c>
      <c r="M8" s="52"/>
      <c r="N8" s="306">
        <v>0.9</v>
      </c>
      <c r="O8" s="52"/>
    </row>
    <row r="9" spans="3:15" x14ac:dyDescent="0.25">
      <c r="C9" s="313" t="s">
        <v>251</v>
      </c>
      <c r="D9" s="314"/>
      <c r="E9" s="323">
        <f>SUBTOTAL(9,E5:E8)</f>
        <v>17229.599999999999</v>
      </c>
      <c r="F9" s="315">
        <f>SUBTOTAL(9,F5:F8)</f>
        <v>14683.550253574604</v>
      </c>
      <c r="G9" s="315">
        <f t="shared" ref="G9:L9" si="1">SUBTOTAL(9,G5:G8)</f>
        <v>12191.679053814463</v>
      </c>
      <c r="H9" s="315">
        <f t="shared" si="1"/>
        <v>16478.106113122631</v>
      </c>
      <c r="I9" s="315">
        <f t="shared" si="1"/>
        <v>17290.979210481069</v>
      </c>
      <c r="J9" s="315">
        <f t="shared" si="1"/>
        <v>17525.342920795429</v>
      </c>
      <c r="K9" s="315">
        <f t="shared" si="1"/>
        <v>17674.641703999361</v>
      </c>
      <c r="L9" s="316">
        <f t="shared" si="1"/>
        <v>17881.041817545964</v>
      </c>
      <c r="N9" s="52"/>
      <c r="O9" s="52"/>
    </row>
    <row r="10" spans="3:15" x14ac:dyDescent="0.25">
      <c r="C10" s="245" t="s">
        <v>38</v>
      </c>
      <c r="D10" s="307">
        <v>1014</v>
      </c>
      <c r="E10" s="321">
        <f>(Connections!L14*0.5+Connections!M14*0.5)*$N10</f>
        <v>405.5</v>
      </c>
      <c r="F10" s="308">
        <f>(Connections!M14*0.5+Connections!N14*0.5)*$N10</f>
        <v>422.18165725535073</v>
      </c>
      <c r="G10" s="308">
        <f>(Connections!N14*0.5+Connections!O14)*$N10</f>
        <v>417.68165725535073</v>
      </c>
      <c r="H10" s="308">
        <f>Connections!P14*$N10</f>
        <v>228.27026985867442</v>
      </c>
      <c r="I10" s="308">
        <f>Connections!Q14*$N10</f>
        <v>391.5</v>
      </c>
      <c r="J10" s="308">
        <f>Connections!R14*$N10</f>
        <v>384.75</v>
      </c>
      <c r="K10" s="308">
        <f>Connections!S14*$N10</f>
        <v>381</v>
      </c>
      <c r="L10" s="309">
        <f>Connections!T14*$N10</f>
        <v>381.25</v>
      </c>
      <c r="N10" s="306">
        <v>1</v>
      </c>
      <c r="O10" s="52"/>
    </row>
    <row r="11" spans="3:15" x14ac:dyDescent="0.25">
      <c r="C11" s="328" t="s">
        <v>281</v>
      </c>
      <c r="D11" s="329"/>
      <c r="E11" s="330">
        <f>E$20*$N11</f>
        <v>1658</v>
      </c>
      <c r="F11" s="331">
        <f>F$20*$N11</f>
        <v>1384.0235000000002</v>
      </c>
      <c r="G11" s="331">
        <f t="shared" ref="G11:L11" si="2">G$20*$N11</f>
        <v>1102.6582500000002</v>
      </c>
      <c r="H11" s="331">
        <f t="shared" si="2"/>
        <v>1672.0387902104876</v>
      </c>
      <c r="I11" s="331">
        <f t="shared" si="2"/>
        <v>1664.3693751627304</v>
      </c>
      <c r="J11" s="331">
        <f t="shared" si="2"/>
        <v>1688.9653666250088</v>
      </c>
      <c r="K11" s="331">
        <f t="shared" si="2"/>
        <v>1702.6416695271623</v>
      </c>
      <c r="L11" s="332">
        <f t="shared" si="2"/>
        <v>1723.7005579015038</v>
      </c>
      <c r="N11" s="306">
        <v>0.1</v>
      </c>
      <c r="O11" s="52"/>
    </row>
    <row r="12" spans="3:15" x14ac:dyDescent="0.25">
      <c r="C12" s="313" t="s">
        <v>251</v>
      </c>
      <c r="D12" s="314"/>
      <c r="E12" s="323">
        <f>SUBTOTAL(9,E10:E11)</f>
        <v>2063.5</v>
      </c>
      <c r="F12" s="315">
        <f>SUBTOTAL(9,F10:F11)</f>
        <v>1806.205157255351</v>
      </c>
      <c r="G12" s="315">
        <f t="shared" ref="G12:L12" si="3">SUBTOTAL(9,G10:G11)</f>
        <v>1520.3399072553509</v>
      </c>
      <c r="H12" s="315">
        <f t="shared" si="3"/>
        <v>1900.3090600691621</v>
      </c>
      <c r="I12" s="315">
        <f t="shared" si="3"/>
        <v>2055.8693751627306</v>
      </c>
      <c r="J12" s="315">
        <f t="shared" si="3"/>
        <v>2073.7153666250088</v>
      </c>
      <c r="K12" s="315">
        <f t="shared" si="3"/>
        <v>2083.6416695271623</v>
      </c>
      <c r="L12" s="316">
        <f t="shared" si="3"/>
        <v>2104.950557901504</v>
      </c>
      <c r="N12" s="52"/>
      <c r="O12" s="52"/>
    </row>
    <row r="13" spans="3:15" x14ac:dyDescent="0.25">
      <c r="C13" s="245" t="s">
        <v>39</v>
      </c>
      <c r="D13" s="307">
        <v>1012</v>
      </c>
      <c r="E13" s="321">
        <f>(Connections!L30*0.5+Connections!M30*0.5)*$N13</f>
        <v>409.5</v>
      </c>
      <c r="F13" s="308">
        <f>(Connections!M30*0.5+Connections!N30*0.5)*$N13</f>
        <v>401.62635199998391</v>
      </c>
      <c r="G13" s="308">
        <f>(Connections!N30*0.5+Connections!O30)*$N13</f>
        <v>382.11785253087277</v>
      </c>
      <c r="H13" s="308">
        <f>Connections!P30*$N13</f>
        <v>389.27372119209718</v>
      </c>
      <c r="I13" s="308">
        <f>Connections!Q30*$N13</f>
        <v>389.71489322163239</v>
      </c>
      <c r="J13" s="308">
        <f>Connections!R30*$N13</f>
        <v>393.3542119197831</v>
      </c>
      <c r="K13" s="308">
        <f>Connections!S30*$N13</f>
        <v>398.41485653383216</v>
      </c>
      <c r="L13" s="309">
        <f>Connections!T30*$N13</f>
        <v>399.4204154750289</v>
      </c>
      <c r="N13" s="306">
        <v>1</v>
      </c>
      <c r="O13" s="52"/>
    </row>
    <row r="14" spans="3:15" x14ac:dyDescent="0.25">
      <c r="C14" s="246"/>
      <c r="D14" s="310">
        <v>1019</v>
      </c>
      <c r="E14" s="336">
        <f>(Connections!L40*0.5+Connections!M40*0.5)*$N14</f>
        <v>72.899999999999991</v>
      </c>
      <c r="F14" s="357">
        <f>(Connections!M40*0.5+Connections!N40*0.5)*$N14</f>
        <v>79.66282566745214</v>
      </c>
      <c r="G14" s="315">
        <f>(Connections!N40*0.5+Connections!O40)*$N14</f>
        <v>91.304985866638219</v>
      </c>
      <c r="H14" s="315">
        <f>Connections!P40*$N14</f>
        <v>93.014841825079273</v>
      </c>
      <c r="I14" s="315">
        <f>Connections!Q40*$N14</f>
        <v>93.12025748586214</v>
      </c>
      <c r="J14" s="315">
        <f>Connections!R40*$N14</f>
        <v>93.989852926373501</v>
      </c>
      <c r="K14" s="315">
        <f>Connections!S40*$N14</f>
        <v>95.199066476333186</v>
      </c>
      <c r="L14" s="316">
        <f>Connections!T40*$N14</f>
        <v>95.439339324895343</v>
      </c>
      <c r="N14" s="306">
        <v>0.3</v>
      </c>
      <c r="O14" s="52" t="s">
        <v>276</v>
      </c>
    </row>
    <row r="15" spans="3:15" x14ac:dyDescent="0.25">
      <c r="C15" s="313" t="s">
        <v>251</v>
      </c>
      <c r="D15" s="314"/>
      <c r="E15" s="323">
        <f>SUBTOTAL(9,E13:E14)</f>
        <v>482.4</v>
      </c>
      <c r="F15" s="315">
        <f>SUBTOTAL(9,F13:F14)</f>
        <v>481.28917766743604</v>
      </c>
      <c r="G15" s="315">
        <f t="shared" ref="G15:L15" si="4">SUBTOTAL(9,G13:G14)</f>
        <v>473.42283839751099</v>
      </c>
      <c r="H15" s="315">
        <f t="shared" si="4"/>
        <v>482.28856301717644</v>
      </c>
      <c r="I15" s="315">
        <f t="shared" si="4"/>
        <v>482.83515070749456</v>
      </c>
      <c r="J15" s="315">
        <f t="shared" si="4"/>
        <v>487.34406484615658</v>
      </c>
      <c r="K15" s="315">
        <f t="shared" si="4"/>
        <v>493.61392301016537</v>
      </c>
      <c r="L15" s="316">
        <f t="shared" si="4"/>
        <v>494.85975479992425</v>
      </c>
      <c r="N15" s="52"/>
      <c r="O15" s="52"/>
    </row>
    <row r="16" spans="3:15" x14ac:dyDescent="0.25">
      <c r="C16" s="247" t="s">
        <v>40</v>
      </c>
      <c r="D16" s="248">
        <v>1015</v>
      </c>
      <c r="E16" s="324">
        <f>(Connections!L18*0.5+Connections!M18*0.5)*$N16</f>
        <v>0</v>
      </c>
      <c r="F16" s="317">
        <f>(Connections!M18*0.5+Connections!N18*0.5)*$N16</f>
        <v>0.5</v>
      </c>
      <c r="G16" s="317">
        <f>F16</f>
        <v>0.5</v>
      </c>
      <c r="H16" s="317">
        <f>Connections!P18*$N16</f>
        <v>1</v>
      </c>
      <c r="I16" s="317">
        <f>Connections!Q18*$N16</f>
        <v>1</v>
      </c>
      <c r="J16" s="317">
        <f>Connections!R18*$N16</f>
        <v>1</v>
      </c>
      <c r="K16" s="317">
        <f>Connections!S18*$N16</f>
        <v>1</v>
      </c>
      <c r="L16" s="318">
        <f>Connections!T18*$N16</f>
        <v>1</v>
      </c>
      <c r="N16" s="306">
        <v>1</v>
      </c>
      <c r="O16" s="52"/>
    </row>
    <row r="17" spans="3:12" x14ac:dyDescent="0.25">
      <c r="C17" s="249" t="s">
        <v>280</v>
      </c>
      <c r="D17" s="248"/>
      <c r="E17" s="162">
        <f t="shared" ref="E17:F17" si="5">SUBTOTAL(9,E5:E16)</f>
        <v>19775.5</v>
      </c>
      <c r="F17" s="319">
        <f t="shared" si="5"/>
        <v>16971.544588497392</v>
      </c>
      <c r="G17" s="319">
        <f t="shared" ref="G17" si="6">SUBTOTAL(9,G5:G16)</f>
        <v>14185.941799467326</v>
      </c>
      <c r="H17" s="319">
        <f t="shared" ref="H17" si="7">SUBTOTAL(9,H5:H16)</f>
        <v>18861.703736208969</v>
      </c>
      <c r="I17" s="319">
        <f t="shared" ref="I17" si="8">SUBTOTAL(9,I5:I16)</f>
        <v>19830.683736351293</v>
      </c>
      <c r="J17" s="319">
        <f t="shared" ref="J17" si="9">SUBTOTAL(9,J5:J16)</f>
        <v>20087.402352266596</v>
      </c>
      <c r="K17" s="319">
        <f t="shared" ref="K17" si="10">SUBTOTAL(9,K5:K16)</f>
        <v>20252.897296536688</v>
      </c>
      <c r="L17" s="320">
        <f t="shared" ref="L17" si="11">SUBTOTAL(9,L5:L16)</f>
        <v>20481.852130247389</v>
      </c>
    </row>
    <row r="18" spans="3:12" x14ac:dyDescent="0.25">
      <c r="F18" s="305"/>
      <c r="G18" s="305"/>
      <c r="H18" s="305"/>
      <c r="I18" s="305"/>
      <c r="J18" s="305"/>
      <c r="K18" s="305"/>
      <c r="L18" s="305"/>
    </row>
    <row r="19" spans="3:12" x14ac:dyDescent="0.25">
      <c r="F19" s="305"/>
      <c r="G19" s="305"/>
      <c r="H19" s="305"/>
      <c r="I19" s="305"/>
      <c r="J19" s="305"/>
      <c r="K19" s="305"/>
      <c r="L19" s="305"/>
    </row>
    <row r="20" spans="3:12" x14ac:dyDescent="0.25">
      <c r="C20" t="s">
        <v>282</v>
      </c>
      <c r="E20" s="345">
        <f>'4.3 Connections'!D21</f>
        <v>16580</v>
      </c>
      <c r="F20" s="345">
        <f>'4.3 Connections'!E21</f>
        <v>13840.235000000001</v>
      </c>
      <c r="G20" s="345">
        <f>'4.3 Connections'!F21</f>
        <v>11026.582500000002</v>
      </c>
      <c r="H20" s="345">
        <f>'4.3 Connections'!G21</f>
        <v>16720.387902104874</v>
      </c>
      <c r="I20" s="345">
        <f>'4.3 Connections'!H21</f>
        <v>16643.693751627303</v>
      </c>
      <c r="J20" s="345">
        <f>'4.3 Connections'!I21</f>
        <v>16889.653666250088</v>
      </c>
      <c r="K20" s="345">
        <f>'4.3 Connections'!J21</f>
        <v>17026.416695271622</v>
      </c>
      <c r="L20" s="345">
        <f>'4.3 Connections'!K21</f>
        <v>17237.005579015036</v>
      </c>
    </row>
    <row r="23" spans="3:12" x14ac:dyDescent="0.25">
      <c r="C23" s="1" t="s">
        <v>285</v>
      </c>
    </row>
    <row r="24" spans="3:12" x14ac:dyDescent="0.25">
      <c r="H24" s="618" t="s">
        <v>323</v>
      </c>
      <c r="I24" s="619"/>
      <c r="J24" s="619"/>
      <c r="K24" s="619"/>
      <c r="L24" s="620"/>
    </row>
    <row r="25" spans="3:12" x14ac:dyDescent="0.25">
      <c r="C25" s="37" t="s">
        <v>42</v>
      </c>
      <c r="D25" s="325" t="s">
        <v>41</v>
      </c>
      <c r="E25" s="351" t="s">
        <v>322</v>
      </c>
      <c r="F25" s="38" t="s">
        <v>252</v>
      </c>
      <c r="G25" s="38" t="s">
        <v>253</v>
      </c>
      <c r="H25" s="38" t="s">
        <v>100</v>
      </c>
      <c r="I25" s="38" t="s">
        <v>101</v>
      </c>
      <c r="J25" s="38" t="s">
        <v>102</v>
      </c>
      <c r="K25" s="38" t="s">
        <v>147</v>
      </c>
      <c r="L25" s="38" t="s">
        <v>220</v>
      </c>
    </row>
    <row r="26" spans="3:12" x14ac:dyDescent="0.25">
      <c r="C26" s="245" t="s">
        <v>37</v>
      </c>
      <c r="D26" s="307">
        <v>1013</v>
      </c>
      <c r="E26" s="321">
        <f>E5</f>
        <v>1734</v>
      </c>
      <c r="F26" s="308">
        <f>F5</f>
        <v>1697.7810244151517</v>
      </c>
      <c r="G26" s="308">
        <f t="shared" ref="G26:L26" si="12">G5</f>
        <v>1739.3634429216718</v>
      </c>
      <c r="H26" s="308">
        <f t="shared" si="12"/>
        <v>1026.5999215789386</v>
      </c>
      <c r="I26" s="308">
        <f t="shared" si="12"/>
        <v>1772.9403499329781</v>
      </c>
      <c r="J26" s="308">
        <f t="shared" si="12"/>
        <v>1782.2273491583601</v>
      </c>
      <c r="K26" s="308">
        <f t="shared" si="12"/>
        <v>1802.028044205417</v>
      </c>
      <c r="L26" s="309">
        <f t="shared" si="12"/>
        <v>1815.8344296326243</v>
      </c>
    </row>
    <row r="27" spans="3:12" x14ac:dyDescent="0.25">
      <c r="C27" s="246"/>
      <c r="D27" s="310">
        <v>1018</v>
      </c>
      <c r="E27" s="322">
        <f t="shared" ref="E27" si="13">E6</f>
        <v>403.5</v>
      </c>
      <c r="F27" s="311">
        <f t="shared" ref="F27:L27" si="14">F6</f>
        <v>343.67780260206285</v>
      </c>
      <c r="G27" s="311">
        <f t="shared" si="14"/>
        <v>315.34639387063373</v>
      </c>
      <c r="H27" s="311">
        <f t="shared" si="14"/>
        <v>186.12244872411773</v>
      </c>
      <c r="I27" s="311">
        <f t="shared" si="14"/>
        <v>321.43388328317394</v>
      </c>
      <c r="J27" s="311">
        <f t="shared" si="14"/>
        <v>323.11761518378478</v>
      </c>
      <c r="K27" s="311">
        <f t="shared" si="14"/>
        <v>326.70747893804025</v>
      </c>
      <c r="L27" s="312">
        <f t="shared" si="14"/>
        <v>329.21057504171864</v>
      </c>
    </row>
    <row r="28" spans="3:12" x14ac:dyDescent="0.25">
      <c r="C28" s="246"/>
      <c r="D28" s="310">
        <v>1019</v>
      </c>
      <c r="E28" s="322">
        <f t="shared" ref="E28" si="15">E7</f>
        <v>170.1</v>
      </c>
      <c r="F28" s="311">
        <f t="shared" ref="F28:L28" si="16">F7</f>
        <v>185.8799265573883</v>
      </c>
      <c r="G28" s="311">
        <f t="shared" si="16"/>
        <v>213.04496702215584</v>
      </c>
      <c r="H28" s="311">
        <f t="shared" si="16"/>
        <v>217.03463092518498</v>
      </c>
      <c r="I28" s="311">
        <f t="shared" si="16"/>
        <v>217.28060080034498</v>
      </c>
      <c r="J28" s="311">
        <f t="shared" si="16"/>
        <v>219.30965682820485</v>
      </c>
      <c r="K28" s="311">
        <f t="shared" si="16"/>
        <v>222.13115511144412</v>
      </c>
      <c r="L28" s="312">
        <f t="shared" si="16"/>
        <v>222.69179175808912</v>
      </c>
    </row>
    <row r="29" spans="3:12" x14ac:dyDescent="0.25">
      <c r="C29" s="246"/>
      <c r="D29" s="310"/>
      <c r="E29" s="323"/>
      <c r="F29" s="315"/>
      <c r="G29" s="315"/>
      <c r="H29" s="315"/>
      <c r="I29" s="315"/>
      <c r="J29" s="315"/>
      <c r="K29" s="315"/>
      <c r="L29" s="316"/>
    </row>
    <row r="30" spans="3:12" x14ac:dyDescent="0.25">
      <c r="C30" s="313" t="s">
        <v>251</v>
      </c>
      <c r="D30" s="314"/>
      <c r="E30" s="323">
        <f>SUBTOTAL(9,E26:E29)</f>
        <v>2307.6</v>
      </c>
      <c r="F30" s="315">
        <f>SUBTOTAL(9,F26:F29)</f>
        <v>2227.3387535746028</v>
      </c>
      <c r="G30" s="315">
        <f t="shared" ref="G30:L30" si="17">SUBTOTAL(9,G26:G29)</f>
        <v>2267.7548038144614</v>
      </c>
      <c r="H30" s="315">
        <f t="shared" si="17"/>
        <v>1429.7570012282413</v>
      </c>
      <c r="I30" s="315">
        <f t="shared" si="17"/>
        <v>2311.6548340164968</v>
      </c>
      <c r="J30" s="315">
        <f t="shared" si="17"/>
        <v>2324.6546211703499</v>
      </c>
      <c r="K30" s="315">
        <f t="shared" si="17"/>
        <v>2350.8666782549012</v>
      </c>
      <c r="L30" s="316">
        <f t="shared" si="17"/>
        <v>2367.7367964324321</v>
      </c>
    </row>
    <row r="31" spans="3:12" x14ac:dyDescent="0.25">
      <c r="C31" s="245" t="s">
        <v>38</v>
      </c>
      <c r="D31" s="307">
        <v>1014</v>
      </c>
      <c r="E31" s="321">
        <f t="shared" ref="E31" si="18">E10</f>
        <v>405.5</v>
      </c>
      <c r="F31" s="308">
        <f t="shared" ref="F31:L31" si="19">F10</f>
        <v>422.18165725535073</v>
      </c>
      <c r="G31" s="308">
        <f t="shared" si="19"/>
        <v>417.68165725535073</v>
      </c>
      <c r="H31" s="308">
        <f t="shared" si="19"/>
        <v>228.27026985867442</v>
      </c>
      <c r="I31" s="308">
        <f t="shared" si="19"/>
        <v>391.5</v>
      </c>
      <c r="J31" s="308">
        <f t="shared" si="19"/>
        <v>384.75</v>
      </c>
      <c r="K31" s="308">
        <f t="shared" si="19"/>
        <v>381</v>
      </c>
      <c r="L31" s="309">
        <f t="shared" si="19"/>
        <v>381.25</v>
      </c>
    </row>
    <row r="32" spans="3:12" x14ac:dyDescent="0.25">
      <c r="C32" s="246"/>
      <c r="D32" s="310"/>
      <c r="E32" s="323"/>
      <c r="F32" s="315"/>
      <c r="G32" s="315"/>
      <c r="H32" s="315"/>
      <c r="I32" s="315"/>
      <c r="J32" s="315"/>
      <c r="K32" s="315"/>
      <c r="L32" s="316"/>
    </row>
    <row r="33" spans="3:12" x14ac:dyDescent="0.25">
      <c r="C33" s="313" t="s">
        <v>251</v>
      </c>
      <c r="D33" s="314"/>
      <c r="E33" s="323">
        <f>SUBTOTAL(9,E31:E32)</f>
        <v>405.5</v>
      </c>
      <c r="F33" s="315">
        <f>SUBTOTAL(9,F31:F32)</f>
        <v>422.18165725535073</v>
      </c>
      <c r="G33" s="315">
        <f t="shared" ref="G33:L33" si="20">SUBTOTAL(9,G31:G32)</f>
        <v>417.68165725535073</v>
      </c>
      <c r="H33" s="315">
        <f t="shared" si="20"/>
        <v>228.27026985867442</v>
      </c>
      <c r="I33" s="315">
        <f t="shared" si="20"/>
        <v>391.5</v>
      </c>
      <c r="J33" s="315">
        <f t="shared" si="20"/>
        <v>384.75</v>
      </c>
      <c r="K33" s="315">
        <f t="shared" si="20"/>
        <v>381</v>
      </c>
      <c r="L33" s="316">
        <f t="shared" si="20"/>
        <v>381.25</v>
      </c>
    </row>
    <row r="34" spans="3:12" x14ac:dyDescent="0.25">
      <c r="C34" s="245" t="s">
        <v>39</v>
      </c>
      <c r="D34" s="307">
        <v>1012</v>
      </c>
      <c r="E34" s="321">
        <f t="shared" ref="E34" si="21">E13</f>
        <v>409.5</v>
      </c>
      <c r="F34" s="308">
        <f t="shared" ref="F34:L34" si="22">F13</f>
        <v>401.62635199998391</v>
      </c>
      <c r="G34" s="308">
        <f t="shared" si="22"/>
        <v>382.11785253087277</v>
      </c>
      <c r="H34" s="308">
        <f t="shared" si="22"/>
        <v>389.27372119209718</v>
      </c>
      <c r="I34" s="308">
        <f t="shared" si="22"/>
        <v>389.71489322163239</v>
      </c>
      <c r="J34" s="308">
        <f t="shared" si="22"/>
        <v>393.3542119197831</v>
      </c>
      <c r="K34" s="308">
        <f t="shared" si="22"/>
        <v>398.41485653383216</v>
      </c>
      <c r="L34" s="309">
        <f t="shared" si="22"/>
        <v>399.4204154750289</v>
      </c>
    </row>
    <row r="35" spans="3:12" x14ac:dyDescent="0.25">
      <c r="C35" s="246"/>
      <c r="D35" s="310">
        <v>1019</v>
      </c>
      <c r="E35" s="323">
        <f t="shared" ref="E35" si="23">E14</f>
        <v>72.899999999999991</v>
      </c>
      <c r="F35" s="315">
        <f t="shared" ref="F35:L35" si="24">F14</f>
        <v>79.66282566745214</v>
      </c>
      <c r="G35" s="315">
        <f t="shared" si="24"/>
        <v>91.304985866638219</v>
      </c>
      <c r="H35" s="315">
        <f t="shared" si="24"/>
        <v>93.014841825079273</v>
      </c>
      <c r="I35" s="315">
        <f t="shared" si="24"/>
        <v>93.12025748586214</v>
      </c>
      <c r="J35" s="315">
        <f t="shared" si="24"/>
        <v>93.989852926373501</v>
      </c>
      <c r="K35" s="315">
        <f t="shared" si="24"/>
        <v>95.199066476333186</v>
      </c>
      <c r="L35" s="316">
        <f t="shared" si="24"/>
        <v>95.439339324895343</v>
      </c>
    </row>
    <row r="36" spans="3:12" x14ac:dyDescent="0.25">
      <c r="C36" s="313" t="s">
        <v>251</v>
      </c>
      <c r="D36" s="314"/>
      <c r="E36" s="323">
        <f>SUBTOTAL(9,E34:E35)</f>
        <v>482.4</v>
      </c>
      <c r="F36" s="315">
        <f>SUBTOTAL(9,F34:F35)</f>
        <v>481.28917766743604</v>
      </c>
      <c r="G36" s="315">
        <f t="shared" ref="G36:L36" si="25">SUBTOTAL(9,G34:G35)</f>
        <v>473.42283839751099</v>
      </c>
      <c r="H36" s="315">
        <f t="shared" si="25"/>
        <v>482.28856301717644</v>
      </c>
      <c r="I36" s="315">
        <f t="shared" si="25"/>
        <v>482.83515070749456</v>
      </c>
      <c r="J36" s="315">
        <f t="shared" si="25"/>
        <v>487.34406484615658</v>
      </c>
      <c r="K36" s="315">
        <f t="shared" si="25"/>
        <v>493.61392301016537</v>
      </c>
      <c r="L36" s="316">
        <f t="shared" si="25"/>
        <v>494.85975479992425</v>
      </c>
    </row>
    <row r="37" spans="3:12" x14ac:dyDescent="0.25">
      <c r="C37" s="247" t="s">
        <v>40</v>
      </c>
      <c r="D37" s="248">
        <v>1015</v>
      </c>
      <c r="E37" s="324">
        <f t="shared" ref="E37" si="26">E16</f>
        <v>0</v>
      </c>
      <c r="F37" s="317">
        <f t="shared" ref="F37:L37" si="27">F16</f>
        <v>0.5</v>
      </c>
      <c r="G37" s="317">
        <f t="shared" si="27"/>
        <v>0.5</v>
      </c>
      <c r="H37" s="317">
        <f t="shared" si="27"/>
        <v>1</v>
      </c>
      <c r="I37" s="317">
        <f t="shared" si="27"/>
        <v>1</v>
      </c>
      <c r="J37" s="317">
        <f t="shared" si="27"/>
        <v>1</v>
      </c>
      <c r="K37" s="317">
        <f t="shared" si="27"/>
        <v>1</v>
      </c>
      <c r="L37" s="318">
        <f t="shared" si="27"/>
        <v>1</v>
      </c>
    </row>
    <row r="38" spans="3:12" x14ac:dyDescent="0.25">
      <c r="C38" s="249" t="s">
        <v>280</v>
      </c>
      <c r="D38" s="248"/>
      <c r="E38" s="162">
        <f t="shared" ref="E38" si="28">SUBTOTAL(9,E26:E37)</f>
        <v>3195.5</v>
      </c>
      <c r="F38" s="319">
        <f t="shared" ref="F38:L38" si="29">SUBTOTAL(9,F26:F37)</f>
        <v>3131.3095884973895</v>
      </c>
      <c r="G38" s="319">
        <f t="shared" si="29"/>
        <v>3159.3592994673231</v>
      </c>
      <c r="H38" s="319">
        <f t="shared" si="29"/>
        <v>2141.3158341040921</v>
      </c>
      <c r="I38" s="319">
        <f t="shared" si="29"/>
        <v>3186.9899847239913</v>
      </c>
      <c r="J38" s="319">
        <f t="shared" si="29"/>
        <v>3197.7486860165068</v>
      </c>
      <c r="K38" s="319">
        <f t="shared" si="29"/>
        <v>3226.4806012650665</v>
      </c>
      <c r="L38" s="320">
        <f t="shared" si="29"/>
        <v>3244.846551232356</v>
      </c>
    </row>
  </sheetData>
  <mergeCells count="2">
    <mergeCell ref="H3:L3"/>
    <mergeCell ref="H24:L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5"/>
  <sheetViews>
    <sheetView zoomScale="85" zoomScaleNormal="85" workbookViewId="0"/>
  </sheetViews>
  <sheetFormatPr defaultRowHeight="15" x14ac:dyDescent="0.25"/>
  <cols>
    <col min="1" max="1" width="5.42578125" customWidth="1"/>
    <col min="2" max="2" width="7.7109375" customWidth="1"/>
    <col min="3" max="3" width="48.28515625" customWidth="1"/>
    <col min="4" max="6" width="18.85546875" customWidth="1"/>
    <col min="7" max="9" width="10.28515625" customWidth="1"/>
    <col min="12" max="12" width="9.140625" customWidth="1"/>
  </cols>
  <sheetData>
    <row r="1" spans="2:9" x14ac:dyDescent="0.25">
      <c r="B1" s="52"/>
    </row>
    <row r="2" spans="2:9" ht="18.75" x14ac:dyDescent="0.3">
      <c r="B2" s="50" t="s">
        <v>44</v>
      </c>
    </row>
    <row r="3" spans="2:9" x14ac:dyDescent="0.25">
      <c r="B3" s="51" t="s">
        <v>70</v>
      </c>
    </row>
    <row r="4" spans="2:9" x14ac:dyDescent="0.25">
      <c r="B4" s="51"/>
    </row>
    <row r="5" spans="2:9" x14ac:dyDescent="0.25">
      <c r="B5" s="18" t="s">
        <v>72</v>
      </c>
    </row>
    <row r="6" spans="2:9" ht="6.75" customHeight="1" x14ac:dyDescent="0.25">
      <c r="B6" s="1"/>
    </row>
    <row r="7" spans="2:9" x14ac:dyDescent="0.25">
      <c r="B7" s="38" t="s">
        <v>41</v>
      </c>
      <c r="C7" s="37" t="s">
        <v>45</v>
      </c>
      <c r="D7" s="618" t="s">
        <v>46</v>
      </c>
      <c r="E7" s="619"/>
      <c r="F7" s="620"/>
      <c r="G7" s="618" t="s">
        <v>47</v>
      </c>
      <c r="H7" s="619"/>
      <c r="I7" s="620"/>
    </row>
    <row r="8" spans="2:9" ht="111.75" customHeight="1" x14ac:dyDescent="0.25">
      <c r="B8" s="182">
        <v>1012</v>
      </c>
      <c r="C8" s="183" t="s">
        <v>109</v>
      </c>
      <c r="D8" s="615" t="s">
        <v>407</v>
      </c>
      <c r="E8" s="624"/>
      <c r="F8" s="625"/>
      <c r="G8" s="615" t="s">
        <v>48</v>
      </c>
      <c r="H8" s="616"/>
      <c r="I8" s="617"/>
    </row>
    <row r="9" spans="2:9" ht="30" customHeight="1" x14ac:dyDescent="0.25">
      <c r="B9" s="182">
        <v>1013</v>
      </c>
      <c r="C9" s="183" t="s">
        <v>110</v>
      </c>
      <c r="D9" s="615" t="s">
        <v>406</v>
      </c>
      <c r="E9" s="616"/>
      <c r="F9" s="617"/>
      <c r="G9" s="615" t="s">
        <v>48</v>
      </c>
      <c r="H9" s="616"/>
      <c r="I9" s="617"/>
    </row>
    <row r="10" spans="2:9" ht="30" customHeight="1" x14ac:dyDescent="0.25">
      <c r="B10" s="182">
        <v>1014</v>
      </c>
      <c r="C10" s="183" t="s">
        <v>111</v>
      </c>
      <c r="D10" s="615" t="s">
        <v>403</v>
      </c>
      <c r="E10" s="616"/>
      <c r="F10" s="617"/>
      <c r="G10" s="621" t="s">
        <v>49</v>
      </c>
      <c r="H10" s="622"/>
      <c r="I10" s="623"/>
    </row>
    <row r="11" spans="2:9" ht="30" customHeight="1" x14ac:dyDescent="0.25">
      <c r="B11" s="182">
        <v>1016</v>
      </c>
      <c r="C11" s="183" t="s">
        <v>114</v>
      </c>
      <c r="D11" s="615" t="s">
        <v>404</v>
      </c>
      <c r="E11" s="616"/>
      <c r="F11" s="617"/>
      <c r="G11" s="615" t="s">
        <v>50</v>
      </c>
      <c r="H11" s="616"/>
      <c r="I11" s="617"/>
    </row>
    <row r="12" spans="2:9" ht="30" customHeight="1" x14ac:dyDescent="0.25">
      <c r="B12" s="182">
        <v>1018</v>
      </c>
      <c r="C12" s="183" t="s">
        <v>112</v>
      </c>
      <c r="D12" s="615" t="s">
        <v>403</v>
      </c>
      <c r="E12" s="616"/>
      <c r="F12" s="617"/>
      <c r="G12" s="615" t="s">
        <v>48</v>
      </c>
      <c r="H12" s="616"/>
      <c r="I12" s="617"/>
    </row>
    <row r="13" spans="2:9" ht="30" customHeight="1" x14ac:dyDescent="0.25">
      <c r="B13" s="182">
        <v>1019</v>
      </c>
      <c r="C13" s="183" t="s">
        <v>96</v>
      </c>
      <c r="D13" s="621" t="s">
        <v>402</v>
      </c>
      <c r="E13" s="622"/>
      <c r="F13" s="623"/>
      <c r="G13" s="615" t="s">
        <v>48</v>
      </c>
      <c r="H13" s="616"/>
      <c r="I13" s="617"/>
    </row>
    <row r="14" spans="2:9" ht="57.6" customHeight="1" x14ac:dyDescent="0.25">
      <c r="B14" s="182">
        <v>1015</v>
      </c>
      <c r="C14" s="183" t="s">
        <v>113</v>
      </c>
      <c r="D14" s="615" t="s">
        <v>405</v>
      </c>
      <c r="E14" s="616"/>
      <c r="F14" s="617"/>
      <c r="G14" s="621" t="s">
        <v>191</v>
      </c>
      <c r="H14" s="622"/>
      <c r="I14" s="623"/>
    </row>
    <row r="16" spans="2:9" ht="6.75" customHeight="1" x14ac:dyDescent="0.25"/>
    <row r="17" spans="2:5" x14ac:dyDescent="0.25">
      <c r="D17" s="2"/>
      <c r="E17" s="2"/>
    </row>
    <row r="18" spans="2:5" x14ac:dyDescent="0.25">
      <c r="B18" s="1" t="s">
        <v>69</v>
      </c>
      <c r="D18" s="2"/>
      <c r="E18" s="2"/>
    </row>
    <row r="19" spans="2:5" x14ac:dyDescent="0.25">
      <c r="B19" s="2">
        <v>1000</v>
      </c>
      <c r="C19" t="s">
        <v>68</v>
      </c>
      <c r="D19" s="2"/>
      <c r="E19" s="2"/>
    </row>
    <row r="20" spans="2:5" x14ac:dyDescent="0.25">
      <c r="B20" s="8"/>
      <c r="C20" s="2"/>
      <c r="D20" s="2"/>
      <c r="E20" s="2"/>
    </row>
    <row r="25" spans="2:5" x14ac:dyDescent="0.25">
      <c r="B25" s="1"/>
    </row>
  </sheetData>
  <mergeCells count="16">
    <mergeCell ref="D14:F14"/>
    <mergeCell ref="G7:I7"/>
    <mergeCell ref="G8:I8"/>
    <mergeCell ref="G9:I9"/>
    <mergeCell ref="G10:I10"/>
    <mergeCell ref="G11:I11"/>
    <mergeCell ref="G12:I12"/>
    <mergeCell ref="G14:I14"/>
    <mergeCell ref="D7:F7"/>
    <mergeCell ref="D8:F8"/>
    <mergeCell ref="D9:F9"/>
    <mergeCell ref="D10:F10"/>
    <mergeCell ref="D11:F11"/>
    <mergeCell ref="D12:F12"/>
    <mergeCell ref="D13:F13"/>
    <mergeCell ref="G13:I13"/>
  </mergeCells>
  <hyperlinks>
    <hyperlink ref="B3" location="Contents!A1" display="Table of Contents" xr:uid="{00000000-0004-0000-0200-000000000000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C2:K43"/>
  <sheetViews>
    <sheetView zoomScale="85" zoomScaleNormal="85" workbookViewId="0">
      <selection activeCell="J26" sqref="J26"/>
    </sheetView>
  </sheetViews>
  <sheetFormatPr defaultRowHeight="15" outlineLevelCol="1" x14ac:dyDescent="0.25"/>
  <cols>
    <col min="1" max="1" width="4.28515625" customWidth="1"/>
    <col min="2" max="2" width="4.85546875" customWidth="1"/>
    <col min="3" max="3" width="64.85546875" customWidth="1"/>
    <col min="4" max="4" width="10.85546875" customWidth="1" outlineLevel="1"/>
    <col min="5" max="11" width="10.7109375" bestFit="1" customWidth="1"/>
  </cols>
  <sheetData>
    <row r="2" spans="3:11" x14ac:dyDescent="0.25">
      <c r="C2" t="s">
        <v>324</v>
      </c>
    </row>
    <row r="4" spans="3:11" x14ac:dyDescent="0.25">
      <c r="C4" s="1" t="s">
        <v>316</v>
      </c>
      <c r="D4" s="352" t="s">
        <v>321</v>
      </c>
      <c r="E4" s="327" t="s">
        <v>241</v>
      </c>
      <c r="F4" s="327" t="s">
        <v>242</v>
      </c>
      <c r="G4" s="327" t="s">
        <v>315</v>
      </c>
      <c r="H4" s="327" t="s">
        <v>314</v>
      </c>
      <c r="I4" s="327" t="s">
        <v>313</v>
      </c>
      <c r="J4" s="327" t="s">
        <v>312</v>
      </c>
      <c r="K4" s="327" t="s">
        <v>311</v>
      </c>
    </row>
    <row r="5" spans="3:11" x14ac:dyDescent="0.25">
      <c r="C5" t="s">
        <v>310</v>
      </c>
      <c r="E5" s="186">
        <v>76.042740159804154</v>
      </c>
      <c r="F5" s="186">
        <v>60.583620718733734</v>
      </c>
      <c r="G5" s="186">
        <v>91.867234379394105</v>
      </c>
      <c r="H5" s="186">
        <v>91.445851840980382</v>
      </c>
      <c r="I5" s="186">
        <v>92.797235388831112</v>
      </c>
      <c r="J5" s="186">
        <v>93.548655829260966</v>
      </c>
      <c r="K5" s="186">
        <v>94.705699460893186</v>
      </c>
    </row>
    <row r="6" spans="3:11" x14ac:dyDescent="0.25">
      <c r="C6" t="s">
        <v>309</v>
      </c>
      <c r="E6" s="186">
        <v>1.910870750293266</v>
      </c>
      <c r="F6" s="186">
        <v>1.5224000152414752</v>
      </c>
      <c r="G6" s="186">
        <v>2.308522953236674</v>
      </c>
      <c r="H6" s="186">
        <v>2.2979340716991739</v>
      </c>
      <c r="I6" s="186">
        <v>2.3318928597253383</v>
      </c>
      <c r="J6" s="186">
        <v>2.350775232161844</v>
      </c>
      <c r="K6" s="186">
        <v>2.3798504710058519</v>
      </c>
    </row>
    <row r="7" spans="3:11" x14ac:dyDescent="0.25">
      <c r="C7" t="s">
        <v>308</v>
      </c>
      <c r="E7" s="186">
        <v>11477.685129830877</v>
      </c>
      <c r="F7" s="186">
        <v>9144.3275344026606</v>
      </c>
      <c r="G7" s="186">
        <v>6933.0957020958531</v>
      </c>
      <c r="H7" s="186">
        <v>6901.2945328786627</v>
      </c>
      <c r="I7" s="186">
        <v>7003.2816181629933</v>
      </c>
      <c r="J7" s="186">
        <v>7059.9903006568647</v>
      </c>
      <c r="K7" s="186">
        <v>7147.3108157871875</v>
      </c>
    </row>
    <row r="8" spans="3:11" x14ac:dyDescent="0.25">
      <c r="C8" t="s">
        <v>307</v>
      </c>
      <c r="E8" s="186">
        <v>0</v>
      </c>
      <c r="F8" s="186">
        <v>0</v>
      </c>
      <c r="G8" s="186">
        <v>6933.0957020958531</v>
      </c>
      <c r="H8" s="186">
        <v>6901.2945328786627</v>
      </c>
      <c r="I8" s="186">
        <v>7003.2816181629933</v>
      </c>
      <c r="J8" s="186">
        <v>7059.9903006568647</v>
      </c>
      <c r="K8" s="186">
        <v>7147.3108157871875</v>
      </c>
    </row>
    <row r="9" spans="3:11" x14ac:dyDescent="0.25">
      <c r="C9" t="s">
        <v>306</v>
      </c>
      <c r="E9" s="186">
        <v>69.374054652332973</v>
      </c>
      <c r="F9" s="186">
        <v>55.270646559358156</v>
      </c>
      <c r="G9" s="186">
        <v>83.810795418490386</v>
      </c>
      <c r="H9" s="186">
        <v>83.426366672392888</v>
      </c>
      <c r="I9" s="186">
        <v>84.659238553493452</v>
      </c>
      <c r="J9" s="186">
        <v>85.34476201821488</v>
      </c>
      <c r="K9" s="186">
        <v>86.400336922108437</v>
      </c>
    </row>
    <row r="10" spans="3:11" x14ac:dyDescent="0.25">
      <c r="C10" t="s">
        <v>305</v>
      </c>
      <c r="E10" s="186">
        <v>20.482566200132883</v>
      </c>
      <c r="F10" s="186">
        <v>16.318560054614444</v>
      </c>
      <c r="G10" s="186">
        <v>24.744988224315843</v>
      </c>
      <c r="H10" s="186">
        <v>24.631486321037489</v>
      </c>
      <c r="I10" s="186">
        <v>24.995489550306367</v>
      </c>
      <c r="J10" s="186">
        <v>25.197889133526186</v>
      </c>
      <c r="K10" s="186">
        <v>25.509545745735917</v>
      </c>
    </row>
    <row r="11" spans="3:11" x14ac:dyDescent="0.25">
      <c r="C11" t="s">
        <v>304</v>
      </c>
      <c r="E11" s="186">
        <v>0.62577396350327841</v>
      </c>
      <c r="F11" s="186">
        <v>0.4985571585251905</v>
      </c>
      <c r="G11" s="186">
        <v>0.75599752524523134</v>
      </c>
      <c r="H11" s="186">
        <v>0.75252986718004222</v>
      </c>
      <c r="I11" s="186">
        <v>0.76365072680680623</v>
      </c>
      <c r="J11" s="186">
        <v>0.76983434599618561</v>
      </c>
      <c r="K11" s="186">
        <v>0.77935593579938245</v>
      </c>
    </row>
    <row r="12" spans="3:11" x14ac:dyDescent="0.25">
      <c r="C12" t="s">
        <v>303</v>
      </c>
      <c r="E12" s="186">
        <v>4.0148477625016907</v>
      </c>
      <c r="F12" s="186">
        <v>3.198648728014033</v>
      </c>
      <c r="G12" s="186">
        <v>4.8503375814735863</v>
      </c>
      <c r="H12" s="186">
        <v>4.8280897411412642</v>
      </c>
      <c r="I12" s="186">
        <v>4.8994390797101817</v>
      </c>
      <c r="J12" s="186">
        <v>4.9391120145310188</v>
      </c>
      <c r="K12" s="186">
        <v>5.0002007394482604</v>
      </c>
    </row>
    <row r="13" spans="3:11" x14ac:dyDescent="0.25">
      <c r="C13" t="s">
        <v>302</v>
      </c>
      <c r="E13" s="186">
        <v>0.86511766029695414</v>
      </c>
      <c r="F13" s="186">
        <v>0.68924344517787017</v>
      </c>
      <c r="G13" s="186">
        <v>1.0451486453175445</v>
      </c>
      <c r="H13" s="186">
        <v>1.0403546903001901</v>
      </c>
      <c r="I13" s="186">
        <v>1.0557290149316216</v>
      </c>
      <c r="J13" s="186">
        <v>1.0642777217767174</v>
      </c>
      <c r="K13" s="186">
        <v>1.0774410938140166</v>
      </c>
    </row>
    <row r="14" spans="3:11" x14ac:dyDescent="0.25">
      <c r="C14" t="s">
        <v>301</v>
      </c>
      <c r="E14" s="186">
        <v>1838.2343920971803</v>
      </c>
      <c r="F14" s="186">
        <v>1464.530275591195</v>
      </c>
      <c r="G14" s="186">
        <v>1110.3854844536525</v>
      </c>
      <c r="H14" s="186">
        <v>1105.2922969073234</v>
      </c>
      <c r="I14" s="186">
        <v>1121.6262671808367</v>
      </c>
      <c r="J14" s="186">
        <v>1130.7085733524725</v>
      </c>
      <c r="K14" s="186">
        <v>1144.6935862041507</v>
      </c>
    </row>
    <row r="15" spans="3:11" x14ac:dyDescent="0.25">
      <c r="C15" t="s">
        <v>300</v>
      </c>
      <c r="E15" s="186">
        <v>0</v>
      </c>
      <c r="F15" s="186">
        <v>0</v>
      </c>
      <c r="G15" s="186">
        <v>1110.3854844536525</v>
      </c>
      <c r="H15" s="186">
        <v>1105.2922969073234</v>
      </c>
      <c r="I15" s="186">
        <v>1121.6262671808367</v>
      </c>
      <c r="J15" s="186">
        <v>1130.7085733524725</v>
      </c>
      <c r="K15" s="186">
        <v>1144.693586204151</v>
      </c>
    </row>
    <row r="16" spans="3:11" x14ac:dyDescent="0.25">
      <c r="C16" t="s">
        <v>299</v>
      </c>
      <c r="E16" s="186">
        <v>19.151580356771934</v>
      </c>
      <c r="F16" s="186">
        <v>15.258157163467608</v>
      </c>
      <c r="G16" s="186">
        <v>23.137024227085647</v>
      </c>
      <c r="H16" s="186">
        <v>23.030897836474107</v>
      </c>
      <c r="I16" s="186">
        <v>23.371247626014746</v>
      </c>
      <c r="J16" s="186">
        <v>23.560495000798593</v>
      </c>
      <c r="K16" s="186">
        <v>23.851899729782954</v>
      </c>
    </row>
    <row r="17" spans="3:11" x14ac:dyDescent="0.25">
      <c r="C17" t="s">
        <v>298</v>
      </c>
      <c r="E17" s="186">
        <v>164.40103273030198</v>
      </c>
      <c r="F17" s="186">
        <v>130.97910190729243</v>
      </c>
      <c r="G17" s="186">
        <v>198.61288762490582</v>
      </c>
      <c r="H17" s="186">
        <v>197.70187725962774</v>
      </c>
      <c r="I17" s="186">
        <v>200.62350857399787</v>
      </c>
      <c r="J17" s="186">
        <v>202.24804625059554</v>
      </c>
      <c r="K17" s="186">
        <v>204.74952328252007</v>
      </c>
    </row>
    <row r="18" spans="3:11" x14ac:dyDescent="0.25">
      <c r="C18" t="s">
        <v>297</v>
      </c>
      <c r="E18" s="186">
        <v>19.911393836002521</v>
      </c>
      <c r="F18" s="186">
        <v>15.863504255720605</v>
      </c>
      <c r="G18" s="186">
        <v>24.054954891267528</v>
      </c>
      <c r="H18" s="186">
        <v>23.944618077255598</v>
      </c>
      <c r="I18" s="186">
        <v>24.298470792034195</v>
      </c>
      <c r="J18" s="186">
        <v>24.495226304715334</v>
      </c>
      <c r="K18" s="186">
        <v>24.798192128756561</v>
      </c>
    </row>
    <row r="19" spans="3:11" x14ac:dyDescent="0.25">
      <c r="C19" t="s">
        <v>296</v>
      </c>
      <c r="E19" s="186">
        <v>140.51000000000002</v>
      </c>
      <c r="F19" s="186">
        <v>111.94500000000001</v>
      </c>
      <c r="G19" s="186">
        <v>169.75013098583625</v>
      </c>
      <c r="H19" s="186">
        <v>168.97151016880514</v>
      </c>
      <c r="I19" s="186">
        <v>171.46856513959477</v>
      </c>
      <c r="J19" s="186">
        <v>172.85702228702158</v>
      </c>
      <c r="K19" s="186">
        <v>174.99498049761456</v>
      </c>
    </row>
    <row r="20" spans="3:11" x14ac:dyDescent="0.25">
      <c r="C20" t="s">
        <v>295</v>
      </c>
      <c r="E20" s="186">
        <v>7.025500000000001</v>
      </c>
      <c r="F20" s="186">
        <v>5.5972499999999998</v>
      </c>
      <c r="G20" s="186">
        <v>8.4875065492918136</v>
      </c>
      <c r="H20" s="186">
        <v>8.448575508440257</v>
      </c>
      <c r="I20" s="186">
        <v>8.5734282569797404</v>
      </c>
      <c r="J20" s="186">
        <v>8.6428511143510782</v>
      </c>
      <c r="K20" s="186">
        <v>8.7497490248807299</v>
      </c>
    </row>
    <row r="21" spans="3:11" x14ac:dyDescent="0.25">
      <c r="D21" s="188">
        <v>16580</v>
      </c>
      <c r="E21" s="25">
        <f t="shared" ref="E21:K21" si="0">SUM(E5:E20)</f>
        <v>13840.235000000001</v>
      </c>
      <c r="F21" s="25">
        <f t="shared" si="0"/>
        <v>11026.582500000002</v>
      </c>
      <c r="G21" s="25">
        <f t="shared" si="0"/>
        <v>16720.387902104874</v>
      </c>
      <c r="H21" s="25">
        <f t="shared" si="0"/>
        <v>16643.693751627303</v>
      </c>
      <c r="I21" s="25">
        <f t="shared" si="0"/>
        <v>16889.653666250088</v>
      </c>
      <c r="J21" s="25">
        <f t="shared" si="0"/>
        <v>17026.416695271622</v>
      </c>
      <c r="K21" s="25">
        <f t="shared" si="0"/>
        <v>17237.005579015036</v>
      </c>
    </row>
    <row r="23" spans="3:11" x14ac:dyDescent="0.25">
      <c r="C23" s="1" t="s">
        <v>317</v>
      </c>
      <c r="D23" s="1"/>
      <c r="E23" s="327" t="s">
        <v>241</v>
      </c>
      <c r="F23" s="327" t="s">
        <v>242</v>
      </c>
      <c r="G23" s="327" t="s">
        <v>315</v>
      </c>
      <c r="H23" s="327" t="s">
        <v>314</v>
      </c>
      <c r="I23" s="327" t="s">
        <v>313</v>
      </c>
      <c r="J23" s="327" t="s">
        <v>312</v>
      </c>
      <c r="K23" s="327" t="s">
        <v>311</v>
      </c>
    </row>
    <row r="24" spans="3:11" x14ac:dyDescent="0.25">
      <c r="C24" t="s">
        <v>310</v>
      </c>
      <c r="E24" s="186">
        <v>33000</v>
      </c>
      <c r="F24" s="186">
        <v>26513.2483681456</v>
      </c>
      <c r="G24" s="186">
        <v>45027.266015819099</v>
      </c>
      <c r="H24" s="186">
        <v>44820.732056461864</v>
      </c>
      <c r="I24" s="186">
        <v>45483.091241535192</v>
      </c>
      <c r="J24" s="186">
        <v>45851.388037335411</v>
      </c>
      <c r="K24" s="186">
        <v>46418.494598726567</v>
      </c>
    </row>
    <row r="25" spans="3:11" x14ac:dyDescent="0.25">
      <c r="C25" t="s">
        <v>309</v>
      </c>
      <c r="E25" s="186">
        <v>999.99999999999989</v>
      </c>
      <c r="F25" s="186">
        <v>803.42908808475374</v>
      </c>
      <c r="G25" s="186">
        <v>1980.1002630277594</v>
      </c>
      <c r="H25" s="186">
        <v>1971.0178118057875</v>
      </c>
      <c r="I25" s="186">
        <v>2000.1454429642458</v>
      </c>
      <c r="J25" s="186">
        <v>2016.3415091873221</v>
      </c>
      <c r="K25" s="186">
        <v>2041.2803507101653</v>
      </c>
    </row>
    <row r="26" spans="3:11" x14ac:dyDescent="0.25">
      <c r="C26" t="s">
        <v>308</v>
      </c>
      <c r="E26" s="186">
        <v>2586934.8639777177</v>
      </c>
      <c r="F26" s="186">
        <v>2078426.63430178</v>
      </c>
      <c r="G26" s="186">
        <v>1507771.7747836194</v>
      </c>
      <c r="H26" s="186">
        <v>1500855.8302458425</v>
      </c>
      <c r="I26" s="186">
        <v>1523035.4243538072</v>
      </c>
      <c r="J26" s="186">
        <v>1535368.1187984517</v>
      </c>
      <c r="K26" s="186">
        <v>1554358.107359156</v>
      </c>
    </row>
    <row r="27" spans="3:11" x14ac:dyDescent="0.25">
      <c r="C27" t="s">
        <v>307</v>
      </c>
      <c r="E27" s="186">
        <v>0</v>
      </c>
      <c r="F27" s="186">
        <v>0</v>
      </c>
      <c r="G27" s="186">
        <v>3195732.5812148168</v>
      </c>
      <c r="H27" s="186">
        <v>3181074.189501375</v>
      </c>
      <c r="I27" s="186">
        <v>3228083.9907951527</v>
      </c>
      <c r="J27" s="186">
        <v>3254223.2209558799</v>
      </c>
      <c r="K27" s="186">
        <v>3294472.6314935242</v>
      </c>
    </row>
    <row r="28" spans="3:11" x14ac:dyDescent="0.25">
      <c r="C28" t="s">
        <v>306</v>
      </c>
      <c r="E28" s="186">
        <v>19999.999999999989</v>
      </c>
      <c r="F28" s="186">
        <v>16068.430569048818</v>
      </c>
      <c r="G28" s="186">
        <v>31896.749312567012</v>
      </c>
      <c r="H28" s="186">
        <v>31750.443251616405</v>
      </c>
      <c r="I28" s="186">
        <v>32219.650173345512</v>
      </c>
      <c r="J28" s="186">
        <v>32480.546994487926</v>
      </c>
      <c r="K28" s="186">
        <v>32882.278154799787</v>
      </c>
    </row>
    <row r="29" spans="3:11" x14ac:dyDescent="0.25">
      <c r="C29" t="s">
        <v>305</v>
      </c>
      <c r="E29" s="186">
        <v>9500.0000000000036</v>
      </c>
      <c r="F29" s="186">
        <v>7632.5800422835673</v>
      </c>
      <c r="G29" s="186">
        <v>13679.005420128007</v>
      </c>
      <c r="H29" s="186">
        <v>13616.261678402812</v>
      </c>
      <c r="I29" s="186">
        <v>13817.482309464589</v>
      </c>
      <c r="J29" s="186">
        <v>13929.368602187693</v>
      </c>
      <c r="K29" s="186">
        <v>14101.652074258471</v>
      </c>
    </row>
    <row r="30" spans="3:11" x14ac:dyDescent="0.25">
      <c r="C30" t="s">
        <v>304</v>
      </c>
      <c r="E30" s="186">
        <v>350.00000000000011</v>
      </c>
      <c r="F30" s="186">
        <v>281.20033868248635</v>
      </c>
      <c r="G30" s="186">
        <v>731.35071900030755</v>
      </c>
      <c r="H30" s="186">
        <v>727.99611249097995</v>
      </c>
      <c r="I30" s="186">
        <v>738.75441316305819</v>
      </c>
      <c r="J30" s="186">
        <v>744.73643584059255</v>
      </c>
      <c r="K30" s="186">
        <v>753.94760560776217</v>
      </c>
    </row>
    <row r="31" spans="3:11" x14ac:dyDescent="0.25">
      <c r="C31" t="s">
        <v>303</v>
      </c>
      <c r="E31" s="186">
        <v>2500.0000000000009</v>
      </c>
      <c r="F31" s="186">
        <v>2008.5748935049676</v>
      </c>
      <c r="G31" s="186">
        <v>5119.1196794118414</v>
      </c>
      <c r="H31" s="186">
        <v>5095.6389720679617</v>
      </c>
      <c r="I31" s="186">
        <v>5170.9421436608545</v>
      </c>
      <c r="J31" s="186">
        <v>5212.8135594066571</v>
      </c>
      <c r="K31" s="186">
        <v>5277.2875240866615</v>
      </c>
    </row>
    <row r="32" spans="3:11" x14ac:dyDescent="0.25">
      <c r="C32" t="s">
        <v>302</v>
      </c>
      <c r="E32" s="186">
        <v>650.00000000000057</v>
      </c>
      <c r="F32" s="186">
        <v>522.52439330823825</v>
      </c>
      <c r="G32" s="186">
        <v>1858.9509106442838</v>
      </c>
      <c r="H32" s="186">
        <v>1850.4241550626498</v>
      </c>
      <c r="I32" s="186">
        <v>1877.7696574485394</v>
      </c>
      <c r="J32" s="186">
        <v>1892.9747925704376</v>
      </c>
      <c r="K32" s="186">
        <v>1916.3877898943274</v>
      </c>
    </row>
    <row r="33" spans="3:11" x14ac:dyDescent="0.25">
      <c r="C33" t="s">
        <v>301</v>
      </c>
      <c r="E33" s="186">
        <v>620000.00000000012</v>
      </c>
      <c r="F33" s="186">
        <v>498120.86785059789</v>
      </c>
      <c r="G33" s="186">
        <v>376208.31297283247</v>
      </c>
      <c r="H33" s="186">
        <v>374482.69648983108</v>
      </c>
      <c r="I33" s="186">
        <v>380016.78846670024</v>
      </c>
      <c r="J33" s="186">
        <v>383093.95322666195</v>
      </c>
      <c r="K33" s="186">
        <v>387832.19788628299</v>
      </c>
    </row>
    <row r="34" spans="3:11" x14ac:dyDescent="0.25">
      <c r="C34" t="s">
        <v>300</v>
      </c>
      <c r="E34" s="186">
        <v>0</v>
      </c>
      <c r="F34" s="186">
        <v>0</v>
      </c>
      <c r="G34" s="186">
        <v>655257.1265176218</v>
      </c>
      <c r="H34" s="186">
        <v>652251.55099169083</v>
      </c>
      <c r="I34" s="186">
        <v>661890.50122644904</v>
      </c>
      <c r="J34" s="186">
        <v>667250.12266197917</v>
      </c>
      <c r="K34" s="186">
        <v>675502.91366456659</v>
      </c>
    </row>
    <row r="35" spans="3:11" x14ac:dyDescent="0.25">
      <c r="C35" t="s">
        <v>299</v>
      </c>
      <c r="E35" s="186">
        <v>7999.9999999999964</v>
      </c>
      <c r="F35" s="186">
        <v>6427.4167791233431</v>
      </c>
      <c r="G35" s="186">
        <v>29523.566769602578</v>
      </c>
      <c r="H35" s="186">
        <v>29388.146174953734</v>
      </c>
      <c r="I35" s="186">
        <v>29822.443154457258</v>
      </c>
      <c r="J35" s="186">
        <v>30063.928725400394</v>
      </c>
      <c r="K35" s="186">
        <v>30435.770276358195</v>
      </c>
    </row>
    <row r="36" spans="3:11" x14ac:dyDescent="0.25">
      <c r="C36" t="s">
        <v>298</v>
      </c>
      <c r="E36" s="186">
        <v>80000</v>
      </c>
      <c r="F36" s="186">
        <v>64274.180416131603</v>
      </c>
      <c r="G36" s="186">
        <v>167117.81924292899</v>
      </c>
      <c r="H36" s="186">
        <v>166351.27248267794</v>
      </c>
      <c r="I36" s="186">
        <v>168809.60567408442</v>
      </c>
      <c r="J36" s="186">
        <v>170176.53204546723</v>
      </c>
      <c r="K36" s="186">
        <v>172281.3369826524</v>
      </c>
    </row>
    <row r="37" spans="3:11" x14ac:dyDescent="0.25">
      <c r="C37" t="s">
        <v>297</v>
      </c>
      <c r="E37" s="186">
        <v>12000.000000000002</v>
      </c>
      <c r="F37" s="186">
        <v>9641.1714497208104</v>
      </c>
      <c r="G37" s="186">
        <v>35420.764433290569</v>
      </c>
      <c r="H37" s="186">
        <v>35258.294193163238</v>
      </c>
      <c r="I37" s="186">
        <v>35779.340011411812</v>
      </c>
      <c r="J37" s="186">
        <v>36069.061222577329</v>
      </c>
      <c r="K37" s="186">
        <v>36515.176425586826</v>
      </c>
    </row>
    <row r="38" spans="3:11" x14ac:dyDescent="0.25">
      <c r="C38" t="s">
        <v>296</v>
      </c>
      <c r="E38" s="186">
        <v>100491.55933003168</v>
      </c>
      <c r="F38" s="186">
        <v>80737.73063344309</v>
      </c>
      <c r="G38" s="186">
        <v>141249.83144644028</v>
      </c>
      <c r="H38" s="186">
        <v>140601.93763612263</v>
      </c>
      <c r="I38" s="186">
        <v>142679.74807248666</v>
      </c>
      <c r="J38" s="186">
        <v>143835.08937859148</v>
      </c>
      <c r="K38" s="186">
        <v>145614.09381960126</v>
      </c>
    </row>
    <row r="39" spans="3:11" x14ac:dyDescent="0.25">
      <c r="C39" t="s">
        <v>295</v>
      </c>
      <c r="E39" s="186">
        <v>6294.3745092583968</v>
      </c>
      <c r="F39" s="186">
        <v>5057.0847299759689</v>
      </c>
      <c r="G39" s="186">
        <v>12359.360251563527</v>
      </c>
      <c r="H39" s="186">
        <v>12302.669543160731</v>
      </c>
      <c r="I39" s="186">
        <v>12484.477956342585</v>
      </c>
      <c r="J39" s="186">
        <v>12585.570320626755</v>
      </c>
      <c r="K39" s="186">
        <v>12741.233209215112</v>
      </c>
    </row>
    <row r="40" spans="3:11" x14ac:dyDescent="0.25">
      <c r="D40" s="188">
        <v>4761276.4977777768</v>
      </c>
      <c r="E40" s="297">
        <f>SUM(E24:E39)</f>
        <v>3480720.7978170076</v>
      </c>
      <c r="F40" s="297">
        <f t="shared" ref="F40:K40" si="1">SUM(F24:F39)</f>
        <v>2796515.0738538313</v>
      </c>
      <c r="G40" s="297">
        <f t="shared" si="1"/>
        <v>6220933.6799533144</v>
      </c>
      <c r="H40" s="297">
        <f t="shared" si="1"/>
        <v>6192399.1012967285</v>
      </c>
      <c r="I40" s="297">
        <f t="shared" si="1"/>
        <v>6283910.155092475</v>
      </c>
      <c r="J40" s="297">
        <f t="shared" si="1"/>
        <v>6334793.7672666516</v>
      </c>
      <c r="K40" s="297">
        <f t="shared" si="1"/>
        <v>6413144.7892150264</v>
      </c>
    </row>
    <row r="42" spans="3:11" x14ac:dyDescent="0.25">
      <c r="C42" t="s">
        <v>318</v>
      </c>
      <c r="D42" s="186">
        <f>'2.5.3 Volumes'!$N8*'4.3 Connections'!D$40</f>
        <v>4285148.8479999993</v>
      </c>
      <c r="E42" s="186">
        <f>'2.5.3 Volumes'!$N8*'4.3 Connections'!E$40</f>
        <v>3132648.7180353068</v>
      </c>
      <c r="F42" s="186">
        <f>'2.5.3 Volumes'!$N8*'4.3 Connections'!F$40</f>
        <v>2516863.5664684484</v>
      </c>
      <c r="G42" s="186">
        <f>'2.5.3 Volumes'!$N8*'4.3 Connections'!G$40</f>
        <v>5598840.3119579833</v>
      </c>
      <c r="H42" s="186">
        <f>'2.5.3 Volumes'!$N8*'4.3 Connections'!H$40</f>
        <v>5573159.1911670556</v>
      </c>
      <c r="I42" s="186">
        <f>'2.5.3 Volumes'!$N8*'4.3 Connections'!I$40</f>
        <v>5655519.1395832272</v>
      </c>
      <c r="J42" s="186">
        <f>'2.5.3 Volumes'!$N8*'4.3 Connections'!J$40</f>
        <v>5701314.390539987</v>
      </c>
      <c r="K42" s="186">
        <f>'2.5.3 Volumes'!$N8*'4.3 Connections'!K$40</f>
        <v>5771830.3102935236</v>
      </c>
    </row>
    <row r="43" spans="3:11" x14ac:dyDescent="0.25">
      <c r="C43" t="s">
        <v>319</v>
      </c>
      <c r="D43" s="186">
        <f>'2.5.3 Volumes'!$N11*D40</f>
        <v>476127.64977777773</v>
      </c>
      <c r="E43" s="186">
        <f>'2.5.3 Volumes'!$N11*E40</f>
        <v>348072.0797817008</v>
      </c>
      <c r="F43" s="186">
        <f>'2.5.3 Volumes'!$N11*F40</f>
        <v>279651.50738538313</v>
      </c>
      <c r="G43" s="186">
        <f>'2.5.3 Volumes'!$N11*G40</f>
        <v>622093.36799533141</v>
      </c>
      <c r="H43" s="186">
        <f>'2.5.3 Volumes'!$N11*H40</f>
        <v>619239.91012967285</v>
      </c>
      <c r="I43" s="186">
        <f>'2.5.3 Volumes'!$N11*I40</f>
        <v>628391.01550924755</v>
      </c>
      <c r="J43" s="186">
        <f>'2.5.3 Volumes'!$N11*J40</f>
        <v>633479.37672666518</v>
      </c>
      <c r="K43" s="186">
        <f>'2.5.3 Volumes'!$N11*K40</f>
        <v>641314.47892150271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55"/>
  <sheetViews>
    <sheetView zoomScale="85" zoomScaleNormal="85" workbookViewId="0">
      <selection activeCell="B3" sqref="B3"/>
    </sheetView>
  </sheetViews>
  <sheetFormatPr defaultColWidth="9.140625" defaultRowHeight="15" x14ac:dyDescent="0.25"/>
  <cols>
    <col min="1" max="1" width="9.140625" style="2"/>
    <col min="2" max="2" width="7.85546875" style="2" customWidth="1"/>
    <col min="3" max="3" width="43.85546875" style="2" customWidth="1"/>
    <col min="4" max="4" width="10.85546875" style="2" customWidth="1"/>
    <col min="5" max="5" width="10" style="2" customWidth="1"/>
    <col min="6" max="6" width="10.42578125" style="2" customWidth="1"/>
    <col min="7" max="8" width="10" style="2" customWidth="1"/>
    <col min="9" max="9" width="10.28515625" style="2" customWidth="1"/>
    <col min="10" max="10" width="10.140625" style="2" customWidth="1"/>
    <col min="11" max="16384" width="9.140625" style="2"/>
  </cols>
  <sheetData>
    <row r="2" spans="2:9" ht="18.75" x14ac:dyDescent="0.3">
      <c r="B2" s="50" t="s">
        <v>77</v>
      </c>
    </row>
    <row r="3" spans="2:9" x14ac:dyDescent="0.25">
      <c r="B3" s="51" t="s">
        <v>70</v>
      </c>
    </row>
    <row r="4" spans="2:9" x14ac:dyDescent="0.25">
      <c r="B4" s="51"/>
    </row>
    <row r="5" spans="2:9" x14ac:dyDescent="0.25">
      <c r="B5" s="28" t="s">
        <v>75</v>
      </c>
    </row>
    <row r="6" spans="2:9" x14ac:dyDescent="0.25">
      <c r="B6" s="16" t="s">
        <v>326</v>
      </c>
      <c r="C6" s="16"/>
      <c r="D6" s="16"/>
      <c r="E6" s="16"/>
      <c r="F6" s="16"/>
      <c r="G6" s="16"/>
      <c r="H6" s="16"/>
      <c r="I6" s="16"/>
    </row>
    <row r="7" spans="2:9" x14ac:dyDescent="0.25">
      <c r="B7" s="16"/>
      <c r="C7" s="16"/>
      <c r="D7" s="113" t="s">
        <v>3</v>
      </c>
      <c r="E7" s="16"/>
      <c r="F7" s="16"/>
      <c r="G7" s="16"/>
      <c r="H7" s="16"/>
      <c r="I7" s="16"/>
    </row>
    <row r="8" spans="2:9" x14ac:dyDescent="0.25">
      <c r="B8" s="16">
        <v>1012</v>
      </c>
      <c r="C8" s="16" t="s">
        <v>109</v>
      </c>
      <c r="D8" s="39">
        <v>1</v>
      </c>
      <c r="E8" s="16"/>
      <c r="F8" s="16"/>
      <c r="G8" s="16"/>
      <c r="H8" s="16"/>
      <c r="I8" s="16"/>
    </row>
    <row r="9" spans="2:9" x14ac:dyDescent="0.25">
      <c r="B9" s="16">
        <v>1013</v>
      </c>
      <c r="C9" s="16" t="s">
        <v>110</v>
      </c>
      <c r="D9" s="39">
        <v>1</v>
      </c>
      <c r="E9" s="16"/>
      <c r="F9" s="16"/>
      <c r="G9" s="16"/>
      <c r="H9" s="16"/>
      <c r="I9" s="16"/>
    </row>
    <row r="10" spans="2:9" x14ac:dyDescent="0.25">
      <c r="B10" s="16">
        <v>1014</v>
      </c>
      <c r="C10" s="16" t="s">
        <v>111</v>
      </c>
      <c r="D10" s="39">
        <v>1</v>
      </c>
      <c r="E10" s="16"/>
      <c r="F10" s="16"/>
      <c r="G10" s="16"/>
      <c r="H10" s="16"/>
      <c r="I10" s="16"/>
    </row>
    <row r="11" spans="2:9" x14ac:dyDescent="0.25">
      <c r="B11" s="16">
        <v>1016</v>
      </c>
      <c r="C11" s="16" t="s">
        <v>114</v>
      </c>
      <c r="D11" s="39">
        <v>1</v>
      </c>
      <c r="E11" s="16"/>
      <c r="F11" s="16"/>
      <c r="G11" s="16"/>
      <c r="H11" s="16"/>
      <c r="I11" s="16"/>
    </row>
    <row r="12" spans="2:9" x14ac:dyDescent="0.25">
      <c r="B12" s="16">
        <v>1018</v>
      </c>
      <c r="C12" s="16" t="s">
        <v>112</v>
      </c>
      <c r="D12" s="39">
        <v>1</v>
      </c>
      <c r="E12" s="16"/>
      <c r="F12" s="16"/>
      <c r="G12" s="16"/>
      <c r="H12" s="16"/>
      <c r="I12" s="16"/>
    </row>
    <row r="13" spans="2:9" x14ac:dyDescent="0.25">
      <c r="B13" s="16">
        <v>1019</v>
      </c>
      <c r="C13" s="16" t="s">
        <v>96</v>
      </c>
      <c r="D13" s="39">
        <v>1</v>
      </c>
      <c r="E13" s="16"/>
      <c r="F13" s="16"/>
      <c r="G13" s="16"/>
      <c r="H13" s="16"/>
      <c r="I13" s="16"/>
    </row>
    <row r="14" spans="2:9" x14ac:dyDescent="0.25">
      <c r="B14" s="16">
        <v>1020</v>
      </c>
      <c r="C14" s="16" t="s">
        <v>179</v>
      </c>
      <c r="D14" s="360">
        <v>0</v>
      </c>
      <c r="E14" s="16" t="s">
        <v>52</v>
      </c>
      <c r="F14" s="16"/>
      <c r="G14" s="16"/>
      <c r="H14" s="16"/>
      <c r="I14" s="16"/>
    </row>
    <row r="15" spans="2:9" x14ac:dyDescent="0.25">
      <c r="B15" s="16">
        <v>1002</v>
      </c>
      <c r="C15" s="16" t="s">
        <v>2</v>
      </c>
      <c r="D15" s="39">
        <v>0</v>
      </c>
      <c r="E15" s="16" t="s">
        <v>71</v>
      </c>
      <c r="F15" s="16"/>
      <c r="G15" s="16"/>
      <c r="H15" s="16"/>
      <c r="I15" s="16"/>
    </row>
    <row r="16" spans="2:9" x14ac:dyDescent="0.25">
      <c r="B16" s="16">
        <v>1015</v>
      </c>
      <c r="C16" s="16" t="s">
        <v>113</v>
      </c>
      <c r="D16" s="39">
        <v>1</v>
      </c>
      <c r="E16" s="16"/>
      <c r="F16" s="16"/>
      <c r="G16" s="16"/>
      <c r="H16" s="16"/>
      <c r="I16" s="16"/>
    </row>
    <row r="17" spans="2:15" x14ac:dyDescent="0.25">
      <c r="B17" s="17" t="s">
        <v>5</v>
      </c>
      <c r="C17" s="16"/>
      <c r="D17" s="16"/>
      <c r="E17" s="16"/>
      <c r="F17" s="16"/>
      <c r="G17" s="16"/>
      <c r="H17" s="16"/>
      <c r="I17" s="16"/>
    </row>
    <row r="19" spans="2:15" x14ac:dyDescent="0.25">
      <c r="B19" s="28" t="s">
        <v>186</v>
      </c>
    </row>
    <row r="21" spans="2:15" x14ac:dyDescent="0.25">
      <c r="D21" s="626" t="s">
        <v>121</v>
      </c>
      <c r="E21" s="626"/>
      <c r="F21" s="626"/>
      <c r="G21" s="626"/>
    </row>
    <row r="22" spans="2:15" ht="45" x14ac:dyDescent="0.25">
      <c r="B22" s="364" t="s">
        <v>22</v>
      </c>
      <c r="C22" s="365"/>
      <c r="D22" s="54" t="s">
        <v>23</v>
      </c>
      <c r="E22" s="54" t="s">
        <v>24</v>
      </c>
      <c r="F22" s="54" t="s">
        <v>25</v>
      </c>
      <c r="G22" s="54" t="s">
        <v>26</v>
      </c>
      <c r="H22" s="55" t="s">
        <v>4</v>
      </c>
    </row>
    <row r="23" spans="2:15" x14ac:dyDescent="0.25">
      <c r="B23" s="627">
        <v>1012</v>
      </c>
      <c r="C23" s="498" t="s">
        <v>109</v>
      </c>
      <c r="D23" s="120">
        <v>3.7826027627512269E-2</v>
      </c>
      <c r="E23" s="120">
        <v>3.3854486891826706E-2</v>
      </c>
      <c r="F23" s="120">
        <v>0.89308763298481375</v>
      </c>
      <c r="G23" s="121">
        <v>3.5231852495847253E-2</v>
      </c>
      <c r="H23" s="120">
        <f t="shared" ref="H23:H32" si="0">SUM(D23:G23)</f>
        <v>1</v>
      </c>
      <c r="I23" s="22" t="s">
        <v>122</v>
      </c>
      <c r="L23" s="15"/>
      <c r="M23" s="15"/>
      <c r="N23" s="15"/>
      <c r="O23" s="15"/>
    </row>
    <row r="24" spans="2:15" x14ac:dyDescent="0.25">
      <c r="B24" s="628"/>
      <c r="C24" s="498" t="s">
        <v>136</v>
      </c>
      <c r="D24" s="120">
        <v>0.05</v>
      </c>
      <c r="E24" s="120">
        <v>0</v>
      </c>
      <c r="F24" s="120">
        <v>0.95</v>
      </c>
      <c r="G24" s="121">
        <v>0</v>
      </c>
      <c r="H24" s="120">
        <f t="shared" si="0"/>
        <v>1</v>
      </c>
      <c r="I24" s="22" t="s">
        <v>187</v>
      </c>
      <c r="L24" s="15"/>
      <c r="M24" s="15"/>
      <c r="N24" s="15"/>
      <c r="O24" s="15"/>
    </row>
    <row r="25" spans="2:15" x14ac:dyDescent="0.25">
      <c r="B25" s="628"/>
      <c r="C25" s="498" t="s">
        <v>215</v>
      </c>
      <c r="D25" s="120">
        <v>0</v>
      </c>
      <c r="E25" s="120">
        <v>0</v>
      </c>
      <c r="F25" s="120">
        <v>1</v>
      </c>
      <c r="G25" s="121">
        <v>0</v>
      </c>
      <c r="H25" s="120">
        <f t="shared" si="0"/>
        <v>1</v>
      </c>
      <c r="I25" s="22"/>
      <c r="L25" s="15"/>
      <c r="M25" s="15"/>
      <c r="N25" s="15"/>
      <c r="O25" s="15"/>
    </row>
    <row r="26" spans="2:15" x14ac:dyDescent="0.25">
      <c r="B26" s="629"/>
      <c r="C26" s="498" t="s">
        <v>137</v>
      </c>
      <c r="D26" s="120">
        <v>0.08</v>
      </c>
      <c r="E26" s="120">
        <v>0.19</v>
      </c>
      <c r="F26" s="120">
        <v>0.7</v>
      </c>
      <c r="G26" s="121">
        <v>0.03</v>
      </c>
      <c r="H26" s="120">
        <f t="shared" si="0"/>
        <v>1</v>
      </c>
      <c r="I26" s="22"/>
      <c r="L26" s="15"/>
      <c r="M26" s="15"/>
      <c r="N26" s="15"/>
      <c r="O26" s="15"/>
    </row>
    <row r="27" spans="2:15" x14ac:dyDescent="0.25">
      <c r="B27" s="119">
        <v>1013</v>
      </c>
      <c r="C27" s="31" t="s">
        <v>110</v>
      </c>
      <c r="D27" s="120">
        <v>4.4814492088020338E-2</v>
      </c>
      <c r="E27" s="120">
        <v>4.7057225431442966E-2</v>
      </c>
      <c r="F27" s="120">
        <v>0.85203503750594112</v>
      </c>
      <c r="G27" s="121">
        <v>5.6093244974595627E-2</v>
      </c>
      <c r="H27" s="30">
        <f t="shared" si="0"/>
        <v>1</v>
      </c>
      <c r="I27" s="22"/>
      <c r="L27" s="15"/>
      <c r="M27" s="15"/>
      <c r="N27" s="15"/>
      <c r="O27" s="15"/>
    </row>
    <row r="28" spans="2:15" x14ac:dyDescent="0.25">
      <c r="B28" s="630">
        <v>1014</v>
      </c>
      <c r="C28" s="31" t="s">
        <v>111</v>
      </c>
      <c r="D28" s="120">
        <v>7.4138951416868409E-2</v>
      </c>
      <c r="E28" s="120">
        <v>0.19346943601076791</v>
      </c>
      <c r="F28" s="120">
        <v>0.66458929681185919</v>
      </c>
      <c r="G28" s="121">
        <v>6.7802315760504675E-2</v>
      </c>
      <c r="H28" s="30">
        <f t="shared" si="0"/>
        <v>1.0000000000000002</v>
      </c>
      <c r="I28" s="22"/>
      <c r="L28" s="15"/>
      <c r="M28" s="15"/>
      <c r="N28" s="15"/>
      <c r="O28" s="15"/>
    </row>
    <row r="29" spans="2:15" x14ac:dyDescent="0.25">
      <c r="B29" s="631"/>
      <c r="C29" s="499" t="s">
        <v>375</v>
      </c>
      <c r="D29" s="500">
        <v>0.05</v>
      </c>
      <c r="E29" s="500">
        <v>0</v>
      </c>
      <c r="F29" s="500">
        <v>0.95</v>
      </c>
      <c r="G29" s="501">
        <v>0</v>
      </c>
      <c r="H29" s="120">
        <f t="shared" ref="H29" si="1">SUM(D29:G29)</f>
        <v>1</v>
      </c>
      <c r="I29" s="22" t="s">
        <v>187</v>
      </c>
      <c r="L29" s="15"/>
      <c r="M29" s="15"/>
      <c r="N29" s="15"/>
      <c r="O29" s="15"/>
    </row>
    <row r="30" spans="2:15" x14ac:dyDescent="0.25">
      <c r="B30" s="119">
        <v>1018</v>
      </c>
      <c r="C30" s="119" t="s">
        <v>112</v>
      </c>
      <c r="D30" s="120">
        <v>0.13141058490834684</v>
      </c>
      <c r="E30" s="120">
        <v>0.18438937238191624</v>
      </c>
      <c r="F30" s="120">
        <v>0.59660213309288301</v>
      </c>
      <c r="G30" s="121">
        <v>8.7597909616853861E-2</v>
      </c>
      <c r="H30" s="30">
        <f t="shared" si="0"/>
        <v>1</v>
      </c>
      <c r="L30" s="15"/>
      <c r="M30" s="15"/>
      <c r="N30" s="15"/>
      <c r="O30" s="15"/>
    </row>
    <row r="31" spans="2:15" x14ac:dyDescent="0.25">
      <c r="B31" s="119">
        <v>1019</v>
      </c>
      <c r="C31" s="119" t="s">
        <v>96</v>
      </c>
      <c r="D31" s="120">
        <v>8.0445139625164822E-2</v>
      </c>
      <c r="E31" s="120">
        <v>0.18173176338644276</v>
      </c>
      <c r="F31" s="120">
        <v>0.50353755370165831</v>
      </c>
      <c r="G31" s="121">
        <v>0.23428554328673418</v>
      </c>
      <c r="H31" s="120">
        <f t="shared" si="0"/>
        <v>1</v>
      </c>
      <c r="I31" s="177" t="s">
        <v>123</v>
      </c>
      <c r="L31" s="15"/>
      <c r="M31" s="15"/>
      <c r="N31" s="15"/>
      <c r="O31" s="15"/>
    </row>
    <row r="32" spans="2:15" x14ac:dyDescent="0.25">
      <c r="B32" s="119">
        <v>1015</v>
      </c>
      <c r="C32" s="31" t="s">
        <v>113</v>
      </c>
      <c r="D32" s="120">
        <v>0.22554989703353817</v>
      </c>
      <c r="E32" s="120">
        <v>0.54110887907773442</v>
      </c>
      <c r="F32" s="120">
        <v>0.23321347248294963</v>
      </c>
      <c r="G32" s="120">
        <v>1.2775140577787192E-4</v>
      </c>
      <c r="H32" s="120">
        <f t="shared" si="0"/>
        <v>1.0000000000000002</v>
      </c>
      <c r="I32" s="177" t="s">
        <v>124</v>
      </c>
      <c r="L32" s="15"/>
      <c r="M32" s="15"/>
      <c r="N32" s="15"/>
      <c r="O32" s="15"/>
    </row>
    <row r="33" spans="2:15" x14ac:dyDescent="0.25">
      <c r="B33" s="159"/>
      <c r="C33" s="361"/>
      <c r="D33" s="119"/>
      <c r="E33" s="119"/>
      <c r="F33" s="119"/>
      <c r="G33" s="119"/>
      <c r="H33" s="119"/>
    </row>
    <row r="34" spans="2:15" x14ac:dyDescent="0.25">
      <c r="B34" s="159">
        <v>1016</v>
      </c>
      <c r="C34" s="159" t="s">
        <v>114</v>
      </c>
      <c r="D34" s="362">
        <v>9.8353381459507547E-2</v>
      </c>
      <c r="E34" s="362">
        <v>0.10307675889886612</v>
      </c>
      <c r="F34" s="362">
        <v>0.65169177603203798</v>
      </c>
      <c r="G34" s="362">
        <v>0.14687808360958834</v>
      </c>
      <c r="H34" s="363">
        <f>SUM(D34:G34)</f>
        <v>1</v>
      </c>
      <c r="I34" s="2" t="s">
        <v>121</v>
      </c>
    </row>
    <row r="36" spans="2:15" x14ac:dyDescent="0.25">
      <c r="J36" s="14"/>
      <c r="K36" s="14"/>
      <c r="L36" s="14"/>
      <c r="M36" s="14"/>
    </row>
    <row r="37" spans="2:15" x14ac:dyDescent="0.25">
      <c r="B37" t="s">
        <v>327</v>
      </c>
    </row>
    <row r="38" spans="2:15" x14ac:dyDescent="0.25">
      <c r="B38" s="119">
        <v>1020</v>
      </c>
      <c r="C38" s="119" t="s">
        <v>179</v>
      </c>
      <c r="D38" s="362">
        <v>0.35447424330190286</v>
      </c>
      <c r="E38" s="362">
        <v>8.1204495397575016E-2</v>
      </c>
      <c r="F38" s="362">
        <v>0.56431403136713765</v>
      </c>
      <c r="G38" s="362">
        <v>7.2299333845349436E-6</v>
      </c>
      <c r="H38" s="362">
        <f>SUM(D38:G38)</f>
        <v>1.0000000000000002</v>
      </c>
      <c r="I38" s="32" t="s">
        <v>180</v>
      </c>
    </row>
    <row r="39" spans="2:15" x14ac:dyDescent="0.25">
      <c r="B39" s="119">
        <v>1002</v>
      </c>
      <c r="C39" s="119" t="s">
        <v>2</v>
      </c>
      <c r="D39" s="362">
        <v>9.1704459257905505E-2</v>
      </c>
      <c r="E39" s="362">
        <v>0.11158335808267202</v>
      </c>
      <c r="F39" s="362">
        <v>0.79671218265942256</v>
      </c>
      <c r="G39" s="362">
        <v>0</v>
      </c>
      <c r="H39" s="362">
        <f>SUM(D39:G39)</f>
        <v>1</v>
      </c>
      <c r="I39" s="32" t="s">
        <v>181</v>
      </c>
    </row>
    <row r="40" spans="2:15" x14ac:dyDescent="0.25">
      <c r="C40" s="11" t="s">
        <v>30</v>
      </c>
    </row>
    <row r="41" spans="2:15" x14ac:dyDescent="0.25">
      <c r="K41" s="2">
        <v>9.2776885522421637E-2</v>
      </c>
      <c r="L41" s="2">
        <v>8.2755807881225524E-2</v>
      </c>
      <c r="M41" s="2">
        <v>9.5183058301231541E-2</v>
      </c>
      <c r="N41" s="2">
        <v>0.1021606847538709</v>
      </c>
      <c r="O41" s="2">
        <v>0.10537664096077862</v>
      </c>
    </row>
    <row r="43" spans="2:15" x14ac:dyDescent="0.25">
      <c r="B43" s="1" t="s">
        <v>167</v>
      </c>
      <c r="D43" s="36" t="s">
        <v>7</v>
      </c>
      <c r="E43" s="36" t="s">
        <v>8</v>
      </c>
      <c r="F43" s="36" t="s">
        <v>9</v>
      </c>
      <c r="G43" s="36" t="s">
        <v>10</v>
      </c>
      <c r="H43" s="36" t="s">
        <v>11</v>
      </c>
      <c r="I43" s="36" t="s">
        <v>12</v>
      </c>
      <c r="J43" s="221">
        <v>44348</v>
      </c>
      <c r="K43" s="221">
        <f>EDATE(J43,12)</f>
        <v>44713</v>
      </c>
      <c r="L43" s="221">
        <f t="shared" ref="L43:O43" si="2">EDATE(K43,12)</f>
        <v>45078</v>
      </c>
      <c r="M43" s="221">
        <f t="shared" si="2"/>
        <v>45444</v>
      </c>
      <c r="N43" s="221">
        <f t="shared" si="2"/>
        <v>45809</v>
      </c>
      <c r="O43" s="221">
        <f t="shared" si="2"/>
        <v>46174</v>
      </c>
    </row>
    <row r="44" spans="2:15" x14ac:dyDescent="0.25">
      <c r="B44" s="2" t="s">
        <v>169</v>
      </c>
      <c r="D44" s="15">
        <f>Capex_Fcast_Total!C48/Capex_Fcast_Total!C37</f>
        <v>0.11448606545974337</v>
      </c>
      <c r="E44" s="15">
        <f>Capex_Fcast_Total!D48/Capex_Fcast_Total!D37</f>
        <v>7.2590333979117058E-2</v>
      </c>
      <c r="F44" s="372">
        <f>Capex_Fcast_Total!E48/Capex_Fcast_Total!E37</f>
        <v>0.11046034333514422</v>
      </c>
      <c r="G44" s="372">
        <f>Capex_Fcast_Total!F48/Capex_Fcast_Total!F37</f>
        <v>9.7070638447486576E-2</v>
      </c>
      <c r="H44" s="372">
        <f>Capex_Fcast_Total!G48/Capex_Fcast_Total!G37</f>
        <v>5.5471841074412151E-2</v>
      </c>
      <c r="I44" s="463">
        <v>7.0375260011246041E-2</v>
      </c>
      <c r="J44" s="463">
        <v>8.3055731214533607E-2</v>
      </c>
      <c r="K44" s="463">
        <v>9.2774360144063206E-2</v>
      </c>
      <c r="L44" s="463">
        <v>8.2755267364929053E-2</v>
      </c>
      <c r="M44" s="463">
        <v>9.519604087552197E-2</v>
      </c>
      <c r="N44" s="463">
        <v>0.1021901055271988</v>
      </c>
      <c r="O44" s="463">
        <v>0.10541019145935256</v>
      </c>
    </row>
    <row r="45" spans="2:15" x14ac:dyDescent="0.25">
      <c r="I45" s="502" t="s">
        <v>358</v>
      </c>
      <c r="J45" s="502"/>
    </row>
    <row r="46" spans="2:15" x14ac:dyDescent="0.25">
      <c r="J46" s="239"/>
      <c r="K46" s="239">
        <v>9.2774360144063206E-2</v>
      </c>
      <c r="L46" s="239">
        <v>8.2755267364929053E-2</v>
      </c>
      <c r="M46" s="239">
        <v>9.5196040875521956E-2</v>
      </c>
      <c r="N46" s="239">
        <v>0.1021901055271988</v>
      </c>
      <c r="O46" s="239">
        <v>0.10541019145935254</v>
      </c>
    </row>
    <row r="47" spans="2:15" x14ac:dyDescent="0.25">
      <c r="B47" s="2" t="s">
        <v>109</v>
      </c>
      <c r="H47" s="170"/>
      <c r="I47" s="480"/>
      <c r="J47" s="480"/>
      <c r="K47" s="480"/>
      <c r="L47" s="480"/>
      <c r="M47" s="480"/>
      <c r="N47" s="480"/>
      <c r="O47" s="480"/>
    </row>
    <row r="48" spans="2:15" x14ac:dyDescent="0.25">
      <c r="C48" t="s">
        <v>188</v>
      </c>
      <c r="D48" s="36" t="s">
        <v>10</v>
      </c>
      <c r="E48" s="36" t="s">
        <v>11</v>
      </c>
      <c r="F48" s="36" t="s">
        <v>12</v>
      </c>
      <c r="G48" s="221">
        <v>44348</v>
      </c>
      <c r="H48" s="221">
        <f>EDATE(G48,12)</f>
        <v>44713</v>
      </c>
      <c r="I48" s="221">
        <f t="shared" ref="I48:L48" si="3">EDATE(H48,12)</f>
        <v>45078</v>
      </c>
      <c r="J48" s="221">
        <f t="shared" si="3"/>
        <v>45444</v>
      </c>
      <c r="K48" s="221">
        <f t="shared" si="3"/>
        <v>45809</v>
      </c>
      <c r="L48" s="221">
        <f t="shared" si="3"/>
        <v>46174</v>
      </c>
    </row>
    <row r="49" spans="3:12" x14ac:dyDescent="0.25">
      <c r="C49" t="s">
        <v>189</v>
      </c>
      <c r="D49" s="29">
        <v>0.98</v>
      </c>
      <c r="E49" s="29">
        <v>0.98</v>
      </c>
      <c r="F49" s="39">
        <v>0.98</v>
      </c>
      <c r="G49" s="39">
        <v>0.98</v>
      </c>
      <c r="H49" s="29">
        <v>0.98</v>
      </c>
      <c r="I49" s="29">
        <v>0.98</v>
      </c>
      <c r="J49" s="29">
        <v>0.98</v>
      </c>
      <c r="K49" s="29">
        <v>0.98</v>
      </c>
      <c r="L49" s="29">
        <v>0.98</v>
      </c>
    </row>
    <row r="50" spans="3:12" x14ac:dyDescent="0.25">
      <c r="C50" t="s">
        <v>190</v>
      </c>
      <c r="D50" s="29">
        <v>0.02</v>
      </c>
      <c r="E50" s="29">
        <v>0.02</v>
      </c>
      <c r="F50" s="39">
        <v>0.02</v>
      </c>
      <c r="G50" s="29">
        <v>0.02</v>
      </c>
      <c r="H50" s="29">
        <v>0.02</v>
      </c>
      <c r="I50" s="29">
        <v>0.02</v>
      </c>
      <c r="J50" s="29">
        <v>0.02</v>
      </c>
      <c r="K50" s="29">
        <v>0.02</v>
      </c>
      <c r="L50" s="29">
        <v>0.02</v>
      </c>
    </row>
    <row r="52" spans="3:12" x14ac:dyDescent="0.25">
      <c r="C52" s="2" t="s">
        <v>357</v>
      </c>
      <c r="D52" s="434" t="s">
        <v>390</v>
      </c>
      <c r="E52" s="418"/>
    </row>
    <row r="53" spans="3:12" x14ac:dyDescent="0.25">
      <c r="C53" s="2" t="s">
        <v>356</v>
      </c>
      <c r="D53" s="435">
        <v>1562.7237499999999</v>
      </c>
    </row>
    <row r="54" spans="3:12" x14ac:dyDescent="0.25">
      <c r="C54" s="2" t="s">
        <v>401</v>
      </c>
      <c r="D54" s="503">
        <v>3418.9207499999998</v>
      </c>
    </row>
    <row r="55" spans="3:12" x14ac:dyDescent="0.25">
      <c r="C55" s="2" t="s">
        <v>4</v>
      </c>
      <c r="D55" s="435">
        <f>SUM(D53:D54)</f>
        <v>4981.6444999999994</v>
      </c>
    </row>
  </sheetData>
  <mergeCells count="3">
    <mergeCell ref="D21:G21"/>
    <mergeCell ref="B23:B26"/>
    <mergeCell ref="B28:B29"/>
  </mergeCells>
  <hyperlinks>
    <hyperlink ref="B3" location="Contents!A1" display="Table of Contents" xr:uid="{00000000-0004-0000-0300-000000000000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3"/>
  <sheetViews>
    <sheetView zoomScale="85" zoomScaleNormal="85" workbookViewId="0">
      <pane ySplit="8" topLeftCell="A9" activePane="bottomLeft" state="frozen"/>
      <selection activeCell="AZ19" sqref="AZ19:BE19"/>
      <selection pane="bottomLeft" activeCell="Q4" sqref="Q4"/>
    </sheetView>
  </sheetViews>
  <sheetFormatPr defaultColWidth="9.140625" defaultRowHeight="15" outlineLevelRow="1" outlineLevelCol="1" x14ac:dyDescent="0.25"/>
  <cols>
    <col min="1" max="1" width="3.7109375" style="2" customWidth="1"/>
    <col min="2" max="2" width="40.42578125" style="2" customWidth="1"/>
    <col min="3" max="3" width="10.140625" style="2" customWidth="1"/>
    <col min="4" max="7" width="10.7109375" style="2" hidden="1" customWidth="1" outlineLevel="1"/>
    <col min="8" max="8" width="10" style="2" hidden="1" customWidth="1" outlineLevel="1"/>
    <col min="9" max="9" width="10" style="2" customWidth="1" collapsed="1"/>
    <col min="10" max="15" width="10" style="2" customWidth="1"/>
    <col min="16" max="16384" width="9.140625" style="2"/>
  </cols>
  <sheetData>
    <row r="1" spans="1:37" x14ac:dyDescent="0.25">
      <c r="C1" s="16"/>
    </row>
    <row r="2" spans="1:37" ht="18.75" x14ac:dyDescent="0.3">
      <c r="B2" s="50" t="s">
        <v>76</v>
      </c>
    </row>
    <row r="3" spans="1:37" x14ac:dyDescent="0.25">
      <c r="B3" s="51" t="s">
        <v>70</v>
      </c>
      <c r="L3" s="136"/>
    </row>
    <row r="4" spans="1:37" x14ac:dyDescent="0.25">
      <c r="B4" s="51"/>
      <c r="I4" s="136"/>
      <c r="P4" s="464">
        <v>0.57936616715399603</v>
      </c>
      <c r="Q4" s="1" t="s">
        <v>393</v>
      </c>
    </row>
    <row r="5" spans="1:37" ht="17.25" x14ac:dyDescent="0.25">
      <c r="B5" s="46" t="s">
        <v>74</v>
      </c>
      <c r="D5" s="46"/>
      <c r="E5" s="46"/>
      <c r="F5" s="46"/>
    </row>
    <row r="6" spans="1:37" x14ac:dyDescent="0.25">
      <c r="C6" s="1"/>
      <c r="O6" s="225" t="s">
        <v>233</v>
      </c>
      <c r="P6" s="2" t="s">
        <v>234</v>
      </c>
      <c r="Q6" s="2" t="s">
        <v>234</v>
      </c>
      <c r="R6" s="2" t="s">
        <v>234</v>
      </c>
      <c r="S6" s="2" t="s">
        <v>234</v>
      </c>
      <c r="T6" s="2" t="s">
        <v>234</v>
      </c>
    </row>
    <row r="7" spans="1:37" x14ac:dyDescent="0.25">
      <c r="D7" s="4" t="s">
        <v>19</v>
      </c>
      <c r="E7" s="4" t="s">
        <v>19</v>
      </c>
      <c r="F7" s="4" t="s">
        <v>19</v>
      </c>
      <c r="G7" s="4" t="s">
        <v>19</v>
      </c>
      <c r="H7" s="113" t="s">
        <v>19</v>
      </c>
      <c r="I7" s="113" t="s">
        <v>19</v>
      </c>
      <c r="J7" s="113" t="s">
        <v>19</v>
      </c>
      <c r="K7" s="113" t="s">
        <v>19</v>
      </c>
      <c r="L7" s="113" t="s">
        <v>19</v>
      </c>
      <c r="M7" s="113" t="s">
        <v>19</v>
      </c>
      <c r="N7" s="113" t="s">
        <v>20</v>
      </c>
      <c r="O7" s="113" t="s">
        <v>20</v>
      </c>
      <c r="P7" s="113" t="s">
        <v>20</v>
      </c>
      <c r="Q7" s="113" t="s">
        <v>20</v>
      </c>
      <c r="R7" s="113" t="s">
        <v>20</v>
      </c>
      <c r="S7" s="113" t="s">
        <v>20</v>
      </c>
      <c r="T7" s="113" t="s">
        <v>20</v>
      </c>
    </row>
    <row r="8" spans="1:37" x14ac:dyDescent="0.25">
      <c r="B8" s="2" t="s">
        <v>6</v>
      </c>
      <c r="D8" s="4" t="s">
        <v>14</v>
      </c>
      <c r="E8" s="4" t="s">
        <v>15</v>
      </c>
      <c r="F8" s="4" t="s">
        <v>16</v>
      </c>
      <c r="G8" s="4" t="s">
        <v>17</v>
      </c>
      <c r="H8" s="113" t="s">
        <v>18</v>
      </c>
      <c r="I8" s="113" t="s">
        <v>7</v>
      </c>
      <c r="J8" s="113" t="s">
        <v>8</v>
      </c>
      <c r="K8" s="113" t="s">
        <v>9</v>
      </c>
      <c r="L8" s="113" t="s">
        <v>10</v>
      </c>
      <c r="M8" s="113" t="s">
        <v>11</v>
      </c>
      <c r="N8" s="113" t="s">
        <v>12</v>
      </c>
      <c r="O8" s="226">
        <v>44348</v>
      </c>
      <c r="P8" s="226">
        <f>EDATE(O8,12)</f>
        <v>44713</v>
      </c>
      <c r="Q8" s="226">
        <f t="shared" ref="Q8:T8" si="0">EDATE(P8,12)</f>
        <v>45078</v>
      </c>
      <c r="R8" s="226">
        <f t="shared" si="0"/>
        <v>45444</v>
      </c>
      <c r="S8" s="226">
        <f t="shared" si="0"/>
        <v>45809</v>
      </c>
      <c r="T8" s="226">
        <f t="shared" si="0"/>
        <v>46174</v>
      </c>
    </row>
    <row r="9" spans="1:37" x14ac:dyDescent="0.25">
      <c r="B9" s="2" t="s">
        <v>109</v>
      </c>
      <c r="C9" s="2" t="s">
        <v>91</v>
      </c>
      <c r="D9" s="13">
        <v>8754.5</v>
      </c>
      <c r="E9" s="13">
        <v>11216</v>
      </c>
      <c r="F9" s="13">
        <v>12310.5</v>
      </c>
      <c r="G9" s="13">
        <v>10367</v>
      </c>
      <c r="H9" s="21">
        <v>7340.5</v>
      </c>
      <c r="I9" s="21">
        <f t="shared" ref="I9" si="1">AVERAGE(H29:I29)</f>
        <v>6656.5</v>
      </c>
      <c r="J9" s="21">
        <f t="shared" ref="J9" si="2">AVERAGE(I29:J29)</f>
        <v>9409.5</v>
      </c>
      <c r="K9" s="21">
        <f t="shared" ref="K9" si="3">AVERAGE(J29:K29)</f>
        <v>11395</v>
      </c>
      <c r="L9" s="21">
        <f t="shared" ref="L9:M9" si="4">AVERAGE(K29:L29)</f>
        <v>12338.5</v>
      </c>
      <c r="M9" s="21">
        <f t="shared" si="4"/>
        <v>14822</v>
      </c>
      <c r="N9" s="21">
        <f>N27</f>
        <v>11770.182791196219</v>
      </c>
      <c r="O9" s="21">
        <f>O27</f>
        <v>6132.448956142729</v>
      </c>
      <c r="P9" s="423">
        <f>P27*P4</f>
        <v>7092.9431297840911</v>
      </c>
      <c r="Q9" s="21">
        <f>AVERAGE(P27:Q27)</f>
        <v>12249.528575097556</v>
      </c>
      <c r="R9" s="21">
        <f t="shared" ref="R9:T9" si="5">AVERAGE(Q27:R27)</f>
        <v>12313.693938806791</v>
      </c>
      <c r="S9" s="21">
        <f t="shared" si="5"/>
        <v>12450.500109299152</v>
      </c>
      <c r="T9" s="21">
        <f t="shared" si="5"/>
        <v>12545.890635447297</v>
      </c>
      <c r="Y9" s="13"/>
      <c r="Z9" s="13"/>
      <c r="AA9" s="13"/>
      <c r="AB9" s="13"/>
      <c r="AC9" s="13"/>
      <c r="AD9" s="13"/>
      <c r="AF9" s="13"/>
      <c r="AG9" s="13"/>
      <c r="AH9" s="13"/>
      <c r="AI9" s="13"/>
      <c r="AJ9" s="13"/>
      <c r="AK9" s="13"/>
    </row>
    <row r="10" spans="1:37" outlineLevel="1" x14ac:dyDescent="0.25">
      <c r="A10" s="16"/>
      <c r="B10" s="208" t="s">
        <v>136</v>
      </c>
      <c r="C10" s="2" t="s">
        <v>91</v>
      </c>
      <c r="D10" s="13"/>
      <c r="E10" s="13"/>
      <c r="F10" s="13"/>
      <c r="G10" s="13"/>
      <c r="H10" s="21"/>
      <c r="I10" s="21"/>
      <c r="J10" s="21"/>
      <c r="K10" s="21">
        <f>K28</f>
        <v>608</v>
      </c>
      <c r="L10" s="21">
        <f>L28</f>
        <v>10570</v>
      </c>
      <c r="M10" s="21">
        <f>M28</f>
        <v>14030</v>
      </c>
      <c r="N10" s="21">
        <f>N9*Allocations!F49</f>
        <v>11534.779135372295</v>
      </c>
      <c r="O10" s="21">
        <f>O9*Allocations!G49</f>
        <v>6009.7999770198739</v>
      </c>
      <c r="P10" s="423">
        <f>P9*Allocations!H49*P4</f>
        <v>4027.223049445392</v>
      </c>
      <c r="Q10" s="21">
        <f>Q9*Allocations!I49</f>
        <v>12004.538003595604</v>
      </c>
      <c r="R10" s="21">
        <f>R9*Allocations!J49</f>
        <v>12067.420060030656</v>
      </c>
      <c r="S10" s="21">
        <f>S9*Allocations!K49</f>
        <v>12201.490107113168</v>
      </c>
      <c r="T10" s="21">
        <f>T9*Allocations!L49</f>
        <v>12294.972822738351</v>
      </c>
      <c r="U10" s="215" t="s">
        <v>217</v>
      </c>
      <c r="Y10" s="13"/>
      <c r="Z10" s="13"/>
      <c r="AA10" s="13"/>
      <c r="AB10" s="13"/>
      <c r="AC10" s="13"/>
      <c r="AD10" s="13"/>
      <c r="AF10" s="13"/>
      <c r="AG10" s="13"/>
      <c r="AH10" s="13"/>
      <c r="AI10" s="13"/>
      <c r="AJ10" s="13"/>
      <c r="AK10" s="13"/>
    </row>
    <row r="11" spans="1:37" outlineLevel="1" x14ac:dyDescent="0.25">
      <c r="A11" s="16"/>
      <c r="B11" s="208" t="s">
        <v>138</v>
      </c>
      <c r="C11" s="2" t="s">
        <v>91</v>
      </c>
      <c r="D11" s="13"/>
      <c r="E11" s="13"/>
      <c r="F11" s="13"/>
      <c r="G11" s="13"/>
      <c r="H11" s="21"/>
      <c r="I11" s="21">
        <f t="shared" ref="I11:J11" si="6">I27</f>
        <v>6781</v>
      </c>
      <c r="J11" s="21">
        <f t="shared" si="6"/>
        <v>11679</v>
      </c>
      <c r="K11" s="21">
        <f>K27</f>
        <v>10503</v>
      </c>
      <c r="L11" s="21">
        <v>7668</v>
      </c>
      <c r="M11" s="21">
        <v>6347</v>
      </c>
      <c r="N11" s="21"/>
      <c r="O11" s="21"/>
      <c r="P11" s="21"/>
      <c r="Q11" s="21"/>
      <c r="R11" s="21"/>
      <c r="S11" s="21"/>
      <c r="T11" s="21"/>
      <c r="U11" s="215" t="s">
        <v>218</v>
      </c>
      <c r="Y11" s="13"/>
      <c r="Z11" s="13"/>
      <c r="AA11" s="13"/>
      <c r="AB11" s="13"/>
      <c r="AC11" s="13"/>
      <c r="AD11" s="13"/>
      <c r="AF11" s="13"/>
      <c r="AG11" s="13"/>
      <c r="AH11" s="13"/>
      <c r="AI11" s="13"/>
      <c r="AJ11" s="13"/>
      <c r="AK11" s="13"/>
    </row>
    <row r="12" spans="1:37" outlineLevel="1" x14ac:dyDescent="0.25">
      <c r="A12" s="16"/>
      <c r="B12" s="208" t="s">
        <v>139</v>
      </c>
      <c r="C12" s="2" t="s">
        <v>91</v>
      </c>
      <c r="D12" s="13"/>
      <c r="E12" s="13"/>
      <c r="F12" s="13"/>
      <c r="G12" s="13"/>
      <c r="H12" s="21"/>
      <c r="I12" s="21"/>
      <c r="J12" s="21"/>
      <c r="K12" s="21"/>
      <c r="L12" s="21">
        <v>303</v>
      </c>
      <c r="M12" s="21">
        <v>36</v>
      </c>
      <c r="N12" s="21"/>
      <c r="O12" s="21"/>
      <c r="P12" s="21"/>
      <c r="Q12" s="21"/>
      <c r="R12" s="21"/>
      <c r="S12" s="21"/>
      <c r="T12" s="21"/>
      <c r="U12" s="215" t="s">
        <v>400</v>
      </c>
      <c r="Y12" s="13"/>
      <c r="Z12" s="13"/>
      <c r="AA12" s="13"/>
      <c r="AB12" s="13"/>
      <c r="AC12" s="13"/>
      <c r="AD12" s="13"/>
      <c r="AF12" s="13"/>
      <c r="AG12" s="13"/>
      <c r="AH12" s="13"/>
      <c r="AI12" s="13"/>
      <c r="AJ12" s="13"/>
      <c r="AK12" s="13"/>
    </row>
    <row r="13" spans="1:37" x14ac:dyDescent="0.25">
      <c r="B13" s="2" t="s">
        <v>110</v>
      </c>
      <c r="C13" s="2" t="s">
        <v>92</v>
      </c>
      <c r="D13" s="13">
        <v>2019.5</v>
      </c>
      <c r="E13" s="13">
        <v>2080</v>
      </c>
      <c r="F13" s="13">
        <v>1868.5</v>
      </c>
      <c r="G13" s="13">
        <v>2026</v>
      </c>
      <c r="H13" s="21">
        <v>2021</v>
      </c>
      <c r="I13" s="21">
        <f>AVERAGE(H34:I34)</f>
        <v>1443</v>
      </c>
      <c r="J13" s="21">
        <f>AVERAGE(I34:J34)</f>
        <v>1454.5</v>
      </c>
      <c r="K13" s="21">
        <f t="shared" ref="K13:M13" si="7">AVERAGE(J34:K34)</f>
        <v>1873.5</v>
      </c>
      <c r="L13" s="21">
        <f t="shared" si="7"/>
        <v>1776</v>
      </c>
      <c r="M13" s="21">
        <f t="shared" si="7"/>
        <v>1692</v>
      </c>
      <c r="N13" s="21">
        <f>N34</f>
        <v>1703.5620488303034</v>
      </c>
      <c r="O13" s="21">
        <f>O34</f>
        <v>887.58241850652007</v>
      </c>
      <c r="P13" s="423">
        <f>P34*P4</f>
        <v>1026.5999215789386</v>
      </c>
      <c r="Q13" s="21">
        <f>AVERAGE(P32:Q32)</f>
        <v>1772.9403499329781</v>
      </c>
      <c r="R13" s="21">
        <f t="shared" ref="R13:T13" si="8">AVERAGE(Q32:R32)</f>
        <v>1782.2273491583601</v>
      </c>
      <c r="S13" s="21">
        <f t="shared" si="8"/>
        <v>1802.028044205417</v>
      </c>
      <c r="T13" s="21">
        <f t="shared" si="8"/>
        <v>1815.8344296326243</v>
      </c>
      <c r="Y13" s="13"/>
      <c r="Z13" s="13"/>
      <c r="AA13" s="13"/>
      <c r="AB13" s="13"/>
      <c r="AC13" s="13"/>
      <c r="AD13" s="13"/>
      <c r="AF13" s="13"/>
      <c r="AG13" s="13"/>
      <c r="AH13" s="13"/>
      <c r="AI13" s="13"/>
      <c r="AJ13" s="13"/>
      <c r="AK13" s="13"/>
    </row>
    <row r="14" spans="1:37" x14ac:dyDescent="0.25">
      <c r="B14" s="2" t="s">
        <v>111</v>
      </c>
      <c r="C14" s="2" t="s">
        <v>92</v>
      </c>
      <c r="D14" s="13">
        <v>391</v>
      </c>
      <c r="E14" s="13">
        <v>428</v>
      </c>
      <c r="F14" s="13">
        <v>408.5</v>
      </c>
      <c r="G14" s="13">
        <v>408</v>
      </c>
      <c r="H14" s="21">
        <v>367</v>
      </c>
      <c r="I14" s="21">
        <f>AVERAGE(H37:I37)</f>
        <v>277</v>
      </c>
      <c r="J14" s="21">
        <f>AVERAGE(I37:J37)</f>
        <v>298.5</v>
      </c>
      <c r="K14" s="21">
        <f>AVERAGE(J35:K35)</f>
        <v>393.5</v>
      </c>
      <c r="L14" s="21">
        <f t="shared" ref="L14:M14" si="9">AVERAGE(K35:L35)</f>
        <v>413</v>
      </c>
      <c r="M14" s="21">
        <f t="shared" si="9"/>
        <v>398</v>
      </c>
      <c r="N14" s="21">
        <f>N35</f>
        <v>446.36331451070146</v>
      </c>
      <c r="O14" s="21">
        <f>O35</f>
        <v>194.5</v>
      </c>
      <c r="P14" s="423">
        <f>P35*P4</f>
        <v>228.27026985867442</v>
      </c>
      <c r="Q14" s="21">
        <f>AVERAGE(P35:Q35)</f>
        <v>391.5</v>
      </c>
      <c r="R14" s="21">
        <f t="shared" ref="R14:T14" si="10">AVERAGE(Q35:R35)</f>
        <v>384.75</v>
      </c>
      <c r="S14" s="21">
        <f t="shared" si="10"/>
        <v>381</v>
      </c>
      <c r="T14" s="21">
        <f t="shared" si="10"/>
        <v>381.25</v>
      </c>
      <c r="U14" s="13"/>
      <c r="V14" s="13"/>
      <c r="W14" s="14"/>
      <c r="Y14" s="13"/>
      <c r="Z14" s="13"/>
      <c r="AA14" s="13"/>
      <c r="AB14" s="13"/>
      <c r="AC14" s="13"/>
      <c r="AD14" s="13"/>
      <c r="AF14" s="13"/>
      <c r="AG14" s="13"/>
      <c r="AH14" s="13"/>
      <c r="AI14" s="13"/>
      <c r="AJ14" s="13"/>
      <c r="AK14" s="13"/>
    </row>
    <row r="15" spans="1:37" x14ac:dyDescent="0.25">
      <c r="B15" s="208" t="s">
        <v>375</v>
      </c>
      <c r="C15" s="2" t="s">
        <v>92</v>
      </c>
      <c r="D15" s="13"/>
      <c r="E15" s="13"/>
      <c r="F15" s="13"/>
      <c r="G15" s="13"/>
      <c r="H15" s="21"/>
      <c r="I15" s="21"/>
      <c r="J15" s="21"/>
      <c r="K15" s="21">
        <f t="shared" ref="K15:N15" si="11">K36</f>
        <v>40</v>
      </c>
      <c r="L15" s="21">
        <f t="shared" si="11"/>
        <v>41</v>
      </c>
      <c r="M15" s="21">
        <f t="shared" si="11"/>
        <v>82</v>
      </c>
      <c r="N15" s="21">
        <f t="shared" si="11"/>
        <v>40</v>
      </c>
      <c r="O15" s="21">
        <f>O36</f>
        <v>20</v>
      </c>
      <c r="P15" s="423">
        <f>P36*P4</f>
        <v>23.174646686159839</v>
      </c>
      <c r="Q15" s="21">
        <f t="shared" ref="Q15:T15" si="12">Q36</f>
        <v>40</v>
      </c>
      <c r="R15" s="21">
        <f t="shared" si="12"/>
        <v>40</v>
      </c>
      <c r="S15" s="21">
        <f t="shared" si="12"/>
        <v>40</v>
      </c>
      <c r="T15" s="21">
        <f t="shared" si="12"/>
        <v>40</v>
      </c>
      <c r="U15" s="13"/>
      <c r="V15" s="13"/>
      <c r="W15" s="14"/>
      <c r="Y15" s="13"/>
      <c r="Z15" s="13"/>
      <c r="AA15" s="13"/>
      <c r="AB15" s="13"/>
      <c r="AC15" s="13"/>
      <c r="AD15" s="13"/>
      <c r="AF15" s="13"/>
      <c r="AG15" s="13"/>
      <c r="AH15" s="13"/>
      <c r="AI15" s="13"/>
      <c r="AJ15" s="13"/>
      <c r="AK15" s="13"/>
    </row>
    <row r="16" spans="1:37" x14ac:dyDescent="0.25">
      <c r="B16" s="2" t="s">
        <v>112</v>
      </c>
      <c r="C16" s="2" t="s">
        <v>92</v>
      </c>
      <c r="D16" s="21">
        <v>733.5</v>
      </c>
      <c r="E16" s="21">
        <v>783</v>
      </c>
      <c r="F16" s="21">
        <v>766.5</v>
      </c>
      <c r="G16" s="21">
        <v>700</v>
      </c>
      <c r="H16" s="21">
        <v>583.5</v>
      </c>
      <c r="I16" s="21">
        <f>I39</f>
        <v>478</v>
      </c>
      <c r="J16" s="21">
        <f>J39</f>
        <v>127</v>
      </c>
      <c r="K16" s="21">
        <f>AVERAGE(J39:K39)</f>
        <v>316.5</v>
      </c>
      <c r="L16" s="21">
        <f t="shared" ref="L16:M16" si="13">AVERAGE(K39:L39)</f>
        <v>428.5</v>
      </c>
      <c r="M16" s="21">
        <f t="shared" si="13"/>
        <v>378.5</v>
      </c>
      <c r="N16" s="21">
        <f>N39</f>
        <v>308.85560520412571</v>
      </c>
      <c r="O16" s="21">
        <f>O39</f>
        <v>160.91859126857091</v>
      </c>
      <c r="P16" s="423">
        <f>P39*P4</f>
        <v>186.12244872411773</v>
      </c>
      <c r="Q16" s="21">
        <f>AVERAGE(P39:Q39)</f>
        <v>321.43388328317394</v>
      </c>
      <c r="R16" s="21">
        <f t="shared" ref="R16:T16" si="14">AVERAGE(Q39:R39)</f>
        <v>323.11761518378478</v>
      </c>
      <c r="S16" s="21">
        <f t="shared" si="14"/>
        <v>326.70747893804025</v>
      </c>
      <c r="T16" s="21">
        <f t="shared" si="14"/>
        <v>329.21057504171864</v>
      </c>
      <c r="Y16" s="13"/>
      <c r="Z16" s="13"/>
      <c r="AA16" s="13"/>
      <c r="AB16" s="13"/>
      <c r="AC16" s="13"/>
      <c r="AD16" s="13"/>
      <c r="AF16" s="13"/>
      <c r="AG16" s="13"/>
      <c r="AH16" s="13"/>
      <c r="AI16" s="13"/>
      <c r="AJ16" s="13"/>
      <c r="AK16" s="13"/>
    </row>
    <row r="17" spans="2:37" x14ac:dyDescent="0.25">
      <c r="B17" s="2" t="s">
        <v>96</v>
      </c>
      <c r="C17" s="2" t="s">
        <v>91</v>
      </c>
      <c r="D17" s="21"/>
      <c r="E17" s="21"/>
      <c r="F17" s="21"/>
      <c r="G17" s="21"/>
      <c r="H17" s="21"/>
      <c r="I17" s="21">
        <f>I43</f>
        <v>386</v>
      </c>
      <c r="J17" s="21">
        <f>J43</f>
        <v>760</v>
      </c>
      <c r="K17" s="21">
        <f>AVERAGE(J43:K43)</f>
        <v>704</v>
      </c>
      <c r="L17" s="21">
        <f t="shared" ref="L17:M17" si="15">AVERAGE(K43:L43)</f>
        <v>641.5</v>
      </c>
      <c r="M17" s="21">
        <f t="shared" si="15"/>
        <v>576</v>
      </c>
      <c r="N17" s="21">
        <f>N43</f>
        <v>661.41719227675981</v>
      </c>
      <c r="O17" s="21">
        <f>O43</f>
        <v>344.60868130156223</v>
      </c>
      <c r="P17" s="423">
        <f>P43*P4</f>
        <v>398.58297981485583</v>
      </c>
      <c r="Q17" s="21">
        <f>AVERAGE(P43:Q43)</f>
        <v>688.35369344604226</v>
      </c>
      <c r="R17" s="21">
        <f t="shared" ref="R17:T17" si="16">AVERAGE(Q43:R43)</f>
        <v>691.95942119546362</v>
      </c>
      <c r="S17" s="21">
        <f t="shared" si="16"/>
        <v>699.64714829184095</v>
      </c>
      <c r="T17" s="21">
        <f t="shared" si="16"/>
        <v>705.00755221198233</v>
      </c>
      <c r="Y17" s="13"/>
      <c r="Z17" s="13"/>
      <c r="AA17" s="13"/>
      <c r="AB17" s="13"/>
      <c r="AC17" s="13"/>
      <c r="AD17" s="13"/>
      <c r="AF17" s="13"/>
      <c r="AG17" s="13"/>
      <c r="AH17" s="13"/>
      <c r="AI17" s="13"/>
      <c r="AJ17" s="13"/>
      <c r="AK17" s="13"/>
    </row>
    <row r="18" spans="2:37" x14ac:dyDescent="0.25">
      <c r="B18" s="2" t="s">
        <v>113</v>
      </c>
      <c r="C18" s="2" t="s">
        <v>92</v>
      </c>
      <c r="D18" s="24">
        <v>4</v>
      </c>
      <c r="E18" s="24">
        <v>4</v>
      </c>
      <c r="F18" s="24">
        <v>0</v>
      </c>
      <c r="G18" s="24">
        <v>1</v>
      </c>
      <c r="H18" s="24">
        <v>2</v>
      </c>
      <c r="I18" s="471">
        <f>I46</f>
        <v>2</v>
      </c>
      <c r="J18" s="471">
        <f>J46</f>
        <v>1</v>
      </c>
      <c r="K18" s="90">
        <f t="shared" ref="K18:P18" si="17">K46</f>
        <v>0</v>
      </c>
      <c r="L18" s="90">
        <f t="shared" si="17"/>
        <v>0</v>
      </c>
      <c r="M18" s="471">
        <f t="shared" si="17"/>
        <v>0</v>
      </c>
      <c r="N18" s="471">
        <f t="shared" si="17"/>
        <v>1</v>
      </c>
      <c r="O18" s="471">
        <f t="shared" si="17"/>
        <v>1</v>
      </c>
      <c r="P18" s="471">
        <f t="shared" si="17"/>
        <v>1</v>
      </c>
      <c r="Q18" s="471">
        <f t="shared" ref="Q18:T18" si="18">Q46</f>
        <v>1</v>
      </c>
      <c r="R18" s="471">
        <f t="shared" si="18"/>
        <v>1</v>
      </c>
      <c r="S18" s="471">
        <f t="shared" si="18"/>
        <v>1</v>
      </c>
      <c r="T18" s="471">
        <f t="shared" si="18"/>
        <v>1</v>
      </c>
      <c r="Y18" s="13"/>
      <c r="Z18" s="13"/>
      <c r="AA18" s="13"/>
      <c r="AB18" s="13"/>
      <c r="AC18" s="13"/>
      <c r="AD18" s="13"/>
      <c r="AF18" s="13"/>
      <c r="AG18" s="470"/>
      <c r="AH18" s="13"/>
      <c r="AI18" s="13"/>
      <c r="AJ18" s="13"/>
      <c r="AK18" s="13"/>
    </row>
    <row r="19" spans="2:37" x14ac:dyDescent="0.25">
      <c r="B19" s="2" t="s">
        <v>4</v>
      </c>
      <c r="D19" s="25">
        <f>SUM(D9:D18)</f>
        <v>11902.5</v>
      </c>
      <c r="E19" s="25">
        <f>SUM(E9:E18)</f>
        <v>14511</v>
      </c>
      <c r="F19" s="25">
        <f>SUM(F9:F18)</f>
        <v>15354</v>
      </c>
      <c r="G19" s="25">
        <f>SUM(G9:G18)</f>
        <v>13502</v>
      </c>
      <c r="H19" s="25">
        <f>SUM(H9:H18)</f>
        <v>10314</v>
      </c>
      <c r="I19" s="122">
        <f t="shared" ref="I19:T19" si="19">SUM(I9,I13:I18)</f>
        <v>9242.5</v>
      </c>
      <c r="J19" s="122">
        <f t="shared" si="19"/>
        <v>12050.5</v>
      </c>
      <c r="K19" s="122">
        <f t="shared" si="19"/>
        <v>14722.5</v>
      </c>
      <c r="L19" s="122">
        <f t="shared" si="19"/>
        <v>15638.5</v>
      </c>
      <c r="M19" s="122">
        <f t="shared" si="19"/>
        <v>17948.5</v>
      </c>
      <c r="N19" s="122">
        <f t="shared" si="19"/>
        <v>14931.380952018109</v>
      </c>
      <c r="O19" s="122">
        <f t="shared" si="19"/>
        <v>7741.0586472193827</v>
      </c>
      <c r="P19" s="122">
        <f t="shared" si="19"/>
        <v>8956.6933964468371</v>
      </c>
      <c r="Q19" s="122">
        <f t="shared" si="19"/>
        <v>15464.756501759752</v>
      </c>
      <c r="R19" s="122">
        <f t="shared" si="19"/>
        <v>15536.7483243444</v>
      </c>
      <c r="S19" s="122">
        <f t="shared" si="19"/>
        <v>15700.88278073445</v>
      </c>
      <c r="T19" s="122">
        <f t="shared" si="19"/>
        <v>15818.193192333623</v>
      </c>
    </row>
    <row r="20" spans="2:37" x14ac:dyDescent="0.25">
      <c r="I20" s="13"/>
      <c r="J20" s="234"/>
      <c r="K20" s="234"/>
      <c r="L20" s="234"/>
      <c r="M20" s="13"/>
      <c r="N20" s="13"/>
      <c r="O20" s="13"/>
      <c r="P20" s="13"/>
      <c r="Q20" s="13"/>
      <c r="R20" s="13"/>
      <c r="S20" s="13"/>
      <c r="T20" s="13"/>
    </row>
    <row r="21" spans="2:37" x14ac:dyDescent="0.25">
      <c r="B21" s="2" t="s">
        <v>395</v>
      </c>
      <c r="J21" s="13"/>
      <c r="K21" s="13"/>
      <c r="L21" s="13"/>
      <c r="M21" s="13"/>
      <c r="N21" s="13"/>
      <c r="O21" s="13"/>
      <c r="P21" s="470"/>
      <c r="Q21" s="13"/>
      <c r="R21" s="13"/>
      <c r="S21" s="13"/>
      <c r="T21" s="13"/>
    </row>
    <row r="22" spans="2:37" x14ac:dyDescent="0.25">
      <c r="I22" s="13"/>
      <c r="J22" s="13"/>
      <c r="K22" s="13"/>
      <c r="L22" s="13"/>
      <c r="M22" s="13"/>
      <c r="N22" s="13"/>
      <c r="O22" s="13"/>
      <c r="P22" s="13"/>
      <c r="Q22" s="13"/>
    </row>
    <row r="23" spans="2:37" x14ac:dyDescent="0.25">
      <c r="B23" s="13" t="s">
        <v>73</v>
      </c>
    </row>
    <row r="24" spans="2:37" x14ac:dyDescent="0.25">
      <c r="H24" s="16"/>
      <c r="I24" s="26"/>
      <c r="K24" s="27"/>
      <c r="L24" s="2" t="s">
        <v>232</v>
      </c>
      <c r="M24" s="26"/>
      <c r="N24" s="26"/>
      <c r="O24" s="26"/>
      <c r="P24" s="16"/>
      <c r="Q24" s="16"/>
      <c r="R24" s="16"/>
    </row>
    <row r="25" spans="2:37" x14ac:dyDescent="0.25">
      <c r="B25" s="2" t="s">
        <v>98</v>
      </c>
      <c r="H25" s="105" t="s">
        <v>19</v>
      </c>
      <c r="I25" s="105" t="s">
        <v>19</v>
      </c>
      <c r="J25" s="105" t="s">
        <v>19</v>
      </c>
      <c r="K25" s="105" t="s">
        <v>19</v>
      </c>
      <c r="L25" s="105" t="s">
        <v>19</v>
      </c>
      <c r="M25" s="105" t="s">
        <v>19</v>
      </c>
      <c r="N25" s="114" t="s">
        <v>20</v>
      </c>
      <c r="O25" s="114" t="s">
        <v>20</v>
      </c>
      <c r="P25" s="114" t="s">
        <v>20</v>
      </c>
      <c r="Q25" s="114" t="s">
        <v>20</v>
      </c>
      <c r="R25" s="114" t="s">
        <v>20</v>
      </c>
      <c r="S25" s="114" t="s">
        <v>20</v>
      </c>
      <c r="T25" s="114" t="s">
        <v>20</v>
      </c>
    </row>
    <row r="26" spans="2:37" x14ac:dyDescent="0.25">
      <c r="H26" s="93">
        <v>2014</v>
      </c>
      <c r="I26" s="93">
        <v>2015</v>
      </c>
      <c r="J26" s="93">
        <v>2016</v>
      </c>
      <c r="K26" s="93">
        <v>2017</v>
      </c>
      <c r="L26" s="93">
        <v>2018</v>
      </c>
      <c r="M26" s="93">
        <v>2019</v>
      </c>
      <c r="N26" s="93">
        <v>2020</v>
      </c>
      <c r="O26" s="227">
        <v>44348</v>
      </c>
      <c r="P26" s="227">
        <v>44713</v>
      </c>
      <c r="Q26" s="227">
        <v>45078</v>
      </c>
      <c r="R26" s="227">
        <v>45444</v>
      </c>
      <c r="S26" s="227">
        <v>45809</v>
      </c>
      <c r="T26" s="227">
        <v>46174</v>
      </c>
    </row>
    <row r="27" spans="2:37" x14ac:dyDescent="0.25">
      <c r="B27" s="2" t="s">
        <v>106</v>
      </c>
      <c r="E27" s="2">
        <v>12395</v>
      </c>
      <c r="F27" s="2">
        <v>12226</v>
      </c>
      <c r="G27" s="2">
        <v>8508</v>
      </c>
      <c r="H27" s="16">
        <v>6173</v>
      </c>
      <c r="I27" s="16">
        <v>6781</v>
      </c>
      <c r="J27" s="16">
        <v>11679</v>
      </c>
      <c r="K27" s="26">
        <v>10503</v>
      </c>
      <c r="L27" s="26">
        <v>2996</v>
      </c>
      <c r="M27" s="26">
        <v>2048</v>
      </c>
      <c r="N27" s="26">
        <v>11770.182791196219</v>
      </c>
      <c r="O27" s="26">
        <v>6132.448956142729</v>
      </c>
      <c r="P27" s="26">
        <v>12242.591183096787</v>
      </c>
      <c r="Q27" s="26">
        <v>12256.465967098327</v>
      </c>
      <c r="R27" s="26">
        <v>12370.921910515255</v>
      </c>
      <c r="S27" s="26">
        <v>12530.078308083046</v>
      </c>
      <c r="T27" s="26">
        <v>12561.702962811549</v>
      </c>
    </row>
    <row r="28" spans="2:37" x14ac:dyDescent="0.25">
      <c r="C28" s="2" t="s">
        <v>213</v>
      </c>
      <c r="H28" s="16"/>
      <c r="I28" s="16">
        <f>194+165</f>
        <v>359</v>
      </c>
      <c r="J28" s="16">
        <v>0</v>
      </c>
      <c r="K28" s="26">
        <v>608</v>
      </c>
      <c r="L28" s="16">
        <v>10570</v>
      </c>
      <c r="M28" s="16">
        <v>14030</v>
      </c>
      <c r="N28" s="16"/>
      <c r="O28" s="16"/>
      <c r="P28" s="16"/>
      <c r="Q28" s="16"/>
      <c r="R28" s="16"/>
      <c r="S28" s="16"/>
      <c r="T28" s="16"/>
    </row>
    <row r="29" spans="2:37" ht="15.75" thickBot="1" x14ac:dyDescent="0.3">
      <c r="G29" s="95" t="s">
        <v>4</v>
      </c>
      <c r="H29" s="508">
        <f>SUM(H27:H28)</f>
        <v>6173</v>
      </c>
      <c r="I29" s="508">
        <f t="shared" ref="I29:T29" si="20">SUM(I27:I28)</f>
        <v>7140</v>
      </c>
      <c r="J29" s="509">
        <f t="shared" si="20"/>
        <v>11679</v>
      </c>
      <c r="K29" s="509">
        <f t="shared" si="20"/>
        <v>11111</v>
      </c>
      <c r="L29" s="509">
        <f t="shared" si="20"/>
        <v>13566</v>
      </c>
      <c r="M29" s="509">
        <f t="shared" si="20"/>
        <v>16078</v>
      </c>
      <c r="N29" s="509">
        <f t="shared" si="20"/>
        <v>11770.182791196219</v>
      </c>
      <c r="O29" s="509">
        <f t="shared" si="20"/>
        <v>6132.448956142729</v>
      </c>
      <c r="P29" s="509">
        <f t="shared" si="20"/>
        <v>12242.591183096787</v>
      </c>
      <c r="Q29" s="509">
        <f t="shared" si="20"/>
        <v>12256.465967098327</v>
      </c>
      <c r="R29" s="509">
        <f t="shared" si="20"/>
        <v>12370.921910515255</v>
      </c>
      <c r="S29" s="509">
        <f t="shared" si="20"/>
        <v>12530.078308083046</v>
      </c>
      <c r="T29" s="509">
        <f t="shared" si="20"/>
        <v>12561.702962811549</v>
      </c>
    </row>
    <row r="30" spans="2:37" x14ac:dyDescent="0.25">
      <c r="B30" s="118" t="s">
        <v>99</v>
      </c>
      <c r="D30" s="117"/>
      <c r="E30" s="117">
        <v>445</v>
      </c>
      <c r="F30" s="117">
        <v>390</v>
      </c>
      <c r="G30" s="117">
        <v>384</v>
      </c>
      <c r="H30" s="510">
        <v>247</v>
      </c>
      <c r="I30" s="510">
        <v>268</v>
      </c>
      <c r="J30" s="510">
        <v>403</v>
      </c>
      <c r="K30" s="137">
        <v>363</v>
      </c>
      <c r="L30" s="137">
        <v>390</v>
      </c>
      <c r="M30" s="137">
        <v>429</v>
      </c>
      <c r="N30" s="137">
        <f t="shared" ref="N30:T30" si="21">SUM($J$30:$L$30)/SUM($J$29:$L$29)*N29</f>
        <v>374.25270399996782</v>
      </c>
      <c r="O30" s="137">
        <f t="shared" si="21"/>
        <v>194.99150053088886</v>
      </c>
      <c r="P30" s="137">
        <f t="shared" si="21"/>
        <v>389.27372119209718</v>
      </c>
      <c r="Q30" s="137">
        <f t="shared" si="21"/>
        <v>389.71489322163239</v>
      </c>
      <c r="R30" s="137">
        <f t="shared" si="21"/>
        <v>393.3542119197831</v>
      </c>
      <c r="S30" s="137">
        <f t="shared" si="21"/>
        <v>398.41485653383216</v>
      </c>
      <c r="T30" s="137">
        <f t="shared" si="21"/>
        <v>399.4204154750289</v>
      </c>
    </row>
    <row r="31" spans="2:37" x14ac:dyDescent="0.25">
      <c r="B31" s="118"/>
      <c r="D31" s="117"/>
      <c r="E31" s="117"/>
      <c r="F31" s="117"/>
      <c r="G31" s="117"/>
      <c r="H31" s="510"/>
      <c r="I31" s="510"/>
      <c r="J31" s="137"/>
      <c r="K31" s="137"/>
      <c r="L31" s="137"/>
      <c r="M31" s="137"/>
      <c r="N31" s="137"/>
      <c r="O31" s="137"/>
      <c r="P31" s="137"/>
      <c r="Q31" s="137"/>
      <c r="R31" s="16"/>
      <c r="S31" s="16"/>
      <c r="T31" s="16"/>
    </row>
    <row r="32" spans="2:37" x14ac:dyDescent="0.25">
      <c r="B32" s="2" t="s">
        <v>107</v>
      </c>
      <c r="G32" s="2" t="s">
        <v>88</v>
      </c>
      <c r="H32" s="21">
        <v>1687</v>
      </c>
      <c r="I32" s="21">
        <v>1199</v>
      </c>
      <c r="J32" s="21">
        <v>1710</v>
      </c>
      <c r="K32" s="26">
        <v>2037</v>
      </c>
      <c r="L32" s="26">
        <v>1515</v>
      </c>
      <c r="M32" s="26">
        <v>1869</v>
      </c>
      <c r="N32" s="26">
        <v>1703.5620488303034</v>
      </c>
      <c r="O32" s="26">
        <v>887.58241850652007</v>
      </c>
      <c r="P32" s="26">
        <v>1771.9362637654115</v>
      </c>
      <c r="Q32" s="26">
        <v>1773.9444361005446</v>
      </c>
      <c r="R32" s="26">
        <v>1790.5102622161758</v>
      </c>
      <c r="S32" s="26">
        <v>1813.5458261946583</v>
      </c>
      <c r="T32" s="26">
        <v>1818.1230330705903</v>
      </c>
    </row>
    <row r="33" spans="2:21" x14ac:dyDescent="0.25">
      <c r="G33" s="2" t="s">
        <v>89</v>
      </c>
      <c r="H33" s="16"/>
      <c r="I33" s="16"/>
      <c r="J33" s="16">
        <v>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21" ht="15.75" thickBot="1" x14ac:dyDescent="0.3">
      <c r="B34" s="64"/>
      <c r="G34" s="95" t="s">
        <v>4</v>
      </c>
      <c r="H34" s="508">
        <f>SUM(H32:H33)</f>
        <v>1687</v>
      </c>
      <c r="I34" s="508">
        <f t="shared" ref="I34" si="22">SUM(I32:I33)</f>
        <v>1199</v>
      </c>
      <c r="J34" s="509">
        <f t="shared" ref="J34:T34" si="23">SUM(J32:J33)</f>
        <v>1710</v>
      </c>
      <c r="K34" s="509">
        <f t="shared" si="23"/>
        <v>2037</v>
      </c>
      <c r="L34" s="509">
        <f t="shared" si="23"/>
        <v>1515</v>
      </c>
      <c r="M34" s="509">
        <f t="shared" si="23"/>
        <v>1869</v>
      </c>
      <c r="N34" s="509">
        <f t="shared" si="23"/>
        <v>1703.5620488303034</v>
      </c>
      <c r="O34" s="509">
        <f t="shared" si="23"/>
        <v>887.58241850652007</v>
      </c>
      <c r="P34" s="509">
        <f t="shared" si="23"/>
        <v>1771.9362637654115</v>
      </c>
      <c r="Q34" s="509">
        <f t="shared" si="23"/>
        <v>1773.9444361005446</v>
      </c>
      <c r="R34" s="509">
        <f t="shared" si="23"/>
        <v>1790.5102622161758</v>
      </c>
      <c r="S34" s="509">
        <f t="shared" si="23"/>
        <v>1813.5458261946583</v>
      </c>
      <c r="T34" s="509">
        <f t="shared" si="23"/>
        <v>1818.1230330705903</v>
      </c>
    </row>
    <row r="35" spans="2:21" x14ac:dyDescent="0.25">
      <c r="B35" s="2" t="s">
        <v>108</v>
      </c>
      <c r="G35" s="2" t="s">
        <v>88</v>
      </c>
      <c r="H35" s="21">
        <v>286</v>
      </c>
      <c r="I35" s="21">
        <v>257</v>
      </c>
      <c r="J35" s="21">
        <v>329</v>
      </c>
      <c r="K35" s="21">
        <v>458</v>
      </c>
      <c r="L35" s="21">
        <v>368</v>
      </c>
      <c r="M35" s="21">
        <v>428</v>
      </c>
      <c r="N35" s="21">
        <v>446.36331451070146</v>
      </c>
      <c r="O35" s="345">
        <v>194.5</v>
      </c>
      <c r="P35" s="345">
        <v>394</v>
      </c>
      <c r="Q35" s="345">
        <v>389</v>
      </c>
      <c r="R35" s="345">
        <v>380.5</v>
      </c>
      <c r="S35" s="345">
        <v>381.5</v>
      </c>
      <c r="T35" s="345">
        <v>381</v>
      </c>
      <c r="U35" s="16"/>
    </row>
    <row r="36" spans="2:21" x14ac:dyDescent="0.25">
      <c r="C36" s="2" t="s">
        <v>213</v>
      </c>
      <c r="G36" s="2" t="s">
        <v>89</v>
      </c>
      <c r="H36" s="16"/>
      <c r="I36" s="16">
        <v>11</v>
      </c>
      <c r="J36" s="16">
        <v>0</v>
      </c>
      <c r="K36" s="16">
        <v>40</v>
      </c>
      <c r="L36" s="16">
        <v>41</v>
      </c>
      <c r="M36" s="16">
        <v>82</v>
      </c>
      <c r="N36" s="16">
        <v>40</v>
      </c>
      <c r="O36" s="16">
        <f>0.5*N36</f>
        <v>20</v>
      </c>
      <c r="P36" s="16">
        <f>$N36</f>
        <v>40</v>
      </c>
      <c r="Q36" s="16">
        <f t="shared" ref="Q36:T36" si="24">$N36</f>
        <v>40</v>
      </c>
      <c r="R36" s="16">
        <f t="shared" si="24"/>
        <v>40</v>
      </c>
      <c r="S36" s="16">
        <f t="shared" si="24"/>
        <v>40</v>
      </c>
      <c r="T36" s="16">
        <f t="shared" si="24"/>
        <v>40</v>
      </c>
    </row>
    <row r="37" spans="2:21" ht="15.75" thickBot="1" x14ac:dyDescent="0.3">
      <c r="B37" s="64"/>
      <c r="G37" s="95" t="s">
        <v>4</v>
      </c>
      <c r="H37" s="508">
        <f>SUM(H35:H36)</f>
        <v>286</v>
      </c>
      <c r="I37" s="508">
        <f t="shared" ref="I37" si="25">SUM(I35:I36)</f>
        <v>268</v>
      </c>
      <c r="J37" s="508">
        <f t="shared" ref="J37:T37" si="26">SUM(J35:J36)</f>
        <v>329</v>
      </c>
      <c r="K37" s="509">
        <f t="shared" si="26"/>
        <v>498</v>
      </c>
      <c r="L37" s="509">
        <f t="shared" si="26"/>
        <v>409</v>
      </c>
      <c r="M37" s="509">
        <f t="shared" si="26"/>
        <v>510</v>
      </c>
      <c r="N37" s="509">
        <f t="shared" si="26"/>
        <v>486.36331451070146</v>
      </c>
      <c r="O37" s="509">
        <f t="shared" si="26"/>
        <v>214.5</v>
      </c>
      <c r="P37" s="509">
        <f t="shared" si="26"/>
        <v>434</v>
      </c>
      <c r="Q37" s="509">
        <f t="shared" si="26"/>
        <v>429</v>
      </c>
      <c r="R37" s="509">
        <f t="shared" si="26"/>
        <v>420.5</v>
      </c>
      <c r="S37" s="509">
        <f t="shared" si="26"/>
        <v>421.5</v>
      </c>
      <c r="T37" s="509">
        <f t="shared" si="26"/>
        <v>421</v>
      </c>
    </row>
    <row r="38" spans="2:21" x14ac:dyDescent="0.25">
      <c r="B38" s="2" t="s">
        <v>90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1" x14ac:dyDescent="0.25">
      <c r="B39" s="64" t="s">
        <v>86</v>
      </c>
      <c r="H39" s="21">
        <v>504</v>
      </c>
      <c r="I39" s="21">
        <v>478</v>
      </c>
      <c r="J39" s="21">
        <v>127</v>
      </c>
      <c r="K39" s="26">
        <v>506</v>
      </c>
      <c r="L39" s="26">
        <v>351</v>
      </c>
      <c r="M39" s="26">
        <v>406</v>
      </c>
      <c r="N39" s="26">
        <v>308.85560520412571</v>
      </c>
      <c r="O39" s="26">
        <v>160.91859126857091</v>
      </c>
      <c r="P39" s="26">
        <v>321.25184257548511</v>
      </c>
      <c r="Q39" s="26">
        <v>321.61592399086271</v>
      </c>
      <c r="R39" s="26">
        <v>324.6193063767069</v>
      </c>
      <c r="S39" s="26">
        <v>328.79565149937361</v>
      </c>
      <c r="T39" s="26">
        <v>329.62549858406368</v>
      </c>
    </row>
    <row r="40" spans="2:21" x14ac:dyDescent="0.25">
      <c r="B40" s="64" t="s">
        <v>87</v>
      </c>
      <c r="H40" s="16"/>
      <c r="I40" s="16"/>
      <c r="J40" s="21">
        <v>439</v>
      </c>
      <c r="K40" s="21">
        <v>490</v>
      </c>
      <c r="L40" s="16">
        <v>253</v>
      </c>
      <c r="M40" s="21">
        <v>233</v>
      </c>
      <c r="N40" s="26">
        <f>N43/M43*M40</f>
        <v>298.08550444968091</v>
      </c>
      <c r="O40" s="26">
        <f t="shared" ref="O40:T40" si="27">O43/N43*N40</f>
        <v>155.30720066395358</v>
      </c>
      <c r="P40" s="26">
        <f t="shared" si="27"/>
        <v>310.04947275026427</v>
      </c>
      <c r="Q40" s="26">
        <f t="shared" si="27"/>
        <v>310.40085828620715</v>
      </c>
      <c r="R40" s="26">
        <f t="shared" si="27"/>
        <v>313.29950975457837</v>
      </c>
      <c r="S40" s="26">
        <f t="shared" si="27"/>
        <v>317.33022158777732</v>
      </c>
      <c r="T40" s="26">
        <f t="shared" si="27"/>
        <v>318.1311310829845</v>
      </c>
    </row>
    <row r="41" spans="2:21" ht="15.75" thickBot="1" x14ac:dyDescent="0.3">
      <c r="B41" s="64" t="s">
        <v>156</v>
      </c>
      <c r="H41" s="508">
        <f>SUM(H39:H40)</f>
        <v>504</v>
      </c>
      <c r="I41" s="508">
        <f t="shared" ref="I41" si="28">SUM(I39:I40)</f>
        <v>478</v>
      </c>
      <c r="J41" s="508">
        <f t="shared" ref="J41:T41" si="29">SUM(J39:J40)</f>
        <v>566</v>
      </c>
      <c r="K41" s="509">
        <f t="shared" si="29"/>
        <v>996</v>
      </c>
      <c r="L41" s="509">
        <f t="shared" si="29"/>
        <v>604</v>
      </c>
      <c r="M41" s="509">
        <f t="shared" si="29"/>
        <v>639</v>
      </c>
      <c r="N41" s="509">
        <f t="shared" si="29"/>
        <v>606.94110965380662</v>
      </c>
      <c r="O41" s="509">
        <f t="shared" si="29"/>
        <v>316.22579193252449</v>
      </c>
      <c r="P41" s="509">
        <f t="shared" si="29"/>
        <v>631.30131532574933</v>
      </c>
      <c r="Q41" s="509">
        <f t="shared" si="29"/>
        <v>632.01678227706986</v>
      </c>
      <c r="R41" s="509">
        <f t="shared" si="29"/>
        <v>637.91881613128521</v>
      </c>
      <c r="S41" s="509">
        <f t="shared" si="29"/>
        <v>646.12587308715092</v>
      </c>
      <c r="T41" s="509">
        <f t="shared" si="29"/>
        <v>647.75662966704817</v>
      </c>
    </row>
    <row r="42" spans="2:21" x14ac:dyDescent="0.25">
      <c r="B42" s="64" t="s">
        <v>84</v>
      </c>
      <c r="H42" s="16"/>
      <c r="I42" s="21">
        <v>564</v>
      </c>
      <c r="J42" s="16">
        <v>129</v>
      </c>
      <c r="K42" s="16">
        <v>474</v>
      </c>
      <c r="L42" s="16"/>
      <c r="M42" s="16"/>
      <c r="N42" s="16"/>
      <c r="O42" s="16"/>
      <c r="P42" s="16"/>
      <c r="Q42" s="16"/>
      <c r="R42" s="16"/>
      <c r="S42" s="16"/>
      <c r="T42" s="16"/>
    </row>
    <row r="43" spans="2:21" x14ac:dyDescent="0.25">
      <c r="B43" s="64" t="s">
        <v>85</v>
      </c>
      <c r="H43" s="16"/>
      <c r="I43" s="21">
        <v>386</v>
      </c>
      <c r="J43" s="16">
        <v>760</v>
      </c>
      <c r="K43" s="26">
        <v>648</v>
      </c>
      <c r="L43" s="26">
        <v>635</v>
      </c>
      <c r="M43" s="26">
        <v>517</v>
      </c>
      <c r="N43" s="26">
        <v>661.41719227675981</v>
      </c>
      <c r="O43" s="26">
        <v>344.60868130156223</v>
      </c>
      <c r="P43" s="26">
        <v>687.96385155316148</v>
      </c>
      <c r="Q43" s="26">
        <v>688.74353533892304</v>
      </c>
      <c r="R43" s="26">
        <v>695.17530705200431</v>
      </c>
      <c r="S43" s="26">
        <v>704.11898953167747</v>
      </c>
      <c r="T43" s="26">
        <v>705.8961148922873</v>
      </c>
    </row>
    <row r="44" spans="2:21" ht="15.75" thickBot="1" x14ac:dyDescent="0.3">
      <c r="B44" s="64" t="s">
        <v>157</v>
      </c>
      <c r="H44" s="508">
        <f>SUM(H42:H43)</f>
        <v>0</v>
      </c>
      <c r="I44" s="508">
        <f t="shared" ref="I44" si="30">SUM(I42:I43)</f>
        <v>950</v>
      </c>
      <c r="J44" s="508">
        <f t="shared" ref="J44:T44" si="31">SUM(J42:J43)</f>
        <v>889</v>
      </c>
      <c r="K44" s="509">
        <f t="shared" si="31"/>
        <v>1122</v>
      </c>
      <c r="L44" s="509">
        <f t="shared" si="31"/>
        <v>635</v>
      </c>
      <c r="M44" s="509">
        <f t="shared" si="31"/>
        <v>517</v>
      </c>
      <c r="N44" s="509">
        <f t="shared" si="31"/>
        <v>661.41719227675981</v>
      </c>
      <c r="O44" s="509">
        <f t="shared" si="31"/>
        <v>344.60868130156223</v>
      </c>
      <c r="P44" s="509">
        <f t="shared" si="31"/>
        <v>687.96385155316148</v>
      </c>
      <c r="Q44" s="509">
        <f t="shared" si="31"/>
        <v>688.74353533892304</v>
      </c>
      <c r="R44" s="509">
        <f t="shared" si="31"/>
        <v>695.17530705200431</v>
      </c>
      <c r="S44" s="509">
        <f t="shared" si="31"/>
        <v>704.11898953167747</v>
      </c>
      <c r="T44" s="509">
        <f t="shared" si="31"/>
        <v>705.8961148922873</v>
      </c>
    </row>
    <row r="45" spans="2:21" x14ac:dyDescent="0.25">
      <c r="H45" s="346"/>
      <c r="I45" s="346"/>
      <c r="J45" s="34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1" x14ac:dyDescent="0.25">
      <c r="B46" s="2" t="s">
        <v>13</v>
      </c>
      <c r="H46" s="21">
        <v>4</v>
      </c>
      <c r="I46" s="21">
        <v>2</v>
      </c>
      <c r="J46" s="21">
        <v>1</v>
      </c>
      <c r="K46" s="16">
        <v>0</v>
      </c>
      <c r="L46" s="16">
        <f>'Co-Gen F''cast'!C16</f>
        <v>0</v>
      </c>
      <c r="M46" s="16">
        <f>'Co-Gen F''cast'!D16</f>
        <v>0</v>
      </c>
      <c r="N46" s="16">
        <f>'Co-Gen F''cast'!E16</f>
        <v>1</v>
      </c>
      <c r="O46" s="16">
        <f>'Co-Gen F''cast'!F16</f>
        <v>1</v>
      </c>
      <c r="P46" s="16">
        <f>'Co-Gen F''cast'!G16</f>
        <v>1</v>
      </c>
      <c r="Q46" s="16">
        <f>'Co-Gen F''cast'!H16</f>
        <v>1</v>
      </c>
      <c r="R46" s="16">
        <f>'Co-Gen F''cast'!I16</f>
        <v>1</v>
      </c>
      <c r="S46" s="16">
        <f>'Co-Gen F''cast'!J16</f>
        <v>1</v>
      </c>
      <c r="T46" s="16">
        <f>'Co-Gen F''cast'!K16</f>
        <v>1</v>
      </c>
    </row>
    <row r="48" spans="2:21" x14ac:dyDescent="0.25">
      <c r="B48" s="2" t="s">
        <v>125</v>
      </c>
      <c r="J48" s="13">
        <f>J29+J34+J39+J43</f>
        <v>14276</v>
      </c>
      <c r="K48" s="13">
        <f>K29+K34+K39+K43</f>
        <v>14302</v>
      </c>
      <c r="L48" s="13">
        <f t="shared" ref="L48:T48" si="32">L29+L34+L39+L43</f>
        <v>16067</v>
      </c>
      <c r="M48" s="13">
        <f t="shared" si="32"/>
        <v>18870</v>
      </c>
      <c r="N48" s="13">
        <f t="shared" si="32"/>
        <v>14444.017637507408</v>
      </c>
      <c r="O48" s="13">
        <f t="shared" si="32"/>
        <v>7525.5586472193827</v>
      </c>
      <c r="P48" s="13">
        <f t="shared" si="32"/>
        <v>15023.743140990846</v>
      </c>
      <c r="Q48" s="13">
        <f t="shared" si="32"/>
        <v>15040.769862528658</v>
      </c>
      <c r="R48" s="13">
        <f t="shared" si="32"/>
        <v>15181.226786160143</v>
      </c>
      <c r="S48" s="13">
        <f t="shared" si="32"/>
        <v>15376.538775308756</v>
      </c>
      <c r="T48" s="13">
        <f t="shared" si="32"/>
        <v>15415.347609358492</v>
      </c>
    </row>
    <row r="49" spans="2:21" x14ac:dyDescent="0.25">
      <c r="B49" s="2" t="s">
        <v>78</v>
      </c>
      <c r="L49" s="13">
        <v>0</v>
      </c>
      <c r="M49" s="21">
        <v>0</v>
      </c>
      <c r="N49" s="21">
        <v>0</v>
      </c>
      <c r="O49" s="21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</row>
    <row r="51" spans="2:21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1"/>
      <c r="M51" s="21"/>
      <c r="N51" s="21"/>
      <c r="O51" s="21"/>
      <c r="P51" s="21"/>
      <c r="Q51" s="21"/>
      <c r="R51" s="21"/>
      <c r="S51" s="21"/>
      <c r="T51" s="21"/>
    </row>
    <row r="52" spans="2:21" x14ac:dyDescent="0.25">
      <c r="N52" s="212"/>
      <c r="O52" s="212"/>
      <c r="P52" s="212"/>
      <c r="Q52" s="212"/>
      <c r="R52" s="212"/>
      <c r="S52" s="212"/>
      <c r="T52" s="212"/>
    </row>
    <row r="53" spans="2:2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6"/>
      <c r="O53" s="26"/>
      <c r="P53" s="26"/>
      <c r="Q53" s="26"/>
      <c r="R53" s="26"/>
      <c r="S53" s="26"/>
      <c r="T53" s="26"/>
      <c r="U53" s="16"/>
    </row>
  </sheetData>
  <hyperlinks>
    <hyperlink ref="B3" location="Contents!A1" display="Table of Contents" xr:uid="{00000000-0004-0000-0400-000000000000}"/>
  </hyperlinks>
  <pageMargins left="0.25" right="0.25" top="0.75" bottom="0.75" header="0.3" footer="0.3"/>
  <pageSetup paperSize="9" scale="83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52"/>
  <sheetViews>
    <sheetView zoomScale="85" zoomScaleNormal="85" workbookViewId="0"/>
  </sheetViews>
  <sheetFormatPr defaultRowHeight="15" outlineLevelCol="1" x14ac:dyDescent="0.25"/>
  <cols>
    <col min="1" max="1" width="4.42578125" customWidth="1"/>
    <col min="2" max="2" width="46" customWidth="1"/>
    <col min="3" max="4" width="10.7109375" customWidth="1" outlineLevel="1"/>
    <col min="5" max="9" width="10.7109375" customWidth="1"/>
    <col min="10" max="10" width="9.85546875" customWidth="1"/>
    <col min="16" max="16" width="48.140625" bestFit="1" customWidth="1"/>
    <col min="17" max="17" width="11.28515625" bestFit="1" customWidth="1"/>
  </cols>
  <sheetData>
    <row r="1" spans="2:17" x14ac:dyDescent="0.25">
      <c r="E1" s="635" t="s">
        <v>389</v>
      </c>
      <c r="F1" s="635"/>
    </row>
    <row r="2" spans="2:17" x14ac:dyDescent="0.25">
      <c r="B2" s="1" t="s">
        <v>158</v>
      </c>
    </row>
    <row r="3" spans="2:17" x14ac:dyDescent="0.25">
      <c r="B3" t="s">
        <v>161</v>
      </c>
      <c r="E3" s="632" t="s">
        <v>160</v>
      </c>
      <c r="F3" s="633"/>
      <c r="G3" s="633"/>
      <c r="H3" s="633"/>
      <c r="I3" s="634"/>
    </row>
    <row r="4" spans="2:17" x14ac:dyDescent="0.25">
      <c r="C4" s="476">
        <v>2015</v>
      </c>
      <c r="D4" s="476">
        <v>2015</v>
      </c>
      <c r="E4" s="476">
        <v>2015</v>
      </c>
      <c r="F4" s="476">
        <v>2016</v>
      </c>
      <c r="G4" s="476">
        <v>2017</v>
      </c>
      <c r="H4" s="373">
        <v>2018</v>
      </c>
      <c r="I4" s="373">
        <v>2019</v>
      </c>
    </row>
    <row r="5" spans="2:17" x14ac:dyDescent="0.25">
      <c r="B5" s="12" t="s">
        <v>95</v>
      </c>
      <c r="C5" s="89" t="s">
        <v>93</v>
      </c>
      <c r="D5" s="89" t="s">
        <v>94</v>
      </c>
      <c r="E5" s="89" t="s">
        <v>4</v>
      </c>
      <c r="F5" s="89" t="s">
        <v>4</v>
      </c>
      <c r="G5" s="89" t="s">
        <v>4</v>
      </c>
      <c r="H5" s="373" t="s">
        <v>4</v>
      </c>
      <c r="I5" s="373" t="s">
        <v>4</v>
      </c>
    </row>
    <row r="6" spans="2:17" x14ac:dyDescent="0.25">
      <c r="B6" t="s">
        <v>109</v>
      </c>
      <c r="C6" s="611"/>
      <c r="D6" s="611"/>
      <c r="E6" s="611"/>
      <c r="F6" s="611"/>
      <c r="G6" s="611"/>
      <c r="H6" s="611"/>
      <c r="I6" s="611"/>
      <c r="O6" s="52"/>
      <c r="P6" s="52"/>
      <c r="Q6" s="52"/>
    </row>
    <row r="7" spans="2:17" x14ac:dyDescent="0.25">
      <c r="B7" t="s">
        <v>110</v>
      </c>
      <c r="C7" s="611"/>
      <c r="D7" s="611"/>
      <c r="E7" s="611"/>
      <c r="F7" s="611"/>
      <c r="G7" s="611"/>
      <c r="H7" s="611"/>
      <c r="I7" s="611"/>
      <c r="O7" s="52"/>
      <c r="P7" s="52"/>
      <c r="Q7" s="52"/>
    </row>
    <row r="8" spans="2:17" x14ac:dyDescent="0.25">
      <c r="B8" t="s">
        <v>111</v>
      </c>
      <c r="C8" s="611"/>
      <c r="D8" s="611"/>
      <c r="E8" s="611"/>
      <c r="F8" s="611"/>
      <c r="G8" s="611"/>
      <c r="H8" s="611"/>
      <c r="I8" s="611"/>
      <c r="O8" s="52"/>
      <c r="P8" s="52"/>
      <c r="Q8" s="52"/>
    </row>
    <row r="9" spans="2:17" x14ac:dyDescent="0.25">
      <c r="B9" t="s">
        <v>114</v>
      </c>
      <c r="C9" s="611"/>
      <c r="D9" s="611"/>
      <c r="E9" s="611"/>
      <c r="F9" s="611"/>
      <c r="G9" s="611"/>
      <c r="H9" s="611"/>
      <c r="I9" s="611"/>
      <c r="O9" s="52"/>
      <c r="P9" s="52"/>
      <c r="Q9" s="52"/>
    </row>
    <row r="10" spans="2:17" x14ac:dyDescent="0.25">
      <c r="B10" t="s">
        <v>112</v>
      </c>
      <c r="C10" s="611"/>
      <c r="D10" s="611"/>
      <c r="E10" s="611"/>
      <c r="F10" s="611"/>
      <c r="G10" s="611"/>
      <c r="H10" s="611"/>
      <c r="I10" s="611"/>
      <c r="O10" s="52"/>
      <c r="P10" s="52"/>
      <c r="Q10" s="52"/>
    </row>
    <row r="11" spans="2:17" x14ac:dyDescent="0.25">
      <c r="B11" s="98" t="s">
        <v>96</v>
      </c>
      <c r="C11" s="611"/>
      <c r="D11" s="611"/>
      <c r="E11" s="611"/>
      <c r="F11" s="611"/>
      <c r="G11" s="611"/>
      <c r="H11" s="611"/>
      <c r="I11" s="611"/>
      <c r="O11" s="52"/>
      <c r="P11" s="52"/>
      <c r="Q11" s="52"/>
    </row>
    <row r="12" spans="2:17" x14ac:dyDescent="0.25">
      <c r="B12" t="s">
        <v>113</v>
      </c>
      <c r="C12" s="611"/>
      <c r="D12" s="611"/>
      <c r="E12" s="611"/>
      <c r="F12" s="611"/>
      <c r="G12" s="611"/>
      <c r="H12" s="611"/>
      <c r="I12" s="611"/>
      <c r="O12" s="52"/>
      <c r="P12" s="52"/>
      <c r="Q12" s="52"/>
    </row>
    <row r="13" spans="2:17" ht="15.75" thickBot="1" x14ac:dyDescent="0.3">
      <c r="C13" s="612"/>
      <c r="D13" s="612"/>
      <c r="E13" s="612"/>
      <c r="F13" s="612"/>
      <c r="G13" s="612"/>
      <c r="H13" s="612"/>
      <c r="I13" s="612"/>
      <c r="O13" s="52"/>
      <c r="P13" s="52"/>
      <c r="Q13" s="52"/>
    </row>
    <row r="14" spans="2:17" x14ac:dyDescent="0.25">
      <c r="B14" s="12" t="s">
        <v>159</v>
      </c>
      <c r="O14" s="52"/>
      <c r="P14" s="52"/>
      <c r="Q14" s="52"/>
    </row>
    <row r="15" spans="2:17" x14ac:dyDescent="0.25">
      <c r="B15" t="s">
        <v>109</v>
      </c>
      <c r="C15" s="613"/>
      <c r="D15" s="611"/>
      <c r="E15" s="611"/>
      <c r="F15" s="613"/>
      <c r="G15" s="613"/>
      <c r="H15" s="613"/>
      <c r="I15" s="613"/>
      <c r="J15" t="s">
        <v>193</v>
      </c>
      <c r="O15" s="52"/>
      <c r="P15" s="52"/>
      <c r="Q15" s="52"/>
    </row>
    <row r="16" spans="2:17" x14ac:dyDescent="0.25">
      <c r="B16" t="s">
        <v>110</v>
      </c>
      <c r="C16" s="613"/>
      <c r="D16" s="611"/>
      <c r="E16" s="611"/>
      <c r="F16" s="613"/>
      <c r="G16" s="613"/>
      <c r="H16" s="613"/>
      <c r="I16" s="613"/>
      <c r="J16" t="s">
        <v>193</v>
      </c>
      <c r="K16" s="52"/>
      <c r="O16" s="52"/>
      <c r="P16" s="52"/>
      <c r="Q16" s="52"/>
    </row>
    <row r="17" spans="2:17" x14ac:dyDescent="0.25">
      <c r="B17" t="s">
        <v>111</v>
      </c>
      <c r="C17" s="613"/>
      <c r="D17" s="611"/>
      <c r="E17" s="611"/>
      <c r="F17" s="613"/>
      <c r="G17" s="613"/>
      <c r="H17" s="613"/>
      <c r="I17" s="613"/>
      <c r="J17" t="s">
        <v>193</v>
      </c>
      <c r="K17" s="52"/>
      <c r="O17" s="52"/>
      <c r="P17" s="52"/>
      <c r="Q17" s="52"/>
    </row>
    <row r="18" spans="2:17" x14ac:dyDescent="0.25">
      <c r="B18" t="s">
        <v>114</v>
      </c>
      <c r="C18" s="613"/>
      <c r="D18" s="611"/>
      <c r="E18" s="611"/>
      <c r="F18" s="613"/>
      <c r="G18" s="613"/>
      <c r="H18" s="613"/>
      <c r="I18" s="613"/>
      <c r="J18" t="s">
        <v>193</v>
      </c>
      <c r="K18" s="52"/>
      <c r="O18" s="52"/>
      <c r="P18" s="52"/>
      <c r="Q18" s="52"/>
    </row>
    <row r="19" spans="2:17" x14ac:dyDescent="0.25">
      <c r="B19" t="s">
        <v>112</v>
      </c>
      <c r="C19" s="613"/>
      <c r="D19" s="611"/>
      <c r="E19" s="611"/>
      <c r="F19" s="613"/>
      <c r="G19" s="613"/>
      <c r="H19" s="613"/>
      <c r="I19" s="613"/>
      <c r="J19" t="s">
        <v>193</v>
      </c>
      <c r="K19" s="52"/>
      <c r="O19" s="52"/>
      <c r="P19" s="52"/>
      <c r="Q19" s="52"/>
    </row>
    <row r="20" spans="2:17" x14ac:dyDescent="0.25">
      <c r="B20" s="98" t="s">
        <v>96</v>
      </c>
      <c r="C20" s="613"/>
      <c r="D20" s="611"/>
      <c r="E20" s="611"/>
      <c r="F20" s="613"/>
      <c r="G20" s="613"/>
      <c r="H20" s="613"/>
      <c r="I20" s="613"/>
      <c r="J20" t="s">
        <v>193</v>
      </c>
      <c r="K20" s="52"/>
      <c r="O20" s="52"/>
      <c r="P20" s="52"/>
      <c r="Q20" s="52"/>
    </row>
    <row r="21" spans="2:17" x14ac:dyDescent="0.25">
      <c r="B21" t="s">
        <v>113</v>
      </c>
      <c r="C21" s="613"/>
      <c r="D21" s="611"/>
      <c r="E21" s="611"/>
      <c r="F21" s="613"/>
      <c r="G21" s="613"/>
      <c r="H21" s="613"/>
      <c r="I21" s="613"/>
      <c r="J21" t="s">
        <v>193</v>
      </c>
      <c r="K21" s="52"/>
      <c r="O21" s="52"/>
      <c r="P21" s="52"/>
      <c r="Q21" s="52"/>
    </row>
    <row r="22" spans="2:17" ht="15.75" thickBot="1" x14ac:dyDescent="0.3">
      <c r="C22" s="612"/>
      <c r="D22" s="612"/>
      <c r="E22" s="612"/>
      <c r="F22" s="612"/>
      <c r="G22" s="612"/>
      <c r="H22" s="612"/>
      <c r="I22" s="612"/>
      <c r="K22" s="52"/>
      <c r="O22" s="52"/>
      <c r="P22" s="52"/>
      <c r="Q22" s="52"/>
    </row>
    <row r="23" spans="2:17" x14ac:dyDescent="0.25">
      <c r="B23" s="12" t="s">
        <v>162</v>
      </c>
      <c r="E23" s="97"/>
      <c r="F23" s="97"/>
      <c r="G23" s="97"/>
      <c r="H23" s="97"/>
      <c r="I23" s="97"/>
      <c r="K23" s="52"/>
      <c r="O23" s="52"/>
      <c r="P23" s="52"/>
      <c r="Q23" s="52"/>
    </row>
    <row r="24" spans="2:17" x14ac:dyDescent="0.25">
      <c r="B24" t="s">
        <v>109</v>
      </c>
      <c r="C24" s="611"/>
      <c r="D24" s="611"/>
      <c r="E24" s="611"/>
      <c r="F24" s="613"/>
      <c r="G24" s="613"/>
      <c r="H24" s="613"/>
      <c r="I24" s="613"/>
      <c r="J24" t="s">
        <v>193</v>
      </c>
      <c r="K24" s="52"/>
      <c r="O24" s="52"/>
      <c r="P24" s="52"/>
      <c r="Q24" s="52"/>
    </row>
    <row r="25" spans="2:17" x14ac:dyDescent="0.25">
      <c r="B25" t="s">
        <v>110</v>
      </c>
      <c r="C25" s="611"/>
      <c r="D25" s="611"/>
      <c r="E25" s="611"/>
      <c r="F25" s="613"/>
      <c r="G25" s="613"/>
      <c r="H25" s="613"/>
      <c r="I25" s="613"/>
      <c r="J25" t="s">
        <v>193</v>
      </c>
      <c r="K25" s="52"/>
      <c r="O25" s="52"/>
      <c r="P25" s="52"/>
      <c r="Q25" s="52"/>
    </row>
    <row r="26" spans="2:17" x14ac:dyDescent="0.25">
      <c r="B26" t="s">
        <v>111</v>
      </c>
      <c r="C26" s="611"/>
      <c r="D26" s="611"/>
      <c r="E26" s="611"/>
      <c r="F26" s="613"/>
      <c r="G26" s="613"/>
      <c r="H26" s="613"/>
      <c r="I26" s="613"/>
      <c r="J26" t="s">
        <v>193</v>
      </c>
      <c r="K26" s="52"/>
      <c r="O26" s="52"/>
      <c r="P26" s="52"/>
      <c r="Q26" s="52"/>
    </row>
    <row r="27" spans="2:17" x14ac:dyDescent="0.25">
      <c r="B27" t="s">
        <v>114</v>
      </c>
      <c r="C27" s="611"/>
      <c r="D27" s="611"/>
      <c r="E27" s="611"/>
      <c r="F27" s="613"/>
      <c r="G27" s="613"/>
      <c r="H27" s="613"/>
      <c r="I27" s="613"/>
      <c r="J27" t="s">
        <v>193</v>
      </c>
      <c r="K27" s="52"/>
      <c r="O27" s="52"/>
      <c r="P27" s="52"/>
      <c r="Q27" s="52"/>
    </row>
    <row r="28" spans="2:17" x14ac:dyDescent="0.25">
      <c r="B28" t="s">
        <v>112</v>
      </c>
      <c r="C28" s="611"/>
      <c r="D28" s="611"/>
      <c r="E28" s="611"/>
      <c r="F28" s="613"/>
      <c r="G28" s="613"/>
      <c r="H28" s="613"/>
      <c r="I28" s="613"/>
      <c r="J28" t="s">
        <v>193</v>
      </c>
    </row>
    <row r="29" spans="2:17" x14ac:dyDescent="0.25">
      <c r="B29" s="98" t="s">
        <v>96</v>
      </c>
      <c r="C29" s="611"/>
      <c r="D29" s="611"/>
      <c r="E29" s="611"/>
      <c r="F29" s="613"/>
      <c r="G29" s="613"/>
      <c r="H29" s="613"/>
      <c r="I29" s="613"/>
      <c r="J29" t="s">
        <v>193</v>
      </c>
    </row>
    <row r="30" spans="2:17" x14ac:dyDescent="0.25">
      <c r="B30" t="s">
        <v>113</v>
      </c>
      <c r="C30" s="611"/>
      <c r="D30" s="611"/>
      <c r="E30" s="611"/>
      <c r="F30" s="613"/>
      <c r="G30" s="613"/>
      <c r="H30" s="613"/>
      <c r="I30" s="613"/>
      <c r="J30" t="s">
        <v>193</v>
      </c>
    </row>
    <row r="31" spans="2:17" ht="15.75" thickBot="1" x14ac:dyDescent="0.3">
      <c r="C31" s="612"/>
      <c r="D31" s="612"/>
      <c r="E31" s="612"/>
      <c r="F31" s="612"/>
      <c r="G31" s="612"/>
      <c r="H31" s="612"/>
      <c r="I31" s="612"/>
    </row>
    <row r="32" spans="2:17" x14ac:dyDescent="0.25">
      <c r="F32" s="97">
        <v>0</v>
      </c>
      <c r="G32" s="99">
        <v>0</v>
      </c>
      <c r="H32" s="99"/>
      <c r="I32" s="99"/>
    </row>
    <row r="33" spans="2:9" x14ac:dyDescent="0.25">
      <c r="B33" s="175"/>
      <c r="C33" s="175"/>
      <c r="D33" s="175"/>
      <c r="E33" s="175"/>
      <c r="F33" s="175"/>
      <c r="G33" s="175"/>
      <c r="H33" s="175"/>
      <c r="I33" s="175"/>
    </row>
    <row r="34" spans="2:9" x14ac:dyDescent="0.25">
      <c r="B34" s="12" t="s">
        <v>175</v>
      </c>
      <c r="E34" s="163">
        <v>2015</v>
      </c>
      <c r="F34" s="163">
        <v>2016</v>
      </c>
      <c r="G34" s="163">
        <v>2017</v>
      </c>
      <c r="H34" s="205">
        <v>2018</v>
      </c>
      <c r="I34" s="369">
        <v>2019</v>
      </c>
    </row>
    <row r="35" spans="2:9" x14ac:dyDescent="0.25">
      <c r="B35" t="s">
        <v>109</v>
      </c>
      <c r="C35" s="186">
        <v>278.55505879290706</v>
      </c>
      <c r="D35" s="186">
        <v>1116.0288400000002</v>
      </c>
      <c r="E35" s="210">
        <f t="shared" ref="E35:E41" si="0">SUM(C35:D35)</f>
        <v>1394.5838987929073</v>
      </c>
      <c r="F35" s="167">
        <v>785.89760743952706</v>
      </c>
      <c r="G35" s="167">
        <v>2441.3998823089937</v>
      </c>
      <c r="H35" s="167">
        <f>SUMIF(Capex_ActualCY18!$C$4:$C$10,'2015-19_Actuals'!B35,Capex_ActualCY18!$E$4:$E$10)/Thousands</f>
        <v>3246.423318688333</v>
      </c>
      <c r="I35" s="167">
        <f>SUMIF(Capex_ActualCY19!$C$4:$C$11,$B35,Capex_ActualCY19!$E$4:$E$11)/Thousands</f>
        <v>1185.7791104059822</v>
      </c>
    </row>
    <row r="36" spans="2:9" x14ac:dyDescent="0.25">
      <c r="B36" t="s">
        <v>110</v>
      </c>
      <c r="C36" s="186">
        <v>1231.7008990929278</v>
      </c>
      <c r="D36" s="186">
        <v>1141.3188700000003</v>
      </c>
      <c r="E36" s="210">
        <f t="shared" si="0"/>
        <v>2373.0197690929281</v>
      </c>
      <c r="F36" s="167">
        <v>1105.7451645339115</v>
      </c>
      <c r="G36" s="167">
        <v>1419.3092075982597</v>
      </c>
      <c r="H36" s="167">
        <f>SUMIF(Capex_ActualCY18!$C$4:$C$10,'2015-19_Actuals'!B36,Capex_ActualCY18!$E$4:$E$10)/Thousands</f>
        <v>1305.1781561413127</v>
      </c>
      <c r="I36" s="167">
        <f>SUMIF(Capex_ActualCY19!$C$4:$C$11,$B36,Capex_ActualCY19!$E$4:$E$11)/Thousands</f>
        <v>1127.0008276951671</v>
      </c>
    </row>
    <row r="37" spans="2:9" x14ac:dyDescent="0.25">
      <c r="B37" t="s">
        <v>111</v>
      </c>
      <c r="C37" s="186">
        <v>1007.6514113822991</v>
      </c>
      <c r="D37" s="186">
        <v>-322.70006000000001</v>
      </c>
      <c r="E37" s="210">
        <f t="shared" si="0"/>
        <v>684.95135138229909</v>
      </c>
      <c r="F37" s="167">
        <v>1641.7835912540222</v>
      </c>
      <c r="G37" s="167">
        <v>2506.8524562693015</v>
      </c>
      <c r="H37" s="167">
        <f>SUMIF(Capex_ActualCY18!$C$4:$C$10,'2015-19_Actuals'!B37,Capex_ActualCY18!$E$4:$E$10)/Thousands</f>
        <v>2871.5183360928149</v>
      </c>
      <c r="I37" s="167">
        <f>SUMIF(Capex_ActualCY19!$C$4:$C$11,$B37,Capex_ActualCY19!$E$4:$E$11)/Thousands</f>
        <v>2253.6582968363273</v>
      </c>
    </row>
    <row r="38" spans="2:9" x14ac:dyDescent="0.25">
      <c r="B38" t="s">
        <v>114</v>
      </c>
      <c r="C38" s="186">
        <v>141.94431044627703</v>
      </c>
      <c r="D38" s="186">
        <v>109.65589</v>
      </c>
      <c r="E38" s="210">
        <f t="shared" si="0"/>
        <v>251.60020044627703</v>
      </c>
      <c r="F38" s="167">
        <v>119.58074433804674</v>
      </c>
      <c r="G38" s="167">
        <v>54.74877781104739</v>
      </c>
      <c r="H38" s="167">
        <f>SUMIF(Capex_ActualCY18!$C$4:$C$10,'2015-19_Actuals'!B38,Capex_ActualCY18!$E$4:$E$10)/Thousands</f>
        <v>110.39623905137972</v>
      </c>
      <c r="I38" s="167">
        <f>SUMIF(Capex_ActualCY19!$C$4:$C$11,$B38,Capex_ActualCY19!$E$4:$E$11)/Thousands</f>
        <v>67.033290448556457</v>
      </c>
    </row>
    <row r="39" spans="2:9" x14ac:dyDescent="0.25">
      <c r="B39" t="s">
        <v>112</v>
      </c>
      <c r="C39" s="186">
        <v>1082.8833998216646</v>
      </c>
      <c r="D39" s="186">
        <v>53.226559999999999</v>
      </c>
      <c r="E39" s="210">
        <f t="shared" si="0"/>
        <v>1136.1099598216647</v>
      </c>
      <c r="F39" s="167">
        <v>319.01576359771144</v>
      </c>
      <c r="G39" s="167">
        <v>809.27374727057759</v>
      </c>
      <c r="H39" s="167">
        <f>SUMIF(Capex_ActualCY18!$C$4:$C$10,'2015-19_Actuals'!B39,Capex_ActualCY18!$E$4:$E$10)/Thousands</f>
        <v>788.19170542195161</v>
      </c>
      <c r="I39" s="167">
        <f>SUMIF(Capex_ActualCY19!$C$4:$C$11,$B39,Capex_ActualCY19!$E$4:$E$11)/Thousands</f>
        <v>720.34685747215519</v>
      </c>
    </row>
    <row r="40" spans="2:9" x14ac:dyDescent="0.25">
      <c r="B40" s="98" t="s">
        <v>96</v>
      </c>
      <c r="C40" s="186">
        <v>0</v>
      </c>
      <c r="D40" s="186">
        <v>1337.2520799999998</v>
      </c>
      <c r="E40" s="210">
        <f t="shared" si="0"/>
        <v>1337.2520799999998</v>
      </c>
      <c r="F40" s="167">
        <v>590.73542061867317</v>
      </c>
      <c r="G40" s="167">
        <v>-60.061812869673595</v>
      </c>
      <c r="H40" s="167">
        <f>SUMIF(Capex_ActualCY18!$C$4:$C$10,'2015-19_Actuals'!B40,Capex_ActualCY18!$E$4:$E$10)/Thousands</f>
        <v>574.9676209488315</v>
      </c>
      <c r="I40" s="167">
        <f>SUMIF(Capex_ActualCY19!$C$4:$C$11,$B40,Capex_ActualCY19!$E$4:$E$11)/Thousands</f>
        <v>351.07311703750224</v>
      </c>
    </row>
    <row r="41" spans="2:9" x14ac:dyDescent="0.25">
      <c r="B41" t="s">
        <v>113</v>
      </c>
      <c r="C41" s="186">
        <v>1194.1119310891322</v>
      </c>
      <c r="D41" s="186">
        <v>-76.724179999999905</v>
      </c>
      <c r="E41" s="210">
        <f t="shared" si="0"/>
        <v>1117.3877510891323</v>
      </c>
      <c r="F41" s="167">
        <v>10.745035529615437</v>
      </c>
      <c r="G41" s="167">
        <v>8.7793607122857207</v>
      </c>
      <c r="H41" s="167">
        <f>SUMIF(Capex_ActualCY18!$C$4:$C$10,'2015-19_Actuals'!B41,Capex_ActualCY18!$E$4:$E$10)/Thousands</f>
        <v>5.0254222815774989</v>
      </c>
      <c r="I41" s="167">
        <f>SUMIF(Capex_ActualCY19!$C$4:$C$11,$B41,Capex_ActualCY19!$E$4:$E$11)/Thousands</f>
        <v>383.27630009255307</v>
      </c>
    </row>
    <row r="42" spans="2:9" ht="15.75" thickBot="1" x14ac:dyDescent="0.3">
      <c r="C42" s="547">
        <f t="shared" ref="C42:I42" si="1">SUM(C35:C41)</f>
        <v>4936.847010625208</v>
      </c>
      <c r="D42" s="547">
        <f t="shared" si="1"/>
        <v>3358.0580000000004</v>
      </c>
      <c r="E42" s="547">
        <f t="shared" si="1"/>
        <v>8294.9050106252089</v>
      </c>
      <c r="F42" s="547">
        <f t="shared" si="1"/>
        <v>4573.5033273115068</v>
      </c>
      <c r="G42" s="547">
        <f t="shared" si="1"/>
        <v>7180.3016191007928</v>
      </c>
      <c r="H42" s="547">
        <f t="shared" si="1"/>
        <v>8901.7007986262015</v>
      </c>
      <c r="I42" s="547">
        <f t="shared" si="1"/>
        <v>6088.167799988244</v>
      </c>
    </row>
    <row r="44" spans="2:9" x14ac:dyDescent="0.25">
      <c r="B44" t="s">
        <v>347</v>
      </c>
      <c r="E44" s="377">
        <v>2015</v>
      </c>
      <c r="F44" s="377">
        <v>2016</v>
      </c>
      <c r="G44" s="377">
        <v>2017</v>
      </c>
      <c r="H44" s="377">
        <v>2018</v>
      </c>
      <c r="I44" s="377">
        <v>2019</v>
      </c>
    </row>
    <row r="45" spans="2:9" x14ac:dyDescent="0.25">
      <c r="B45" t="s">
        <v>109</v>
      </c>
      <c r="E45" s="210">
        <v>13808.500988792912</v>
      </c>
      <c r="F45" s="210">
        <v>28210.588449455125</v>
      </c>
      <c r="G45" s="210">
        <v>24567.320776916698</v>
      </c>
      <c r="H45" s="210">
        <v>42442.235068688336</v>
      </c>
      <c r="I45" s="210">
        <v>49926.203070405987</v>
      </c>
    </row>
    <row r="46" spans="2:9" x14ac:dyDescent="0.25">
      <c r="B46" t="s">
        <v>110</v>
      </c>
      <c r="E46" s="210">
        <v>11397.266549092925</v>
      </c>
      <c r="F46" s="210">
        <v>12132.663607727391</v>
      </c>
      <c r="G46" s="210">
        <v>11722.611952980518</v>
      </c>
      <c r="H46" s="210">
        <v>12967.69839614131</v>
      </c>
      <c r="I46" s="210">
        <v>10970.10261769516</v>
      </c>
    </row>
    <row r="47" spans="2:9" x14ac:dyDescent="0.25">
      <c r="B47" t="s">
        <v>111</v>
      </c>
      <c r="E47" s="210">
        <v>15136.997561382299</v>
      </c>
      <c r="F47" s="210">
        <v>15203.719405775453</v>
      </c>
      <c r="G47" s="210">
        <v>21650.533653318751</v>
      </c>
      <c r="H47" s="210">
        <v>30447.466766092817</v>
      </c>
      <c r="I47" s="210">
        <v>34448.580716836324</v>
      </c>
    </row>
    <row r="48" spans="2:9" x14ac:dyDescent="0.25">
      <c r="B48" t="s">
        <v>114</v>
      </c>
      <c r="E48" s="210">
        <v>1177.214430446277</v>
      </c>
      <c r="F48" s="210">
        <v>1216.9253157231906</v>
      </c>
      <c r="G48" s="210">
        <v>615.74565642590358</v>
      </c>
      <c r="H48" s="210">
        <v>1115.1832490513798</v>
      </c>
      <c r="I48" s="210">
        <v>845.05415044855647</v>
      </c>
    </row>
    <row r="49" spans="2:9" x14ac:dyDescent="0.25">
      <c r="B49" t="s">
        <v>112</v>
      </c>
      <c r="E49" s="210">
        <v>7214.8725498216572</v>
      </c>
      <c r="F49" s="210">
        <v>3144.6916107216712</v>
      </c>
      <c r="G49" s="210">
        <v>6969.1537558683885</v>
      </c>
      <c r="H49" s="210">
        <v>8098.4101954219514</v>
      </c>
      <c r="I49" s="210">
        <v>8609.6356274721547</v>
      </c>
    </row>
    <row r="50" spans="2:9" x14ac:dyDescent="0.25">
      <c r="B50" s="98" t="s">
        <v>96</v>
      </c>
      <c r="E50" s="210">
        <v>9702.9399053068446</v>
      </c>
      <c r="F50" s="210">
        <v>7272.406386922893</v>
      </c>
      <c r="G50" s="210">
        <v>6523.4368623004557</v>
      </c>
      <c r="H50" s="210">
        <v>5400.3730309488319</v>
      </c>
      <c r="I50" s="210">
        <v>6189.2214770375022</v>
      </c>
    </row>
    <row r="51" spans="2:9" x14ac:dyDescent="0.25">
      <c r="B51" t="s">
        <v>113</v>
      </c>
      <c r="E51" s="210">
        <v>22310.515781089136</v>
      </c>
      <c r="F51" s="210">
        <v>396.8105924562438</v>
      </c>
      <c r="G51" s="210">
        <v>134.93279378565705</v>
      </c>
      <c r="H51" s="210">
        <v>133.66417228157752</v>
      </c>
      <c r="I51" s="210">
        <v>4850.7237200925538</v>
      </c>
    </row>
    <row r="52" spans="2:9" ht="15.75" thickBot="1" x14ac:dyDescent="0.3">
      <c r="E52" s="547">
        <f>SUM(E45:E51)</f>
        <v>80748.307765932055</v>
      </c>
      <c r="F52" s="547">
        <f t="shared" ref="F52:I52" si="2">SUM(F45:F51)</f>
        <v>67577.805368781963</v>
      </c>
      <c r="G52" s="547">
        <f t="shared" si="2"/>
        <v>72183.735451596382</v>
      </c>
      <c r="H52" s="547">
        <f t="shared" si="2"/>
        <v>100605.03087862622</v>
      </c>
      <c r="I52" s="547">
        <f t="shared" si="2"/>
        <v>115839.52137998823</v>
      </c>
    </row>
  </sheetData>
  <mergeCells count="2">
    <mergeCell ref="E3:I3"/>
    <mergeCell ref="E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DAB4-4FD7-412B-BA63-D70E8E6DADE4}">
  <dimension ref="B2:F28"/>
  <sheetViews>
    <sheetView zoomScale="85" zoomScaleNormal="85" workbookViewId="0"/>
  </sheetViews>
  <sheetFormatPr defaultRowHeight="15" x14ac:dyDescent="0.25"/>
  <cols>
    <col min="1" max="1" width="5.28515625" customWidth="1"/>
    <col min="3" max="3" width="37.42578125" customWidth="1"/>
    <col min="4" max="4" width="14.28515625" bestFit="1" customWidth="1"/>
    <col min="5" max="5" width="12.7109375" bestFit="1" customWidth="1"/>
    <col min="6" max="6" width="12.7109375" customWidth="1"/>
  </cols>
  <sheetData>
    <row r="2" spans="2:6" x14ac:dyDescent="0.25">
      <c r="B2" s="1" t="s">
        <v>328</v>
      </c>
      <c r="D2" s="353"/>
      <c r="E2" s="1"/>
      <c r="F2" s="1"/>
    </row>
    <row r="3" spans="2:6" ht="40.15" customHeight="1" x14ac:dyDescent="0.25">
      <c r="D3" s="366" t="s">
        <v>329</v>
      </c>
      <c r="E3" s="353" t="s">
        <v>212</v>
      </c>
      <c r="F3" s="353" t="s">
        <v>4</v>
      </c>
    </row>
    <row r="4" spans="2:6" x14ac:dyDescent="0.25">
      <c r="B4" s="209">
        <v>1012</v>
      </c>
      <c r="C4" s="209" t="s">
        <v>109</v>
      </c>
      <c r="D4" s="186">
        <v>39195811.75</v>
      </c>
      <c r="E4" s="186">
        <v>3246423.318688333</v>
      </c>
      <c r="F4" s="186">
        <f>D4+E4</f>
        <v>42442235.068688333</v>
      </c>
    </row>
    <row r="5" spans="2:6" x14ac:dyDescent="0.25">
      <c r="B5" s="209">
        <v>1013</v>
      </c>
      <c r="C5" s="209" t="s">
        <v>110</v>
      </c>
      <c r="D5" s="186">
        <v>11662520.239999998</v>
      </c>
      <c r="E5" s="186">
        <v>1305178.1561413128</v>
      </c>
      <c r="F5" s="186">
        <f t="shared" ref="F5:F11" si="0">D5+E5</f>
        <v>12967698.396141311</v>
      </c>
    </row>
    <row r="6" spans="2:6" x14ac:dyDescent="0.25">
      <c r="B6" s="209">
        <v>1014</v>
      </c>
      <c r="C6" s="209" t="s">
        <v>111</v>
      </c>
      <c r="D6" s="186">
        <v>27575948.430000003</v>
      </c>
      <c r="E6" s="186">
        <v>2871518.3360928148</v>
      </c>
      <c r="F6" s="186">
        <f t="shared" si="0"/>
        <v>30447466.766092818</v>
      </c>
    </row>
    <row r="7" spans="2:6" x14ac:dyDescent="0.25">
      <c r="B7" s="209">
        <v>1016</v>
      </c>
      <c r="C7" s="209" t="s">
        <v>114</v>
      </c>
      <c r="D7" s="186">
        <v>1004787.01</v>
      </c>
      <c r="E7" s="186">
        <v>110396.23905137973</v>
      </c>
      <c r="F7" s="186">
        <f t="shared" si="0"/>
        <v>1115183.2490513797</v>
      </c>
    </row>
    <row r="8" spans="2:6" x14ac:dyDescent="0.25">
      <c r="B8" s="209">
        <v>1018</v>
      </c>
      <c r="C8" s="209" t="s">
        <v>112</v>
      </c>
      <c r="D8" s="186">
        <v>7310218.4900000002</v>
      </c>
      <c r="E8" s="186">
        <v>788191.7054219516</v>
      </c>
      <c r="F8" s="186">
        <f t="shared" si="0"/>
        <v>8098410.1954219518</v>
      </c>
    </row>
    <row r="9" spans="2:6" x14ac:dyDescent="0.25">
      <c r="B9" s="209">
        <v>1019</v>
      </c>
      <c r="C9" s="209" t="s">
        <v>96</v>
      </c>
      <c r="D9" s="186">
        <v>4825405.41</v>
      </c>
      <c r="E9" s="186">
        <v>574967.62094883155</v>
      </c>
      <c r="F9" s="186">
        <f t="shared" si="0"/>
        <v>5400373.0309488317</v>
      </c>
    </row>
    <row r="10" spans="2:6" x14ac:dyDescent="0.25">
      <c r="B10" s="209">
        <v>1015</v>
      </c>
      <c r="C10" s="209" t="s">
        <v>113</v>
      </c>
      <c r="D10" s="186">
        <v>128638.75000000001</v>
      </c>
      <c r="E10" s="186">
        <v>5025.4222815774992</v>
      </c>
      <c r="F10" s="186">
        <f t="shared" si="0"/>
        <v>133664.17228157751</v>
      </c>
    </row>
    <row r="11" spans="2:6" x14ac:dyDescent="0.25">
      <c r="B11" s="209"/>
      <c r="C11" s="209"/>
      <c r="D11" s="186"/>
      <c r="E11" s="186"/>
      <c r="F11" s="186">
        <f t="shared" si="0"/>
        <v>0</v>
      </c>
    </row>
    <row r="12" spans="2:6" x14ac:dyDescent="0.25">
      <c r="B12" s="1" t="s">
        <v>4</v>
      </c>
      <c r="C12" s="1"/>
      <c r="D12" s="297">
        <f>SUM(D4:D11)</f>
        <v>91703330.079999998</v>
      </c>
      <c r="E12" s="297">
        <f>SUM(E4:E11)</f>
        <v>8901700.7986262012</v>
      </c>
      <c r="F12" s="297">
        <f>SUM(F4:F11)</f>
        <v>100605030.8786262</v>
      </c>
    </row>
    <row r="13" spans="2:6" x14ac:dyDescent="0.25">
      <c r="B13" t="s">
        <v>330</v>
      </c>
    </row>
    <row r="15" spans="2:6" x14ac:dyDescent="0.25">
      <c r="B15" s="1" t="s">
        <v>331</v>
      </c>
    </row>
    <row r="16" spans="2:6" x14ac:dyDescent="0.25">
      <c r="D16" s="353" t="s">
        <v>214</v>
      </c>
      <c r="E16" s="353" t="s">
        <v>213</v>
      </c>
      <c r="F16" s="353" t="s">
        <v>4</v>
      </c>
    </row>
    <row r="17" spans="2:6" x14ac:dyDescent="0.25">
      <c r="B17" s="209">
        <v>1012</v>
      </c>
      <c r="C17" s="209" t="s">
        <v>109</v>
      </c>
      <c r="D17" s="167">
        <v>3030972.69</v>
      </c>
      <c r="E17" s="167">
        <v>23947445</v>
      </c>
      <c r="F17" s="167">
        <f t="shared" ref="F17:F24" si="1">D17+E17</f>
        <v>26978417.690000001</v>
      </c>
    </row>
    <row r="18" spans="2:6" x14ac:dyDescent="0.25">
      <c r="B18" s="209">
        <v>1013</v>
      </c>
      <c r="C18" s="209" t="s">
        <v>110</v>
      </c>
      <c r="D18" s="167">
        <v>5195525.5299999993</v>
      </c>
      <c r="E18" s="167">
        <v>100000</v>
      </c>
      <c r="F18" s="167">
        <f t="shared" si="1"/>
        <v>5295525.5299999993</v>
      </c>
    </row>
    <row r="19" spans="2:6" x14ac:dyDescent="0.25">
      <c r="B19" s="209">
        <v>1014</v>
      </c>
      <c r="C19" s="209" t="s">
        <v>111</v>
      </c>
      <c r="D19" s="167">
        <v>5661438.7800000012</v>
      </c>
      <c r="E19" s="167">
        <v>3800922</v>
      </c>
      <c r="F19" s="167">
        <f t="shared" si="1"/>
        <v>9462360.7800000012</v>
      </c>
    </row>
    <row r="20" spans="2:6" x14ac:dyDescent="0.25">
      <c r="B20" s="209">
        <v>1016</v>
      </c>
      <c r="C20" s="209" t="s">
        <v>114</v>
      </c>
      <c r="D20" s="167">
        <v>31336.1</v>
      </c>
      <c r="E20" s="167">
        <v>0</v>
      </c>
      <c r="F20" s="167">
        <f t="shared" si="1"/>
        <v>31336.1</v>
      </c>
    </row>
    <row r="21" spans="2:6" x14ac:dyDescent="0.25">
      <c r="B21" s="209">
        <v>1018</v>
      </c>
      <c r="C21" s="209" t="s">
        <v>112</v>
      </c>
      <c r="D21" s="167">
        <v>3433703.67</v>
      </c>
      <c r="E21" s="167">
        <v>94286</v>
      </c>
      <c r="F21" s="167">
        <f t="shared" si="1"/>
        <v>3527989.67</v>
      </c>
    </row>
    <row r="22" spans="2:6" x14ac:dyDescent="0.25">
      <c r="B22" s="209">
        <v>1019</v>
      </c>
      <c r="C22" s="209" t="s">
        <v>96</v>
      </c>
      <c r="D22" s="167">
        <v>2428647.4199999995</v>
      </c>
      <c r="E22" s="167">
        <v>614969</v>
      </c>
      <c r="F22" s="167">
        <f t="shared" si="1"/>
        <v>3043616.4199999995</v>
      </c>
    </row>
    <row r="23" spans="2:6" x14ac:dyDescent="0.25">
      <c r="B23" s="209">
        <v>1015</v>
      </c>
      <c r="C23" s="209" t="s">
        <v>113</v>
      </c>
      <c r="D23" s="167">
        <v>236717</v>
      </c>
      <c r="E23" s="167">
        <v>0</v>
      </c>
      <c r="F23" s="167">
        <f t="shared" si="1"/>
        <v>236717</v>
      </c>
    </row>
    <row r="24" spans="2:6" x14ac:dyDescent="0.25">
      <c r="B24" s="209"/>
      <c r="C24" s="209"/>
      <c r="D24" s="167"/>
      <c r="E24" s="167"/>
      <c r="F24" s="167">
        <f t="shared" si="1"/>
        <v>0</v>
      </c>
    </row>
    <row r="25" spans="2:6" x14ac:dyDescent="0.25">
      <c r="B25" s="1" t="s">
        <v>4</v>
      </c>
      <c r="C25" s="1"/>
      <c r="D25" s="188">
        <f>SUM(D17:D24)</f>
        <v>20018341.189999998</v>
      </c>
      <c r="E25" s="188">
        <f>SUM(E17:E24)</f>
        <v>28557622</v>
      </c>
      <c r="F25" s="188">
        <f>SUM(F17:F24)</f>
        <v>48575963.190000005</v>
      </c>
    </row>
    <row r="26" spans="2:6" x14ac:dyDescent="0.25">
      <c r="B26" t="s">
        <v>330</v>
      </c>
    </row>
    <row r="28" spans="2:6" x14ac:dyDescent="0.25">
      <c r="F28" s="21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DCD0-B1FC-456D-854F-98C3BD589319}">
  <dimension ref="A2:I33"/>
  <sheetViews>
    <sheetView zoomScale="85" zoomScaleNormal="85" workbookViewId="0"/>
  </sheetViews>
  <sheetFormatPr defaultRowHeight="15" x14ac:dyDescent="0.25"/>
  <cols>
    <col min="1" max="1" width="5.28515625" customWidth="1"/>
    <col min="3" max="3" width="48" customWidth="1"/>
    <col min="4" max="4" width="14.28515625" bestFit="1" customWidth="1"/>
    <col min="5" max="5" width="12.7109375" bestFit="1" customWidth="1"/>
    <col min="6" max="6" width="12.7109375" customWidth="1"/>
    <col min="7" max="7" width="12.28515625" customWidth="1"/>
    <col min="9" max="9" width="11.7109375" bestFit="1" customWidth="1"/>
  </cols>
  <sheetData>
    <row r="2" spans="1:9" x14ac:dyDescent="0.25">
      <c r="B2" s="1" t="s">
        <v>332</v>
      </c>
      <c r="D2" s="358"/>
      <c r="E2" s="1"/>
      <c r="F2" s="1"/>
    </row>
    <row r="3" spans="1:9" ht="40.15" customHeight="1" x14ac:dyDescent="0.25">
      <c r="D3" s="366" t="s">
        <v>329</v>
      </c>
      <c r="E3" s="358" t="s">
        <v>212</v>
      </c>
      <c r="F3" s="358" t="s">
        <v>4</v>
      </c>
      <c r="H3" s="14"/>
    </row>
    <row r="4" spans="1:9" x14ac:dyDescent="0.25">
      <c r="A4" t="s">
        <v>333</v>
      </c>
      <c r="B4" s="209">
        <v>1012</v>
      </c>
      <c r="C4" s="209" t="s">
        <v>109</v>
      </c>
      <c r="D4" s="167">
        <v>48740423.960000008</v>
      </c>
      <c r="E4" s="167">
        <v>1185779.1104059822</v>
      </c>
      <c r="F4" s="186">
        <f>D4+E4</f>
        <v>49926203.07040599</v>
      </c>
      <c r="G4" s="379"/>
      <c r="H4" s="14"/>
    </row>
    <row r="5" spans="1:9" x14ac:dyDescent="0.25">
      <c r="A5" t="s">
        <v>333</v>
      </c>
      <c r="B5" s="209">
        <v>1013</v>
      </c>
      <c r="C5" s="209" t="s">
        <v>110</v>
      </c>
      <c r="D5" s="167">
        <v>9843101.7899999935</v>
      </c>
      <c r="E5" s="167">
        <v>1127000.8276951672</v>
      </c>
      <c r="F5" s="186">
        <f t="shared" ref="F5:F11" si="0">D5+E5</f>
        <v>10970102.61769516</v>
      </c>
      <c r="H5" s="14"/>
    </row>
    <row r="6" spans="1:9" x14ac:dyDescent="0.25">
      <c r="A6" t="s">
        <v>333</v>
      </c>
      <c r="B6" s="209">
        <v>1014</v>
      </c>
      <c r="C6" s="209" t="s">
        <v>111</v>
      </c>
      <c r="D6" s="167">
        <v>32194922.419999998</v>
      </c>
      <c r="E6" s="167">
        <v>2253658.2968363273</v>
      </c>
      <c r="F6" s="186">
        <f t="shared" si="0"/>
        <v>34448580.716836326</v>
      </c>
      <c r="G6" s="210"/>
      <c r="H6" s="14"/>
    </row>
    <row r="7" spans="1:9" x14ac:dyDescent="0.25">
      <c r="A7" t="s">
        <v>333</v>
      </c>
      <c r="B7" s="209">
        <v>1016</v>
      </c>
      <c r="C7" s="209" t="s">
        <v>114</v>
      </c>
      <c r="D7" s="167">
        <v>778020.86</v>
      </c>
      <c r="E7" s="167">
        <v>67033.29044855645</v>
      </c>
      <c r="F7" s="186">
        <f t="shared" si="0"/>
        <v>845054.15044855641</v>
      </c>
    </row>
    <row r="8" spans="1:9" x14ac:dyDescent="0.25">
      <c r="A8" t="s">
        <v>333</v>
      </c>
      <c r="B8" s="209">
        <v>1018</v>
      </c>
      <c r="C8" s="209" t="s">
        <v>112</v>
      </c>
      <c r="D8" s="167">
        <v>7889288.7699999996</v>
      </c>
      <c r="E8" s="167">
        <v>720346.85747215524</v>
      </c>
      <c r="F8" s="186">
        <f t="shared" si="0"/>
        <v>8609635.6274721548</v>
      </c>
    </row>
    <row r="9" spans="1:9" x14ac:dyDescent="0.25">
      <c r="A9" t="s">
        <v>333</v>
      </c>
      <c r="B9" s="209">
        <v>1019</v>
      </c>
      <c r="C9" s="209" t="s">
        <v>96</v>
      </c>
      <c r="D9" s="167">
        <v>5838148.3600000003</v>
      </c>
      <c r="E9" s="167">
        <v>351073.11703750223</v>
      </c>
      <c r="F9" s="186">
        <f t="shared" si="0"/>
        <v>6189221.4770375025</v>
      </c>
    </row>
    <row r="10" spans="1:9" x14ac:dyDescent="0.25">
      <c r="A10" t="s">
        <v>333</v>
      </c>
      <c r="B10" s="209">
        <v>1015</v>
      </c>
      <c r="C10" s="209" t="s">
        <v>113</v>
      </c>
      <c r="D10" s="167">
        <v>4467447.4200000009</v>
      </c>
      <c r="E10" s="167">
        <v>383276.30009255308</v>
      </c>
      <c r="F10" s="186">
        <f t="shared" si="0"/>
        <v>4850723.7200925536</v>
      </c>
    </row>
    <row r="11" spans="1:9" x14ac:dyDescent="0.25">
      <c r="A11" t="s">
        <v>334</v>
      </c>
      <c r="B11" s="209" t="s">
        <v>335</v>
      </c>
      <c r="C11" s="209" t="s">
        <v>179</v>
      </c>
      <c r="D11" s="167">
        <v>8355554.4800000014</v>
      </c>
      <c r="E11" s="167">
        <v>698640.10846924491</v>
      </c>
      <c r="F11" s="186">
        <f t="shared" si="0"/>
        <v>9054194.5884692464</v>
      </c>
    </row>
    <row r="12" spans="1:9" x14ac:dyDescent="0.25">
      <c r="B12" s="1" t="s">
        <v>4</v>
      </c>
      <c r="C12" s="1"/>
      <c r="D12" s="297">
        <f>SUM(D4:D11)</f>
        <v>118106908.06</v>
      </c>
      <c r="E12" s="297">
        <f>SUM(E4:E11)</f>
        <v>6786807.9084574878</v>
      </c>
      <c r="F12" s="297">
        <f>SUM(F4:F11)</f>
        <v>124893715.96845751</v>
      </c>
    </row>
    <row r="13" spans="1:9" x14ac:dyDescent="0.25">
      <c r="B13" t="s">
        <v>336</v>
      </c>
    </row>
    <row r="14" spans="1:9" x14ac:dyDescent="0.25">
      <c r="E14" s="370" t="s">
        <v>337</v>
      </c>
      <c r="F14" s="297">
        <f>SUM(F4:F10)</f>
        <v>115839521.37998825</v>
      </c>
    </row>
    <row r="15" spans="1:9" x14ac:dyDescent="0.25">
      <c r="E15" s="1"/>
      <c r="F15" t="b">
        <v>1</v>
      </c>
    </row>
    <row r="16" spans="1:9" x14ac:dyDescent="0.25">
      <c r="B16" s="1" t="s">
        <v>338</v>
      </c>
      <c r="I16" s="358"/>
    </row>
    <row r="17" spans="1:8" x14ac:dyDescent="0.25">
      <c r="D17" s="358" t="s">
        <v>214</v>
      </c>
      <c r="E17" s="358" t="s">
        <v>213</v>
      </c>
      <c r="F17" s="358" t="s">
        <v>4</v>
      </c>
      <c r="H17" s="358"/>
    </row>
    <row r="18" spans="1:8" x14ac:dyDescent="0.25">
      <c r="A18" t="s">
        <v>333</v>
      </c>
      <c r="B18" s="374">
        <v>1012</v>
      </c>
      <c r="C18" s="209" t="s">
        <v>109</v>
      </c>
      <c r="D18" s="167">
        <v>2407974.7199999997</v>
      </c>
      <c r="E18" s="167">
        <v>35805441.719999999</v>
      </c>
      <c r="F18" s="167">
        <f>D18+E18</f>
        <v>38213416.439999998</v>
      </c>
      <c r="H18" s="210"/>
    </row>
    <row r="19" spans="1:8" x14ac:dyDescent="0.25">
      <c r="A19" t="s">
        <v>333</v>
      </c>
      <c r="B19" s="374">
        <v>1013</v>
      </c>
      <c r="C19" s="209" t="s">
        <v>110</v>
      </c>
      <c r="D19" s="167">
        <v>5497649.4000000004</v>
      </c>
      <c r="E19" s="167">
        <v>53142</v>
      </c>
      <c r="F19" s="167">
        <f t="shared" ref="F19:F25" si="1">D19+E19</f>
        <v>5550791.4000000004</v>
      </c>
      <c r="H19" s="210"/>
    </row>
    <row r="20" spans="1:8" x14ac:dyDescent="0.25">
      <c r="A20" t="s">
        <v>333</v>
      </c>
      <c r="B20" s="374">
        <v>1014</v>
      </c>
      <c r="C20" s="209" t="s">
        <v>111</v>
      </c>
      <c r="D20" s="167">
        <v>7370521.6600000001</v>
      </c>
      <c r="E20" s="167">
        <v>8192689</v>
      </c>
      <c r="F20" s="167">
        <f t="shared" si="1"/>
        <v>15563210.66</v>
      </c>
      <c r="H20" s="210"/>
    </row>
    <row r="21" spans="1:8" x14ac:dyDescent="0.25">
      <c r="A21" t="s">
        <v>333</v>
      </c>
      <c r="B21" s="374">
        <v>1016</v>
      </c>
      <c r="C21" s="209" t="s">
        <v>114</v>
      </c>
      <c r="D21" s="167">
        <v>6051</v>
      </c>
      <c r="E21" s="167">
        <v>0</v>
      </c>
      <c r="F21" s="167">
        <f t="shared" si="1"/>
        <v>6051</v>
      </c>
      <c r="H21" s="210"/>
    </row>
    <row r="22" spans="1:8" x14ac:dyDescent="0.25">
      <c r="A22" t="s">
        <v>333</v>
      </c>
      <c r="B22" s="374">
        <v>1018</v>
      </c>
      <c r="C22" s="209" t="s">
        <v>112</v>
      </c>
      <c r="D22" s="167">
        <v>4045902.73</v>
      </c>
      <c r="E22" s="167">
        <v>197267</v>
      </c>
      <c r="F22" s="167">
        <f t="shared" si="1"/>
        <v>4243169.7300000004</v>
      </c>
      <c r="H22" s="210"/>
    </row>
    <row r="23" spans="1:8" x14ac:dyDescent="0.25">
      <c r="A23" t="s">
        <v>333</v>
      </c>
      <c r="B23" s="374">
        <v>1019</v>
      </c>
      <c r="C23" s="209" t="s">
        <v>96</v>
      </c>
      <c r="D23" s="167">
        <v>2358836.86</v>
      </c>
      <c r="E23" s="167">
        <v>2038770</v>
      </c>
      <c r="F23" s="167">
        <f t="shared" si="1"/>
        <v>4397606.8599999994</v>
      </c>
      <c r="H23" s="210"/>
    </row>
    <row r="24" spans="1:8" x14ac:dyDescent="0.25">
      <c r="A24" t="s">
        <v>333</v>
      </c>
      <c r="B24" s="374">
        <v>1015</v>
      </c>
      <c r="C24" s="209" t="s">
        <v>113</v>
      </c>
      <c r="D24" s="167">
        <v>59794.15</v>
      </c>
      <c r="E24" s="167">
        <v>0</v>
      </c>
      <c r="F24" s="167">
        <f t="shared" si="1"/>
        <v>59794.15</v>
      </c>
      <c r="H24" s="210"/>
    </row>
    <row r="25" spans="1:8" x14ac:dyDescent="0.25">
      <c r="A25" t="s">
        <v>334</v>
      </c>
      <c r="B25" s="374">
        <v>1020</v>
      </c>
      <c r="C25" s="209" t="s">
        <v>179</v>
      </c>
      <c r="D25" s="167">
        <v>0</v>
      </c>
      <c r="E25" s="167">
        <v>0</v>
      </c>
      <c r="F25" s="167">
        <f t="shared" si="1"/>
        <v>0</v>
      </c>
      <c r="H25" s="210"/>
    </row>
    <row r="26" spans="1:8" x14ac:dyDescent="0.25">
      <c r="B26" s="1" t="s">
        <v>4</v>
      </c>
      <c r="C26" s="1"/>
      <c r="D26" s="188">
        <f>SUM(D18:D25)</f>
        <v>21746730.52</v>
      </c>
      <c r="E26" s="188">
        <f>SUM(E18:E25)</f>
        <v>46287309.719999999</v>
      </c>
      <c r="F26" s="188">
        <f>SUM(F18:F25)</f>
        <v>68034040.24000001</v>
      </c>
      <c r="H26" s="188"/>
    </row>
    <row r="27" spans="1:8" x14ac:dyDescent="0.25">
      <c r="B27" t="s">
        <v>336</v>
      </c>
      <c r="D27" t="b">
        <v>1</v>
      </c>
      <c r="E27" t="b">
        <v>1</v>
      </c>
    </row>
    <row r="28" spans="1:8" x14ac:dyDescent="0.25">
      <c r="D28" s="210"/>
      <c r="G28" s="210"/>
    </row>
    <row r="29" spans="1:8" x14ac:dyDescent="0.25">
      <c r="B29" t="s">
        <v>339</v>
      </c>
      <c r="D29" s="210">
        <f>D12-E26</f>
        <v>71819598.340000004</v>
      </c>
    </row>
    <row r="30" spans="1:8" x14ac:dyDescent="0.25">
      <c r="B30" t="s">
        <v>340</v>
      </c>
      <c r="D30" s="210">
        <f>D12-D11-E26-E25</f>
        <v>63464043.859999999</v>
      </c>
    </row>
    <row r="31" spans="1:8" x14ac:dyDescent="0.25">
      <c r="B31" t="s">
        <v>341</v>
      </c>
      <c r="D31" s="210">
        <f>D12-D11-F26-F25</f>
        <v>41717313.339999989</v>
      </c>
    </row>
    <row r="32" spans="1:8" x14ac:dyDescent="0.25">
      <c r="B32" t="s">
        <v>343</v>
      </c>
      <c r="D32" s="210">
        <f>D12-D11</f>
        <v>109751353.58</v>
      </c>
      <c r="E32" s="210"/>
    </row>
    <row r="33" spans="4:4" x14ac:dyDescent="0.25">
      <c r="D33" t="b">
        <f>D31+F26=D32</f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20"/>
  <sheetViews>
    <sheetView zoomScale="85" zoomScaleNormal="85" workbookViewId="0">
      <pane ySplit="4" topLeftCell="A5" activePane="bottomLeft" state="frozen"/>
      <selection activeCell="AZ19" sqref="AZ19:BE19"/>
      <selection pane="bottomLeft"/>
    </sheetView>
  </sheetViews>
  <sheetFormatPr defaultRowHeight="15" x14ac:dyDescent="0.25"/>
  <cols>
    <col min="1" max="1" width="4.7109375" customWidth="1"/>
    <col min="2" max="2" width="35.140625" customWidth="1"/>
    <col min="3" max="3" width="10.28515625" bestFit="1" customWidth="1"/>
    <col min="4" max="4" width="10.5703125" bestFit="1" customWidth="1"/>
    <col min="5" max="7" width="10.7109375" customWidth="1"/>
    <col min="8" max="8" width="10.42578125" customWidth="1"/>
    <col min="9" max="9" width="10.7109375" customWidth="1"/>
    <col min="10" max="10" width="10.28515625" customWidth="1"/>
    <col min="11" max="11" width="10.5703125" customWidth="1"/>
  </cols>
  <sheetData>
    <row r="2" spans="2:12" x14ac:dyDescent="0.25">
      <c r="B2" s="1" t="s">
        <v>171</v>
      </c>
      <c r="C2" s="115"/>
    </row>
    <row r="3" spans="2:12" x14ac:dyDescent="0.25">
      <c r="C3" s="171" t="s">
        <v>19</v>
      </c>
      <c r="D3" s="171" t="s">
        <v>19</v>
      </c>
      <c r="E3" s="369" t="s">
        <v>20</v>
      </c>
      <c r="F3" s="369" t="s">
        <v>20</v>
      </c>
      <c r="G3" s="369" t="s">
        <v>20</v>
      </c>
      <c r="H3" s="369" t="s">
        <v>20</v>
      </c>
      <c r="I3" s="369" t="s">
        <v>20</v>
      </c>
      <c r="J3" s="369" t="s">
        <v>20</v>
      </c>
      <c r="K3" s="369" t="s">
        <v>20</v>
      </c>
    </row>
    <row r="4" spans="2:12" x14ac:dyDescent="0.25">
      <c r="C4" s="171" t="s">
        <v>103</v>
      </c>
      <c r="D4" s="171" t="s">
        <v>104</v>
      </c>
      <c r="E4" s="171" t="s">
        <v>105</v>
      </c>
      <c r="F4" s="171" t="s">
        <v>345</v>
      </c>
      <c r="G4" s="171" t="s">
        <v>100</v>
      </c>
      <c r="H4" s="171" t="s">
        <v>101</v>
      </c>
      <c r="I4" s="171" t="s">
        <v>102</v>
      </c>
      <c r="J4" s="171" t="s">
        <v>147</v>
      </c>
      <c r="K4" s="171" t="s">
        <v>220</v>
      </c>
    </row>
    <row r="5" spans="2:12" x14ac:dyDescent="0.25">
      <c r="B5" t="s">
        <v>170</v>
      </c>
      <c r="C5" s="172">
        <f>Allocations!G44</f>
        <v>9.7070638447486576E-2</v>
      </c>
      <c r="D5" s="172">
        <f>Allocations!H44</f>
        <v>5.5471841074412151E-2</v>
      </c>
      <c r="E5" s="172">
        <f>Allocations!I44</f>
        <v>7.0375260011246041E-2</v>
      </c>
      <c r="F5" s="172">
        <f>Allocations!J44</f>
        <v>8.3055731214533607E-2</v>
      </c>
      <c r="G5" s="172">
        <f>Allocations!K44</f>
        <v>9.2774360144063206E-2</v>
      </c>
      <c r="H5" s="172">
        <f>Allocations!L44</f>
        <v>8.2755267364929053E-2</v>
      </c>
      <c r="I5" s="172">
        <f>Allocations!M44</f>
        <v>9.519604087552197E-2</v>
      </c>
      <c r="J5" s="172">
        <f>Allocations!N44</f>
        <v>0.1021901055271988</v>
      </c>
      <c r="K5" s="172">
        <f>Allocations!O44</f>
        <v>0.10541019145935256</v>
      </c>
      <c r="L5" s="161"/>
    </row>
    <row r="6" spans="2:12" x14ac:dyDescent="0.25">
      <c r="C6" s="116"/>
    </row>
    <row r="7" spans="2:12" ht="15.75" thickBot="1" x14ac:dyDescent="0.3"/>
    <row r="8" spans="2:12" ht="15.75" thickBot="1" x14ac:dyDescent="0.3">
      <c r="B8" s="52" t="s">
        <v>344</v>
      </c>
      <c r="C8" s="167">
        <f>'2015-19_Actuals'!H30</f>
        <v>0</v>
      </c>
      <c r="D8" s="167">
        <f>Capex_ActualCY19!D10/Thousands*Escalation!J8</f>
        <v>4379.6069938448891</v>
      </c>
      <c r="E8" s="167">
        <v>6921.6151393876462</v>
      </c>
      <c r="F8" s="167">
        <v>4332.0261651243964</v>
      </c>
      <c r="G8" s="490">
        <v>15845.589039543902</v>
      </c>
      <c r="H8" s="491">
        <f>$G8</f>
        <v>15845.589039543902</v>
      </c>
      <c r="I8" s="491">
        <f t="shared" ref="I8:K8" si="0">$G8</f>
        <v>15845.589039543902</v>
      </c>
      <c r="J8" s="491">
        <f t="shared" si="0"/>
        <v>15845.589039543902</v>
      </c>
      <c r="K8" s="492">
        <f t="shared" si="0"/>
        <v>15845.589039543902</v>
      </c>
    </row>
    <row r="9" spans="2:12" x14ac:dyDescent="0.25">
      <c r="B9" s="52"/>
      <c r="C9" s="167"/>
      <c r="D9" s="167"/>
      <c r="E9" s="167"/>
      <c r="F9" s="167"/>
      <c r="G9" s="493"/>
      <c r="H9" s="493"/>
      <c r="I9" s="493"/>
      <c r="J9" s="493"/>
      <c r="K9" s="493"/>
    </row>
    <row r="10" spans="2:12" x14ac:dyDescent="0.25">
      <c r="B10" s="52" t="s">
        <v>204</v>
      </c>
      <c r="C10" s="167">
        <f>SUM(C11:C12)</f>
        <v>236.71700000000001</v>
      </c>
      <c r="D10" s="167">
        <f t="shared" ref="D10:K10" si="1">SUM(D11:D12)</f>
        <v>59.794150000000002</v>
      </c>
      <c r="E10" s="167">
        <f t="shared" si="1"/>
        <v>10529.907586779453</v>
      </c>
      <c r="F10" s="167">
        <f t="shared" si="1"/>
        <v>4332.0261651243964</v>
      </c>
      <c r="G10" s="167">
        <f t="shared" si="1"/>
        <v>15845.589039543902</v>
      </c>
      <c r="H10" s="167">
        <f t="shared" si="1"/>
        <v>15845.589039543902</v>
      </c>
      <c r="I10" s="167">
        <f t="shared" si="1"/>
        <v>15845.589039543902</v>
      </c>
      <c r="J10" s="167">
        <f t="shared" si="1"/>
        <v>15845.589039543902</v>
      </c>
      <c r="K10" s="167">
        <f t="shared" si="1"/>
        <v>15845.589039543902</v>
      </c>
    </row>
    <row r="11" spans="2:12" x14ac:dyDescent="0.25">
      <c r="B11" s="494" t="s">
        <v>385</v>
      </c>
      <c r="C11" s="167">
        <f>Cost_Recovery!H61</f>
        <v>236.71700000000001</v>
      </c>
      <c r="D11" s="167">
        <f>Cost_Recovery!I61</f>
        <v>59.794150000000002</v>
      </c>
      <c r="E11" s="167">
        <f>5938.2035875*Escalation!$K8</f>
        <v>5716.5451810856794</v>
      </c>
      <c r="F11" s="167">
        <f>F8</f>
        <v>4332.0261651243964</v>
      </c>
      <c r="G11" s="167">
        <f t="shared" ref="G11:K11" si="2">G8</f>
        <v>15845.589039543902</v>
      </c>
      <c r="H11" s="167">
        <f t="shared" si="2"/>
        <v>15845.589039543902</v>
      </c>
      <c r="I11" s="167">
        <f t="shared" si="2"/>
        <v>15845.589039543902</v>
      </c>
      <c r="J11" s="167">
        <f t="shared" si="2"/>
        <v>15845.589039543902</v>
      </c>
      <c r="K11" s="167">
        <f t="shared" si="2"/>
        <v>15845.589039543902</v>
      </c>
    </row>
    <row r="12" spans="2:12" x14ac:dyDescent="0.25">
      <c r="B12" s="494" t="s">
        <v>386</v>
      </c>
      <c r="C12" s="167">
        <f>Cost_Recovery!H51</f>
        <v>0</v>
      </c>
      <c r="D12" s="167">
        <f>Cost_Recovery!I51</f>
        <v>0</v>
      </c>
      <c r="E12" s="167">
        <f>5000*Escalation!K$8</f>
        <v>4813.3624056937733</v>
      </c>
      <c r="F12" s="167"/>
      <c r="G12" s="167"/>
      <c r="H12" s="167"/>
      <c r="I12" s="167"/>
      <c r="J12" s="167"/>
      <c r="K12" s="167"/>
    </row>
    <row r="13" spans="2:12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2:12" x14ac:dyDescent="0.25">
      <c r="B14" s="209" t="s">
        <v>387</v>
      </c>
      <c r="C14" s="379">
        <f>C8-C10</f>
        <v>-236.71700000000001</v>
      </c>
      <c r="D14" s="379">
        <f t="shared" ref="D14:K14" si="3">D8-D10</f>
        <v>4319.8128438448894</v>
      </c>
      <c r="E14" s="379">
        <f t="shared" si="3"/>
        <v>-3608.2924473918065</v>
      </c>
      <c r="F14" s="379">
        <f t="shared" si="3"/>
        <v>0</v>
      </c>
      <c r="G14" s="379">
        <f t="shared" si="3"/>
        <v>0</v>
      </c>
      <c r="H14" s="379">
        <f t="shared" si="3"/>
        <v>0</v>
      </c>
      <c r="I14" s="379">
        <f t="shared" si="3"/>
        <v>0</v>
      </c>
      <c r="J14" s="379">
        <f t="shared" si="3"/>
        <v>0</v>
      </c>
      <c r="K14" s="379">
        <f t="shared" si="3"/>
        <v>0</v>
      </c>
    </row>
    <row r="15" spans="2:12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2:12" x14ac:dyDescent="0.25">
      <c r="B16" s="52" t="s">
        <v>388</v>
      </c>
      <c r="C16" s="178">
        <v>0</v>
      </c>
      <c r="D16" s="178">
        <v>0</v>
      </c>
      <c r="E16" s="178">
        <v>1</v>
      </c>
      <c r="F16" s="178">
        <v>1</v>
      </c>
      <c r="G16" s="178">
        <v>1</v>
      </c>
      <c r="H16" s="178">
        <v>1</v>
      </c>
      <c r="I16" s="178">
        <v>1</v>
      </c>
      <c r="J16" s="178">
        <v>1</v>
      </c>
      <c r="K16" s="178">
        <v>1</v>
      </c>
    </row>
    <row r="18" spans="2:11" x14ac:dyDescent="0.25">
      <c r="B18" s="3"/>
      <c r="G18" s="52"/>
      <c r="H18" s="52"/>
      <c r="I18" s="52"/>
      <c r="J18" s="52"/>
      <c r="K18" s="52"/>
    </row>
    <row r="19" spans="2:11" x14ac:dyDescent="0.25">
      <c r="G19" s="379"/>
      <c r="H19" s="52"/>
      <c r="I19" s="52"/>
      <c r="J19" s="52"/>
      <c r="K19" s="52"/>
    </row>
    <row r="20" spans="2:11" x14ac:dyDescent="0.25">
      <c r="G20" s="52"/>
      <c r="H20" s="52"/>
      <c r="I20" s="52"/>
      <c r="J20" s="52"/>
      <c r="K20" s="5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D764640DCAB4BA9ED62F0782D91CF" ma:contentTypeVersion="12" ma:contentTypeDescription="Create a new document." ma:contentTypeScope="" ma:versionID="210c3fccee18fefade404d8bb91d4c6a">
  <xsd:schema xmlns:xsd="http://www.w3.org/2001/XMLSchema" xmlns:xs="http://www.w3.org/2001/XMLSchema" xmlns:p="http://schemas.microsoft.com/office/2006/metadata/properties" xmlns:ns3="32d2fb17-4728-4018-b5d0-4d4d2a15d7ae" xmlns:ns4="83c2e568-c785-4033-82bf-0046c7f117c2" targetNamespace="http://schemas.microsoft.com/office/2006/metadata/properties" ma:root="true" ma:fieldsID="c3561d535ae5fe6e79541b8e73d684e3" ns3:_="" ns4:_="">
    <xsd:import namespace="32d2fb17-4728-4018-b5d0-4d4d2a15d7ae"/>
    <xsd:import namespace="83c2e568-c785-4033-82bf-0046c7f117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2fb17-4728-4018-b5d0-4d4d2a15d7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2e568-c785-4033-82bf-0046c7f117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2D3E0E-00F5-40C4-ACDE-9FA54B7F8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d2fb17-4728-4018-b5d0-4d4d2a15d7ae"/>
    <ds:schemaRef ds:uri="83c2e568-c785-4033-82bf-0046c7f11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7E2ECF-08FF-42E3-8FDC-3A3938CEF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8C231-04B1-4DDA-A51F-4ACED7D1B8A5}">
  <ds:schemaRefs>
    <ds:schemaRef ds:uri="32d2fb17-4728-4018-b5d0-4d4d2a15d7a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3c2e568-c785-4033-82bf-0046c7f117c2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6</vt:i4>
      </vt:variant>
    </vt:vector>
  </HeadingPairs>
  <TitlesOfParts>
    <vt:vector size="36" baseType="lpstr">
      <vt:lpstr>Contents</vt:lpstr>
      <vt:lpstr>Escalation</vt:lpstr>
      <vt:lpstr>Assumptions</vt:lpstr>
      <vt:lpstr>Allocations</vt:lpstr>
      <vt:lpstr>Connections</vt:lpstr>
      <vt:lpstr>2015-19_Actuals</vt:lpstr>
      <vt:lpstr>Capex_ActualCY18</vt:lpstr>
      <vt:lpstr>Capex_ActualCY19</vt:lpstr>
      <vt:lpstr>Co-Gen F'cast</vt:lpstr>
      <vt:lpstr>Capex_Fcast_Direct</vt:lpstr>
      <vt:lpstr>Other_codes</vt:lpstr>
      <vt:lpstr>Downer Support</vt:lpstr>
      <vt:lpstr>Capex_Fcast_Total</vt:lpstr>
      <vt:lpstr>Cost_Recovery</vt:lpstr>
      <vt:lpstr>Contr_Fcast</vt:lpstr>
      <vt:lpstr>Summary_Output</vt:lpstr>
      <vt:lpstr>RFM_PTRM Input</vt:lpstr>
      <vt:lpstr>Charts--&gt;</vt:lpstr>
      <vt:lpstr>SCS_Total</vt:lpstr>
      <vt:lpstr>SCS_excl Gifted+Co Gen</vt:lpstr>
      <vt:lpstr>Gifted I&amp;C</vt:lpstr>
      <vt:lpstr>Large Co Gen</vt:lpstr>
      <vt:lpstr>RIN_Outputs</vt:lpstr>
      <vt:lpstr>2.17-2.18 CapCons</vt:lpstr>
      <vt:lpstr>2.5 Connections</vt:lpstr>
      <vt:lpstr>Direct_view</vt:lpstr>
      <vt:lpstr>CapCon_view</vt:lpstr>
      <vt:lpstr>Historical_CY</vt:lpstr>
      <vt:lpstr>2.5.3 Volumes</vt:lpstr>
      <vt:lpstr>4.3 Connections</vt:lpstr>
      <vt:lpstr>CPI_adj_Jun21</vt:lpstr>
      <vt:lpstr>Connections!Print_Area</vt:lpstr>
      <vt:lpstr>Contr_Fcast!Print_Area</vt:lpstr>
      <vt:lpstr>Summary_Output!Print_Area</vt:lpstr>
      <vt:lpstr>Summary_Output!Print_Titles</vt:lpstr>
      <vt:lpstr>Thousands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Ian McNicol</cp:lastModifiedBy>
  <cp:lastPrinted>2018-06-07T03:23:08Z</cp:lastPrinted>
  <dcterms:created xsi:type="dcterms:W3CDTF">2015-01-14T04:19:31Z</dcterms:created>
  <dcterms:modified xsi:type="dcterms:W3CDTF">2020-12-14T03:01:08Z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0x01010057BD764640DCAB4BA9ED62F0782D91CF</vt:lpwstr>
  </property>
</Properties>
</file>