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 tabRatio="774"/>
  </bookViews>
  <sheets>
    <sheet name="Summary" sheetId="15" r:id="rId1"/>
    <sheet name="Actual KLO RAB" sheetId="13" r:id="rId2"/>
    <sheet name="SL Depn_Act_Capex" sheetId="12" r:id="rId3"/>
    <sheet name="KLO - Direct_(IR004A)" sheetId="16" r:id="rId4"/>
    <sheet name="KLO - Total_(IR004A)" sheetId="14" r:id="rId5"/>
    <sheet name="Forecast KLO RAB" sheetId="10" r:id="rId6"/>
    <sheet name="SL Depn_Fcst_Capex" sheetId="11" r:id="rId7"/>
    <sheet name="Capex_Allowance" sheetId="4" r:id="rId8"/>
    <sheet name="CPA3 - $2015" sheetId="1" r:id="rId9"/>
    <sheet name="Capex by Asset class" sheetId="7" r:id="rId10"/>
    <sheet name="1. Allowances (IR004)" sheetId="5" r:id="rId11"/>
    <sheet name="CPA3 labour esc" sheetId="9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anscount" hidden="1">1</definedName>
    <definedName name="AS2DocOpenMode" hidden="1">"AS2DocumentBrowse"</definedName>
    <definedName name="AS2NamedRange" hidden="1">2</definedName>
    <definedName name="CRCP_span">CONCATENATE(CRCP_y1, " to ",CRCP_y5)</definedName>
    <definedName name="data_source" hidden="1">"svc-tm1f_test"</definedName>
    <definedName name="DME_DocumentFlags" hidden="1">"1"</definedName>
    <definedName name="DME_DocumentID" hidden="1">"::ODMA\DME-MSE\TAF0001-80275"</definedName>
    <definedName name="DME_DocumentOpened" hidden="1">"True"</definedName>
    <definedName name="DME_DocumentTitle" hidden="1">"TAF0001-80275 - CSAC_2005_v2.0"</definedName>
    <definedName name="DME_LocalFile" hidden="1">"False"</definedName>
    <definedName name="DME_NextWindowNumber" hidden="1">"2"</definedName>
    <definedName name="EPMWorkbookOptions_1" hidden="1">"dgEAAB|LCAAAAAAABADsvQdgHEmWJSYvbcp7f0r1StfgdKEIgGATJNiQQBDswYjN5pLsHWlHIymrKoHKZVZlXWYWQMztnbz33nvvvffee||997o7nU4n99//P1xmZAFs9s5K2smeIYCqyB8/fnwfPyIe/x7vFmV6mddNUS0/|2h3vPNRmi|n1axYXnz20bo939799KPf4|g3Th5/t6rfTqrq7Zerlpo2Kb23bB69a4rPPpq37erR3btXV1fjq3v"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"jqr64u7ezs3v39/7i|evpPF9k28WyabPlNP/IvjW7|a2PqNc0ffwqP6/zZv7l8stVvjw6z8omf3w3/JDbnZR5Vj/N2uzL5evsMjctux9zWzOWl3XV5tM2n5nW/S/C9lez9K58dNb8ZFYX2aTMv8jrCweh9zmRzoJV2h39PwEAAP//jmH/WXYBAAA="</definedName>
    <definedName name="Err_Chk_101_Hdg" hidden="1">"Interest Expense not equal to Cash Interest"</definedName>
    <definedName name="Err_Chk_102_Hdg" hidden="1">"Interest Expense not equal to Cash Interest"</definedName>
    <definedName name="Err_Chk_125_Hdg" hidden="1">"Interest Expense not equal to Cash Interest"</definedName>
    <definedName name="Err_Chk_133_Hdg" hidden="1">"Interest Expense not equal to Cash Interest"</definedName>
    <definedName name="Err_Chk_136_Hdg" hidden="1">"Interest Expense not equal to Cash Interest"</definedName>
    <definedName name="Err_Chk_141_Hdg" hidden="1">"Interest Expense not equal to Cash Interest"</definedName>
    <definedName name="Err_Chk_142_Hdg" hidden="1">"Interest Expense not equal to Cash Interest"</definedName>
    <definedName name="Err_Chk_15_Hdg" hidden="1">"ROE Analysis"</definedName>
    <definedName name="Err_Chk_39_Hdg" hidden="1">"Hedging shortfall/surplus"</definedName>
    <definedName name="Err_Chk_79_Hdg" hidden="1">"Interest Expense not equal to Cash Interest"</definedName>
    <definedName name="Err_Chk_92_Hdg" hidden="1">"Interest Expense not equal to Cash Interest"</definedName>
    <definedName name="Err_Chk_93_Hdg" hidden="1">"Row(s) added to Gas Reg Revenue"</definedName>
    <definedName name="Err_Chk_94_Hdg" hidden="1">"P0 Gas did not run"</definedName>
    <definedName name="FRCP_span">CONCATENATE(FRCP_y1, " to ", FRCP_y5)</definedName>
    <definedName name="map_company">{"All Companies","All Companies";"Distribution","152";"Transmission","203";"Gas","153"}</definedName>
    <definedName name="map_company_1">{"All Companies","All Companies";"Distribution","152";"Transmission","203";"Gas","153"}</definedName>
    <definedName name="MdoLsk" hidden="1">"KJMs1AEjllIjOV118uBypWrBa5tvuxg1vw2uHToHRhHYiZyQPyiSVF+h/vR75EWe"</definedName>
    <definedName name="MdoLuin" hidden="1">"36"</definedName>
    <definedName name="MdoStgs" hidden="1">"{0C69A3FD-6BE4-40F1-BFD0-77743C0B016A}"</definedName>
    <definedName name="TableName">"Dummy"</definedName>
    <definedName name="TBXRCK" hidden="1">"53|11757824,1|0,52|6780672,51|4204747,49|6697881,55|7929855,11|12632256,56|16777215"</definedName>
    <definedName name="TM1REBUILDOPTION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0" l="1"/>
  <c r="G7" i="10"/>
  <c r="F7" i="10"/>
  <c r="E7" i="10"/>
  <c r="D7" i="10"/>
  <c r="C7" i="10"/>
  <c r="H7" i="13"/>
  <c r="G7" i="13"/>
  <c r="F7" i="13"/>
  <c r="E7" i="13"/>
  <c r="D7" i="13"/>
  <c r="C7" i="13"/>
  <c r="H1" i="14"/>
  <c r="H11" i="14"/>
  <c r="H10" i="14"/>
  <c r="H9" i="14"/>
  <c r="H8" i="14"/>
  <c r="H7" i="14"/>
  <c r="E33" i="1"/>
  <c r="T24" i="1"/>
  <c r="AC24" i="1"/>
  <c r="AL24" i="1"/>
  <c r="AU24" i="1"/>
  <c r="I24" i="1"/>
  <c r="J20" i="4"/>
  <c r="T25" i="1"/>
  <c r="AC25" i="1"/>
  <c r="AL25" i="1"/>
  <c r="AU25" i="1"/>
  <c r="I25" i="1"/>
  <c r="J21" i="4"/>
  <c r="T26" i="1"/>
  <c r="AC26" i="1"/>
  <c r="AL26" i="1"/>
  <c r="AU26" i="1"/>
  <c r="I26" i="1"/>
  <c r="J22" i="4"/>
  <c r="T27" i="1"/>
  <c r="AC27" i="1"/>
  <c r="AL27" i="1"/>
  <c r="AU27" i="1"/>
  <c r="I27" i="1"/>
  <c r="J23" i="4"/>
  <c r="T28" i="1"/>
  <c r="AC28" i="1"/>
  <c r="AL28" i="1"/>
  <c r="AU28" i="1"/>
  <c r="I28" i="1"/>
  <c r="J24" i="4"/>
  <c r="T29" i="1"/>
  <c r="AC29" i="1"/>
  <c r="AL29" i="1"/>
  <c r="AU29" i="1"/>
  <c r="I29" i="1"/>
  <c r="J25" i="4"/>
  <c r="T30" i="1"/>
  <c r="AC30" i="1"/>
  <c r="AL30" i="1"/>
  <c r="AU30" i="1"/>
  <c r="I30" i="1"/>
  <c r="J26" i="4"/>
  <c r="J27" i="4"/>
  <c r="J28" i="4"/>
  <c r="S24" i="1"/>
  <c r="AB24" i="1"/>
  <c r="AK24" i="1"/>
  <c r="AT24" i="1"/>
  <c r="H24" i="1"/>
  <c r="I20" i="4"/>
  <c r="S25" i="1"/>
  <c r="AB25" i="1"/>
  <c r="AK25" i="1"/>
  <c r="AT25" i="1"/>
  <c r="H25" i="1"/>
  <c r="I21" i="4"/>
  <c r="S26" i="1"/>
  <c r="AB26" i="1"/>
  <c r="AK26" i="1"/>
  <c r="AT26" i="1"/>
  <c r="H26" i="1"/>
  <c r="I22" i="4"/>
  <c r="S27" i="1"/>
  <c r="AB27" i="1"/>
  <c r="AK27" i="1"/>
  <c r="AT27" i="1"/>
  <c r="H27" i="1"/>
  <c r="I23" i="4"/>
  <c r="S28" i="1"/>
  <c r="AB28" i="1"/>
  <c r="AK28" i="1"/>
  <c r="AT28" i="1"/>
  <c r="H28" i="1"/>
  <c r="I24" i="4"/>
  <c r="S29" i="1"/>
  <c r="AB29" i="1"/>
  <c r="AK29" i="1"/>
  <c r="AT29" i="1"/>
  <c r="H29" i="1"/>
  <c r="I25" i="4"/>
  <c r="S30" i="1"/>
  <c r="AB30" i="1"/>
  <c r="AK30" i="1"/>
  <c r="AT30" i="1"/>
  <c r="H30" i="1"/>
  <c r="I26" i="4"/>
  <c r="I27" i="4"/>
  <c r="I28" i="4"/>
  <c r="H14" i="14"/>
  <c r="G14" i="14"/>
  <c r="F14" i="14"/>
  <c r="E14" i="14"/>
  <c r="D14" i="14"/>
  <c r="H14" i="16"/>
  <c r="G14" i="16"/>
  <c r="F14" i="16"/>
  <c r="E14" i="16"/>
  <c r="D14" i="16"/>
  <c r="O7" i="15"/>
  <c r="N7" i="15"/>
  <c r="M7" i="15"/>
  <c r="H16" i="14"/>
  <c r="D16" i="14"/>
  <c r="E16" i="14"/>
  <c r="F16" i="14"/>
  <c r="G16" i="14"/>
  <c r="I16" i="14"/>
  <c r="G16" i="16"/>
  <c r="F16" i="16"/>
  <c r="E16" i="16"/>
  <c r="I6" i="15"/>
  <c r="D16" i="16"/>
  <c r="C5" i="4"/>
  <c r="C8" i="10"/>
  <c r="D8" i="10"/>
  <c r="E8" i="10"/>
  <c r="F8" i="10"/>
  <c r="G8" i="10"/>
  <c r="H8" i="10"/>
  <c r="C16" i="10"/>
  <c r="D5" i="4"/>
  <c r="D16" i="10"/>
  <c r="E5" i="4"/>
  <c r="E16" i="10"/>
  <c r="F5" i="4"/>
  <c r="F16" i="10"/>
  <c r="G5" i="4"/>
  <c r="G16" i="10"/>
  <c r="H5" i="4"/>
  <c r="H16" i="10"/>
  <c r="I5" i="4"/>
  <c r="I3" i="10"/>
  <c r="I16" i="10"/>
  <c r="C15" i="10"/>
  <c r="C17" i="10"/>
  <c r="D14" i="10"/>
  <c r="D15" i="10"/>
  <c r="D17" i="10"/>
  <c r="E14" i="10"/>
  <c r="E15" i="10"/>
  <c r="E17" i="10"/>
  <c r="F14" i="10"/>
  <c r="F15" i="10"/>
  <c r="F17" i="10"/>
  <c r="G14" i="10"/>
  <c r="G15" i="10"/>
  <c r="G17" i="10"/>
  <c r="H14" i="10"/>
  <c r="H15" i="10"/>
  <c r="H17" i="10"/>
  <c r="I14" i="10"/>
  <c r="I15" i="10"/>
  <c r="I17" i="10"/>
  <c r="J14" i="10"/>
  <c r="J3" i="10"/>
  <c r="J16" i="10"/>
  <c r="J15" i="10"/>
  <c r="J17" i="10"/>
  <c r="K14" i="10"/>
  <c r="K3" i="10"/>
  <c r="K16" i="10"/>
  <c r="K15" i="10"/>
  <c r="K17" i="10"/>
  <c r="L14" i="10"/>
  <c r="J5" i="4"/>
  <c r="L3" i="10"/>
  <c r="L16" i="10"/>
  <c r="M3" i="10"/>
  <c r="M16" i="10"/>
  <c r="O16" i="10"/>
  <c r="P16" i="10" a="1"/>
  <c r="P16" i="10"/>
  <c r="I8" i="14"/>
  <c r="D17" i="14"/>
  <c r="D6" i="12"/>
  <c r="C16" i="13"/>
  <c r="E16" i="13"/>
  <c r="G17" i="14"/>
  <c r="G6" i="12"/>
  <c r="F16" i="13"/>
  <c r="H17" i="14"/>
  <c r="H6" i="12"/>
  <c r="Q18" i="12"/>
  <c r="F17" i="14"/>
  <c r="F6" i="12"/>
  <c r="N16" i="12"/>
  <c r="H18" i="14"/>
  <c r="H30" i="12"/>
  <c r="F18" i="14"/>
  <c r="F30" i="12"/>
  <c r="M16" i="12"/>
  <c r="L16" i="12"/>
  <c r="L17" i="12"/>
  <c r="J14" i="12"/>
  <c r="J16" i="12"/>
  <c r="I16" i="12"/>
  <c r="I17" i="12"/>
  <c r="C15" i="13"/>
  <c r="M3" i="13"/>
  <c r="L3" i="13"/>
  <c r="K3" i="13"/>
  <c r="J3" i="13"/>
  <c r="I3" i="13"/>
  <c r="H16" i="16"/>
  <c r="C3" i="10"/>
  <c r="D1" i="12"/>
  <c r="D3" i="10"/>
  <c r="E1" i="12"/>
  <c r="E3" i="10"/>
  <c r="F1" i="12"/>
  <c r="F3" i="10"/>
  <c r="G1" i="12"/>
  <c r="G3" i="10"/>
  <c r="H1" i="12"/>
  <c r="H3" i="13"/>
  <c r="G4" i="13"/>
  <c r="G3" i="13"/>
  <c r="F4" i="13"/>
  <c r="F3" i="13"/>
  <c r="E4" i="13"/>
  <c r="E3" i="13"/>
  <c r="D4" i="13"/>
  <c r="D3" i="13"/>
  <c r="C4" i="13"/>
  <c r="C3" i="13"/>
  <c r="C19" i="13"/>
  <c r="H3" i="10"/>
  <c r="G4" i="10"/>
  <c r="F4" i="10"/>
  <c r="E4" i="10"/>
  <c r="D4" i="10"/>
  <c r="C4" i="10"/>
  <c r="D1" i="11"/>
  <c r="D6" i="11"/>
  <c r="E14" i="11"/>
  <c r="E23" i="11"/>
  <c r="D30" i="11"/>
  <c r="E38" i="11"/>
  <c r="E47" i="11"/>
  <c r="D54" i="11"/>
  <c r="E62" i="11"/>
  <c r="E71" i="11"/>
  <c r="F14" i="11"/>
  <c r="E1" i="11"/>
  <c r="E6" i="11"/>
  <c r="F15" i="11"/>
  <c r="F23" i="11"/>
  <c r="F38" i="11"/>
  <c r="E30" i="11"/>
  <c r="F39" i="11"/>
  <c r="F47" i="11"/>
  <c r="F62" i="11"/>
  <c r="E54" i="11"/>
  <c r="F63" i="11"/>
  <c r="F71" i="11"/>
  <c r="G14" i="11"/>
  <c r="G15" i="11"/>
  <c r="F1" i="11"/>
  <c r="F6" i="11"/>
  <c r="G16" i="11"/>
  <c r="G23" i="11"/>
  <c r="G38" i="11"/>
  <c r="G39" i="11"/>
  <c r="F30" i="11"/>
  <c r="G40" i="11"/>
  <c r="G47" i="11"/>
  <c r="G62" i="11"/>
  <c r="G63" i="11"/>
  <c r="F54" i="11"/>
  <c r="G64" i="11"/>
  <c r="G71" i="11"/>
  <c r="H14" i="11"/>
  <c r="H15" i="11"/>
  <c r="H16" i="11"/>
  <c r="G1" i="11"/>
  <c r="G6" i="11"/>
  <c r="H17" i="11"/>
  <c r="H23" i="11"/>
  <c r="H38" i="11"/>
  <c r="H39" i="11"/>
  <c r="H40" i="11"/>
  <c r="G30" i="11"/>
  <c r="H41" i="11"/>
  <c r="H47" i="11"/>
  <c r="H62" i="11"/>
  <c r="H63" i="11"/>
  <c r="H64" i="11"/>
  <c r="G54" i="11"/>
  <c r="H65" i="11"/>
  <c r="H71" i="11"/>
  <c r="I14" i="11"/>
  <c r="I15" i="11"/>
  <c r="I16" i="11"/>
  <c r="I17" i="11"/>
  <c r="H1" i="11"/>
  <c r="H6" i="11"/>
  <c r="I18" i="11"/>
  <c r="I23" i="11"/>
  <c r="I38" i="11"/>
  <c r="I39" i="11"/>
  <c r="I40" i="11"/>
  <c r="I41" i="11"/>
  <c r="H30" i="11"/>
  <c r="I42" i="11"/>
  <c r="I47" i="11"/>
  <c r="I62" i="11"/>
  <c r="I63" i="11"/>
  <c r="I64" i="11"/>
  <c r="I65" i="11"/>
  <c r="H54" i="11"/>
  <c r="I66" i="11"/>
  <c r="I71" i="11"/>
  <c r="H22" i="10" a="1"/>
  <c r="H22" i="10"/>
  <c r="D19" i="10"/>
  <c r="E19" i="10"/>
  <c r="F19" i="10"/>
  <c r="G19" i="10"/>
  <c r="H19" i="10"/>
  <c r="G30" i="7"/>
  <c r="G41" i="7"/>
  <c r="H41" i="7"/>
  <c r="G31" i="7"/>
  <c r="G42" i="7"/>
  <c r="H42" i="7"/>
  <c r="G32" i="7"/>
  <c r="G43" i="7"/>
  <c r="H43" i="7"/>
  <c r="G35" i="7"/>
  <c r="G46" i="7"/>
  <c r="H46" i="7"/>
  <c r="H47" i="7"/>
  <c r="G47" i="7"/>
  <c r="F30" i="7"/>
  <c r="F41" i="7"/>
  <c r="F31" i="7"/>
  <c r="F42" i="7"/>
  <c r="F32" i="7"/>
  <c r="F43" i="7"/>
  <c r="F35" i="7"/>
  <c r="F46" i="7"/>
  <c r="F47" i="7"/>
  <c r="F44" i="7"/>
  <c r="G44" i="7"/>
  <c r="H44" i="7"/>
  <c r="F45" i="7"/>
  <c r="G45" i="7"/>
  <c r="H45" i="7"/>
  <c r="Q25" i="1"/>
  <c r="Z25" i="1"/>
  <c r="AI25" i="1"/>
  <c r="AR25" i="1"/>
  <c r="R25" i="1"/>
  <c r="AA25" i="1"/>
  <c r="AJ25" i="1"/>
  <c r="AS25" i="1"/>
  <c r="G25" i="1"/>
  <c r="G21" i="4"/>
  <c r="H21" i="4"/>
  <c r="N24" i="1"/>
  <c r="W24" i="1"/>
  <c r="AF24" i="1"/>
  <c r="AO24" i="1"/>
  <c r="C24" i="1"/>
  <c r="C20" i="4"/>
  <c r="N25" i="1"/>
  <c r="W25" i="1"/>
  <c r="AF25" i="1"/>
  <c r="AO25" i="1"/>
  <c r="C25" i="1"/>
  <c r="C21" i="4"/>
  <c r="N26" i="1"/>
  <c r="W26" i="1"/>
  <c r="AF26" i="1"/>
  <c r="AO26" i="1"/>
  <c r="C26" i="1"/>
  <c r="C22" i="4"/>
  <c r="N27" i="1"/>
  <c r="W27" i="1"/>
  <c r="AF27" i="1"/>
  <c r="AO27" i="1"/>
  <c r="C27" i="1"/>
  <c r="C23" i="4"/>
  <c r="N28" i="1"/>
  <c r="W28" i="1"/>
  <c r="AF28" i="1"/>
  <c r="AO28" i="1"/>
  <c r="C28" i="1"/>
  <c r="C24" i="4"/>
  <c r="N29" i="1"/>
  <c r="W29" i="1"/>
  <c r="AF29" i="1"/>
  <c r="AO29" i="1"/>
  <c r="C29" i="1"/>
  <c r="C25" i="4"/>
  <c r="N30" i="1"/>
  <c r="W30" i="1"/>
  <c r="AF30" i="1"/>
  <c r="AO30" i="1"/>
  <c r="C30" i="1"/>
  <c r="C26" i="4"/>
  <c r="C27" i="4"/>
  <c r="O24" i="1"/>
  <c r="X24" i="1"/>
  <c r="AG24" i="1"/>
  <c r="AP24" i="1"/>
  <c r="D24" i="1"/>
  <c r="D20" i="4"/>
  <c r="P24" i="1"/>
  <c r="Y24" i="1"/>
  <c r="AH24" i="1"/>
  <c r="AQ24" i="1"/>
  <c r="E24" i="1"/>
  <c r="E20" i="4"/>
  <c r="Q24" i="1"/>
  <c r="Z24" i="1"/>
  <c r="AI24" i="1"/>
  <c r="AR24" i="1"/>
  <c r="F24" i="1"/>
  <c r="F20" i="4"/>
  <c r="R24" i="1"/>
  <c r="AA24" i="1"/>
  <c r="AJ24" i="1"/>
  <c r="AS24" i="1"/>
  <c r="G24" i="1"/>
  <c r="G20" i="4"/>
  <c r="H20" i="4"/>
  <c r="O25" i="1"/>
  <c r="X25" i="1"/>
  <c r="AG25" i="1"/>
  <c r="AP25" i="1"/>
  <c r="P25" i="1"/>
  <c r="Y25" i="1"/>
  <c r="AH25" i="1"/>
  <c r="AQ25" i="1"/>
  <c r="AQ26" i="1"/>
  <c r="AQ27" i="1"/>
  <c r="AQ28" i="1"/>
  <c r="AQ29" i="1"/>
  <c r="AQ30" i="1"/>
  <c r="AQ31" i="1"/>
  <c r="O26" i="1"/>
  <c r="X26" i="1"/>
  <c r="AG26" i="1"/>
  <c r="AP26" i="1"/>
  <c r="D26" i="1"/>
  <c r="D22" i="4"/>
  <c r="P26" i="1"/>
  <c r="Y26" i="1"/>
  <c r="AH26" i="1"/>
  <c r="E26" i="1"/>
  <c r="E22" i="4"/>
  <c r="Q26" i="1"/>
  <c r="Z26" i="1"/>
  <c r="AI26" i="1"/>
  <c r="AR26" i="1"/>
  <c r="F26" i="1"/>
  <c r="F22" i="4"/>
  <c r="R26" i="1"/>
  <c r="AA26" i="1"/>
  <c r="AJ26" i="1"/>
  <c r="AS26" i="1"/>
  <c r="AS27" i="1"/>
  <c r="AS28" i="1"/>
  <c r="AS29" i="1"/>
  <c r="AS30" i="1"/>
  <c r="AS31" i="1"/>
  <c r="G26" i="1"/>
  <c r="G22" i="4"/>
  <c r="H22" i="4"/>
  <c r="O27" i="1"/>
  <c r="X27" i="1"/>
  <c r="AG27" i="1"/>
  <c r="AP27" i="1"/>
  <c r="D27" i="1"/>
  <c r="D23" i="4"/>
  <c r="P27" i="1"/>
  <c r="Y27" i="1"/>
  <c r="AH27" i="1"/>
  <c r="Q27" i="1"/>
  <c r="Z27" i="1"/>
  <c r="AI27" i="1"/>
  <c r="AR27" i="1"/>
  <c r="F27" i="1"/>
  <c r="F23" i="4"/>
  <c r="R27" i="1"/>
  <c r="AA27" i="1"/>
  <c r="AJ27" i="1"/>
  <c r="G27" i="1"/>
  <c r="G23" i="4"/>
  <c r="H23" i="4"/>
  <c r="O28" i="1"/>
  <c r="X28" i="1"/>
  <c r="X29" i="1"/>
  <c r="X30" i="1"/>
  <c r="X31" i="1"/>
  <c r="AG28" i="1"/>
  <c r="AP28" i="1"/>
  <c r="P28" i="1"/>
  <c r="Y28" i="1"/>
  <c r="AH28" i="1"/>
  <c r="Q28" i="1"/>
  <c r="Z28" i="1"/>
  <c r="AI28" i="1"/>
  <c r="AI29" i="1"/>
  <c r="AI30" i="1"/>
  <c r="AI31" i="1"/>
  <c r="AR28" i="1"/>
  <c r="R28" i="1"/>
  <c r="AA28" i="1"/>
  <c r="AJ28" i="1"/>
  <c r="G28" i="1"/>
  <c r="G24" i="4"/>
  <c r="H24" i="4"/>
  <c r="O29" i="1"/>
  <c r="AG29" i="1"/>
  <c r="AP29" i="1"/>
  <c r="D29" i="1"/>
  <c r="P29" i="1"/>
  <c r="Y29" i="1"/>
  <c r="AH29" i="1"/>
  <c r="E29" i="1"/>
  <c r="E25" i="4"/>
  <c r="Q29" i="1"/>
  <c r="Z29" i="1"/>
  <c r="AR29" i="1"/>
  <c r="F29" i="1"/>
  <c r="F25" i="4"/>
  <c r="R29" i="1"/>
  <c r="AA29" i="1"/>
  <c r="AJ29" i="1"/>
  <c r="G29" i="1"/>
  <c r="G25" i="4"/>
  <c r="H25" i="4"/>
  <c r="O30" i="1"/>
  <c r="AG30" i="1"/>
  <c r="AP30" i="1"/>
  <c r="P30" i="1"/>
  <c r="Y30" i="1"/>
  <c r="AH30" i="1"/>
  <c r="E30" i="1"/>
  <c r="E26" i="4"/>
  <c r="Q30" i="1"/>
  <c r="Z30" i="1"/>
  <c r="AR30" i="1"/>
  <c r="F30" i="1"/>
  <c r="F26" i="4"/>
  <c r="R30" i="1"/>
  <c r="AA30" i="1"/>
  <c r="AJ30" i="1"/>
  <c r="G30" i="1"/>
  <c r="G26" i="4"/>
  <c r="H26" i="4"/>
  <c r="P7" i="15"/>
  <c r="C8" i="13"/>
  <c r="D8" i="13"/>
  <c r="E8" i="13"/>
  <c r="F8" i="13"/>
  <c r="G8" i="13"/>
  <c r="H8" i="13"/>
  <c r="M1" i="15"/>
  <c r="H4" i="15"/>
  <c r="I4" i="15"/>
  <c r="J4" i="15"/>
  <c r="K4" i="15"/>
  <c r="L4" i="15"/>
  <c r="M4" i="15"/>
  <c r="N4" i="15"/>
  <c r="O4" i="15"/>
  <c r="P4" i="15"/>
  <c r="P12" i="15"/>
  <c r="H6" i="15"/>
  <c r="J6" i="15"/>
  <c r="J8" i="15"/>
  <c r="J10" i="15"/>
  <c r="K6" i="15"/>
  <c r="K8" i="15"/>
  <c r="K10" i="15"/>
  <c r="L6" i="15"/>
  <c r="L8" i="15"/>
  <c r="L10" i="15"/>
  <c r="O8" i="15"/>
  <c r="O10" i="15"/>
  <c r="N8" i="15"/>
  <c r="N10" i="15"/>
  <c r="M8" i="15"/>
  <c r="M10" i="15"/>
  <c r="H8" i="15"/>
  <c r="H10" i="15"/>
  <c r="I11" i="16"/>
  <c r="I10" i="16"/>
  <c r="I9" i="16"/>
  <c r="I8" i="16"/>
  <c r="I7" i="16"/>
  <c r="H12" i="16"/>
  <c r="I16" i="16"/>
  <c r="G12" i="16"/>
  <c r="D12" i="16"/>
  <c r="E12" i="16"/>
  <c r="F12" i="16"/>
  <c r="I12" i="16"/>
  <c r="C27" i="13"/>
  <c r="C30" i="7"/>
  <c r="C41" i="7"/>
  <c r="C31" i="7"/>
  <c r="C42" i="7"/>
  <c r="C32" i="7"/>
  <c r="C43" i="7"/>
  <c r="D30" i="7"/>
  <c r="D41" i="7"/>
  <c r="D31" i="7"/>
  <c r="D42" i="7"/>
  <c r="D32" i="7"/>
  <c r="D43" i="7"/>
  <c r="E30" i="7"/>
  <c r="E41" i="7"/>
  <c r="E31" i="7"/>
  <c r="E42" i="7"/>
  <c r="E32" i="7"/>
  <c r="E43" i="7"/>
  <c r="C19" i="10"/>
  <c r="I19" i="14"/>
  <c r="H12" i="14"/>
  <c r="I11" i="14"/>
  <c r="I10" i="14"/>
  <c r="I9" i="14"/>
  <c r="D12" i="14"/>
  <c r="E12" i="14"/>
  <c r="F12" i="14"/>
  <c r="G12" i="14"/>
  <c r="N19" i="12"/>
  <c r="N43" i="12"/>
  <c r="N62" i="12"/>
  <c r="N63" i="12"/>
  <c r="N64" i="12"/>
  <c r="N65" i="12"/>
  <c r="N66" i="12"/>
  <c r="N67" i="12"/>
  <c r="N71" i="12"/>
  <c r="M19" i="12"/>
  <c r="M43" i="12"/>
  <c r="M62" i="12"/>
  <c r="M63" i="12"/>
  <c r="M64" i="12"/>
  <c r="M65" i="12"/>
  <c r="M66" i="12"/>
  <c r="M67" i="12"/>
  <c r="M71" i="12"/>
  <c r="L19" i="12"/>
  <c r="L43" i="12"/>
  <c r="L62" i="12"/>
  <c r="L63" i="12"/>
  <c r="L64" i="12"/>
  <c r="L65" i="12"/>
  <c r="L66" i="12"/>
  <c r="L67" i="12"/>
  <c r="L71" i="12"/>
  <c r="K19" i="12"/>
  <c r="K43" i="12"/>
  <c r="K62" i="12"/>
  <c r="K63" i="12"/>
  <c r="K64" i="12"/>
  <c r="K65" i="12"/>
  <c r="K66" i="12"/>
  <c r="K67" i="12"/>
  <c r="K71" i="12"/>
  <c r="J19" i="12"/>
  <c r="J43" i="12"/>
  <c r="J62" i="12"/>
  <c r="J63" i="12"/>
  <c r="J64" i="12"/>
  <c r="J65" i="12"/>
  <c r="J66" i="12"/>
  <c r="J67" i="12"/>
  <c r="J71" i="12"/>
  <c r="I62" i="12"/>
  <c r="I63" i="12"/>
  <c r="I64" i="12"/>
  <c r="I65" i="12"/>
  <c r="I66" i="12"/>
  <c r="I71" i="12"/>
  <c r="H62" i="12"/>
  <c r="H63" i="12"/>
  <c r="H64" i="12"/>
  <c r="H65" i="12"/>
  <c r="H71" i="12"/>
  <c r="G62" i="12"/>
  <c r="G63" i="12"/>
  <c r="G64" i="12"/>
  <c r="G71" i="12"/>
  <c r="F62" i="12"/>
  <c r="F63" i="12"/>
  <c r="F71" i="12"/>
  <c r="E62" i="12"/>
  <c r="E71" i="12"/>
  <c r="I4" i="13"/>
  <c r="J4" i="13"/>
  <c r="BR61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BE62" i="12"/>
  <c r="BF62" i="12"/>
  <c r="BG62" i="12"/>
  <c r="BH62" i="12"/>
  <c r="BI62" i="12"/>
  <c r="BJ62" i="12"/>
  <c r="BK62" i="12"/>
  <c r="BL62" i="12"/>
  <c r="BM62" i="12"/>
  <c r="BN62" i="12"/>
  <c r="BO62" i="12"/>
  <c r="BP62" i="12"/>
  <c r="BR62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BE63" i="12"/>
  <c r="BF63" i="12"/>
  <c r="BG63" i="12"/>
  <c r="BH63" i="12"/>
  <c r="BI63" i="12"/>
  <c r="BJ63" i="12"/>
  <c r="BK63" i="12"/>
  <c r="BL63" i="12"/>
  <c r="BM63" i="12"/>
  <c r="BN63" i="12"/>
  <c r="BO63" i="12"/>
  <c r="BP63" i="12"/>
  <c r="BR63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BE64" i="12"/>
  <c r="BF64" i="12"/>
  <c r="BG64" i="12"/>
  <c r="BH64" i="12"/>
  <c r="BI64" i="12"/>
  <c r="BJ64" i="12"/>
  <c r="BK64" i="12"/>
  <c r="BL64" i="12"/>
  <c r="BM64" i="12"/>
  <c r="BN64" i="12"/>
  <c r="BO64" i="12"/>
  <c r="BP64" i="12"/>
  <c r="BR64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BE65" i="12"/>
  <c r="BF65" i="12"/>
  <c r="BG65" i="12"/>
  <c r="BH65" i="12"/>
  <c r="BI65" i="12"/>
  <c r="BJ65" i="12"/>
  <c r="BK65" i="12"/>
  <c r="BL65" i="12"/>
  <c r="BM65" i="12"/>
  <c r="BN65" i="12"/>
  <c r="BO65" i="12"/>
  <c r="BP65" i="12"/>
  <c r="BR65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BE66" i="12"/>
  <c r="BF66" i="12"/>
  <c r="BG66" i="12"/>
  <c r="BH66" i="12"/>
  <c r="BI66" i="12"/>
  <c r="BJ66" i="12"/>
  <c r="BK66" i="12"/>
  <c r="BL66" i="12"/>
  <c r="BM66" i="12"/>
  <c r="BN66" i="12"/>
  <c r="BO66" i="12"/>
  <c r="BP66" i="12"/>
  <c r="BQ66" i="12"/>
  <c r="BR66" i="12"/>
  <c r="I1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BE67" i="12"/>
  <c r="BF67" i="12"/>
  <c r="BG67" i="12"/>
  <c r="BH67" i="12"/>
  <c r="BI67" i="12"/>
  <c r="BJ67" i="12"/>
  <c r="BK67" i="12"/>
  <c r="BL67" i="12"/>
  <c r="BM67" i="12"/>
  <c r="BN67" i="12"/>
  <c r="BO67" i="12"/>
  <c r="BP67" i="12"/>
  <c r="BQ67" i="12"/>
  <c r="BR67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D71" i="12"/>
  <c r="BS67" i="12"/>
  <c r="BS66" i="12"/>
  <c r="BS65" i="12"/>
  <c r="BS64" i="12"/>
  <c r="BS63" i="12"/>
  <c r="BS62" i="12"/>
  <c r="B60" i="12"/>
  <c r="BR37" i="12"/>
  <c r="R40" i="12"/>
  <c r="S40" i="12"/>
  <c r="U40" i="12"/>
  <c r="AA40" i="12"/>
  <c r="AB40" i="12"/>
  <c r="AC40" i="12"/>
  <c r="AD40" i="12"/>
  <c r="AI40" i="12"/>
  <c r="AL40" i="12"/>
  <c r="AP40" i="12"/>
  <c r="AQ40" i="12"/>
  <c r="AR40" i="12"/>
  <c r="AT40" i="12"/>
  <c r="AZ40" i="12"/>
  <c r="BA40" i="12"/>
  <c r="BB40" i="12"/>
  <c r="T42" i="12"/>
  <c r="U42" i="12"/>
  <c r="V42" i="12"/>
  <c r="W42" i="12"/>
  <c r="AB42" i="12"/>
  <c r="AE42" i="12"/>
  <c r="AF42" i="12"/>
  <c r="AJ42" i="12"/>
  <c r="AK42" i="12"/>
  <c r="AM42" i="12"/>
  <c r="AS42" i="12"/>
  <c r="AT42" i="12"/>
  <c r="AU42" i="12"/>
  <c r="AV42" i="12"/>
  <c r="BA42" i="12"/>
  <c r="BD42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BE43" i="12"/>
  <c r="BF43" i="12"/>
  <c r="BG43" i="12"/>
  <c r="BH43" i="12"/>
  <c r="BI43" i="12"/>
  <c r="BJ43" i="12"/>
  <c r="BK43" i="12"/>
  <c r="BL43" i="12"/>
  <c r="BM43" i="12"/>
  <c r="BN43" i="12"/>
  <c r="BO43" i="12"/>
  <c r="BP43" i="12"/>
  <c r="BQ43" i="12"/>
  <c r="BR43" i="12"/>
  <c r="D47" i="12"/>
  <c r="BS43" i="12"/>
  <c r="B36" i="12"/>
  <c r="BR13" i="12"/>
  <c r="O14" i="12"/>
  <c r="S14" i="12"/>
  <c r="T14" i="12"/>
  <c r="U14" i="12"/>
  <c r="V14" i="12"/>
  <c r="Y14" i="12"/>
  <c r="AB14" i="12"/>
  <c r="AC14" i="12"/>
  <c r="AD14" i="12"/>
  <c r="AE14" i="12"/>
  <c r="AG14" i="12"/>
  <c r="AJ14" i="12"/>
  <c r="AK14" i="12"/>
  <c r="AL14" i="12"/>
  <c r="AM14" i="12"/>
  <c r="AO14" i="12"/>
  <c r="AR14" i="12"/>
  <c r="AS14" i="12"/>
  <c r="AT14" i="12"/>
  <c r="AU14" i="12"/>
  <c r="AW14" i="12"/>
  <c r="O16" i="12"/>
  <c r="P16" i="12"/>
  <c r="Q16" i="12"/>
  <c r="Y16" i="12"/>
  <c r="AA16" i="12"/>
  <c r="AD16" i="12"/>
  <c r="AE16" i="12"/>
  <c r="AM16" i="12"/>
  <c r="AN16" i="12"/>
  <c r="AO16" i="12"/>
  <c r="AQ16" i="12"/>
  <c r="AY16" i="12"/>
  <c r="O17" i="12"/>
  <c r="P17" i="12"/>
  <c r="Q17" i="12"/>
  <c r="R17" i="12"/>
  <c r="T17" i="12"/>
  <c r="W17" i="12"/>
  <c r="X17" i="12"/>
  <c r="Y17" i="12"/>
  <c r="Z17" i="12"/>
  <c r="AB17" i="12"/>
  <c r="AE17" i="12"/>
  <c r="AF17" i="12"/>
  <c r="AG17" i="12"/>
  <c r="AH17" i="12"/>
  <c r="AJ17" i="12"/>
  <c r="AM17" i="12"/>
  <c r="AN17" i="12"/>
  <c r="AO17" i="12"/>
  <c r="AP17" i="12"/>
  <c r="AR17" i="12"/>
  <c r="AU17" i="12"/>
  <c r="AV17" i="12"/>
  <c r="AW17" i="12"/>
  <c r="AX17" i="12"/>
  <c r="AZ17" i="12"/>
  <c r="R18" i="12"/>
  <c r="S18" i="12"/>
  <c r="X18" i="12"/>
  <c r="AF18" i="12"/>
  <c r="AG18" i="12"/>
  <c r="AI18" i="12"/>
  <c r="AQ18" i="12"/>
  <c r="AS18" i="12"/>
  <c r="AW18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BB19" i="12"/>
  <c r="BC19" i="12"/>
  <c r="BD19" i="12"/>
  <c r="BE19" i="12"/>
  <c r="BF19" i="12"/>
  <c r="BG19" i="12"/>
  <c r="BH19" i="12"/>
  <c r="BI19" i="12"/>
  <c r="BJ19" i="12"/>
  <c r="BK19" i="12"/>
  <c r="BL19" i="12"/>
  <c r="BM19" i="12"/>
  <c r="BN19" i="12"/>
  <c r="BO19" i="12"/>
  <c r="BP19" i="12"/>
  <c r="BQ19" i="12"/>
  <c r="BR19" i="12"/>
  <c r="D23" i="12"/>
  <c r="BS19" i="12"/>
  <c r="B12" i="12"/>
  <c r="N14" i="11"/>
  <c r="N15" i="11"/>
  <c r="N16" i="11"/>
  <c r="N17" i="11"/>
  <c r="N18" i="11"/>
  <c r="I1" i="11"/>
  <c r="I6" i="11"/>
  <c r="N19" i="11"/>
  <c r="N23" i="11"/>
  <c r="N38" i="11"/>
  <c r="N39" i="11"/>
  <c r="N40" i="11"/>
  <c r="N41" i="11"/>
  <c r="N42" i="11"/>
  <c r="I30" i="11"/>
  <c r="N43" i="11"/>
  <c r="N47" i="11"/>
  <c r="N62" i="11"/>
  <c r="N63" i="11"/>
  <c r="N64" i="11"/>
  <c r="N65" i="11"/>
  <c r="N66" i="11"/>
  <c r="I54" i="11"/>
  <c r="N67" i="11"/>
  <c r="N71" i="11"/>
  <c r="M15" i="10"/>
  <c r="M14" i="11"/>
  <c r="M15" i="11"/>
  <c r="M16" i="11"/>
  <c r="M17" i="11"/>
  <c r="M18" i="11"/>
  <c r="M19" i="11"/>
  <c r="M23" i="11"/>
  <c r="M38" i="11"/>
  <c r="M39" i="11"/>
  <c r="M40" i="11"/>
  <c r="M41" i="11"/>
  <c r="M42" i="11"/>
  <c r="M43" i="11"/>
  <c r="M47" i="11"/>
  <c r="M62" i="11"/>
  <c r="M63" i="11"/>
  <c r="M64" i="11"/>
  <c r="M65" i="11"/>
  <c r="M66" i="11"/>
  <c r="M67" i="11"/>
  <c r="M71" i="11"/>
  <c r="L15" i="10"/>
  <c r="L14" i="11"/>
  <c r="L15" i="11"/>
  <c r="L16" i="11"/>
  <c r="L17" i="11"/>
  <c r="L18" i="11"/>
  <c r="L19" i="11"/>
  <c r="L23" i="11"/>
  <c r="L38" i="11"/>
  <c r="L39" i="11"/>
  <c r="L40" i="11"/>
  <c r="L41" i="11"/>
  <c r="L42" i="11"/>
  <c r="L43" i="11"/>
  <c r="L47" i="11"/>
  <c r="L62" i="11"/>
  <c r="L63" i="11"/>
  <c r="L64" i="11"/>
  <c r="L65" i="11"/>
  <c r="L66" i="11"/>
  <c r="L67" i="11"/>
  <c r="L71" i="11"/>
  <c r="K14" i="11"/>
  <c r="K15" i="11"/>
  <c r="K16" i="11"/>
  <c r="K17" i="11"/>
  <c r="K18" i="11"/>
  <c r="K19" i="11"/>
  <c r="K23" i="11"/>
  <c r="K38" i="11"/>
  <c r="K39" i="11"/>
  <c r="K40" i="11"/>
  <c r="K41" i="11"/>
  <c r="K42" i="11"/>
  <c r="K43" i="11"/>
  <c r="K47" i="11"/>
  <c r="K62" i="11"/>
  <c r="K63" i="11"/>
  <c r="K64" i="11"/>
  <c r="K65" i="11"/>
  <c r="K66" i="11"/>
  <c r="K67" i="11"/>
  <c r="K71" i="11"/>
  <c r="J14" i="11"/>
  <c r="J15" i="11"/>
  <c r="J16" i="11"/>
  <c r="J17" i="11"/>
  <c r="J18" i="11"/>
  <c r="J19" i="11"/>
  <c r="J23" i="11"/>
  <c r="J38" i="11"/>
  <c r="J39" i="11"/>
  <c r="J40" i="11"/>
  <c r="J41" i="11"/>
  <c r="J42" i="11"/>
  <c r="J43" i="11"/>
  <c r="J47" i="11"/>
  <c r="J62" i="11"/>
  <c r="J63" i="11"/>
  <c r="J64" i="11"/>
  <c r="J65" i="11"/>
  <c r="J66" i="11"/>
  <c r="J67" i="11"/>
  <c r="J71" i="11"/>
  <c r="BR61" i="11"/>
  <c r="O62" i="11"/>
  <c r="P62" i="11"/>
  <c r="Q62" i="11"/>
  <c r="R62" i="11"/>
  <c r="S62" i="11"/>
  <c r="T62" i="11"/>
  <c r="U62" i="11"/>
  <c r="V62" i="11"/>
  <c r="W62" i="11"/>
  <c r="X62" i="11"/>
  <c r="Y62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BB62" i="11"/>
  <c r="BC62" i="11"/>
  <c r="BD62" i="11"/>
  <c r="BE62" i="11"/>
  <c r="BF62" i="11"/>
  <c r="BG62" i="11"/>
  <c r="BH62" i="11"/>
  <c r="BI62" i="11"/>
  <c r="BJ62" i="11"/>
  <c r="BK62" i="11"/>
  <c r="BL62" i="11"/>
  <c r="BM62" i="11"/>
  <c r="BN62" i="11"/>
  <c r="BO62" i="11"/>
  <c r="BP62" i="11"/>
  <c r="BR62" i="11"/>
  <c r="O63" i="11"/>
  <c r="P63" i="11"/>
  <c r="Q63" i="11"/>
  <c r="R63" i="11"/>
  <c r="S63" i="11"/>
  <c r="T63" i="11"/>
  <c r="U63" i="11"/>
  <c r="V63" i="11"/>
  <c r="W63" i="11"/>
  <c r="X63" i="11"/>
  <c r="Y63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BB63" i="11"/>
  <c r="BC63" i="11"/>
  <c r="BD63" i="11"/>
  <c r="BE63" i="11"/>
  <c r="BF63" i="11"/>
  <c r="BG63" i="11"/>
  <c r="BH63" i="11"/>
  <c r="BI63" i="11"/>
  <c r="BJ63" i="11"/>
  <c r="BK63" i="11"/>
  <c r="BL63" i="11"/>
  <c r="BM63" i="11"/>
  <c r="BN63" i="11"/>
  <c r="BO63" i="11"/>
  <c r="BP63" i="11"/>
  <c r="BR63" i="11"/>
  <c r="O64" i="11"/>
  <c r="P64" i="11"/>
  <c r="Q64" i="11"/>
  <c r="R64" i="11"/>
  <c r="S64" i="11"/>
  <c r="T64" i="11"/>
  <c r="U64" i="11"/>
  <c r="V64" i="11"/>
  <c r="W64" i="11"/>
  <c r="X64" i="11"/>
  <c r="Y64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BB64" i="11"/>
  <c r="BC64" i="11"/>
  <c r="BD64" i="11"/>
  <c r="BE64" i="11"/>
  <c r="BF64" i="11"/>
  <c r="BG64" i="11"/>
  <c r="BH64" i="11"/>
  <c r="BI64" i="11"/>
  <c r="BJ64" i="11"/>
  <c r="BK64" i="11"/>
  <c r="BL64" i="11"/>
  <c r="BM64" i="11"/>
  <c r="BN64" i="11"/>
  <c r="BO64" i="11"/>
  <c r="BP64" i="11"/>
  <c r="BR64" i="11"/>
  <c r="O65" i="11"/>
  <c r="P65" i="11"/>
  <c r="Q65" i="11"/>
  <c r="R65" i="11"/>
  <c r="S65" i="11"/>
  <c r="T65" i="11"/>
  <c r="U65" i="11"/>
  <c r="V65" i="11"/>
  <c r="W65" i="11"/>
  <c r="X65" i="11"/>
  <c r="Y65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BB65" i="11"/>
  <c r="BC65" i="11"/>
  <c r="BD65" i="11"/>
  <c r="BE65" i="11"/>
  <c r="BF65" i="11"/>
  <c r="BG65" i="11"/>
  <c r="BH65" i="11"/>
  <c r="BI65" i="11"/>
  <c r="BJ65" i="11"/>
  <c r="BK65" i="11"/>
  <c r="BL65" i="11"/>
  <c r="BM65" i="11"/>
  <c r="BN65" i="11"/>
  <c r="BO65" i="11"/>
  <c r="BP65" i="11"/>
  <c r="BR65" i="11"/>
  <c r="O66" i="11"/>
  <c r="P66" i="11"/>
  <c r="Q66" i="11"/>
  <c r="R66" i="11"/>
  <c r="S66" i="11"/>
  <c r="T66" i="11"/>
  <c r="U66" i="11"/>
  <c r="V66" i="11"/>
  <c r="W66" i="11"/>
  <c r="X66" i="11"/>
  <c r="Y66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BB66" i="11"/>
  <c r="BC66" i="11"/>
  <c r="BD66" i="11"/>
  <c r="BE66" i="11"/>
  <c r="BF66" i="11"/>
  <c r="BG66" i="11"/>
  <c r="BH66" i="11"/>
  <c r="BI66" i="11"/>
  <c r="BJ66" i="11"/>
  <c r="BK66" i="11"/>
  <c r="BL66" i="11"/>
  <c r="BM66" i="11"/>
  <c r="BN66" i="11"/>
  <c r="BO66" i="11"/>
  <c r="BP66" i="11"/>
  <c r="BQ66" i="11"/>
  <c r="BR66" i="11"/>
  <c r="O67" i="11"/>
  <c r="P67" i="11"/>
  <c r="Q67" i="11"/>
  <c r="R67" i="11"/>
  <c r="S67" i="11"/>
  <c r="T67" i="11"/>
  <c r="U67" i="11"/>
  <c r="V67" i="11"/>
  <c r="W67" i="11"/>
  <c r="X67" i="11"/>
  <c r="Y67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BB67" i="11"/>
  <c r="BC67" i="11"/>
  <c r="BD67" i="11"/>
  <c r="BE67" i="11"/>
  <c r="BF67" i="11"/>
  <c r="BG67" i="11"/>
  <c r="BH67" i="11"/>
  <c r="BI67" i="11"/>
  <c r="BJ67" i="11"/>
  <c r="BK67" i="11"/>
  <c r="BL67" i="11"/>
  <c r="BM67" i="11"/>
  <c r="BN67" i="11"/>
  <c r="BO67" i="11"/>
  <c r="BP67" i="11"/>
  <c r="BQ67" i="11"/>
  <c r="BR67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D71" i="11"/>
  <c r="BS67" i="11"/>
  <c r="BS66" i="11"/>
  <c r="BS65" i="11"/>
  <c r="BS64" i="11"/>
  <c r="BS63" i="11"/>
  <c r="BS62" i="11"/>
  <c r="B60" i="11"/>
  <c r="BR37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A38" i="11"/>
  <c r="BB38" i="11"/>
  <c r="BC38" i="11"/>
  <c r="BD38" i="11"/>
  <c r="BE38" i="11"/>
  <c r="BF38" i="11"/>
  <c r="BG38" i="11"/>
  <c r="BH38" i="11"/>
  <c r="BI38" i="11"/>
  <c r="BJ38" i="11"/>
  <c r="BK38" i="11"/>
  <c r="BL38" i="11"/>
  <c r="BM38" i="11"/>
  <c r="BN38" i="11"/>
  <c r="BO38" i="11"/>
  <c r="BP38" i="11"/>
  <c r="BR38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BK39" i="11"/>
  <c r="BL39" i="11"/>
  <c r="BM39" i="11"/>
  <c r="BN39" i="11"/>
  <c r="BO39" i="11"/>
  <c r="BP39" i="11"/>
  <c r="BR39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BB40" i="11"/>
  <c r="BC40" i="11"/>
  <c r="BD40" i="11"/>
  <c r="BE40" i="11"/>
  <c r="BF40" i="11"/>
  <c r="BG40" i="11"/>
  <c r="BH40" i="11"/>
  <c r="BI40" i="11"/>
  <c r="BJ40" i="11"/>
  <c r="BK40" i="11"/>
  <c r="BL40" i="11"/>
  <c r="BM40" i="11"/>
  <c r="BN40" i="11"/>
  <c r="BO40" i="11"/>
  <c r="BP40" i="11"/>
  <c r="BR40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BB41" i="11"/>
  <c r="BC41" i="11"/>
  <c r="BD41" i="11"/>
  <c r="BE41" i="11"/>
  <c r="BF41" i="11"/>
  <c r="BG41" i="11"/>
  <c r="BH41" i="11"/>
  <c r="BI41" i="11"/>
  <c r="BJ41" i="11"/>
  <c r="BK41" i="11"/>
  <c r="BL41" i="11"/>
  <c r="BM41" i="11"/>
  <c r="BN41" i="11"/>
  <c r="BO41" i="11"/>
  <c r="BP41" i="11"/>
  <c r="BR41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BB42" i="11"/>
  <c r="BC42" i="11"/>
  <c r="BD42" i="11"/>
  <c r="BE42" i="11"/>
  <c r="BF42" i="11"/>
  <c r="BG42" i="11"/>
  <c r="BH42" i="11"/>
  <c r="BI42" i="11"/>
  <c r="BJ42" i="11"/>
  <c r="BK42" i="11"/>
  <c r="BL42" i="11"/>
  <c r="BM42" i="11"/>
  <c r="BN42" i="11"/>
  <c r="BO42" i="11"/>
  <c r="BP42" i="11"/>
  <c r="BQ42" i="11"/>
  <c r="BR42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BB43" i="11"/>
  <c r="BC43" i="11"/>
  <c r="BD43" i="11"/>
  <c r="BE43" i="11"/>
  <c r="BF43" i="11"/>
  <c r="BG43" i="11"/>
  <c r="BH43" i="11"/>
  <c r="BI43" i="11"/>
  <c r="BJ43" i="11"/>
  <c r="BK43" i="11"/>
  <c r="BL43" i="11"/>
  <c r="BM43" i="11"/>
  <c r="BN43" i="11"/>
  <c r="BO43" i="11"/>
  <c r="BP43" i="11"/>
  <c r="BQ43" i="11"/>
  <c r="BR43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D47" i="11"/>
  <c r="BS43" i="11"/>
  <c r="BS42" i="11"/>
  <c r="BS41" i="11"/>
  <c r="BS40" i="11"/>
  <c r="BS39" i="11"/>
  <c r="BS38" i="11"/>
  <c r="B36" i="11"/>
  <c r="BR13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BP14" i="11"/>
  <c r="BR14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BK15" i="11"/>
  <c r="BL15" i="11"/>
  <c r="BM15" i="11"/>
  <c r="BN15" i="11"/>
  <c r="BO15" i="11"/>
  <c r="BP15" i="11"/>
  <c r="BR15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BK16" i="11"/>
  <c r="BL16" i="11"/>
  <c r="BM16" i="11"/>
  <c r="BN16" i="11"/>
  <c r="BO16" i="11"/>
  <c r="BP16" i="11"/>
  <c r="BR16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BP17" i="11"/>
  <c r="BR17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BB18" i="11"/>
  <c r="BC18" i="11"/>
  <c r="BD18" i="11"/>
  <c r="BE18" i="11"/>
  <c r="BF18" i="11"/>
  <c r="BG18" i="11"/>
  <c r="BH18" i="11"/>
  <c r="BI18" i="11"/>
  <c r="BJ18" i="11"/>
  <c r="BK18" i="11"/>
  <c r="BL18" i="11"/>
  <c r="BM18" i="11"/>
  <c r="BN18" i="11"/>
  <c r="BO18" i="11"/>
  <c r="BP18" i="11"/>
  <c r="BQ18" i="11"/>
  <c r="BR18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BP19" i="11"/>
  <c r="BQ19" i="11"/>
  <c r="BR19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D23" i="11"/>
  <c r="BS19" i="11"/>
  <c r="BS18" i="11"/>
  <c r="BS17" i="11"/>
  <c r="BS16" i="11"/>
  <c r="BS15" i="11"/>
  <c r="BS14" i="11"/>
  <c r="B12" i="11"/>
  <c r="G27" i="10"/>
  <c r="H27" i="10"/>
  <c r="I27" i="10"/>
  <c r="I19" i="10"/>
  <c r="I4" i="10"/>
  <c r="AM20" i="1"/>
  <c r="AL20" i="1"/>
  <c r="AK20" i="1"/>
  <c r="AM19" i="1"/>
  <c r="AL19" i="1"/>
  <c r="AK19" i="1"/>
  <c r="AM18" i="1"/>
  <c r="AL18" i="1"/>
  <c r="AK18" i="1"/>
  <c r="AM17" i="1"/>
  <c r="AL17" i="1"/>
  <c r="AK17" i="1"/>
  <c r="AM16" i="1"/>
  <c r="AL16" i="1"/>
  <c r="AK16" i="1"/>
  <c r="AM15" i="1"/>
  <c r="AL15" i="1"/>
  <c r="AK15" i="1"/>
  <c r="AM14" i="1"/>
  <c r="AL14" i="1"/>
  <c r="AK14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J14" i="1"/>
  <c r="J15" i="1"/>
  <c r="J16" i="1"/>
  <c r="J17" i="1"/>
  <c r="J18" i="1"/>
  <c r="J19" i="1"/>
  <c r="J20" i="1"/>
  <c r="J21" i="1"/>
  <c r="I14" i="1"/>
  <c r="I15" i="1"/>
  <c r="I16" i="1"/>
  <c r="I17" i="1"/>
  <c r="I18" i="1"/>
  <c r="I19" i="1"/>
  <c r="I20" i="1"/>
  <c r="I21" i="1"/>
  <c r="H14" i="1"/>
  <c r="H15" i="1"/>
  <c r="H16" i="1"/>
  <c r="H17" i="1"/>
  <c r="H18" i="1"/>
  <c r="H19" i="1"/>
  <c r="H20" i="1"/>
  <c r="H21" i="1"/>
  <c r="G14" i="1"/>
  <c r="G15" i="1"/>
  <c r="G16" i="1"/>
  <c r="G17" i="1"/>
  <c r="G18" i="1"/>
  <c r="G19" i="1"/>
  <c r="G20" i="1"/>
  <c r="G21" i="1"/>
  <c r="AD29" i="1"/>
  <c r="AD25" i="1"/>
  <c r="AM28" i="1"/>
  <c r="AM24" i="1"/>
  <c r="D15" i="9"/>
  <c r="E15" i="9"/>
  <c r="F15" i="9"/>
  <c r="G15" i="9"/>
  <c r="H15" i="9"/>
  <c r="D16" i="9"/>
  <c r="E16" i="9"/>
  <c r="F16" i="9"/>
  <c r="G16" i="9"/>
  <c r="H16" i="9"/>
  <c r="AD30" i="1"/>
  <c r="E45" i="7"/>
  <c r="D45" i="7"/>
  <c r="C45" i="7"/>
  <c r="E44" i="7"/>
  <c r="D44" i="7"/>
  <c r="C44" i="7"/>
  <c r="AM27" i="1"/>
  <c r="AD24" i="1"/>
  <c r="AD28" i="1"/>
  <c r="U28" i="1"/>
  <c r="AV28" i="1"/>
  <c r="J28" i="1"/>
  <c r="AM26" i="1"/>
  <c r="AM30" i="1"/>
  <c r="AM25" i="1"/>
  <c r="AM29" i="1"/>
  <c r="AM31" i="1"/>
  <c r="AD27" i="1"/>
  <c r="AD26" i="1"/>
  <c r="K34" i="7"/>
  <c r="K33" i="7"/>
  <c r="C35" i="7"/>
  <c r="C46" i="7"/>
  <c r="J35" i="7"/>
  <c r="I35" i="7"/>
  <c r="H35" i="7"/>
  <c r="E35" i="7"/>
  <c r="E46" i="7"/>
  <c r="D35" i="7"/>
  <c r="D46" i="7"/>
  <c r="I31" i="7"/>
  <c r="H32" i="7"/>
  <c r="J31" i="7"/>
  <c r="I32" i="7"/>
  <c r="J30" i="7"/>
  <c r="J32" i="7"/>
  <c r="J36" i="7"/>
  <c r="H31" i="7"/>
  <c r="I30" i="7"/>
  <c r="K35" i="7"/>
  <c r="K19" i="7"/>
  <c r="L19" i="7"/>
  <c r="H26" i="7"/>
  <c r="K20" i="7"/>
  <c r="L20" i="7"/>
  <c r="I26" i="7"/>
  <c r="K23" i="7"/>
  <c r="L23" i="7"/>
  <c r="K24" i="7"/>
  <c r="L24" i="7"/>
  <c r="H30" i="7"/>
  <c r="H36" i="7"/>
  <c r="H37" i="7"/>
  <c r="E26" i="7"/>
  <c r="K25" i="7"/>
  <c r="L25" i="7"/>
  <c r="K22" i="7"/>
  <c r="L22" i="7"/>
  <c r="F26" i="7"/>
  <c r="J26" i="7"/>
  <c r="K21" i="7"/>
  <c r="G26" i="7"/>
  <c r="C26" i="7"/>
  <c r="D26" i="7"/>
  <c r="J37" i="7"/>
  <c r="E47" i="7"/>
  <c r="E36" i="7"/>
  <c r="E37" i="7"/>
  <c r="D47" i="7"/>
  <c r="D36" i="7"/>
  <c r="D37" i="7"/>
  <c r="K31" i="7"/>
  <c r="K32" i="7"/>
  <c r="G36" i="7"/>
  <c r="G37" i="7"/>
  <c r="F36" i="7"/>
  <c r="F37" i="7"/>
  <c r="I36" i="7"/>
  <c r="I37" i="7"/>
  <c r="C47" i="7"/>
  <c r="C36" i="7"/>
  <c r="C37" i="7"/>
  <c r="K30" i="7"/>
  <c r="K26" i="7"/>
  <c r="K27" i="7"/>
  <c r="L21" i="7"/>
  <c r="K36" i="7"/>
  <c r="K37" i="7"/>
  <c r="AJ20" i="1"/>
  <c r="AI20" i="1"/>
  <c r="AH20" i="1"/>
  <c r="AG20" i="1"/>
  <c r="AF20" i="1"/>
  <c r="AJ19" i="1"/>
  <c r="AI19" i="1"/>
  <c r="AH19" i="1"/>
  <c r="AG19" i="1"/>
  <c r="AF19" i="1"/>
  <c r="AJ18" i="1"/>
  <c r="AI18" i="1"/>
  <c r="AH18" i="1"/>
  <c r="AG18" i="1"/>
  <c r="AF18" i="1"/>
  <c r="AJ17" i="1"/>
  <c r="AI17" i="1"/>
  <c r="AH17" i="1"/>
  <c r="AG17" i="1"/>
  <c r="AF17" i="1"/>
  <c r="AJ16" i="1"/>
  <c r="AI16" i="1"/>
  <c r="AH16" i="1"/>
  <c r="AG16" i="1"/>
  <c r="AF16" i="1"/>
  <c r="AJ15" i="1"/>
  <c r="AI15" i="1"/>
  <c r="AH15" i="1"/>
  <c r="AG15" i="1"/>
  <c r="AF15" i="1"/>
  <c r="AJ14" i="1"/>
  <c r="AI14" i="1"/>
  <c r="AH14" i="1"/>
  <c r="AG14" i="1"/>
  <c r="AF14" i="1"/>
  <c r="AA20" i="1"/>
  <c r="Z20" i="1"/>
  <c r="Y20" i="1"/>
  <c r="X20" i="1"/>
  <c r="W20" i="1"/>
  <c r="AA19" i="1"/>
  <c r="Z19" i="1"/>
  <c r="Y19" i="1"/>
  <c r="X19" i="1"/>
  <c r="W19" i="1"/>
  <c r="AA18" i="1"/>
  <c r="Z18" i="1"/>
  <c r="Y18" i="1"/>
  <c r="X18" i="1"/>
  <c r="W18" i="1"/>
  <c r="AA17" i="1"/>
  <c r="Z17" i="1"/>
  <c r="Y17" i="1"/>
  <c r="X17" i="1"/>
  <c r="W17" i="1"/>
  <c r="AA16" i="1"/>
  <c r="Z16" i="1"/>
  <c r="Y16" i="1"/>
  <c r="X16" i="1"/>
  <c r="W16" i="1"/>
  <c r="AA15" i="1"/>
  <c r="Z15" i="1"/>
  <c r="Y15" i="1"/>
  <c r="X15" i="1"/>
  <c r="W15" i="1"/>
  <c r="AA14" i="1"/>
  <c r="Z14" i="1"/>
  <c r="Y14" i="1"/>
  <c r="X14" i="1"/>
  <c r="W14" i="1"/>
  <c r="M27" i="4"/>
  <c r="L27" i="4"/>
  <c r="K27" i="4"/>
  <c r="AV30" i="1"/>
  <c r="AV29" i="1"/>
  <c r="AV27" i="1"/>
  <c r="U27" i="1"/>
  <c r="J27" i="1"/>
  <c r="AV26" i="1"/>
  <c r="AV25" i="1"/>
  <c r="AV24" i="1"/>
  <c r="AR31" i="1"/>
  <c r="AP31" i="1"/>
  <c r="AO31" i="1"/>
  <c r="U30" i="1"/>
  <c r="U29" i="1"/>
  <c r="U26" i="1"/>
  <c r="U25" i="1"/>
  <c r="U24" i="1"/>
  <c r="J24" i="1"/>
  <c r="U31" i="1"/>
  <c r="Q31" i="1"/>
  <c r="P31" i="1"/>
  <c r="N31" i="1"/>
  <c r="S31" i="1"/>
  <c r="AT31" i="1"/>
  <c r="AU31" i="1"/>
  <c r="T31" i="1"/>
  <c r="AV31" i="1"/>
  <c r="M11" i="4"/>
  <c r="M12" i="4"/>
  <c r="L11" i="4"/>
  <c r="L12" i="4"/>
  <c r="K11" i="4"/>
  <c r="M30" i="5"/>
  <c r="L30" i="5"/>
  <c r="M29" i="5"/>
  <c r="L29" i="5"/>
  <c r="I29" i="5"/>
  <c r="M28" i="5"/>
  <c r="M31" i="5"/>
  <c r="L28" i="5"/>
  <c r="L31" i="5"/>
  <c r="K28" i="5"/>
  <c r="J28" i="5"/>
  <c r="I28" i="5"/>
  <c r="M21" i="5"/>
  <c r="L21" i="5"/>
  <c r="K21" i="5"/>
  <c r="J21" i="5"/>
  <c r="I21" i="5"/>
  <c r="H20" i="5"/>
  <c r="H18" i="5"/>
  <c r="M11" i="5"/>
  <c r="L11" i="5"/>
  <c r="J30" i="5"/>
  <c r="I30" i="5"/>
  <c r="G30" i="5"/>
  <c r="F30" i="5"/>
  <c r="E30" i="5"/>
  <c r="C30" i="5"/>
  <c r="K29" i="5"/>
  <c r="J11" i="5"/>
  <c r="I11" i="5"/>
  <c r="H9" i="5"/>
  <c r="D29" i="5"/>
  <c r="H8" i="5"/>
  <c r="F28" i="5"/>
  <c r="C28" i="5"/>
  <c r="K30" i="5"/>
  <c r="K31" i="5"/>
  <c r="K12" i="4"/>
  <c r="D21" i="5"/>
  <c r="E21" i="5"/>
  <c r="E11" i="5"/>
  <c r="E29" i="5"/>
  <c r="D30" i="5"/>
  <c r="D28" i="5"/>
  <c r="D31" i="5"/>
  <c r="H10" i="5"/>
  <c r="H30" i="5"/>
  <c r="C29" i="5"/>
  <c r="C31" i="5"/>
  <c r="G29" i="5"/>
  <c r="F29" i="5"/>
  <c r="F31" i="5"/>
  <c r="F21" i="5"/>
  <c r="I31" i="5"/>
  <c r="K11" i="5"/>
  <c r="N18" i="5"/>
  <c r="N20" i="5"/>
  <c r="H28" i="5"/>
  <c r="F11" i="5"/>
  <c r="E28" i="5"/>
  <c r="C11" i="5"/>
  <c r="G11" i="5"/>
  <c r="H19" i="5"/>
  <c r="H21" i="5"/>
  <c r="J29" i="5"/>
  <c r="J31" i="5"/>
  <c r="N8" i="5"/>
  <c r="N9" i="5"/>
  <c r="D11" i="5"/>
  <c r="C21" i="5"/>
  <c r="G21" i="5"/>
  <c r="G28" i="5"/>
  <c r="N30" i="5"/>
  <c r="E31" i="5"/>
  <c r="G31" i="5"/>
  <c r="N10" i="5"/>
  <c r="N11" i="5"/>
  <c r="H11" i="5"/>
  <c r="N28" i="5"/>
  <c r="N19" i="5"/>
  <c r="N21" i="5"/>
  <c r="H29" i="5"/>
  <c r="N29" i="5"/>
  <c r="H31" i="5"/>
  <c r="N31" i="5"/>
  <c r="N32" i="5"/>
  <c r="U20" i="1"/>
  <c r="T20" i="1"/>
  <c r="S20" i="1"/>
  <c r="R20" i="1"/>
  <c r="Q20" i="1"/>
  <c r="P20" i="1"/>
  <c r="O20" i="1"/>
  <c r="N20" i="1"/>
  <c r="U19" i="1"/>
  <c r="T19" i="1"/>
  <c r="S19" i="1"/>
  <c r="R19" i="1"/>
  <c r="Q19" i="1"/>
  <c r="P19" i="1"/>
  <c r="O19" i="1"/>
  <c r="N19" i="1"/>
  <c r="U18" i="1"/>
  <c r="T18" i="1"/>
  <c r="S18" i="1"/>
  <c r="R18" i="1"/>
  <c r="Q18" i="1"/>
  <c r="P18" i="1"/>
  <c r="O18" i="1"/>
  <c r="N18" i="1"/>
  <c r="U17" i="1"/>
  <c r="T17" i="1"/>
  <c r="S17" i="1"/>
  <c r="R17" i="1"/>
  <c r="Q17" i="1"/>
  <c r="P17" i="1"/>
  <c r="O17" i="1"/>
  <c r="N17" i="1"/>
  <c r="U16" i="1"/>
  <c r="T16" i="1"/>
  <c r="S16" i="1"/>
  <c r="R16" i="1"/>
  <c r="Q16" i="1"/>
  <c r="P16" i="1"/>
  <c r="O16" i="1"/>
  <c r="N16" i="1"/>
  <c r="U15" i="1"/>
  <c r="T15" i="1"/>
  <c r="S15" i="1"/>
  <c r="R15" i="1"/>
  <c r="Q15" i="1"/>
  <c r="Q21" i="1"/>
  <c r="P15" i="1"/>
  <c r="O15" i="1"/>
  <c r="U14" i="1"/>
  <c r="T14" i="1"/>
  <c r="S14" i="1"/>
  <c r="R14" i="1"/>
  <c r="R21" i="1"/>
  <c r="Q14" i="1"/>
  <c r="P14" i="1"/>
  <c r="O14" i="1"/>
  <c r="N14" i="1"/>
  <c r="AV20" i="1"/>
  <c r="AU20" i="1"/>
  <c r="AT20" i="1"/>
  <c r="AS20" i="1"/>
  <c r="AR20" i="1"/>
  <c r="AQ20" i="1"/>
  <c r="AP20" i="1"/>
  <c r="AO20" i="1"/>
  <c r="AV19" i="1"/>
  <c r="AU19" i="1"/>
  <c r="AT19" i="1"/>
  <c r="AS19" i="1"/>
  <c r="AR19" i="1"/>
  <c r="AQ19" i="1"/>
  <c r="AP19" i="1"/>
  <c r="AO19" i="1"/>
  <c r="AV18" i="1"/>
  <c r="AU18" i="1"/>
  <c r="AT18" i="1"/>
  <c r="AS18" i="1"/>
  <c r="AR18" i="1"/>
  <c r="AQ18" i="1"/>
  <c r="AP18" i="1"/>
  <c r="AO18" i="1"/>
  <c r="AV17" i="1"/>
  <c r="AU17" i="1"/>
  <c r="AT17" i="1"/>
  <c r="AS17" i="1"/>
  <c r="AR17" i="1"/>
  <c r="AQ17" i="1"/>
  <c r="AP17" i="1"/>
  <c r="AO17" i="1"/>
  <c r="AV16" i="1"/>
  <c r="AU16" i="1"/>
  <c r="AT16" i="1"/>
  <c r="AS16" i="1"/>
  <c r="AR16" i="1"/>
  <c r="AQ16" i="1"/>
  <c r="AP16" i="1"/>
  <c r="AO16" i="1"/>
  <c r="AV15" i="1"/>
  <c r="AU15" i="1"/>
  <c r="AT15" i="1"/>
  <c r="AS15" i="1"/>
  <c r="AR15" i="1"/>
  <c r="AQ15" i="1"/>
  <c r="AP15" i="1"/>
  <c r="AV14" i="1"/>
  <c r="AV21" i="1"/>
  <c r="AU14" i="1"/>
  <c r="AT14" i="1"/>
  <c r="AS14" i="1"/>
  <c r="AR14" i="1"/>
  <c r="AR21" i="1"/>
  <c r="AQ14" i="1"/>
  <c r="AP14" i="1"/>
  <c r="AO14" i="1"/>
  <c r="AO15" i="1"/>
  <c r="N15" i="1"/>
  <c r="N21" i="1"/>
  <c r="C20" i="1"/>
  <c r="C10" i="4"/>
  <c r="C18" i="1"/>
  <c r="C8" i="4"/>
  <c r="AO21" i="1"/>
  <c r="S21" i="1"/>
  <c r="AP21" i="1"/>
  <c r="T21" i="1"/>
  <c r="AS21" i="1"/>
  <c r="O21" i="1"/>
  <c r="P21" i="1"/>
  <c r="AQ21" i="1"/>
  <c r="AU21" i="1"/>
  <c r="AT21" i="1"/>
  <c r="U21" i="1"/>
  <c r="C16" i="1"/>
  <c r="C6" i="4"/>
  <c r="C17" i="1"/>
  <c r="C7" i="4"/>
  <c r="AF21" i="1"/>
  <c r="C19" i="1"/>
  <c r="C9" i="4"/>
  <c r="W21" i="1"/>
  <c r="AF31" i="1"/>
  <c r="C14" i="1"/>
  <c r="C4" i="4"/>
  <c r="C15" i="1"/>
  <c r="AG31" i="1"/>
  <c r="D15" i="1"/>
  <c r="D20" i="1"/>
  <c r="D10" i="4"/>
  <c r="D19" i="1"/>
  <c r="D9" i="4"/>
  <c r="D18" i="1"/>
  <c r="D8" i="4"/>
  <c r="D17" i="1"/>
  <c r="D7" i="4"/>
  <c r="D16" i="1"/>
  <c r="D6" i="4"/>
  <c r="AG21" i="1"/>
  <c r="W31" i="1"/>
  <c r="C11" i="4"/>
  <c r="C12" i="4"/>
  <c r="C21" i="1"/>
  <c r="AH31" i="1"/>
  <c r="AJ31" i="1"/>
  <c r="AL31" i="1"/>
  <c r="AK31" i="1"/>
  <c r="C31" i="1"/>
  <c r="AH21" i="1"/>
  <c r="D14" i="1"/>
  <c r="X21" i="1"/>
  <c r="J26" i="1"/>
  <c r="J29" i="1"/>
  <c r="E20" i="1"/>
  <c r="E19" i="1"/>
  <c r="E18" i="1"/>
  <c r="E17" i="1"/>
  <c r="E16" i="1"/>
  <c r="E15" i="1"/>
  <c r="AI21" i="1"/>
  <c r="E6" i="4"/>
  <c r="E10" i="4"/>
  <c r="F20" i="1"/>
  <c r="F10" i="4"/>
  <c r="F19" i="1"/>
  <c r="F9" i="4"/>
  <c r="F18" i="1"/>
  <c r="F8" i="4"/>
  <c r="F17" i="1"/>
  <c r="F7" i="4"/>
  <c r="F16" i="1"/>
  <c r="F6" i="4"/>
  <c r="F15" i="1"/>
  <c r="E7" i="4"/>
  <c r="Y21" i="1"/>
  <c r="E14" i="1"/>
  <c r="AD31" i="1"/>
  <c r="E8" i="4"/>
  <c r="Z31" i="1"/>
  <c r="AA31" i="1"/>
  <c r="AB31" i="1"/>
  <c r="H31" i="1"/>
  <c r="Y31" i="1"/>
  <c r="AM21" i="1"/>
  <c r="E9" i="4"/>
  <c r="AC31" i="1"/>
  <c r="D4" i="4"/>
  <c r="D21" i="1"/>
  <c r="AK21" i="1"/>
  <c r="Z21" i="1"/>
  <c r="F14" i="1"/>
  <c r="D11" i="4"/>
  <c r="D12" i="4"/>
  <c r="AJ21" i="1"/>
  <c r="G31" i="1"/>
  <c r="E4" i="4"/>
  <c r="E11" i="4"/>
  <c r="E12" i="4"/>
  <c r="E21" i="1"/>
  <c r="AL21" i="1"/>
  <c r="G10" i="4"/>
  <c r="H10" i="4"/>
  <c r="J10" i="4"/>
  <c r="J9" i="4"/>
  <c r="J8" i="4"/>
  <c r="J7" i="4"/>
  <c r="J6" i="4"/>
  <c r="I8" i="4"/>
  <c r="G6" i="4"/>
  <c r="H6" i="4"/>
  <c r="I7" i="4"/>
  <c r="I9" i="4"/>
  <c r="I6" i="4"/>
  <c r="N6" i="4"/>
  <c r="I10" i="4"/>
  <c r="N10" i="4"/>
  <c r="G27" i="4"/>
  <c r="G7" i="4"/>
  <c r="L17" i="1"/>
  <c r="AB21" i="1"/>
  <c r="L15" i="1"/>
  <c r="AD21" i="1"/>
  <c r="L16" i="1"/>
  <c r="L20" i="1"/>
  <c r="AA21" i="1"/>
  <c r="AC21" i="1"/>
  <c r="G8" i="4"/>
  <c r="L18" i="1"/>
  <c r="F21" i="1"/>
  <c r="F4" i="4"/>
  <c r="F11" i="4"/>
  <c r="F12" i="4"/>
  <c r="G9" i="4"/>
  <c r="L19" i="1"/>
  <c r="I4" i="4"/>
  <c r="I11" i="4"/>
  <c r="I12" i="4"/>
  <c r="J4" i="4"/>
  <c r="J11" i="4"/>
  <c r="J12" i="4"/>
  <c r="H9" i="4"/>
  <c r="N9" i="4"/>
  <c r="H7" i="4"/>
  <c r="N7" i="4"/>
  <c r="L14" i="1"/>
  <c r="L21" i="1"/>
  <c r="G4" i="4"/>
  <c r="N5" i="4"/>
  <c r="H8" i="4"/>
  <c r="N8" i="4"/>
  <c r="H4" i="4"/>
  <c r="H11" i="4"/>
  <c r="H12" i="4"/>
  <c r="G11" i="4"/>
  <c r="G12" i="4"/>
  <c r="N4" i="4"/>
  <c r="N11" i="4"/>
  <c r="N12" i="4"/>
  <c r="H23" i="10"/>
  <c r="I28" i="10"/>
  <c r="H24" i="10"/>
  <c r="D5" i="15"/>
  <c r="K4" i="13"/>
  <c r="L4" i="13"/>
  <c r="M4" i="13"/>
  <c r="J4" i="10"/>
  <c r="K4" i="10"/>
  <c r="L4" i="10"/>
  <c r="M4" i="10"/>
  <c r="L17" i="10"/>
  <c r="M14" i="10"/>
  <c r="L19" i="10"/>
  <c r="K19" i="10"/>
  <c r="H27" i="4"/>
  <c r="I31" i="1"/>
  <c r="J25" i="1"/>
  <c r="D25" i="4"/>
  <c r="N25" i="4"/>
  <c r="L29" i="1"/>
  <c r="N22" i="4"/>
  <c r="J30" i="1"/>
  <c r="L26" i="1"/>
  <c r="R31" i="1"/>
  <c r="J19" i="10"/>
  <c r="AV18" i="12"/>
  <c r="AH18" i="12"/>
  <c r="U18" i="12"/>
  <c r="F28" i="1"/>
  <c r="F24" i="4"/>
  <c r="K16" i="12"/>
  <c r="G16" i="12"/>
  <c r="R16" i="12"/>
  <c r="Z16" i="12"/>
  <c r="AH16" i="12"/>
  <c r="AP16" i="12"/>
  <c r="AX16" i="12"/>
  <c r="T16" i="12"/>
  <c r="AB16" i="12"/>
  <c r="AJ16" i="12"/>
  <c r="AR16" i="12"/>
  <c r="U16" i="12"/>
  <c r="AC16" i="12"/>
  <c r="AK16" i="12"/>
  <c r="AS16" i="12"/>
  <c r="G16" i="13"/>
  <c r="D16" i="13"/>
  <c r="O16" i="13"/>
  <c r="P16" i="13" a="1"/>
  <c r="P16" i="13"/>
  <c r="C17" i="13"/>
  <c r="D14" i="13"/>
  <c r="N20" i="4"/>
  <c r="BA18" i="12"/>
  <c r="AP18" i="12"/>
  <c r="AC18" i="12"/>
  <c r="AW16" i="12"/>
  <c r="AL16" i="12"/>
  <c r="X16" i="12"/>
  <c r="H16" i="12"/>
  <c r="N14" i="12"/>
  <c r="G14" i="12"/>
  <c r="E14" i="12"/>
  <c r="F14" i="12"/>
  <c r="H14" i="12"/>
  <c r="I14" i="12"/>
  <c r="K14" i="12"/>
  <c r="L14" i="12"/>
  <c r="M14" i="12"/>
  <c r="P14" i="12"/>
  <c r="Q14" i="12"/>
  <c r="R14" i="12"/>
  <c r="W14" i="12"/>
  <c r="X14" i="12"/>
  <c r="Z14" i="12"/>
  <c r="AA14" i="12"/>
  <c r="AF14" i="12"/>
  <c r="AH14" i="12"/>
  <c r="AI14" i="12"/>
  <c r="AN14" i="12"/>
  <c r="AP14" i="12"/>
  <c r="AQ14" i="12"/>
  <c r="AV14" i="12"/>
  <c r="AX14" i="12"/>
  <c r="AY14" i="12"/>
  <c r="I18" i="12"/>
  <c r="L18" i="12"/>
  <c r="T18" i="12"/>
  <c r="AB18" i="12"/>
  <c r="AJ18" i="12"/>
  <c r="AR18" i="12"/>
  <c r="N18" i="12"/>
  <c r="V18" i="12"/>
  <c r="AD18" i="12"/>
  <c r="AL18" i="12"/>
  <c r="AT18" i="12"/>
  <c r="O18" i="12"/>
  <c r="W18" i="12"/>
  <c r="AE18" i="12"/>
  <c r="AM18" i="12"/>
  <c r="AU18" i="12"/>
  <c r="M18" i="12"/>
  <c r="J18" i="12"/>
  <c r="L24" i="1"/>
  <c r="AZ18" i="12"/>
  <c r="AO18" i="12"/>
  <c r="AA18" i="12"/>
  <c r="P18" i="12"/>
  <c r="AV16" i="12"/>
  <c r="AI16" i="12"/>
  <c r="W16" i="12"/>
  <c r="O40" i="12"/>
  <c r="W40" i="12"/>
  <c r="AE40" i="12"/>
  <c r="AM40" i="12"/>
  <c r="AU40" i="12"/>
  <c r="BC40" i="12"/>
  <c r="I40" i="12"/>
  <c r="P40" i="12"/>
  <c r="X40" i="12"/>
  <c r="AF40" i="12"/>
  <c r="AN40" i="12"/>
  <c r="AV40" i="12"/>
  <c r="BD40" i="12"/>
  <c r="L40" i="12"/>
  <c r="Q40" i="12"/>
  <c r="Y40" i="12"/>
  <c r="AG40" i="12"/>
  <c r="AO40" i="12"/>
  <c r="AW40" i="12"/>
  <c r="G40" i="12"/>
  <c r="H40" i="12"/>
  <c r="J40" i="12"/>
  <c r="K40" i="12"/>
  <c r="M40" i="12"/>
  <c r="N40" i="12"/>
  <c r="T40" i="12"/>
  <c r="V40" i="12"/>
  <c r="Z40" i="12"/>
  <c r="AH40" i="12"/>
  <c r="AJ40" i="12"/>
  <c r="AK40" i="12"/>
  <c r="AS40" i="12"/>
  <c r="AX40" i="12"/>
  <c r="AY40" i="12"/>
  <c r="BE40" i="12"/>
  <c r="O31" i="1"/>
  <c r="AY18" i="12"/>
  <c r="AN18" i="12"/>
  <c r="Z18" i="12"/>
  <c r="AU16" i="12"/>
  <c r="AG16" i="12"/>
  <c r="V16" i="12"/>
  <c r="E27" i="1"/>
  <c r="M17" i="12"/>
  <c r="H17" i="12"/>
  <c r="N17" i="12"/>
  <c r="K17" i="12"/>
  <c r="J17" i="12"/>
  <c r="S17" i="12"/>
  <c r="AA17" i="12"/>
  <c r="AI17" i="12"/>
  <c r="AQ17" i="12"/>
  <c r="AY17" i="12"/>
  <c r="U17" i="12"/>
  <c r="AC17" i="12"/>
  <c r="AK17" i="12"/>
  <c r="AS17" i="12"/>
  <c r="V17" i="12"/>
  <c r="AD17" i="12"/>
  <c r="AL17" i="12"/>
  <c r="AT17" i="12"/>
  <c r="P6" i="15"/>
  <c r="P8" i="15"/>
  <c r="P10" i="15"/>
  <c r="AX18" i="12"/>
  <c r="AK18" i="12"/>
  <c r="Y18" i="12"/>
  <c r="AT16" i="12"/>
  <c r="AF16" i="12"/>
  <c r="S16" i="12"/>
  <c r="D25" i="1"/>
  <c r="K18" i="12"/>
  <c r="Q42" i="12"/>
  <c r="Y42" i="12"/>
  <c r="AG42" i="12"/>
  <c r="AO42" i="12"/>
  <c r="AW42" i="12"/>
  <c r="BE42" i="12"/>
  <c r="J42" i="12"/>
  <c r="R42" i="12"/>
  <c r="Z42" i="12"/>
  <c r="AH42" i="12"/>
  <c r="AP42" i="12"/>
  <c r="AX42" i="12"/>
  <c r="BF42" i="12"/>
  <c r="M42" i="12"/>
  <c r="S42" i="12"/>
  <c r="AA42" i="12"/>
  <c r="AI42" i="12"/>
  <c r="AQ42" i="12"/>
  <c r="AY42" i="12"/>
  <c r="K42" i="12"/>
  <c r="X42" i="12"/>
  <c r="AL42" i="12"/>
  <c r="AZ42" i="12"/>
  <c r="L42" i="12"/>
  <c r="I42" i="12"/>
  <c r="O42" i="12"/>
  <c r="AC42" i="12"/>
  <c r="AN42" i="12"/>
  <c r="BB42" i="12"/>
  <c r="N42" i="12"/>
  <c r="P42" i="12"/>
  <c r="AD42" i="12"/>
  <c r="AR42" i="12"/>
  <c r="BC42" i="12"/>
  <c r="D18" i="14"/>
  <c r="I8" i="15"/>
  <c r="I10" i="15"/>
  <c r="D28" i="1"/>
  <c r="D30" i="1"/>
  <c r="E25" i="1"/>
  <c r="G18" i="14"/>
  <c r="G30" i="12"/>
  <c r="F25" i="1"/>
  <c r="E28" i="1"/>
  <c r="E24" i="4"/>
  <c r="E17" i="14"/>
  <c r="E18" i="14"/>
  <c r="E30" i="12"/>
  <c r="I7" i="14"/>
  <c r="I12" i="14"/>
  <c r="K41" i="12"/>
  <c r="P41" i="12"/>
  <c r="X41" i="12"/>
  <c r="AF41" i="12"/>
  <c r="AN41" i="12"/>
  <c r="AV41" i="12"/>
  <c r="BD41" i="12"/>
  <c r="N41" i="12"/>
  <c r="Q41" i="12"/>
  <c r="Y41" i="12"/>
  <c r="AG41" i="12"/>
  <c r="AO41" i="12"/>
  <c r="AW41" i="12"/>
  <c r="BE41" i="12"/>
  <c r="I41" i="12"/>
  <c r="R41" i="12"/>
  <c r="Z41" i="12"/>
  <c r="AH41" i="12"/>
  <c r="AP41" i="12"/>
  <c r="AX41" i="12"/>
  <c r="O41" i="12"/>
  <c r="AC41" i="12"/>
  <c r="AQ41" i="12"/>
  <c r="BB41" i="12"/>
  <c r="L41" i="12"/>
  <c r="H41" i="12"/>
  <c r="T41" i="12"/>
  <c r="AE41" i="12"/>
  <c r="AS41" i="12"/>
  <c r="M41" i="12"/>
  <c r="J41" i="12"/>
  <c r="U41" i="12"/>
  <c r="AI41" i="12"/>
  <c r="AT41" i="12"/>
  <c r="AA41" i="12"/>
  <c r="AU41" i="12"/>
  <c r="AK41" i="12"/>
  <c r="AB41" i="12"/>
  <c r="AY41" i="12"/>
  <c r="BC41" i="12"/>
  <c r="AD41" i="12"/>
  <c r="AZ41" i="12"/>
  <c r="AJ41" i="12"/>
  <c r="BA41" i="12"/>
  <c r="V41" i="12"/>
  <c r="AM41" i="12"/>
  <c r="W41" i="12"/>
  <c r="AR41" i="12"/>
  <c r="S41" i="12"/>
  <c r="AL41" i="12"/>
  <c r="BB18" i="12"/>
  <c r="M17" i="10"/>
  <c r="M19" i="10"/>
  <c r="E21" i="4"/>
  <c r="E23" i="4"/>
  <c r="E27" i="4"/>
  <c r="E31" i="1"/>
  <c r="D21" i="4"/>
  <c r="L25" i="1"/>
  <c r="D31" i="1"/>
  <c r="D26" i="4"/>
  <c r="N26" i="4"/>
  <c r="L30" i="1"/>
  <c r="BG42" i="12"/>
  <c r="D19" i="13"/>
  <c r="D27" i="13"/>
  <c r="I39" i="12"/>
  <c r="V39" i="12"/>
  <c r="AD39" i="12"/>
  <c r="AL39" i="12"/>
  <c r="AT39" i="12"/>
  <c r="BB39" i="12"/>
  <c r="L39" i="12"/>
  <c r="O39" i="12"/>
  <c r="W39" i="12"/>
  <c r="AE39" i="12"/>
  <c r="AM39" i="12"/>
  <c r="AU39" i="12"/>
  <c r="BC39" i="12"/>
  <c r="P39" i="12"/>
  <c r="X39" i="12"/>
  <c r="AF39" i="12"/>
  <c r="AN39" i="12"/>
  <c r="AV39" i="12"/>
  <c r="H39" i="12"/>
  <c r="Y39" i="12"/>
  <c r="AJ39" i="12"/>
  <c r="AX39" i="12"/>
  <c r="M39" i="12"/>
  <c r="J39" i="12"/>
  <c r="K39" i="12"/>
  <c r="AA39" i="12"/>
  <c r="AO39" i="12"/>
  <c r="AZ39" i="12"/>
  <c r="Q39" i="12"/>
  <c r="AB39" i="12"/>
  <c r="AP39" i="12"/>
  <c r="BA39" i="12"/>
  <c r="F39" i="12"/>
  <c r="AH39" i="12"/>
  <c r="U39" i="12"/>
  <c r="N39" i="12"/>
  <c r="R39" i="12"/>
  <c r="AI39" i="12"/>
  <c r="S39" i="12"/>
  <c r="AK39" i="12"/>
  <c r="T39" i="12"/>
  <c r="AQ39" i="12"/>
  <c r="AR39" i="12"/>
  <c r="G39" i="12"/>
  <c r="AC39" i="12"/>
  <c r="AW39" i="12"/>
  <c r="AG39" i="12"/>
  <c r="AY39" i="12"/>
  <c r="Z39" i="12"/>
  <c r="AS39" i="12"/>
  <c r="E6" i="12"/>
  <c r="I17" i="14"/>
  <c r="D24" i="4"/>
  <c r="N24" i="4"/>
  <c r="L28" i="1"/>
  <c r="L27" i="1"/>
  <c r="L31" i="1"/>
  <c r="BA17" i="12"/>
  <c r="AZ16" i="12"/>
  <c r="J31" i="1"/>
  <c r="BA16" i="12"/>
  <c r="E23" i="12"/>
  <c r="AZ14" i="12"/>
  <c r="BF40" i="12"/>
  <c r="I18" i="14"/>
  <c r="D30" i="12"/>
  <c r="F21" i="4"/>
  <c r="F27" i="4"/>
  <c r="F31" i="1"/>
  <c r="N23" i="4"/>
  <c r="D27" i="4"/>
  <c r="N21" i="4"/>
  <c r="N27" i="4"/>
  <c r="BB16" i="12"/>
  <c r="BF41" i="12"/>
  <c r="BG41" i="12"/>
  <c r="BH41" i="12"/>
  <c r="BG40" i="12"/>
  <c r="BH40" i="12"/>
  <c r="K15" i="12"/>
  <c r="K23" i="12"/>
  <c r="G15" i="12"/>
  <c r="G23" i="12"/>
  <c r="I15" i="12"/>
  <c r="I23" i="12"/>
  <c r="F15" i="12"/>
  <c r="Q15" i="12"/>
  <c r="Q23" i="12"/>
  <c r="Y15" i="12"/>
  <c r="Y23" i="12"/>
  <c r="AG15" i="12"/>
  <c r="AG23" i="12"/>
  <c r="AO15" i="12"/>
  <c r="AO23" i="12"/>
  <c r="AW15" i="12"/>
  <c r="AW23" i="12"/>
  <c r="S15" i="12"/>
  <c r="S23" i="12"/>
  <c r="AA15" i="12"/>
  <c r="AA23" i="12"/>
  <c r="AI15" i="12"/>
  <c r="AI23" i="12"/>
  <c r="AQ15" i="12"/>
  <c r="AQ23" i="12"/>
  <c r="T15" i="12"/>
  <c r="T23" i="12"/>
  <c r="AB15" i="12"/>
  <c r="AB23" i="12"/>
  <c r="AJ15" i="12"/>
  <c r="AJ23" i="12"/>
  <c r="AR15" i="12"/>
  <c r="AR23" i="12"/>
  <c r="N15" i="12"/>
  <c r="N23" i="12"/>
  <c r="W15" i="12"/>
  <c r="W23" i="12"/>
  <c r="AK15" i="12"/>
  <c r="AK23" i="12"/>
  <c r="AV15" i="12"/>
  <c r="AV23" i="12"/>
  <c r="J15" i="12"/>
  <c r="J23" i="12"/>
  <c r="AD15" i="12"/>
  <c r="AD23" i="12"/>
  <c r="X15" i="12"/>
  <c r="X23" i="12"/>
  <c r="AL15" i="12"/>
  <c r="AL23" i="12"/>
  <c r="AX15" i="12"/>
  <c r="AX23" i="12"/>
  <c r="H15" i="12"/>
  <c r="H23" i="12"/>
  <c r="Z15" i="12"/>
  <c r="Z23" i="12"/>
  <c r="AM15" i="12"/>
  <c r="AM23" i="12"/>
  <c r="M15" i="12"/>
  <c r="M23" i="12"/>
  <c r="O15" i="12"/>
  <c r="O23" i="12"/>
  <c r="AC15" i="12"/>
  <c r="AC23" i="12"/>
  <c r="AN15" i="12"/>
  <c r="AN23" i="12"/>
  <c r="P15" i="12"/>
  <c r="P23" i="12"/>
  <c r="AP15" i="12"/>
  <c r="AP23" i="12"/>
  <c r="L15" i="12"/>
  <c r="L23" i="12"/>
  <c r="U15" i="12"/>
  <c r="U23" i="12"/>
  <c r="AF15" i="12"/>
  <c r="AF23" i="12"/>
  <c r="AT15" i="12"/>
  <c r="AT23" i="12"/>
  <c r="V15" i="12"/>
  <c r="V23" i="12"/>
  <c r="AH15" i="12"/>
  <c r="AH23" i="12"/>
  <c r="AU15" i="12"/>
  <c r="AU23" i="12"/>
  <c r="AE15" i="12"/>
  <c r="AE23" i="12"/>
  <c r="AS15" i="12"/>
  <c r="AS23" i="12"/>
  <c r="R15" i="12"/>
  <c r="R23" i="12"/>
  <c r="BH42" i="12"/>
  <c r="BI42" i="12"/>
  <c r="BC18" i="12"/>
  <c r="BD39" i="12"/>
  <c r="BE39" i="12"/>
  <c r="BB17" i="12"/>
  <c r="BC17" i="12"/>
  <c r="N38" i="12"/>
  <c r="N47" i="12"/>
  <c r="L38" i="12"/>
  <c r="L47" i="12"/>
  <c r="U38" i="12"/>
  <c r="U47" i="12"/>
  <c r="AC38" i="12"/>
  <c r="AC47" i="12"/>
  <c r="AK38" i="12"/>
  <c r="AK47" i="12"/>
  <c r="AS38" i="12"/>
  <c r="AS47" i="12"/>
  <c r="BA38" i="12"/>
  <c r="BA47" i="12"/>
  <c r="V38" i="12"/>
  <c r="V47" i="12"/>
  <c r="AD38" i="12"/>
  <c r="AD47" i="12"/>
  <c r="AL38" i="12"/>
  <c r="AL47" i="12"/>
  <c r="AT38" i="12"/>
  <c r="AT47" i="12"/>
  <c r="BB38" i="12"/>
  <c r="BB47" i="12"/>
  <c r="J38" i="12"/>
  <c r="J47" i="12"/>
  <c r="H38" i="12"/>
  <c r="H47" i="12"/>
  <c r="E38" i="12"/>
  <c r="O38" i="12"/>
  <c r="O47" i="12"/>
  <c r="W38" i="12"/>
  <c r="W47" i="12"/>
  <c r="AE38" i="12"/>
  <c r="AE47" i="12"/>
  <c r="AM38" i="12"/>
  <c r="AM47" i="12"/>
  <c r="AU38" i="12"/>
  <c r="AU47" i="12"/>
  <c r="M38" i="12"/>
  <c r="M47" i="12"/>
  <c r="P38" i="12"/>
  <c r="P47" i="12"/>
  <c r="AA38" i="12"/>
  <c r="AA47" i="12"/>
  <c r="AO38" i="12"/>
  <c r="AO47" i="12"/>
  <c r="AZ38" i="12"/>
  <c r="AZ47" i="12"/>
  <c r="K38" i="12"/>
  <c r="K47" i="12"/>
  <c r="I38" i="12"/>
  <c r="I47" i="12"/>
  <c r="R38" i="12"/>
  <c r="R47" i="12"/>
  <c r="AF38" i="12"/>
  <c r="AF47" i="12"/>
  <c r="AQ38" i="12"/>
  <c r="AQ47" i="12"/>
  <c r="F38" i="12"/>
  <c r="F47" i="12"/>
  <c r="S38" i="12"/>
  <c r="S47" i="12"/>
  <c r="AG38" i="12"/>
  <c r="AG47" i="12"/>
  <c r="AR38" i="12"/>
  <c r="AR47" i="12"/>
  <c r="Z38" i="12"/>
  <c r="Z47" i="12"/>
  <c r="AW38" i="12"/>
  <c r="AW47" i="12"/>
  <c r="AB38" i="12"/>
  <c r="AB47" i="12"/>
  <c r="AX38" i="12"/>
  <c r="AX47" i="12"/>
  <c r="Q38" i="12"/>
  <c r="Q47" i="12"/>
  <c r="G38" i="12"/>
  <c r="G47" i="12"/>
  <c r="AH38" i="12"/>
  <c r="AH47" i="12"/>
  <c r="AY38" i="12"/>
  <c r="AY47" i="12"/>
  <c r="AI38" i="12"/>
  <c r="AI47" i="12"/>
  <c r="AJ38" i="12"/>
  <c r="AJ47" i="12"/>
  <c r="X38" i="12"/>
  <c r="X47" i="12"/>
  <c r="AP38" i="12"/>
  <c r="AP47" i="12"/>
  <c r="Y38" i="12"/>
  <c r="Y47" i="12"/>
  <c r="AV38" i="12"/>
  <c r="AV47" i="12"/>
  <c r="AN38" i="12"/>
  <c r="AN47" i="12"/>
  <c r="T38" i="12"/>
  <c r="T47" i="12"/>
  <c r="BA14" i="12"/>
  <c r="BI41" i="12"/>
  <c r="BF39" i="12"/>
  <c r="BG39" i="12"/>
  <c r="BI40" i="12"/>
  <c r="E47" i="12"/>
  <c r="D15" i="13"/>
  <c r="I15" i="13"/>
  <c r="BJ42" i="12"/>
  <c r="BB14" i="12"/>
  <c r="G15" i="13"/>
  <c r="F23" i="12"/>
  <c r="E15" i="13"/>
  <c r="BC38" i="12"/>
  <c r="BC47" i="12"/>
  <c r="K15" i="13"/>
  <c r="L15" i="13"/>
  <c r="H15" i="13"/>
  <c r="BK42" i="12"/>
  <c r="BD18" i="12"/>
  <c r="BE18" i="12"/>
  <c r="BF18" i="12"/>
  <c r="M15" i="13"/>
  <c r="F15" i="13"/>
  <c r="BJ41" i="12"/>
  <c r="BD17" i="12"/>
  <c r="J15" i="13"/>
  <c r="AY15" i="12"/>
  <c r="AY23" i="12"/>
  <c r="BL42" i="12"/>
  <c r="BC16" i="12"/>
  <c r="BG18" i="12"/>
  <c r="BC14" i="12"/>
  <c r="BK41" i="12"/>
  <c r="BL41" i="12"/>
  <c r="BH18" i="12"/>
  <c r="BI18" i="12"/>
  <c r="BJ18" i="12"/>
  <c r="BM42" i="12"/>
  <c r="BN42" i="12"/>
  <c r="BO42" i="12"/>
  <c r="BP42" i="12"/>
  <c r="BQ42" i="12"/>
  <c r="H22" i="13" a="1"/>
  <c r="H22" i="13"/>
  <c r="D17" i="13"/>
  <c r="E14" i="13"/>
  <c r="BH39" i="12"/>
  <c r="BD16" i="12"/>
  <c r="AZ15" i="12"/>
  <c r="BA15" i="12"/>
  <c r="BE17" i="12"/>
  <c r="BF17" i="12"/>
  <c r="BD38" i="12"/>
  <c r="BJ40" i="12"/>
  <c r="BI39" i="12"/>
  <c r="BJ39" i="12"/>
  <c r="BQ47" i="12"/>
  <c r="BR42" i="12"/>
  <c r="BS42" i="12"/>
  <c r="BK18" i="12"/>
  <c r="BA23" i="12"/>
  <c r="BB15" i="12"/>
  <c r="BB23" i="12"/>
  <c r="BK39" i="12"/>
  <c r="BL39" i="12"/>
  <c r="BL18" i="12"/>
  <c r="BM18" i="12"/>
  <c r="BD47" i="12"/>
  <c r="BE38" i="12"/>
  <c r="BK40" i="12"/>
  <c r="BM41" i="12"/>
  <c r="BN41" i="12"/>
  <c r="BD14" i="12"/>
  <c r="BE14" i="12"/>
  <c r="BG17" i="12"/>
  <c r="BH17" i="12"/>
  <c r="AZ23" i="12"/>
  <c r="BE16" i="12"/>
  <c r="E19" i="13"/>
  <c r="E17" i="13"/>
  <c r="F14" i="13"/>
  <c r="E27" i="13"/>
  <c r="BM39" i="12"/>
  <c r="BN39" i="12"/>
  <c r="BO39" i="12"/>
  <c r="BP39" i="12"/>
  <c r="BR39" i="12"/>
  <c r="BS39" i="12"/>
  <c r="BN18" i="12"/>
  <c r="BO18" i="12"/>
  <c r="BP18" i="12"/>
  <c r="BQ18" i="12"/>
  <c r="BQ23" i="12"/>
  <c r="BI17" i="12"/>
  <c r="BJ17" i="12"/>
  <c r="BK17" i="12"/>
  <c r="BL17" i="12"/>
  <c r="BM17" i="12"/>
  <c r="BN17" i="12"/>
  <c r="BO17" i="12"/>
  <c r="BP17" i="12"/>
  <c r="BR17" i="12"/>
  <c r="BS17" i="12"/>
  <c r="BO41" i="12"/>
  <c r="BP41" i="12"/>
  <c r="BR41" i="12"/>
  <c r="BS41" i="12"/>
  <c r="BL40" i="12"/>
  <c r="BE47" i="12"/>
  <c r="BF38" i="12"/>
  <c r="BG38" i="12"/>
  <c r="BG47" i="12"/>
  <c r="BF16" i="12"/>
  <c r="BF14" i="12"/>
  <c r="F27" i="13"/>
  <c r="F17" i="13"/>
  <c r="G14" i="13"/>
  <c r="F19" i="13"/>
  <c r="BC15" i="12"/>
  <c r="BD15" i="12"/>
  <c r="BD23" i="12"/>
  <c r="BE15" i="12"/>
  <c r="BE23" i="12"/>
  <c r="BG16" i="12"/>
  <c r="G19" i="13"/>
  <c r="G27" i="13"/>
  <c r="G17" i="13"/>
  <c r="H14" i="13"/>
  <c r="BR18" i="12"/>
  <c r="BS18" i="12"/>
  <c r="BF47" i="12"/>
  <c r="BM40" i="12"/>
  <c r="BN40" i="12"/>
  <c r="BO40" i="12"/>
  <c r="BP40" i="12"/>
  <c r="BR40" i="12"/>
  <c r="BS40" i="12"/>
  <c r="BC23" i="12"/>
  <c r="BF15" i="12"/>
  <c r="BG15" i="12"/>
  <c r="BH15" i="12"/>
  <c r="BI15" i="12"/>
  <c r="BJ15" i="12"/>
  <c r="BK15" i="12"/>
  <c r="BL15" i="12"/>
  <c r="BM15" i="12"/>
  <c r="BN15" i="12"/>
  <c r="BO15" i="12"/>
  <c r="BP15" i="12"/>
  <c r="BF23" i="12"/>
  <c r="BG14" i="12"/>
  <c r="BH38" i="12"/>
  <c r="BH47" i="12"/>
  <c r="BR15" i="12"/>
  <c r="BS15" i="12"/>
  <c r="BG23" i="12"/>
  <c r="BH14" i="12"/>
  <c r="H27" i="13"/>
  <c r="I27" i="13"/>
  <c r="H19" i="13"/>
  <c r="H23" i="13"/>
  <c r="H24" i="13"/>
  <c r="D6" i="15"/>
  <c r="D7" i="15"/>
  <c r="H17" i="13"/>
  <c r="I14" i="13"/>
  <c r="BH16" i="12"/>
  <c r="BI38" i="12"/>
  <c r="BI16" i="12"/>
  <c r="BJ16" i="12"/>
  <c r="BK16" i="12"/>
  <c r="BL16" i="12"/>
  <c r="BM16" i="12"/>
  <c r="BN16" i="12"/>
  <c r="BO16" i="12"/>
  <c r="BP16" i="12"/>
  <c r="BR16" i="12"/>
  <c r="BS16" i="12"/>
  <c r="I17" i="13"/>
  <c r="J14" i="13"/>
  <c r="I19" i="13"/>
  <c r="I28" i="13"/>
  <c r="BI47" i="12"/>
  <c r="BJ38" i="12"/>
  <c r="BH23" i="12"/>
  <c r="BI14" i="12"/>
  <c r="BJ47" i="12"/>
  <c r="BK38" i="12"/>
  <c r="J17" i="13"/>
  <c r="K14" i="13"/>
  <c r="J19" i="13"/>
  <c r="BI23" i="12"/>
  <c r="BJ14" i="12"/>
  <c r="BJ23" i="12"/>
  <c r="BK14" i="12"/>
  <c r="K19" i="13"/>
  <c r="K17" i="13"/>
  <c r="L14" i="13"/>
  <c r="BK47" i="12"/>
  <c r="BL38" i="12"/>
  <c r="BL47" i="12"/>
  <c r="BM38" i="12"/>
  <c r="BK23" i="12"/>
  <c r="BL14" i="12"/>
  <c r="L17" i="13"/>
  <c r="M14" i="13"/>
  <c r="L19" i="13"/>
  <c r="M17" i="13"/>
  <c r="M19" i="13"/>
  <c r="BL23" i="12"/>
  <c r="BM14" i="12"/>
  <c r="BM47" i="12"/>
  <c r="BN38" i="12"/>
  <c r="BN47" i="12"/>
  <c r="BO38" i="12"/>
  <c r="BM23" i="12"/>
  <c r="BN14" i="12"/>
  <c r="BN23" i="12"/>
  <c r="BO14" i="12"/>
  <c r="BO47" i="12"/>
  <c r="BP38" i="12"/>
  <c r="BP47" i="12"/>
  <c r="BR38" i="12"/>
  <c r="BO23" i="12"/>
  <c r="BP14" i="12"/>
  <c r="BP23" i="12"/>
  <c r="BR14" i="12"/>
  <c r="BR47" i="12"/>
  <c r="BS38" i="12"/>
  <c r="BS14" i="12"/>
  <c r="BR23" i="1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<sst xmlns="http://schemas.openxmlformats.org/spreadsheetml/2006/main" count="889" uniqueCount="230">
  <si>
    <t>Expenditure by Zone Substation, $000's, Real $2015</t>
  </si>
  <si>
    <t>(Excluding Other program costs and excludes labour escalation adjustments)</t>
  </si>
  <si>
    <t>RAB Class/Expenditure Type</t>
  </si>
  <si>
    <t>BN</t>
  </si>
  <si>
    <t>KLO</t>
  </si>
  <si>
    <t>LLG</t>
  </si>
  <si>
    <t>MSD</t>
  </si>
  <si>
    <t>SLE</t>
  </si>
  <si>
    <t>KLO2</t>
  </si>
  <si>
    <t>[spare]</t>
  </si>
  <si>
    <t>TOTAL</t>
  </si>
  <si>
    <t>SubtransmissionAugmentation</t>
  </si>
  <si>
    <t>SubtransmissionReplacement</t>
  </si>
  <si>
    <t>Distribution system assetsAugmentation</t>
  </si>
  <si>
    <t>Distribution system assetsReplacement</t>
  </si>
  <si>
    <t>SCADA/Network controlAugmentation</t>
  </si>
  <si>
    <t>SCADA/Network controlReplacement</t>
  </si>
  <si>
    <t>LandNon-Network</t>
  </si>
  <si>
    <t>Total Direct P50</t>
  </si>
  <si>
    <t>Other Program costs</t>
  </si>
  <si>
    <t>Total Direct P50, before escalation adjustments</t>
  </si>
  <si>
    <t>Total</t>
  </si>
  <si>
    <t>Forecast</t>
  </si>
  <si>
    <t>Forecast Wage Price Growth</t>
  </si>
  <si>
    <t>Real escalation value (%)</t>
  </si>
  <si>
    <t>Cost Drivers</t>
  </si>
  <si>
    <t>Labour escalators</t>
  </si>
  <si>
    <t>Electricity Gas Water and Waste Services Wage Price Index (Internal labour)</t>
  </si>
  <si>
    <t>Construction Wage Price Index (External labour)</t>
  </si>
  <si>
    <t>(source: AER information request #049 - AusNet Services - Real escalation input cost indices, 8th March 2016)</t>
  </si>
  <si>
    <t>Labour index for Capital costs</t>
  </si>
  <si>
    <t>Internal labour index (applied to labour costs in $2015)</t>
  </si>
  <si>
    <t>External labour index (applied to labour costs in $2015)</t>
  </si>
  <si>
    <t>Direct Material cost</t>
  </si>
  <si>
    <t>Direct Labour cost</t>
  </si>
  <si>
    <t>Direct Contract cost</t>
  </si>
  <si>
    <t>Direct Other cost</t>
  </si>
  <si>
    <t>Total Direct P50, including escalation adjustments</t>
  </si>
  <si>
    <t>AusNet Services - Electricity Distribution</t>
  </si>
  <si>
    <t>P50 Direct Costs Allowance (including labour escalation adjustments)</t>
  </si>
  <si>
    <t>Real $Dec 2015</t>
  </si>
  <si>
    <t>REFCL Tranche</t>
  </si>
  <si>
    <t>Jan-Jun21</t>
  </si>
  <si>
    <t>2021-22 *</t>
  </si>
  <si>
    <t>2022-23 *</t>
  </si>
  <si>
    <t>2023-24 *</t>
  </si>
  <si>
    <t>2024-25</t>
  </si>
  <si>
    <t>2025-26</t>
  </si>
  <si>
    <t>Tranche 1</t>
  </si>
  <si>
    <t>Tranche 2</t>
  </si>
  <si>
    <t>Tranche 3</t>
  </si>
  <si>
    <t>Note, Jan-Jun-21 capex allowance will be based on CY2020 allowance, halved (AER)</t>
  </si>
  <si>
    <t>* Allowances for years post 2020 do not include real labour cost escalation.</t>
  </si>
  <si>
    <t>Incremental Capitalised Overheads Allowance</t>
  </si>
  <si>
    <r>
      <t xml:space="preserve">2021-22 </t>
    </r>
    <r>
      <rPr>
        <vertAlign val="superscript"/>
        <sz val="9.35"/>
        <color theme="1"/>
        <rFont val="Calibri"/>
        <family val="2"/>
      </rPr>
      <t>#</t>
    </r>
  </si>
  <si>
    <r>
      <t xml:space="preserve">2022-23 </t>
    </r>
    <r>
      <rPr>
        <vertAlign val="superscript"/>
        <sz val="9.35"/>
        <color theme="1"/>
        <rFont val="Calibri"/>
        <family val="2"/>
      </rPr>
      <t>#</t>
    </r>
  </si>
  <si>
    <r>
      <t xml:space="preserve">2023-24 </t>
    </r>
    <r>
      <rPr>
        <vertAlign val="superscript"/>
        <sz val="9.35"/>
        <color theme="1"/>
        <rFont val="Calibri"/>
        <family val="2"/>
      </rPr>
      <t>#</t>
    </r>
  </si>
  <si>
    <r>
      <rPr>
        <vertAlign val="superscript"/>
        <sz val="8.5"/>
        <color theme="1"/>
        <rFont val="Calibri"/>
        <family val="2"/>
      </rPr>
      <t>#</t>
    </r>
    <r>
      <rPr>
        <sz val="10"/>
        <color theme="1"/>
        <rFont val="Calibri"/>
        <family val="2"/>
        <scheme val="minor"/>
      </rPr>
      <t xml:space="preserve"> Allowances for years post 2020 do not include capitalised overheads.</t>
    </r>
  </si>
  <si>
    <t>Total Capex Allowance (Direct Costs plus incremental Capitalised Overheads)</t>
  </si>
  <si>
    <r>
      <rPr>
        <vertAlign val="superscript"/>
        <sz val="8.5"/>
        <color theme="1"/>
        <rFont val="Calibri"/>
        <family val="2"/>
      </rPr>
      <t>#</t>
    </r>
    <r>
      <rPr>
        <sz val="10"/>
        <color theme="1"/>
        <rFont val="Calibri"/>
        <family val="2"/>
        <scheme val="minor"/>
      </rPr>
      <t xml:space="preserve"> Allowances for years post 2020 do not include an allowance for real labour cost escalation and capitalised overheads</t>
    </r>
  </si>
  <si>
    <t>Total Direct (real $2018)</t>
  </si>
  <si>
    <t>Total Direct (Dec $2015)</t>
  </si>
  <si>
    <t>Real $2018</t>
  </si>
  <si>
    <t>2021-22</t>
  </si>
  <si>
    <t>2022-23</t>
  </si>
  <si>
    <t>2023-24</t>
  </si>
  <si>
    <t>Actual</t>
  </si>
  <si>
    <t>REFCL CPA model - Tranche 3 - Current Period</t>
  </si>
  <si>
    <t>2026-27</t>
  </si>
  <si>
    <t>real vanilla WACC - incl RoD updates</t>
  </si>
  <si>
    <t>PV factor</t>
  </si>
  <si>
    <t>Opening asset value</t>
  </si>
  <si>
    <t>Depreciation</t>
  </si>
  <si>
    <t>Closing asset value</t>
  </si>
  <si>
    <t>Return on Capital ($real)</t>
  </si>
  <si>
    <t>PV of future cashflows excl. tax</t>
  </si>
  <si>
    <t>PV of Return on Capital</t>
  </si>
  <si>
    <t>PV total (before tax)</t>
  </si>
  <si>
    <t>REFCL Tranches Capex - Allowances - per response to information request IR#004, 5 May 2020</t>
  </si>
  <si>
    <t>CAPEX</t>
  </si>
  <si>
    <t>$000's, real $Jun 2021</t>
  </si>
  <si>
    <t>KLO capex costs - P50 direct excluding labour escalation</t>
  </si>
  <si>
    <t>real $2015</t>
  </si>
  <si>
    <t>Subtransmission</t>
  </si>
  <si>
    <t>Distribution system assets</t>
  </si>
  <si>
    <t>SCADA/Network control</t>
  </si>
  <si>
    <t>Non-network general assets - IT</t>
  </si>
  <si>
    <t>Non-network general assets - Other</t>
  </si>
  <si>
    <t>Land</t>
  </si>
  <si>
    <t>source: Attachment 22 - AST Contingent Project 3 Total Cost Model_CONFIDENTIAL (AER &amp; AST amended)_19.09.19.xlsx</t>
  </si>
  <si>
    <t>KLO capex costs by asset class - P50 direct excluding labour escalation</t>
  </si>
  <si>
    <t>check</t>
  </si>
  <si>
    <t>CY2016</t>
  </si>
  <si>
    <t>CY2017</t>
  </si>
  <si>
    <t>CY2018</t>
  </si>
  <si>
    <t>CY2019</t>
  </si>
  <si>
    <t>CY2020</t>
  </si>
  <si>
    <t>CY2021</t>
  </si>
  <si>
    <t>CY2022</t>
  </si>
  <si>
    <t>CY2023</t>
  </si>
  <si>
    <t>F'cast</t>
  </si>
  <si>
    <t>Standard Life</t>
  </si>
  <si>
    <t>2075-76</t>
  </si>
  <si>
    <t>2076-77</t>
  </si>
  <si>
    <t>2077-78</t>
  </si>
  <si>
    <t>2078-79</t>
  </si>
  <si>
    <t>2079-80</t>
  </si>
  <si>
    <t>2080-81</t>
  </si>
  <si>
    <t>Depreciation of RAB adjustments</t>
  </si>
  <si>
    <t>2074-75</t>
  </si>
  <si>
    <t>2073-74</t>
  </si>
  <si>
    <t>2072-73</t>
  </si>
  <si>
    <t>2071-72</t>
  </si>
  <si>
    <t>2070-71</t>
  </si>
  <si>
    <t>2069-70</t>
  </si>
  <si>
    <t>2068-69</t>
  </si>
  <si>
    <t>2067-68</t>
  </si>
  <si>
    <t>2066-67</t>
  </si>
  <si>
    <t>2065-66</t>
  </si>
  <si>
    <t>2064-65</t>
  </si>
  <si>
    <t>2063-64</t>
  </si>
  <si>
    <t>2062-63</t>
  </si>
  <si>
    <t>2061-62</t>
  </si>
  <si>
    <t>2060-61</t>
  </si>
  <si>
    <t>2059-60</t>
  </si>
  <si>
    <t>2058-59</t>
  </si>
  <si>
    <t>2057-58</t>
  </si>
  <si>
    <t>2056-57</t>
  </si>
  <si>
    <t>2055-56</t>
  </si>
  <si>
    <t>2054-55</t>
  </si>
  <si>
    <t>2053-54</t>
  </si>
  <si>
    <t>2052-53</t>
  </si>
  <si>
    <t>2051-52</t>
  </si>
  <si>
    <t>2080-51</t>
  </si>
  <si>
    <t>2049-50</t>
  </si>
  <si>
    <t>2048-49</t>
  </si>
  <si>
    <t>2047-48</t>
  </si>
  <si>
    <t>2046-47</t>
  </si>
  <si>
    <t>2045-46</t>
  </si>
  <si>
    <t>2044-45</t>
  </si>
  <si>
    <t>2043-44</t>
  </si>
  <si>
    <t>2042-43</t>
  </si>
  <si>
    <t>2041-42</t>
  </si>
  <si>
    <t>2040-41</t>
  </si>
  <si>
    <t>2039-40</t>
  </si>
  <si>
    <t>2038-39</t>
  </si>
  <si>
    <t>2037-38</t>
  </si>
  <si>
    <t>2036-37</t>
  </si>
  <si>
    <t>2035-36</t>
  </si>
  <si>
    <t>2034-35</t>
  </si>
  <si>
    <t>2033-34</t>
  </si>
  <si>
    <t>2032-33</t>
  </si>
  <si>
    <t>2031-32</t>
  </si>
  <si>
    <t>2030-31</t>
  </si>
  <si>
    <t>2029-30</t>
  </si>
  <si>
    <t>2028-29</t>
  </si>
  <si>
    <t>2027-28</t>
  </si>
  <si>
    <t>Real Actual Net Capex - As incurred</t>
  </si>
  <si>
    <t>Depreciation of 2016 starting RAB</t>
  </si>
  <si>
    <t>Total S/Line Depr ($0's, real 2021)</t>
  </si>
  <si>
    <t>Depreciation of Net Capex 2016</t>
  </si>
  <si>
    <t>Depreciation of Net Capex 2017</t>
  </si>
  <si>
    <t>Depreciation of Net Capex 2018</t>
  </si>
  <si>
    <t>Depreciation of Net Capex 2019</t>
  </si>
  <si>
    <t>Depreciation of Net Capex 2020</t>
  </si>
  <si>
    <t>Depreciation of Net Capex HY2021</t>
  </si>
  <si>
    <t>(including half real WACC allowance)</t>
  </si>
  <si>
    <t>Total Depr, real 2021</t>
  </si>
  <si>
    <t>HY2021</t>
  </si>
  <si>
    <t>End $2015 to Mid Year $2018</t>
  </si>
  <si>
    <t>PV of Depreciation allowance</t>
  </si>
  <si>
    <t>Compounded return on capital</t>
  </si>
  <si>
    <t>Nominal vanilla WACC (fixed real time varying)</t>
  </si>
  <si>
    <t>Lagged Actual CPI Inflation Rate</t>
  </si>
  <si>
    <t>Actual CPI (one year lagged)</t>
  </si>
  <si>
    <t>Real Forecast Net Capex - As incurred</t>
  </si>
  <si>
    <t xml:space="preserve">RIN category </t>
  </si>
  <si>
    <t>Project Desc</t>
  </si>
  <si>
    <t>Comment</t>
  </si>
  <si>
    <t>REFCL T3 ZS WORK - KLO</t>
  </si>
  <si>
    <t>AUGEX</t>
  </si>
  <si>
    <t>KLO Zone substation works currently in planning phase.  LTD costs as at 31 Dec 2019 includes a joint planning report from WSP for the KLO solution (AusNet cost portion $72.5k excl GST)</t>
  </si>
  <si>
    <t>REFCL T3  SURGE ARRESTORS - KLO</t>
  </si>
  <si>
    <t>REPEX</t>
  </si>
  <si>
    <t>REFCL T3 NETWORK BALANCING - KLO</t>
  </si>
  <si>
    <t>Network balancing not yet commenced for T3 KLO sites</t>
  </si>
  <si>
    <t>REFCL T1  SURGE ARRESTORS - KLO</t>
  </si>
  <si>
    <t>Under T1, 127 sites completed for KLO14 transfer feeder and a portion of the feeder has been balanced.</t>
  </si>
  <si>
    <t>REFCL T1 NETWORK BALANCING - KLO</t>
  </si>
  <si>
    <t>Total KLO costs incurred - $Nominal</t>
  </si>
  <si>
    <t>CPI Index - Mid Year Nominal to $Jun 2021</t>
  </si>
  <si>
    <t>Total KLO T3 costs incurred - real $Jun-21</t>
  </si>
  <si>
    <t>Asset Values ($000's Real 2015)</t>
  </si>
  <si>
    <t>Asset Values ($000's Real 2021)</t>
  </si>
  <si>
    <t>Net revenue adjustment</t>
  </si>
  <si>
    <t>Forecast Capex (incl half wacc)</t>
  </si>
  <si>
    <t>Actual/forecast Capex (incl half wacc)</t>
  </si>
  <si>
    <t>T3 KLO - Revenue Allowance</t>
  </si>
  <si>
    <t>PV of revenue</t>
  </si>
  <si>
    <t>$k, Jun $2021</t>
  </si>
  <si>
    <t>adjustment for actual T3 costs incurred</t>
  </si>
  <si>
    <t>Kalkallo - Actual costs incurred - "Direct Costs basis"</t>
  </si>
  <si>
    <t>Table 1</t>
  </si>
  <si>
    <t>CY20 Forecast OH rate</t>
  </si>
  <si>
    <t>Includes 33 sites completed so far for T3 KLO.</t>
  </si>
  <si>
    <t>KLO - CPA 3 Allowance, Direct costs (escalated)</t>
  </si>
  <si>
    <t>real $Jun 2021</t>
  </si>
  <si>
    <t>Revised KLO capex forecast (excl overheads)</t>
  </si>
  <si>
    <t>Incremental change (excl overheads)</t>
  </si>
  <si>
    <t>Subtotal</t>
  </si>
  <si>
    <t>Current period T3 KLO costs incurred (excl overheads)</t>
  </si>
  <si>
    <t>CPI - $2015 to $Jun-21</t>
  </si>
  <si>
    <t>Incremental change (excl overheads), excluding current period capex already funded under CPA3</t>
  </si>
  <si>
    <t>Current Period Capex only</t>
  </si>
  <si>
    <t>Table 2: Updated T3 Kalkallo capex forecast (thousands)</t>
  </si>
  <si>
    <t>Table 1: T3 KLO capex - Revenue Adjustment</t>
  </si>
  <si>
    <t>KLO - Actual capex RAB roll forward</t>
  </si>
  <si>
    <t>KLO - T3 Allowance RAB roll forward</t>
  </si>
  <si>
    <t>Total Expenditure - $Nominal ($0's)</t>
  </si>
  <si>
    <t>Direct Expenditure - $Nominal ($0's)</t>
  </si>
  <si>
    <t>2016 to 2019 actual costs per IR#004A</t>
  </si>
  <si>
    <t>Table 2: Kalkallo - Actual costs incurred - "Direct Costs plus Overheads basis"</t>
  </si>
  <si>
    <t>Total S/Line Depr ($0's, real 2015)</t>
  </si>
  <si>
    <t>Total Depr, real 2015</t>
  </si>
  <si>
    <t>Asset Values ($000's real 2015)</t>
  </si>
  <si>
    <t>The capex allowances above are escalated to $2018 with real labour escalation and inflation applied in each year, including years FY22 and FY23 in the 2022-26 period.</t>
  </si>
  <si>
    <t>1. Attachment 22 - AST Contingent Project 3 Total Cost Model_CONFIDENTIAL (AER &amp; AST amended)_19.09.19.xlsx</t>
  </si>
  <si>
    <t>2. Total Cost Model T2 - updated for EDC change.xlsx</t>
  </si>
  <si>
    <t>Sources:</t>
  </si>
  <si>
    <t>(source: ASD Revised Proposal Capex Model - 2021-26 - PUBLIC)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</si>
</sst>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;[Red]\-&quot;$&quot;#,##0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000"/>
    <numFmt numFmtId="167" formatCode="0.000"/>
    <numFmt numFmtId="168" formatCode="_-&quot;$&quot;* #,##0_-;\-&quot;$&quot;* #,##0_-;_-&quot;$&quot;* &quot;-&quot;??_-;_-@_-"/>
    <numFmt numFmtId="169" formatCode="_-&quot;$&quot;* #,##0.0_-;\-&quot;$&quot;* #,##0.0_-;_-&quot;$&quot;* &quot;-&quot;??_-;_-@_-"/>
    <numFmt numFmtId="170" formatCode="_-* #,##0.0_-;\-* #,##0.0_-;_-* &quot;-&quot;?_-;_-@_-"/>
    <numFmt numFmtId="171" formatCode="_-&quot;$&quot;* #,##0.0_-;\-&quot;$&quot;* #,##0.0_-;_-&quot;$&quot;* &quot;-&quot;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FFFF"/>
      <name val="Arial"/>
      <family val="2"/>
    </font>
    <font>
      <i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9.35"/>
      <color theme="1"/>
      <name val="Calibri"/>
      <family val="2"/>
    </font>
    <font>
      <vertAlign val="superscript"/>
      <sz val="8.5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</cellStyleXfs>
  <cellXfs count="200">
    <xf numFmtId="0" fontId="0" fillId="0" borderId="0" xfId="0"/>
    <xf numFmtId="0" fontId="5" fillId="0" borderId="0" xfId="0" applyFont="1"/>
    <xf numFmtId="43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0" applyNumberFormat="1"/>
    <xf numFmtId="0" fontId="4" fillId="0" borderId="0" xfId="0" applyFont="1"/>
    <xf numFmtId="164" fontId="0" fillId="0" borderId="1" xfId="0" applyNumberFormat="1" applyBorder="1"/>
    <xf numFmtId="0" fontId="0" fillId="2" borderId="0" xfId="0" applyFill="1" applyAlignment="1">
      <alignment horizontal="center"/>
    </xf>
    <xf numFmtId="164" fontId="0" fillId="2" borderId="0" xfId="1" applyNumberFormat="1" applyFont="1" applyFill="1"/>
    <xf numFmtId="0" fontId="0" fillId="0" borderId="2" xfId="0" applyBorder="1" applyAlignment="1">
      <alignment horizontal="center"/>
    </xf>
    <xf numFmtId="0" fontId="0" fillId="0" borderId="0" xfId="0" applyAlignment="1">
      <alignment horizontal="left" indent="1"/>
    </xf>
    <xf numFmtId="165" fontId="0" fillId="0" borderId="0" xfId="1" applyNumberFormat="1" applyFont="1"/>
    <xf numFmtId="164" fontId="1" fillId="0" borderId="1" xfId="1" applyNumberFormat="1" applyFont="1" applyBorder="1"/>
    <xf numFmtId="0" fontId="0" fillId="2" borderId="0" xfId="0" applyFill="1" applyAlignment="1">
      <alignment horizontal="left" indent="1"/>
    </xf>
    <xf numFmtId="0" fontId="0" fillId="2" borderId="0" xfId="0" applyFill="1"/>
    <xf numFmtId="164" fontId="0" fillId="2" borderId="0" xfId="0" applyNumberFormat="1" applyFill="1"/>
    <xf numFmtId="165" fontId="0" fillId="2" borderId="0" xfId="1" applyNumberFormat="1" applyFont="1" applyFill="1"/>
    <xf numFmtId="0" fontId="6" fillId="3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166" fontId="0" fillId="0" borderId="0" xfId="1" applyNumberFormat="1" applyFont="1" applyFill="1"/>
    <xf numFmtId="165" fontId="1" fillId="0" borderId="0" xfId="1" applyNumberFormat="1" applyFont="1"/>
    <xf numFmtId="0" fontId="0" fillId="0" borderId="0" xfId="0" applyAlignment="1">
      <alignment vertical="center"/>
    </xf>
    <xf numFmtId="164" fontId="4" fillId="0" borderId="1" xfId="0" applyNumberFormat="1" applyFont="1" applyBorder="1"/>
    <xf numFmtId="164" fontId="4" fillId="2" borderId="1" xfId="0" applyNumberFormat="1" applyFont="1" applyFill="1" applyBorder="1"/>
    <xf numFmtId="164" fontId="0" fillId="0" borderId="0" xfId="0" applyNumberFormat="1" applyFill="1" applyBorder="1"/>
    <xf numFmtId="164" fontId="12" fillId="0" borderId="1" xfId="0" applyNumberFormat="1" applyFont="1" applyBorder="1"/>
    <xf numFmtId="164" fontId="0" fillId="0" borderId="0" xfId="0" applyNumberFormat="1" applyFill="1"/>
    <xf numFmtId="0" fontId="2" fillId="4" borderId="0" xfId="0" applyFont="1" applyFill="1"/>
    <xf numFmtId="0" fontId="0" fillId="4" borderId="0" xfId="0" applyFill="1"/>
    <xf numFmtId="164" fontId="0" fillId="4" borderId="0" xfId="1" applyNumberFormat="1" applyFont="1" applyFill="1" applyBorder="1"/>
    <xf numFmtId="0" fontId="4" fillId="4" borderId="0" xfId="0" applyFont="1" applyFill="1"/>
    <xf numFmtId="6" fontId="14" fillId="4" borderId="0" xfId="0" applyNumberFormat="1" applyFont="1" applyFill="1"/>
    <xf numFmtId="0" fontId="0" fillId="4" borderId="2" xfId="0" applyFill="1" applyBorder="1" applyAlignment="1">
      <alignment horizontal="center"/>
    </xf>
    <xf numFmtId="0" fontId="0" fillId="4" borderId="6" xfId="0" applyFill="1" applyBorder="1"/>
    <xf numFmtId="164" fontId="0" fillId="4" borderId="2" xfId="1" applyNumberFormat="1" applyFont="1" applyFill="1" applyBorder="1"/>
    <xf numFmtId="164" fontId="0" fillId="4" borderId="2" xfId="0" applyNumberFormat="1" applyFill="1" applyBorder="1"/>
    <xf numFmtId="0" fontId="4" fillId="4" borderId="2" xfId="0" applyFont="1" applyFill="1" applyBorder="1"/>
    <xf numFmtId="164" fontId="4" fillId="4" borderId="2" xfId="1" applyNumberFormat="1" applyFont="1" applyFill="1" applyBorder="1"/>
    <xf numFmtId="0" fontId="15" fillId="4" borderId="0" xfId="0" applyFont="1" applyFill="1"/>
    <xf numFmtId="164" fontId="4" fillId="4" borderId="0" xfId="1" applyNumberFormat="1" applyFont="1" applyFill="1" applyBorder="1"/>
    <xf numFmtId="43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center"/>
    </xf>
    <xf numFmtId="17" fontId="0" fillId="4" borderId="0" xfId="0" applyNumberFormat="1" applyFill="1" applyAlignment="1">
      <alignment horizontal="center"/>
    </xf>
    <xf numFmtId="167" fontId="0" fillId="4" borderId="0" xfId="0" applyNumberFormat="1" applyFill="1"/>
    <xf numFmtId="0" fontId="18" fillId="4" borderId="0" xfId="0" applyFont="1" applyFill="1"/>
    <xf numFmtId="0" fontId="4" fillId="0" borderId="2" xfId="0" applyFont="1" applyBorder="1" applyAlignment="1">
      <alignment horizontal="center"/>
    </xf>
    <xf numFmtId="6" fontId="13" fillId="2" borderId="0" xfId="0" applyNumberFormat="1" applyFont="1" applyFill="1"/>
    <xf numFmtId="6" fontId="13" fillId="5" borderId="0" xfId="0" applyNumberFormat="1" applyFont="1" applyFill="1"/>
    <xf numFmtId="0" fontId="12" fillId="0" borderId="0" xfId="0" applyFont="1"/>
    <xf numFmtId="167" fontId="0" fillId="0" borderId="0" xfId="0" applyNumberFormat="1"/>
    <xf numFmtId="10" fontId="0" fillId="5" borderId="0" xfId="0" applyNumberFormat="1" applyFill="1"/>
    <xf numFmtId="10" fontId="20" fillId="5" borderId="0" xfId="0" applyNumberFormat="1" applyFont="1" applyFill="1"/>
    <xf numFmtId="2" fontId="0" fillId="0" borderId="0" xfId="0" applyNumberFormat="1"/>
    <xf numFmtId="0" fontId="0" fillId="0" borderId="8" xfId="0" applyBorder="1" applyAlignment="1">
      <alignment horizontal="center"/>
    </xf>
    <xf numFmtId="0" fontId="0" fillId="0" borderId="8" xfId="0" applyBorder="1"/>
    <xf numFmtId="168" fontId="0" fillId="0" borderId="8" xfId="0" applyNumberFormat="1" applyBorder="1"/>
    <xf numFmtId="168" fontId="0" fillId="0" borderId="0" xfId="0" applyNumberFormat="1"/>
    <xf numFmtId="168" fontId="0" fillId="0" borderId="0" xfId="1" applyNumberFormat="1" applyFont="1"/>
    <xf numFmtId="168" fontId="0" fillId="0" borderId="8" xfId="1" applyNumberFormat="1" applyFont="1" applyBorder="1"/>
    <xf numFmtId="168" fontId="0" fillId="0" borderId="9" xfId="0" applyNumberFormat="1" applyBorder="1"/>
    <xf numFmtId="164" fontId="4" fillId="0" borderId="0" xfId="0" applyNumberFormat="1" applyFont="1"/>
    <xf numFmtId="168" fontId="4" fillId="0" borderId="0" xfId="0" applyNumberFormat="1" applyFont="1"/>
    <xf numFmtId="0" fontId="0" fillId="0" borderId="0" xfId="0" applyFill="1"/>
    <xf numFmtId="167" fontId="0" fillId="0" borderId="0" xfId="0" applyNumberFormat="1" applyFill="1"/>
    <xf numFmtId="164" fontId="4" fillId="0" borderId="0" xfId="0" applyNumberFormat="1" applyFont="1" applyBorder="1"/>
    <xf numFmtId="0" fontId="0" fillId="0" borderId="0" xfId="0" applyFont="1"/>
    <xf numFmtId="164" fontId="4" fillId="0" borderId="0" xfId="0" applyNumberFormat="1" applyFont="1" applyFill="1" applyBorder="1"/>
    <xf numFmtId="0" fontId="15" fillId="0" borderId="0" xfId="0" applyFont="1"/>
    <xf numFmtId="0" fontId="20" fillId="0" borderId="0" xfId="0" applyFont="1"/>
    <xf numFmtId="0" fontId="23" fillId="0" borderId="0" xfId="3" applyFont="1"/>
    <xf numFmtId="0" fontId="22" fillId="0" borderId="0" xfId="3"/>
    <xf numFmtId="0" fontId="22" fillId="0" borderId="0" xfId="3" applyAlignment="1">
      <alignment horizontal="center"/>
    </xf>
    <xf numFmtId="43" fontId="22" fillId="0" borderId="0" xfId="3" applyNumberFormat="1"/>
    <xf numFmtId="0" fontId="23" fillId="7" borderId="0" xfId="3" applyFont="1" applyFill="1"/>
    <xf numFmtId="165" fontId="0" fillId="0" borderId="0" xfId="4" applyNumberFormat="1" applyFont="1"/>
    <xf numFmtId="165" fontId="22" fillId="0" borderId="0" xfId="3" applyNumberFormat="1"/>
    <xf numFmtId="43" fontId="0" fillId="0" borderId="0" xfId="4" applyFont="1"/>
    <xf numFmtId="165" fontId="23" fillId="0" borderId="0" xfId="3" applyNumberFormat="1" applyFont="1"/>
    <xf numFmtId="164" fontId="22" fillId="0" borderId="0" xfId="3" applyNumberFormat="1"/>
    <xf numFmtId="43" fontId="0" fillId="0" borderId="0" xfId="1" applyFont="1"/>
    <xf numFmtId="10" fontId="0" fillId="0" borderId="0" xfId="2" applyNumberFormat="1" applyFont="1"/>
    <xf numFmtId="0" fontId="0" fillId="6" borderId="0" xfId="0" applyFill="1"/>
    <xf numFmtId="0" fontId="24" fillId="0" borderId="0" xfId="0" applyFont="1"/>
    <xf numFmtId="0" fontId="22" fillId="0" borderId="8" xfId="3" applyBorder="1" applyAlignment="1">
      <alignment horizontal="center"/>
    </xf>
    <xf numFmtId="165" fontId="0" fillId="0" borderId="8" xfId="4" applyNumberFormat="1" applyFont="1" applyBorder="1"/>
    <xf numFmtId="43" fontId="0" fillId="0" borderId="8" xfId="4" applyFont="1" applyBorder="1"/>
    <xf numFmtId="0" fontId="22" fillId="2" borderId="0" xfId="3" applyFill="1"/>
    <xf numFmtId="0" fontId="22" fillId="2" borderId="0" xfId="3" applyFont="1" applyFill="1"/>
    <xf numFmtId="168" fontId="0" fillId="0" borderId="0" xfId="0" applyNumberFormat="1" applyFill="1"/>
    <xf numFmtId="168" fontId="0" fillId="0" borderId="8" xfId="1" applyNumberFormat="1" applyFont="1" applyFill="1" applyBorder="1"/>
    <xf numFmtId="168" fontId="0" fillId="0" borderId="0" xfId="1" applyNumberFormat="1" applyFont="1" applyFill="1"/>
    <xf numFmtId="164" fontId="0" fillId="0" borderId="0" xfId="0" applyNumberFormat="1" applyAlignment="1">
      <alignment horizontal="center"/>
    </xf>
    <xf numFmtId="168" fontId="12" fillId="0" borderId="0" xfId="0" applyNumberFormat="1" applyFont="1" applyFill="1"/>
    <xf numFmtId="10" fontId="22" fillId="0" borderId="0" xfId="3" applyNumberFormat="1"/>
    <xf numFmtId="0" fontId="4" fillId="4" borderId="11" xfId="0" applyFont="1" applyFill="1" applyBorder="1" applyAlignment="1">
      <alignment horizontal="center"/>
    </xf>
    <xf numFmtId="0" fontId="0" fillId="4" borderId="10" xfId="0" applyFill="1" applyBorder="1"/>
    <xf numFmtId="0" fontId="4" fillId="0" borderId="6" xfId="0" applyFont="1" applyBorder="1"/>
    <xf numFmtId="0" fontId="4" fillId="4" borderId="1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0" borderId="2" xfId="0" applyBorder="1"/>
    <xf numFmtId="164" fontId="0" fillId="0" borderId="2" xfId="1" applyNumberFormat="1" applyFont="1" applyFill="1" applyBorder="1"/>
    <xf numFmtId="0" fontId="0" fillId="0" borderId="2" xfId="0" applyBorder="1" applyAlignment="1">
      <alignment wrapText="1"/>
    </xf>
    <xf numFmtId="164" fontId="18" fillId="0" borderId="2" xfId="1" applyNumberFormat="1" applyFont="1" applyFill="1" applyBorder="1"/>
    <xf numFmtId="0" fontId="0" fillId="0" borderId="7" xfId="0" applyBorder="1"/>
    <xf numFmtId="164" fontId="4" fillId="0" borderId="2" xfId="0" applyNumberFormat="1" applyFont="1" applyBorder="1"/>
    <xf numFmtId="164" fontId="4" fillId="2" borderId="0" xfId="0" applyNumberFormat="1" applyFont="1" applyFill="1"/>
    <xf numFmtId="0" fontId="4" fillId="0" borderId="0" xfId="0" applyFont="1" applyBorder="1"/>
    <xf numFmtId="0" fontId="0" fillId="0" borderId="0" xfId="0" applyBorder="1"/>
    <xf numFmtId="169" fontId="0" fillId="0" borderId="0" xfId="0" applyNumberFormat="1"/>
    <xf numFmtId="169" fontId="0" fillId="0" borderId="0" xfId="0" applyNumberFormat="1" applyFill="1"/>
    <xf numFmtId="169" fontId="0" fillId="0" borderId="8" xfId="0" applyNumberFormat="1" applyBorder="1"/>
    <xf numFmtId="168" fontId="0" fillId="8" borderId="0" xfId="1" applyNumberFormat="1" applyFont="1" applyFill="1"/>
    <xf numFmtId="168" fontId="0" fillId="8" borderId="8" xfId="1" applyNumberFormat="1" applyFont="1" applyFill="1" applyBorder="1"/>
    <xf numFmtId="0" fontId="0" fillId="0" borderId="9" xfId="0" applyBorder="1"/>
    <xf numFmtId="165" fontId="0" fillId="0" borderId="9" xfId="1" applyNumberFormat="1" applyFont="1" applyBorder="1"/>
    <xf numFmtId="165" fontId="4" fillId="0" borderId="0" xfId="0" applyNumberFormat="1" applyFont="1"/>
    <xf numFmtId="169" fontId="0" fillId="0" borderId="9" xfId="0" applyNumberFormat="1" applyBorder="1"/>
    <xf numFmtId="169" fontId="12" fillId="0" borderId="0" xfId="0" applyNumberFormat="1" applyFont="1" applyFill="1"/>
    <xf numFmtId="1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165" fontId="4" fillId="0" borderId="10" xfId="1" applyNumberFormat="1" applyFont="1" applyBorder="1"/>
    <xf numFmtId="165" fontId="4" fillId="0" borderId="14" xfId="1" applyNumberFormat="1" applyFont="1" applyBorder="1"/>
    <xf numFmtId="0" fontId="4" fillId="0" borderId="14" xfId="0" applyFont="1" applyBorder="1"/>
    <xf numFmtId="165" fontId="19" fillId="0" borderId="1" xfId="0" applyNumberFormat="1" applyFont="1" applyBorder="1"/>
    <xf numFmtId="165" fontId="25" fillId="0" borderId="2" xfId="0" applyNumberFormat="1" applyFont="1" applyBorder="1"/>
    <xf numFmtId="0" fontId="0" fillId="4" borderId="7" xfId="0" applyFill="1" applyBorder="1" applyAlignment="1">
      <alignment horizontal="center"/>
    </xf>
    <xf numFmtId="0" fontId="0" fillId="0" borderId="14" xfId="0" applyBorder="1"/>
    <xf numFmtId="165" fontId="0" fillId="0" borderId="13" xfId="1" applyNumberFormat="1" applyFont="1" applyBorder="1"/>
    <xf numFmtId="165" fontId="4" fillId="0" borderId="12" xfId="1" applyNumberFormat="1" applyFont="1" applyBorder="1"/>
    <xf numFmtId="0" fontId="13" fillId="0" borderId="2" xfId="0" applyFont="1" applyBorder="1"/>
    <xf numFmtId="165" fontId="0" fillId="0" borderId="0" xfId="0" applyNumberFormat="1"/>
    <xf numFmtId="0" fontId="0" fillId="0" borderId="15" xfId="0" applyBorder="1"/>
    <xf numFmtId="0" fontId="4" fillId="0" borderId="9" xfId="0" applyFont="1" applyBorder="1"/>
    <xf numFmtId="0" fontId="0" fillId="0" borderId="10" xfId="0" applyBorder="1"/>
    <xf numFmtId="0" fontId="25" fillId="0" borderId="2" xfId="0" applyFont="1" applyBorder="1"/>
    <xf numFmtId="0" fontId="19" fillId="0" borderId="11" xfId="0" applyFont="1" applyBorder="1"/>
    <xf numFmtId="0" fontId="25" fillId="0" borderId="13" xfId="0" applyFont="1" applyBorder="1"/>
    <xf numFmtId="0" fontId="4" fillId="0" borderId="0" xfId="0" applyFont="1" applyFill="1" applyBorder="1"/>
    <xf numFmtId="0" fontId="0" fillId="0" borderId="0" xfId="0" applyFill="1" applyBorder="1"/>
    <xf numFmtId="6" fontId="13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20" fillId="0" borderId="0" xfId="0" applyFont="1" applyFill="1" applyBorder="1"/>
    <xf numFmtId="0" fontId="12" fillId="4" borderId="2" xfId="0" applyFont="1" applyFill="1" applyBorder="1" applyAlignment="1">
      <alignment horizontal="center"/>
    </xf>
    <xf numFmtId="0" fontId="0" fillId="0" borderId="0" xfId="0" applyAlignment="1"/>
    <xf numFmtId="0" fontId="12" fillId="0" borderId="0" xfId="0" applyFont="1" applyAlignment="1"/>
    <xf numFmtId="0" fontId="4" fillId="0" borderId="0" xfId="0" applyFont="1" applyAlignment="1">
      <alignment horizontal="center"/>
    </xf>
    <xf numFmtId="165" fontId="4" fillId="0" borderId="0" xfId="0" applyNumberFormat="1" applyFont="1" applyFill="1"/>
    <xf numFmtId="170" fontId="0" fillId="0" borderId="0" xfId="0" applyNumberFormat="1" applyFill="1"/>
    <xf numFmtId="0" fontId="13" fillId="0" borderId="0" xfId="0" applyFont="1"/>
    <xf numFmtId="10" fontId="0" fillId="0" borderId="0" xfId="0" applyNumberFormat="1"/>
    <xf numFmtId="164" fontId="4" fillId="9" borderId="0" xfId="0" applyNumberFormat="1" applyFont="1" applyFill="1"/>
    <xf numFmtId="169" fontId="4" fillId="2" borderId="0" xfId="0" applyNumberFormat="1" applyFont="1" applyFill="1"/>
    <xf numFmtId="168" fontId="4" fillId="2" borderId="0" xfId="0" applyNumberFormat="1" applyFont="1" applyFill="1"/>
    <xf numFmtId="0" fontId="0" fillId="0" borderId="12" xfId="0" applyBorder="1"/>
    <xf numFmtId="164" fontId="13" fillId="0" borderId="2" xfId="1" applyNumberFormat="1" applyFont="1" applyFill="1" applyBorder="1"/>
    <xf numFmtId="164" fontId="12" fillId="0" borderId="2" xfId="1" applyNumberFormat="1" applyFont="1" applyFill="1" applyBorder="1"/>
    <xf numFmtId="0" fontId="0" fillId="2" borderId="2" xfId="0" applyFill="1" applyBorder="1"/>
    <xf numFmtId="164" fontId="0" fillId="2" borderId="2" xfId="1" applyNumberFormat="1" applyFont="1" applyFill="1" applyBorder="1"/>
    <xf numFmtId="164" fontId="18" fillId="2" borderId="2" xfId="1" applyNumberFormat="1" applyFont="1" applyFill="1" applyBorder="1"/>
    <xf numFmtId="0" fontId="15" fillId="4" borderId="0" xfId="0" applyFont="1" applyFill="1" applyBorder="1"/>
    <xf numFmtId="171" fontId="0" fillId="0" borderId="0" xfId="0" applyNumberFormat="1" applyFill="1"/>
    <xf numFmtId="0" fontId="4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168" fontId="12" fillId="0" borderId="0" xfId="0" applyNumberFormat="1" applyFont="1"/>
    <xf numFmtId="0" fontId="0" fillId="6" borderId="6" xfId="0" applyFill="1" applyBorder="1"/>
    <xf numFmtId="164" fontId="0" fillId="6" borderId="2" xfId="1" applyNumberFormat="1" applyFont="1" applyFill="1" applyBorder="1"/>
    <xf numFmtId="164" fontId="13" fillId="6" borderId="2" xfId="1" applyNumberFormat="1" applyFont="1" applyFill="1" applyBorder="1"/>
    <xf numFmtId="164" fontId="0" fillId="6" borderId="2" xfId="0" applyNumberFormat="1" applyFill="1" applyBorder="1"/>
    <xf numFmtId="0" fontId="0" fillId="2" borderId="6" xfId="0" applyFill="1" applyBorder="1"/>
    <xf numFmtId="164" fontId="0" fillId="2" borderId="2" xfId="0" applyNumberFormat="1" applyFill="1" applyBorder="1"/>
    <xf numFmtId="0" fontId="11" fillId="4" borderId="0" xfId="0" applyFont="1" applyFill="1"/>
    <xf numFmtId="10" fontId="0" fillId="0" borderId="0" xfId="2" applyNumberFormat="1" applyFont="1" applyFill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1-25%20EDPR\13.0%202021%20EDPR%20-%20Revised%20Proposal%20Preparation\Supporting%20models\ASD%20-%20EDPR%202022-26%20Revised%20Proposal%20-%20Capex%20Model%20(2021-26)%20-%20031220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ice%20Review\2021-25%20EDPR\9.0%202021%20EDPR%20-%20Modelling\Proposal%20-%204th%20cut%20(Jul-19)\CESS\AER%20-%20AusNet%20Services%20distribution%20PTRM%20-%202020%20debt%20update%20(including%20REFCL%20T3)%20-%20PTRM%20-%20Oct%20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ice%20Review\2021-25%20EDPR\4.0%202021%20EDPR%20-%20Australian%20Energy%20Regulator%20(AER)\4.8%20AER%20-%20Six%20month%20extension\Final%20decision%20HY%20models\AER%20-%20HY%20decision%20-%20AusNet%202021%20HY%20PTRM%20-%20Publi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1-25%20EDPR\13.0%202021%20EDPR%20-%20Revised%20Proposal%20Preparation\Supporting%20models\ASD%20&#8211;%20EDPR%202022-26%20Revised%20Proposal%20&#8211;%20PTRM%20Model%20(2022-26)%20&#8211;%20031220%20-%20PUBLI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ice%20Review\2021-25%20EDPR\18.0%202021%20EDPR%20-%20AER%20Draft%20Decision%2030%20Sept'20\Draft%20Decision%20Models\AER%20-%20Draft%20decision%20-%20AusNet%20Services%20distribution%20determination%20-%202021&#8211;26%20-%20Capex%20Model%20-%20Sept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to Connections Model"/>
      <sheetName val="Input from Connections Model"/>
      <sheetName val="Contents"/>
      <sheetName val="Assumptions"/>
      <sheetName val="Lookups -&gt;"/>
      <sheetName val="Lab_Mat"/>
      <sheetName val="Escalators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ICT"/>
      <sheetName val="Metering_SCS"/>
      <sheetName val="Other_NN"/>
      <sheetName val="Downer_Contract"/>
      <sheetName val="Aggregations &amp; Alloc -&gt;"/>
      <sheetName val="Base_Forecast"/>
      <sheetName val="Reg_Forecast"/>
      <sheetName val="Capex_by_Driver"/>
      <sheetName val="Safety"/>
      <sheetName val="AusNet_Overheads"/>
      <sheetName val="Outputs -&gt;"/>
      <sheetName val="RFM_PTRM"/>
      <sheetName val="Capex_2016-2026"/>
      <sheetName val="DER"/>
      <sheetName val="REFCL_view"/>
      <sheetName val="RIN Template -&gt;"/>
      <sheetName val="2.1 Exp Summary"/>
      <sheetName val="2.1.8 Cap Overheads"/>
      <sheetName val="2.6 Non-Network"/>
      <sheetName val="2.11 Labour"/>
      <sheetName val="2.17 Step Changes"/>
      <sheetName val="Other -&gt;"/>
      <sheetName val="Repex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K12">
            <v>1.5108593012275628E-2</v>
          </cell>
          <cell r="L12">
            <v>1.0232558139534831E-2</v>
          </cell>
          <cell r="M12">
            <v>1.9337016574585641E-2</v>
          </cell>
          <cell r="N12">
            <v>2.0776874435411097E-2</v>
          </cell>
          <cell r="O12">
            <v>1.5929203539823078E-2</v>
          </cell>
          <cell r="P12">
            <v>1.2195121951219523E-2</v>
          </cell>
        </row>
        <row r="17">
          <cell r="K17">
            <v>1.089065287920217</v>
          </cell>
          <cell r="L17">
            <v>1.075441975284158</v>
          </cell>
          <cell r="M17">
            <v>1.0597841134352426</v>
          </cell>
          <cell r="N17">
            <v>1.0389462882960341</v>
          </cell>
          <cell r="O17">
            <v>1.0202250019521406</v>
          </cell>
        </row>
        <row r="21">
          <cell r="J21">
            <v>1.0375174472699489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6">
          <cell r="J56">
            <v>378.26357738630577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0">
          <cell r="I20">
            <v>8.2295387491894342E-2</v>
          </cell>
        </row>
      </sheetData>
      <sheetData sheetId="30" refreshError="1"/>
      <sheetData sheetId="31">
        <row r="8">
          <cell r="Z8">
            <v>92.230416944362744</v>
          </cell>
        </row>
      </sheetData>
      <sheetData sheetId="32" refreshError="1"/>
      <sheetData sheetId="33" refreshError="1"/>
      <sheetData sheetId="34">
        <row r="11">
          <cell r="I11">
            <v>2007.4166199739634</v>
          </cell>
          <cell r="J11">
            <v>18497.71551745553</v>
          </cell>
          <cell r="K11">
            <v>20072.502314254139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AER - AusNet Services distribut"/>
    </sheetNames>
    <sheetDataSet>
      <sheetData sheetId="0"/>
      <sheetData sheetId="1"/>
      <sheetData sheetId="2">
        <row r="36">
          <cell r="M36">
            <v>47.916873397221963</v>
          </cell>
        </row>
      </sheetData>
      <sheetData sheetId="3">
        <row r="19">
          <cell r="G19">
            <v>3.8716794887975373E-2</v>
          </cell>
          <cell r="H19">
            <v>3.8262336193053012E-2</v>
          </cell>
          <cell r="I19">
            <v>3.8013284689562575E-2</v>
          </cell>
          <cell r="J19">
            <v>3.7449298414674724E-2</v>
          </cell>
          <cell r="K19">
            <v>3.6258595682746808E-2</v>
          </cell>
        </row>
      </sheetData>
      <sheetData sheetId="4">
        <row r="88">
          <cell r="G88">
            <v>13.870608609385185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AER amendments"/>
      <sheetName val="Opening RAB Depn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9">
          <cell r="R19">
            <v>1.200696924751421E-2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G19">
            <v>2.20316373145788E-2</v>
          </cell>
          <cell r="H19">
            <v>2.029120273434306E-2</v>
          </cell>
          <cell r="I19">
            <v>1.8550768154107056E-2</v>
          </cell>
          <cell r="J19">
            <v>1.6810333573871183E-2</v>
          </cell>
          <cell r="K19">
            <v>1.5069898993635445E-2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to Connections Model"/>
      <sheetName val="Input from Connections Model"/>
      <sheetName val="Contents"/>
      <sheetName val="Assumptions"/>
      <sheetName val="Lookups -&gt;"/>
      <sheetName val="Lab_Mat"/>
      <sheetName val="Escalators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ICT"/>
      <sheetName val="Metering_SCS"/>
      <sheetName val="Other_NN"/>
      <sheetName val="Downer_Contract"/>
      <sheetName val="Aggregations &amp; Alloc -&gt;"/>
      <sheetName val="Base_Forecast"/>
      <sheetName val="Reg_Forecast"/>
      <sheetName val="Capex_by_Driver"/>
      <sheetName val="Safety"/>
      <sheetName val="AusNet_Overheads"/>
      <sheetName val="Outputs -&gt;"/>
      <sheetName val="RFM_PTRM"/>
      <sheetName val="Capex_2016-2026"/>
      <sheetName val="DER"/>
      <sheetName val="REFCL_view"/>
      <sheetName val="RIN Template -&gt;"/>
      <sheetName val="2.1 Exp Summary"/>
      <sheetName val="2.1.8 Cap Overheads"/>
      <sheetName val="2.6 Non-Network"/>
      <sheetName val="2.11 Labour"/>
      <sheetName val="2.17 Step Changes"/>
      <sheetName val="Other -&gt;"/>
      <sheetName val="Repex_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3">
          <cell r="M23">
            <v>10410.48366778005</v>
          </cell>
          <cell r="N23">
            <v>3331.203348339935</v>
          </cell>
        </row>
        <row r="24">
          <cell r="M24">
            <v>3908.6402454716917</v>
          </cell>
          <cell r="N24">
            <v>1806.6576671057999</v>
          </cell>
        </row>
        <row r="25">
          <cell r="M25">
            <v>7810.4361585347224</v>
          </cell>
          <cell r="N25">
            <v>3542.5495203499013</v>
          </cell>
        </row>
        <row r="26">
          <cell r="M26">
            <v>3258.9821817034426</v>
          </cell>
          <cell r="N26">
            <v>647.81893302055425</v>
          </cell>
        </row>
        <row r="27">
          <cell r="M27">
            <v>60.819014331099325</v>
          </cell>
          <cell r="N27">
            <v>23.984963398180017</v>
          </cell>
        </row>
        <row r="28">
          <cell r="M28">
            <v>0</v>
          </cell>
          <cell r="N28">
            <v>0</v>
          </cell>
        </row>
        <row r="29">
          <cell r="M29">
            <v>32.342179828628524</v>
          </cell>
          <cell r="N29">
            <v>13.124362829008676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12"/>
  <sheetViews>
    <sheetView tabSelected="1" zoomScale="85" zoomScaleNormal="85" workbookViewId="0"/>
  </sheetViews>
  <sheetFormatPr defaultRowHeight="14.4" x14ac:dyDescent="0.3"/>
  <cols>
    <col min="1" max="1" width="3.88671875" customWidth="1"/>
    <col min="2" max="2" width="2.6640625" customWidth="1"/>
    <col min="3" max="3" width="34.88671875" customWidth="1"/>
    <col min="4" max="4" width="14.33203125" customWidth="1"/>
    <col min="7" max="7" width="46.88671875" customWidth="1"/>
    <col min="8" max="8" width="6.5546875" bestFit="1" customWidth="1"/>
    <col min="9" max="10" width="5.5546875" bestFit="1" customWidth="1"/>
    <col min="11" max="11" width="7.5546875" bestFit="1" customWidth="1"/>
    <col min="12" max="12" width="10" bestFit="1" customWidth="1"/>
    <col min="13" max="13" width="9" bestFit="1" customWidth="1"/>
    <col min="14" max="15" width="10" bestFit="1" customWidth="1"/>
    <col min="16" max="16" width="10.33203125" bestFit="1" customWidth="1"/>
    <col min="17" max="17" width="10.33203125" customWidth="1"/>
  </cols>
  <sheetData>
    <row r="1" spans="3:17" x14ac:dyDescent="0.3">
      <c r="C1" s="7"/>
      <c r="L1" s="134" t="s">
        <v>211</v>
      </c>
      <c r="M1" s="62">
        <f>'Actual KLO RAB'!H8</f>
        <v>1.0972615675165249</v>
      </c>
    </row>
    <row r="2" spans="3:17" x14ac:dyDescent="0.3">
      <c r="C2" s="7" t="s">
        <v>215</v>
      </c>
      <c r="G2" s="7" t="s">
        <v>214</v>
      </c>
    </row>
    <row r="3" spans="3:17" x14ac:dyDescent="0.3">
      <c r="D3" s="3" t="s">
        <v>198</v>
      </c>
      <c r="G3" s="144" t="s">
        <v>206</v>
      </c>
      <c r="H3" s="140">
        <v>2016</v>
      </c>
      <c r="I3" s="44">
        <v>2017</v>
      </c>
      <c r="J3" s="44">
        <v>2018</v>
      </c>
      <c r="K3" s="44">
        <v>2019</v>
      </c>
      <c r="L3" s="44">
        <v>2020</v>
      </c>
      <c r="M3" s="44" t="s">
        <v>42</v>
      </c>
      <c r="N3" s="44" t="s">
        <v>63</v>
      </c>
      <c r="O3" s="44" t="s">
        <v>64</v>
      </c>
      <c r="P3" s="44" t="s">
        <v>10</v>
      </c>
    </row>
    <row r="4" spans="3:17" x14ac:dyDescent="0.3">
      <c r="D4" s="160" t="s">
        <v>199</v>
      </c>
      <c r="G4" s="141" t="s">
        <v>205</v>
      </c>
      <c r="H4" s="13">
        <f>Capex_Allowance!C5*$M$1</f>
        <v>0</v>
      </c>
      <c r="I4" s="13">
        <f>Capex_Allowance!D5*$M$1</f>
        <v>0</v>
      </c>
      <c r="J4" s="13">
        <f>Capex_Allowance!E5*$M$1</f>
        <v>0</v>
      </c>
      <c r="K4" s="13">
        <f>Capex_Allowance!F5*$M$1</f>
        <v>404.26870888950361</v>
      </c>
      <c r="L4" s="13">
        <f>Capex_Allowance!G5*$M$1</f>
        <v>14484.433047619219</v>
      </c>
      <c r="M4" s="13">
        <f>Capex_Allowance!H5*$M$1</f>
        <v>7242.2165238096095</v>
      </c>
      <c r="N4" s="13">
        <f>Capex_Allowance!I5*$M$1</f>
        <v>5063.9732673006056</v>
      </c>
      <c r="O4" s="13">
        <f>Capex_Allowance!J5*$M$1</f>
        <v>2886.3449554056069</v>
      </c>
      <c r="P4" s="135">
        <f>SUM(H4:O4)</f>
        <v>30081.236503024542</v>
      </c>
      <c r="Q4" s="145"/>
    </row>
    <row r="5" spans="3:17" x14ac:dyDescent="0.3">
      <c r="C5" t="s">
        <v>197</v>
      </c>
      <c r="D5" s="13">
        <f>-'Forecast KLO RAB'!H24</f>
        <v>-738.51078238907621</v>
      </c>
      <c r="G5" s="141"/>
      <c r="H5" s="13"/>
      <c r="I5" s="13"/>
      <c r="J5" s="13"/>
      <c r="K5" s="13"/>
      <c r="L5" s="13"/>
      <c r="M5" s="13"/>
      <c r="N5" s="13"/>
      <c r="O5" s="13"/>
      <c r="P5" s="136"/>
      <c r="Q5" s="145"/>
    </row>
    <row r="6" spans="3:17" x14ac:dyDescent="0.3">
      <c r="C6" s="126" t="s">
        <v>200</v>
      </c>
      <c r="D6" s="127">
        <f>+'Actual KLO RAB'!H24</f>
        <v>37.124824191447516</v>
      </c>
      <c r="G6" s="141" t="s">
        <v>210</v>
      </c>
      <c r="H6" s="13">
        <f>'KLO - Direct_(IR004A)'!D16/1000</f>
        <v>15.480551207100561</v>
      </c>
      <c r="I6" s="13">
        <f>'KLO - Direct_(IR004A)'!E16/1000</f>
        <v>4.188427071361434</v>
      </c>
      <c r="J6" s="13">
        <f>'KLO - Direct_(IR004A)'!F16/1000</f>
        <v>6.4441868672011422</v>
      </c>
      <c r="K6" s="13">
        <f>'KLO - Direct_(IR004A)'!G16/1000</f>
        <v>260.95804881854127</v>
      </c>
      <c r="L6" s="13">
        <f>'KLO - Direct_(IR004A)'!H16/1000</f>
        <v>87.539901727083702</v>
      </c>
      <c r="M6" s="13"/>
      <c r="N6" s="13"/>
      <c r="O6" s="13"/>
      <c r="P6" s="136">
        <f>SUM(H6:O6)</f>
        <v>374.61111569128809</v>
      </c>
      <c r="Q6" s="145"/>
    </row>
    <row r="7" spans="3:17" x14ac:dyDescent="0.3">
      <c r="C7" s="7" t="s">
        <v>194</v>
      </c>
      <c r="D7" s="128">
        <f>SUM(D5:D6)</f>
        <v>-701.38595819762872</v>
      </c>
      <c r="G7" s="168" t="s">
        <v>207</v>
      </c>
      <c r="H7" s="142"/>
      <c r="I7" s="127"/>
      <c r="J7" s="127"/>
      <c r="K7" s="127"/>
      <c r="L7" s="127"/>
      <c r="M7" s="127">
        <f>[1]REFCL_view!I11</f>
        <v>2007.4166199739634</v>
      </c>
      <c r="N7" s="127">
        <f>[1]REFCL_view!J11</f>
        <v>18497.71551745553</v>
      </c>
      <c r="O7" s="127">
        <f>[1]REFCL_view!K11</f>
        <v>20072.502314254139</v>
      </c>
      <c r="P7" s="143">
        <f>SUM(H7:O7)</f>
        <v>40577.634451683633</v>
      </c>
      <c r="Q7" s="145"/>
    </row>
    <row r="8" spans="3:17" x14ac:dyDescent="0.3">
      <c r="C8" s="7"/>
      <c r="D8" s="161"/>
      <c r="E8" s="162"/>
      <c r="G8" s="141" t="s">
        <v>209</v>
      </c>
      <c r="H8" s="13">
        <f>SUM(H6:H7)</f>
        <v>15.480551207100561</v>
      </c>
      <c r="I8" s="13">
        <f t="shared" ref="I8:P8" si="0">SUM(I6:I7)</f>
        <v>4.188427071361434</v>
      </c>
      <c r="J8" s="13">
        <f t="shared" si="0"/>
        <v>6.4441868672011422</v>
      </c>
      <c r="K8" s="13">
        <f t="shared" si="0"/>
        <v>260.95804881854127</v>
      </c>
      <c r="L8" s="13">
        <f t="shared" si="0"/>
        <v>87.539901727083702</v>
      </c>
      <c r="M8" s="13">
        <f t="shared" si="0"/>
        <v>2007.4166199739634</v>
      </c>
      <c r="N8" s="13">
        <f t="shared" si="0"/>
        <v>18497.71551745553</v>
      </c>
      <c r="O8" s="13">
        <f t="shared" si="0"/>
        <v>20072.502314254139</v>
      </c>
      <c r="P8" s="136">
        <f t="shared" si="0"/>
        <v>40952.245567374921</v>
      </c>
    </row>
    <row r="9" spans="3:17" x14ac:dyDescent="0.3">
      <c r="G9" s="141"/>
      <c r="P9" s="137"/>
    </row>
    <row r="10" spans="3:17" x14ac:dyDescent="0.3">
      <c r="G10" s="149" t="s">
        <v>208</v>
      </c>
      <c r="H10" s="138">
        <f>H8-H4</f>
        <v>15.480551207100561</v>
      </c>
      <c r="I10" s="138">
        <f t="shared" ref="I10:P10" si="1">I8-I4</f>
        <v>4.188427071361434</v>
      </c>
      <c r="J10" s="138">
        <f t="shared" si="1"/>
        <v>6.4441868672011422</v>
      </c>
      <c r="K10" s="138">
        <f t="shared" si="1"/>
        <v>-143.31066007096234</v>
      </c>
      <c r="L10" s="138">
        <f t="shared" si="1"/>
        <v>-14396.893145892136</v>
      </c>
      <c r="M10" s="138">
        <f t="shared" si="1"/>
        <v>-5234.7999038356465</v>
      </c>
      <c r="N10" s="138">
        <f t="shared" si="1"/>
        <v>13433.742250154924</v>
      </c>
      <c r="O10" s="138">
        <f t="shared" si="1"/>
        <v>17186.157358848533</v>
      </c>
      <c r="P10" s="139">
        <f t="shared" si="1"/>
        <v>10871.009064350379</v>
      </c>
    </row>
    <row r="11" spans="3:17" x14ac:dyDescent="0.3">
      <c r="G11" s="150"/>
      <c r="H11" s="146"/>
      <c r="I11" s="146"/>
      <c r="J11" s="146"/>
      <c r="K11" s="146"/>
      <c r="L11" s="146"/>
      <c r="M11" s="146"/>
      <c r="N11" s="146"/>
      <c r="O11" s="146"/>
      <c r="P11" s="148"/>
    </row>
    <row r="12" spans="3:17" x14ac:dyDescent="0.3">
      <c r="G12" s="151" t="s">
        <v>212</v>
      </c>
      <c r="H12" s="147"/>
      <c r="I12" s="147"/>
      <c r="J12" s="147"/>
      <c r="K12" s="147"/>
      <c r="L12" s="147"/>
      <c r="M12" s="147"/>
      <c r="N12" s="147"/>
      <c r="O12" s="147"/>
      <c r="P12" s="139">
        <f>P7-P4</f>
        <v>10496.397948659091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zoomScale="85" zoomScaleNormal="85" workbookViewId="0">
      <selection activeCell="H7" sqref="H7"/>
    </sheetView>
  </sheetViews>
  <sheetFormatPr defaultRowHeight="14.4" x14ac:dyDescent="0.3"/>
  <cols>
    <col min="1" max="1" width="3.6640625" customWidth="1"/>
    <col min="2" max="2" width="34.5546875" customWidth="1"/>
    <col min="3" max="4" width="10" customWidth="1"/>
    <col min="5" max="5" width="11.33203125" customWidth="1"/>
    <col min="6" max="6" width="11.33203125" bestFit="1" customWidth="1"/>
    <col min="7" max="7" width="10.33203125" customWidth="1"/>
    <col min="8" max="8" width="11.109375" customWidth="1"/>
    <col min="9" max="13" width="10.33203125" bestFit="1" customWidth="1"/>
  </cols>
  <sheetData>
    <row r="1" spans="2:16" x14ac:dyDescent="0.3"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</row>
    <row r="2" spans="2:16" x14ac:dyDescent="0.3"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 t="s">
        <v>42</v>
      </c>
      <c r="I2" s="3" t="s">
        <v>63</v>
      </c>
      <c r="J2" s="3" t="s">
        <v>64</v>
      </c>
      <c r="K2" s="3" t="s">
        <v>65</v>
      </c>
      <c r="L2" s="3" t="s">
        <v>46</v>
      </c>
      <c r="M2" s="3" t="s">
        <v>47</v>
      </c>
    </row>
    <row r="3" spans="2:16" x14ac:dyDescent="0.3">
      <c r="B3" t="s">
        <v>69</v>
      </c>
      <c r="C3" s="63">
        <f>[2]WACC!G$19</f>
        <v>3.8716794887975373E-2</v>
      </c>
      <c r="D3" s="63">
        <f>[2]WACC!H$19</f>
        <v>3.8262336193053012E-2</v>
      </c>
      <c r="E3" s="63">
        <f>[2]WACC!I$19</f>
        <v>3.8013284689562575E-2</v>
      </c>
      <c r="F3" s="63">
        <f>[2]WACC!J$19</f>
        <v>3.7449298414674724E-2</v>
      </c>
      <c r="G3" s="63">
        <f>[2]WACC!K$19</f>
        <v>3.6258595682746808E-2</v>
      </c>
      <c r="H3" s="63">
        <f>[3]WACC!$R$19</f>
        <v>1.200696924751421E-2</v>
      </c>
      <c r="I3" s="64">
        <f>[4]WACC!G$19</f>
        <v>2.20316373145788E-2</v>
      </c>
      <c r="J3" s="64">
        <f>[4]WACC!H$19</f>
        <v>2.029120273434306E-2</v>
      </c>
      <c r="K3" s="64">
        <f>[4]WACC!I$19</f>
        <v>1.8550768154107056E-2</v>
      </c>
      <c r="L3" s="64">
        <f>[4]WACC!J$19</f>
        <v>1.6810333573871183E-2</v>
      </c>
      <c r="M3" s="64">
        <f>[4]WACC!K$19</f>
        <v>1.5069898993635445E-2</v>
      </c>
    </row>
    <row r="4" spans="2:16" x14ac:dyDescent="0.3">
      <c r="B4" t="s">
        <v>70</v>
      </c>
      <c r="C4" s="62">
        <f t="shared" ref="C4:F4" si="0">D4*(1+D3)</f>
        <v>1.1725423627845761</v>
      </c>
      <c r="D4" s="62">
        <f t="shared" si="0"/>
        <v>1.1293315012118048</v>
      </c>
      <c r="E4" s="62">
        <f t="shared" si="0"/>
        <v>1.0879740345033759</v>
      </c>
      <c r="F4" s="62">
        <f t="shared" si="0"/>
        <v>1.0487009207735818</v>
      </c>
      <c r="G4" s="62">
        <f>H4*(1+H3)</f>
        <v>1.0120069692475142</v>
      </c>
      <c r="H4" s="62">
        <v>1</v>
      </c>
      <c r="I4" s="62">
        <f>H4/(1+I3)</f>
        <v>0.97844329225221671</v>
      </c>
      <c r="J4" s="62">
        <f>I4/(1+J3)</f>
        <v>0.95898434645915243</v>
      </c>
      <c r="K4" s="62">
        <f>J4/(1+K3)</f>
        <v>0.94151845587146799</v>
      </c>
      <c r="L4" s="62">
        <f>K4/(1+L3)</f>
        <v>0.92595287910010871</v>
      </c>
      <c r="M4" s="62">
        <f>L4/(1+M3)</f>
        <v>0.91220602642056514</v>
      </c>
    </row>
    <row r="5" spans="2:16" x14ac:dyDescent="0.3">
      <c r="B5" s="78" t="s">
        <v>172</v>
      </c>
      <c r="C5" s="93">
        <v>5.4410344196953231E-2</v>
      </c>
      <c r="D5" s="93">
        <v>4.8886436022042234E-2</v>
      </c>
      <c r="E5" s="93">
        <v>5.8085364780244619E-2</v>
      </c>
      <c r="F5" s="93">
        <v>5.9004252220941522E-2</v>
      </c>
      <c r="G5" s="93">
        <v>5.27653697732684E-2</v>
      </c>
      <c r="H5" s="93">
        <v>2.4348517652973189E-2</v>
      </c>
      <c r="I5" s="65"/>
      <c r="J5" s="65"/>
      <c r="K5" s="65"/>
      <c r="L5" s="65"/>
      <c r="M5" s="65"/>
    </row>
    <row r="6" spans="2:16" x14ac:dyDescent="0.3">
      <c r="C6" s="93"/>
      <c r="D6" s="93"/>
      <c r="E6" s="93"/>
      <c r="F6" s="93"/>
      <c r="G6" s="93"/>
      <c r="H6" s="93"/>
      <c r="I6" s="65"/>
      <c r="J6" s="65"/>
      <c r="K6" s="65"/>
      <c r="L6" s="65"/>
      <c r="M6" s="65"/>
    </row>
    <row r="7" spans="2:16" x14ac:dyDescent="0.3">
      <c r="B7" t="s">
        <v>173</v>
      </c>
      <c r="C7" s="93">
        <f>[1]Escalators!K$12</f>
        <v>1.5108593012275628E-2</v>
      </c>
      <c r="D7" s="93">
        <f>[1]Escalators!L$12</f>
        <v>1.0232558139534831E-2</v>
      </c>
      <c r="E7" s="93">
        <f>[1]Escalators!M$12</f>
        <v>1.9337016574585641E-2</v>
      </c>
      <c r="F7" s="93">
        <f>[1]Escalators!N$12</f>
        <v>2.0776874435411097E-2</v>
      </c>
      <c r="G7" s="93">
        <f>[1]Escalators!O$12</f>
        <v>1.5929203539823078E-2</v>
      </c>
      <c r="H7" s="187">
        <f>[1]Escalators!P$12</f>
        <v>1.2195121951219523E-2</v>
      </c>
      <c r="I7" s="65"/>
      <c r="J7" s="65"/>
      <c r="K7" s="65"/>
      <c r="L7" s="65"/>
      <c r="M7" s="65"/>
    </row>
    <row r="8" spans="2:16" x14ac:dyDescent="0.3">
      <c r="B8" t="s">
        <v>174</v>
      </c>
      <c r="C8" s="62">
        <f>1+C7</f>
        <v>1.0151085930122756</v>
      </c>
      <c r="D8" s="62">
        <f>C8*(1+D7)</f>
        <v>1.0254957507082152</v>
      </c>
      <c r="E8" s="62">
        <f t="shared" ref="E8:H8" si="1">D8*(1+E7)</f>
        <v>1.0453257790368271</v>
      </c>
      <c r="F8" s="62">
        <f t="shared" si="1"/>
        <v>1.0670443814919734</v>
      </c>
      <c r="G8" s="62">
        <f t="shared" si="1"/>
        <v>1.0840415486307837</v>
      </c>
      <c r="H8" s="62">
        <f t="shared" si="1"/>
        <v>1.0972615675165249</v>
      </c>
    </row>
    <row r="9" spans="2:16" x14ac:dyDescent="0.3">
      <c r="C9" s="62"/>
      <c r="D9" s="62"/>
      <c r="E9" s="62"/>
      <c r="F9" s="62"/>
      <c r="G9" s="62"/>
      <c r="H9" s="62"/>
    </row>
    <row r="10" spans="2:16" x14ac:dyDescent="0.3">
      <c r="B10" s="61" t="s">
        <v>216</v>
      </c>
    </row>
    <row r="11" spans="2:16" x14ac:dyDescent="0.3">
      <c r="O11" s="178" t="s">
        <v>10</v>
      </c>
    </row>
    <row r="12" spans="2:16" x14ac:dyDescent="0.3">
      <c r="B12" s="61" t="s">
        <v>80</v>
      </c>
      <c r="C12" s="177">
        <v>2016</v>
      </c>
      <c r="D12" s="178">
        <v>2017</v>
      </c>
      <c r="E12" s="178">
        <v>2018</v>
      </c>
      <c r="F12" s="178">
        <v>2019</v>
      </c>
      <c r="G12" s="178">
        <v>2020</v>
      </c>
      <c r="H12" s="178" t="s">
        <v>42</v>
      </c>
      <c r="I12" s="177" t="s">
        <v>63</v>
      </c>
      <c r="J12" s="178" t="s">
        <v>64</v>
      </c>
      <c r="K12" s="178" t="s">
        <v>65</v>
      </c>
      <c r="L12" s="178" t="s">
        <v>46</v>
      </c>
      <c r="M12" s="178" t="s">
        <v>47</v>
      </c>
      <c r="O12" s="178" t="s">
        <v>79</v>
      </c>
    </row>
    <row r="13" spans="2:16" x14ac:dyDescent="0.3">
      <c r="C13" s="66"/>
      <c r="D13" s="3"/>
      <c r="E13" s="3"/>
      <c r="F13" s="3"/>
      <c r="G13" s="3"/>
      <c r="H13" s="3"/>
      <c r="I13" s="67"/>
      <c r="O13" s="163"/>
    </row>
    <row r="14" spans="2:16" x14ac:dyDescent="0.3">
      <c r="B14" t="s">
        <v>71</v>
      </c>
      <c r="C14" s="68">
        <v>0</v>
      </c>
      <c r="D14" s="69">
        <f t="shared" ref="D14:M14" si="2">C17</f>
        <v>17.878536000153748</v>
      </c>
      <c r="E14" s="69">
        <f t="shared" si="2"/>
        <v>22.348663166076456</v>
      </c>
      <c r="F14" s="69">
        <f t="shared" si="2"/>
        <v>29.121637393594096</v>
      </c>
      <c r="G14" s="69">
        <f t="shared" si="2"/>
        <v>317.16648963049869</v>
      </c>
      <c r="H14" s="69">
        <f t="shared" si="2"/>
        <v>406.63768363522831</v>
      </c>
      <c r="I14" s="68">
        <f>H17</f>
        <v>397.63122421856997</v>
      </c>
      <c r="J14" s="69">
        <f t="shared" si="2"/>
        <v>388.62476480191162</v>
      </c>
      <c r="K14" s="69">
        <f t="shared" si="2"/>
        <v>379.61830538525328</v>
      </c>
      <c r="L14" s="69">
        <f t="shared" si="2"/>
        <v>370.61184596859493</v>
      </c>
      <c r="M14" s="69">
        <f t="shared" si="2"/>
        <v>361.60538655193659</v>
      </c>
      <c r="N14" s="69"/>
      <c r="O14" s="163"/>
    </row>
    <row r="15" spans="2:16" x14ac:dyDescent="0.3">
      <c r="B15" t="s">
        <v>72</v>
      </c>
      <c r="C15" s="68">
        <f>-SUM('SL Depn_Act_Capex'!D23,'SL Depn_Act_Capex'!D47,'SL Depn_Act_Capex'!D71)</f>
        <v>0</v>
      </c>
      <c r="D15" s="121">
        <f>-SUM('SL Depn_Act_Capex'!E23,'SL Depn_Act_Capex'!E47,'SL Depn_Act_Capex'!E71)</f>
        <v>-0.39730080000341661</v>
      </c>
      <c r="E15" s="121">
        <f>-SUM('SL Depn_Act_Capex'!F23,'SL Depn_Act_Capex'!F47,'SL Depn_Act_Capex'!F71)</f>
        <v>-0.50546586591288611</v>
      </c>
      <c r="F15" s="121">
        <f>-SUM('SL Depn_Act_Capex'!G23,'SL Depn_Act_Capex'!G47,'SL Depn_Act_Capex'!G71)</f>
        <v>-0.66720897910023114</v>
      </c>
      <c r="G15" s="122">
        <f>-SUM('SL Depn_Act_Capex'!H23,'SL Depn_Act_Capex'!H47,'SL Depn_Act_Capex'!H71)</f>
        <v>-6.975186831006372</v>
      </c>
      <c r="H15" s="122">
        <f>-SUM('SL Depn_Act_Capex'!I23,'SL Depn_Act_Capex'!I47,'SL Depn_Act_Capex'!I71)</f>
        <v>-9.0064594166583394</v>
      </c>
      <c r="I15" s="123">
        <f>-SUM('SL Depn_Act_Capex'!J23,'SL Depn_Act_Capex'!J47,'SL Depn_Act_Capex'!J71)</f>
        <v>-9.0064594166583394</v>
      </c>
      <c r="J15" s="121">
        <f>-SUM('SL Depn_Act_Capex'!K23,'SL Depn_Act_Capex'!K47,'SL Depn_Act_Capex'!K71)</f>
        <v>-9.0064594166583394</v>
      </c>
      <c r="K15" s="121">
        <f>-SUM('SL Depn_Act_Capex'!L23,'SL Depn_Act_Capex'!L47,'SL Depn_Act_Capex'!L71)</f>
        <v>-9.0064594166583394</v>
      </c>
      <c r="L15" s="121">
        <f>-SUM('SL Depn_Act_Capex'!M23,'SL Depn_Act_Capex'!M47,'SL Depn_Act_Capex'!M71)</f>
        <v>-9.0064594166583394</v>
      </c>
      <c r="M15" s="121">
        <f>-SUM('SL Depn_Act_Capex'!N23,'SL Depn_Act_Capex'!N47,'SL Depn_Act_Capex'!N71)</f>
        <v>-9.0064594166583394</v>
      </c>
      <c r="N15" s="69"/>
      <c r="O15" s="163"/>
    </row>
    <row r="16" spans="2:16" x14ac:dyDescent="0.3">
      <c r="B16" t="s">
        <v>196</v>
      </c>
      <c r="C16" s="68">
        <f>'KLO - Total_(IR004A)'!D16/1000*(1+C3)^0.5</f>
        <v>17.878536000153748</v>
      </c>
      <c r="D16" s="69">
        <f>'KLO - Total_(IR004A)'!E16/1000*(1+D3)^0.5</f>
        <v>4.8674279659261277</v>
      </c>
      <c r="E16" s="70">
        <f>'KLO - Total_(IR004A)'!F16/1000*(1+E3)^0.5</f>
        <v>7.2784400934305253</v>
      </c>
      <c r="F16" s="70">
        <f>'KLO - Total_(IR004A)'!G16/1000*(1+F3)^0.5</f>
        <v>288.71206121600483</v>
      </c>
      <c r="G16" s="70">
        <f>'KLO - Total_(IR004A)'!H16/1000*(1+G3)^0.5</f>
        <v>96.446380835736036</v>
      </c>
      <c r="H16" s="124"/>
      <c r="I16" s="125"/>
      <c r="J16" s="124"/>
      <c r="K16" s="124"/>
      <c r="L16" s="124"/>
      <c r="M16" s="124"/>
      <c r="N16" s="69"/>
      <c r="O16" s="179">
        <f>SUM(C16:M16)</f>
        <v>415.18284611125125</v>
      </c>
      <c r="P16" t="b" cm="1">
        <f t="array" ref="P16">O16=SUMPRODUCT((1+C3:G3)^0.5,'KLO - Total_(IR004A)'!D16:H16/1000)</f>
        <v>1</v>
      </c>
    </row>
    <row r="17" spans="2:14" x14ac:dyDescent="0.3">
      <c r="B17" t="s">
        <v>73</v>
      </c>
      <c r="C17" s="71">
        <f t="shared" ref="C17:G17" si="3">C14+C15+C16</f>
        <v>17.878536000153748</v>
      </c>
      <c r="D17" s="70">
        <f t="shared" si="3"/>
        <v>22.348663166076456</v>
      </c>
      <c r="E17" s="70">
        <f t="shared" si="3"/>
        <v>29.121637393594096</v>
      </c>
      <c r="F17" s="70">
        <f t="shared" si="3"/>
        <v>317.16648963049869</v>
      </c>
      <c r="G17" s="70">
        <f t="shared" si="3"/>
        <v>406.63768363522831</v>
      </c>
      <c r="H17" s="70">
        <f>H14+H15+H16</f>
        <v>397.63122421856997</v>
      </c>
      <c r="I17" s="68">
        <f t="shared" ref="I17:M17" si="4">I14+I15+I16</f>
        <v>388.62476480191162</v>
      </c>
      <c r="J17" s="69">
        <f t="shared" si="4"/>
        <v>379.61830538525328</v>
      </c>
      <c r="K17" s="69">
        <f t="shared" si="4"/>
        <v>370.61184596859493</v>
      </c>
      <c r="L17" s="69">
        <f t="shared" si="4"/>
        <v>361.60538655193659</v>
      </c>
      <c r="M17" s="69">
        <f t="shared" si="4"/>
        <v>352.59892713527825</v>
      </c>
      <c r="N17" s="69"/>
    </row>
    <row r="18" spans="2:14" x14ac:dyDescent="0.3">
      <c r="C18" s="68"/>
      <c r="D18" s="69"/>
      <c r="E18" s="69"/>
      <c r="F18" s="69"/>
      <c r="G18" s="69"/>
      <c r="H18" s="69"/>
      <c r="I18" s="68"/>
      <c r="J18" s="69"/>
      <c r="K18" s="69"/>
      <c r="L18" s="69"/>
      <c r="M18" s="69"/>
      <c r="N18" s="69"/>
    </row>
    <row r="19" spans="2:14" x14ac:dyDescent="0.3">
      <c r="B19" t="s">
        <v>74</v>
      </c>
      <c r="C19" s="68">
        <f t="shared" ref="C19:M19" si="5">C3*C14</f>
        <v>0</v>
      </c>
      <c r="D19" s="69">
        <f t="shared" si="5"/>
        <v>0.68407455507748394</v>
      </c>
      <c r="E19" s="69">
        <f t="shared" si="5"/>
        <v>0.84954609536320524</v>
      </c>
      <c r="F19" s="69">
        <f t="shared" si="5"/>
        <v>1.0905848890766556</v>
      </c>
      <c r="G19" s="69">
        <f t="shared" si="5"/>
        <v>11.50001151162836</v>
      </c>
      <c r="H19" s="69">
        <f t="shared" si="5"/>
        <v>4.8824861622885987</v>
      </c>
      <c r="I19" s="68">
        <f t="shared" si="5"/>
        <v>8.7604669169354956</v>
      </c>
      <c r="J19" s="69">
        <f t="shared" si="5"/>
        <v>7.885663890181978</v>
      </c>
      <c r="K19" s="69">
        <f t="shared" si="5"/>
        <v>7.0422111702568433</v>
      </c>
      <c r="L19" s="69">
        <f t="shared" si="5"/>
        <v>6.2301087571602469</v>
      </c>
      <c r="M19" s="69">
        <f t="shared" si="5"/>
        <v>5.4493566508921853</v>
      </c>
      <c r="N19" s="69"/>
    </row>
    <row r="20" spans="2:14" x14ac:dyDescent="0.3">
      <c r="C20" s="6"/>
      <c r="D20" s="6"/>
      <c r="E20" s="6"/>
      <c r="F20" s="6"/>
      <c r="G20" s="6"/>
      <c r="H20" s="6"/>
    </row>
    <row r="21" spans="2:14" x14ac:dyDescent="0.3">
      <c r="B21" t="s">
        <v>75</v>
      </c>
      <c r="C21" s="6"/>
      <c r="D21" s="6"/>
      <c r="E21" s="3"/>
      <c r="F21" s="6"/>
      <c r="G21" s="6"/>
      <c r="H21" s="6"/>
      <c r="I21" s="66"/>
    </row>
    <row r="22" spans="2:14" x14ac:dyDescent="0.3">
      <c r="B22" t="s">
        <v>170</v>
      </c>
      <c r="D22" s="6"/>
      <c r="E22" s="69"/>
      <c r="F22" s="6"/>
      <c r="H22" s="121" cm="1">
        <f t="array" ref="H22">SUMPRODUCT(C$4:$H$4,C15:$H15*-1)</f>
        <v>17.763717818512582</v>
      </c>
      <c r="I22" s="67"/>
      <c r="J22" s="75"/>
      <c r="K22" s="175"/>
    </row>
    <row r="23" spans="2:14" x14ac:dyDescent="0.3">
      <c r="B23" t="s">
        <v>76</v>
      </c>
      <c r="D23" s="6"/>
      <c r="E23" s="69"/>
      <c r="F23" s="6"/>
      <c r="H23" s="129">
        <f>SUMPRODUCT(C$4:$H$4,C19:$H19)</f>
        <v>19.361106372934934</v>
      </c>
      <c r="I23" s="67"/>
      <c r="J23" s="75"/>
      <c r="K23" s="175"/>
    </row>
    <row r="24" spans="2:14" x14ac:dyDescent="0.3">
      <c r="B24" s="7" t="s">
        <v>77</v>
      </c>
      <c r="C24" s="7"/>
      <c r="D24" s="73"/>
      <c r="E24" s="74"/>
      <c r="F24" s="6"/>
      <c r="H24" s="166">
        <f>SUM(H22:H23)</f>
        <v>37.124824191447516</v>
      </c>
      <c r="I24" s="67"/>
      <c r="J24" s="75"/>
      <c r="K24" s="175"/>
    </row>
    <row r="25" spans="2:14" x14ac:dyDescent="0.3">
      <c r="C25" s="6"/>
      <c r="D25" s="6"/>
      <c r="E25" s="6"/>
      <c r="F25" s="6"/>
      <c r="G25" s="6"/>
      <c r="H25" s="6"/>
    </row>
    <row r="26" spans="2:14" x14ac:dyDescent="0.3">
      <c r="C26" s="6"/>
      <c r="D26" s="6"/>
      <c r="E26" s="6"/>
      <c r="F26" s="6"/>
      <c r="G26" s="3">
        <v>2020</v>
      </c>
      <c r="H26" s="104" t="s">
        <v>42</v>
      </c>
      <c r="I26" s="3" t="s">
        <v>21</v>
      </c>
    </row>
    <row r="27" spans="2:14" x14ac:dyDescent="0.3">
      <c r="B27" t="s">
        <v>171</v>
      </c>
      <c r="C27" s="121">
        <f>C14*C3</f>
        <v>0</v>
      </c>
      <c r="D27" s="121">
        <f>(SUM($C27:C27)+D14)*D3</f>
        <v>0.68407455507748394</v>
      </c>
      <c r="E27" s="121">
        <f>(SUM($C27:D27)+E14)*E3</f>
        <v>0.87555001617425143</v>
      </c>
      <c r="F27" s="121">
        <f>(SUM($C27:E27)+F14)*F3</f>
        <v>1.1489917350603209</v>
      </c>
      <c r="G27" s="121">
        <f>(SUM($C27:F27)+G14)*G3</f>
        <v>11.598222135138625</v>
      </c>
      <c r="H27" s="121">
        <f>(SUM($C27:G27)+H14)*H3</f>
        <v>5.0542679314842509</v>
      </c>
      <c r="I27" s="130">
        <f>SUM(C27:H27)</f>
        <v>19.361106372934934</v>
      </c>
    </row>
    <row r="28" spans="2:14" x14ac:dyDescent="0.3">
      <c r="B28" t="s">
        <v>91</v>
      </c>
      <c r="I28" s="92">
        <f>I27-H23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K71"/>
  <sheetViews>
    <sheetView zoomScale="85" zoomScaleNormal="85" workbookViewId="0">
      <pane xSplit="2" topLeftCell="D1" activePane="topRight" state="frozen"/>
      <selection activeCell="H8" sqref="H8"/>
      <selection pane="topRight" activeCell="H8" sqref="H8"/>
    </sheetView>
  </sheetViews>
  <sheetFormatPr defaultColWidth="8.88671875" defaultRowHeight="13.2" outlineLevelCol="1" x14ac:dyDescent="0.25"/>
  <cols>
    <col min="1" max="1" width="3.5546875" style="83" customWidth="1"/>
    <col min="2" max="2" width="33.5546875" style="83" customWidth="1"/>
    <col min="3" max="3" width="4.33203125" style="83" hidden="1" customWidth="1" outlineLevel="1"/>
    <col min="4" max="4" width="9" style="83" bestFit="1" customWidth="1" collapsed="1"/>
    <col min="5" max="7" width="9" style="83" bestFit="1" customWidth="1"/>
    <col min="8" max="8" width="9.5546875" style="83" bestFit="1" customWidth="1"/>
    <col min="9" max="9" width="9" style="83" bestFit="1" customWidth="1"/>
    <col min="10" max="69" width="8.88671875" style="83"/>
    <col min="70" max="70" width="10.33203125" style="83" customWidth="1"/>
    <col min="71" max="16384" width="8.88671875" style="83"/>
  </cols>
  <sheetData>
    <row r="1" spans="2:89" ht="14.4" x14ac:dyDescent="0.3">
      <c r="B1" t="s">
        <v>69</v>
      </c>
      <c r="D1" s="106">
        <f>'Forecast KLO RAB'!C3</f>
        <v>3.8716794887975373E-2</v>
      </c>
      <c r="E1" s="106">
        <f>'Forecast KLO RAB'!D3</f>
        <v>3.8262336193053012E-2</v>
      </c>
      <c r="F1" s="106">
        <f>'Forecast KLO RAB'!E3</f>
        <v>3.8013284689562575E-2</v>
      </c>
      <c r="G1" s="106">
        <f>'Forecast KLO RAB'!F3</f>
        <v>3.7449298414674724E-2</v>
      </c>
      <c r="H1" s="106">
        <f>'Forecast KLO RAB'!G3</f>
        <v>3.6258595682746808E-2</v>
      </c>
      <c r="I1" s="106">
        <f>'Forecast KLO RAB'!H3</f>
        <v>1.200696924751421E-2</v>
      </c>
    </row>
    <row r="2" spans="2:89" x14ac:dyDescent="0.25">
      <c r="B2" s="82" t="s">
        <v>193</v>
      </c>
    </row>
    <row r="3" spans="2:89" x14ac:dyDescent="0.25">
      <c r="B3" s="83" t="s">
        <v>157</v>
      </c>
    </row>
    <row r="4" spans="2:89" x14ac:dyDescent="0.25">
      <c r="B4" s="83" t="s">
        <v>166</v>
      </c>
      <c r="D4" s="84" t="s">
        <v>66</v>
      </c>
      <c r="E4" s="84" t="s">
        <v>66</v>
      </c>
      <c r="F4" s="84" t="s">
        <v>100</v>
      </c>
      <c r="G4" s="84" t="s">
        <v>100</v>
      </c>
      <c r="H4" s="84" t="s">
        <v>100</v>
      </c>
    </row>
    <row r="5" spans="2:89" x14ac:dyDescent="0.25">
      <c r="D5" s="84">
        <v>2016</v>
      </c>
      <c r="E5" s="84">
        <v>2017</v>
      </c>
      <c r="F5" s="84">
        <v>2018</v>
      </c>
      <c r="G5" s="84">
        <v>2019</v>
      </c>
      <c r="H5" s="84">
        <v>2020</v>
      </c>
      <c r="I5" s="83" t="s">
        <v>42</v>
      </c>
    </row>
    <row r="6" spans="2:89" x14ac:dyDescent="0.25">
      <c r="B6" s="99" t="s">
        <v>83</v>
      </c>
      <c r="D6" s="91">
        <f>'KLO - Total_(IR004A)'!D17/1000*(1+D$1)^0.5</f>
        <v>17.878536000153748</v>
      </c>
      <c r="E6" s="91">
        <f>'KLO - Total_(IR004A)'!E17/1000*(1+E$1)^0.5</f>
        <v>4.8674279659261277</v>
      </c>
      <c r="F6" s="91">
        <f>'KLO - Total_(IR004A)'!F17/1000*(1+F$1)^0.5</f>
        <v>7.2784400934305253</v>
      </c>
      <c r="G6" s="91">
        <f>'KLO - Total_(IR004A)'!G17/1000*(1+G$1)^0.5</f>
        <v>240.18148241371992</v>
      </c>
      <c r="H6" s="91">
        <f>'KLO - Total_(IR004A)'!H17/1000*(1+H$1)^0.5</f>
        <v>46.055236021761075</v>
      </c>
      <c r="I6" s="91"/>
    </row>
    <row r="8" spans="2:89" x14ac:dyDescent="0.25">
      <c r="B8" s="83" t="s">
        <v>101</v>
      </c>
      <c r="D8" s="85">
        <v>45</v>
      </c>
    </row>
    <row r="10" spans="2:89" x14ac:dyDescent="0.25">
      <c r="B10" s="82" t="s">
        <v>159</v>
      </c>
      <c r="C10" s="82"/>
    </row>
    <row r="11" spans="2:89" x14ac:dyDescent="0.25">
      <c r="D11" s="84">
        <v>1</v>
      </c>
      <c r="E11" s="84">
        <v>2</v>
      </c>
      <c r="F11" s="84">
        <v>3</v>
      </c>
      <c r="G11" s="84">
        <v>4</v>
      </c>
      <c r="H11" s="84">
        <v>5</v>
      </c>
      <c r="I11" s="84">
        <v>6</v>
      </c>
      <c r="J11" s="96">
        <v>7</v>
      </c>
      <c r="K11" s="84">
        <v>8</v>
      </c>
      <c r="L11" s="84">
        <v>9</v>
      </c>
      <c r="M11" s="84">
        <v>10</v>
      </c>
      <c r="N11" s="84">
        <v>11</v>
      </c>
      <c r="O11" s="84">
        <v>12</v>
      </c>
      <c r="P11" s="84">
        <v>13</v>
      </c>
      <c r="Q11" s="84">
        <v>14</v>
      </c>
      <c r="R11" s="84">
        <v>15</v>
      </c>
      <c r="S11" s="84">
        <v>16</v>
      </c>
      <c r="T11" s="84">
        <v>17</v>
      </c>
      <c r="U11" s="84">
        <v>18</v>
      </c>
      <c r="V11" s="84">
        <v>19</v>
      </c>
      <c r="W11" s="84">
        <v>20</v>
      </c>
      <c r="X11" s="84">
        <v>21</v>
      </c>
      <c r="Y11" s="84">
        <v>22</v>
      </c>
      <c r="Z11" s="84">
        <v>23</v>
      </c>
      <c r="AA11" s="84">
        <v>24</v>
      </c>
      <c r="AB11" s="84">
        <v>25</v>
      </c>
      <c r="AC11" s="84">
        <v>26</v>
      </c>
      <c r="AD11" s="84">
        <v>27</v>
      </c>
      <c r="AE11" s="84">
        <v>28</v>
      </c>
      <c r="AF11" s="84">
        <v>29</v>
      </c>
      <c r="AG11" s="84">
        <v>30</v>
      </c>
      <c r="AH11" s="84">
        <v>31</v>
      </c>
      <c r="AI11" s="84">
        <v>32</v>
      </c>
      <c r="AJ11" s="84">
        <v>33</v>
      </c>
      <c r="AK11" s="84">
        <v>34</v>
      </c>
      <c r="AL11" s="84">
        <v>35</v>
      </c>
      <c r="AM11" s="84">
        <v>36</v>
      </c>
      <c r="AN11" s="84">
        <v>37</v>
      </c>
      <c r="AO11" s="84">
        <v>38</v>
      </c>
      <c r="AP11" s="84">
        <v>39</v>
      </c>
      <c r="AQ11" s="84">
        <v>40</v>
      </c>
      <c r="AR11" s="84">
        <v>41</v>
      </c>
      <c r="AS11" s="84">
        <v>42</v>
      </c>
      <c r="AT11" s="84">
        <v>43</v>
      </c>
      <c r="AU11" s="84">
        <v>44</v>
      </c>
      <c r="AV11" s="84">
        <v>45</v>
      </c>
      <c r="AW11" s="84">
        <v>46</v>
      </c>
      <c r="AX11" s="84">
        <v>47</v>
      </c>
      <c r="AY11" s="84">
        <v>48</v>
      </c>
      <c r="AZ11" s="84">
        <v>49</v>
      </c>
      <c r="BA11" s="84">
        <v>50</v>
      </c>
      <c r="BB11" s="84">
        <v>51</v>
      </c>
      <c r="BC11" s="84">
        <v>52</v>
      </c>
      <c r="BD11" s="84">
        <v>53</v>
      </c>
      <c r="BE11" s="84">
        <v>54</v>
      </c>
      <c r="BF11" s="84">
        <v>55</v>
      </c>
      <c r="BG11" s="84">
        <v>56</v>
      </c>
      <c r="BH11" s="84">
        <v>57</v>
      </c>
      <c r="BI11" s="84">
        <v>58</v>
      </c>
      <c r="BJ11" s="84">
        <v>59</v>
      </c>
      <c r="BK11" s="84">
        <v>60</v>
      </c>
      <c r="BL11" s="84">
        <v>61</v>
      </c>
      <c r="BM11" s="84">
        <v>62</v>
      </c>
      <c r="BN11" s="84">
        <v>63</v>
      </c>
      <c r="BO11" s="84">
        <v>64</v>
      </c>
      <c r="BP11" s="84">
        <v>65</v>
      </c>
      <c r="BQ11" s="84">
        <v>66</v>
      </c>
    </row>
    <row r="12" spans="2:89" x14ac:dyDescent="0.25">
      <c r="B12" s="86" t="str">
        <f>B6</f>
        <v>Subtransmission</v>
      </c>
      <c r="C12" s="82"/>
      <c r="D12" s="84">
        <v>2016</v>
      </c>
      <c r="E12" s="84">
        <v>2017</v>
      </c>
      <c r="F12" s="84">
        <v>2018</v>
      </c>
      <c r="G12" s="84">
        <v>2019</v>
      </c>
      <c r="H12" s="84">
        <v>2020</v>
      </c>
      <c r="I12" s="84" t="s">
        <v>42</v>
      </c>
      <c r="J12" s="96" t="s">
        <v>63</v>
      </c>
      <c r="K12" s="84" t="s">
        <v>64</v>
      </c>
      <c r="L12" s="84" t="s">
        <v>65</v>
      </c>
      <c r="M12" s="84" t="s">
        <v>46</v>
      </c>
      <c r="N12" s="84" t="s">
        <v>47</v>
      </c>
      <c r="O12" s="84" t="s">
        <v>68</v>
      </c>
      <c r="P12" s="84" t="s">
        <v>156</v>
      </c>
      <c r="Q12" s="84" t="s">
        <v>155</v>
      </c>
      <c r="R12" s="84" t="s">
        <v>154</v>
      </c>
      <c r="S12" s="84" t="s">
        <v>153</v>
      </c>
      <c r="T12" s="84" t="s">
        <v>152</v>
      </c>
      <c r="U12" s="84" t="s">
        <v>151</v>
      </c>
      <c r="V12" s="84" t="s">
        <v>150</v>
      </c>
      <c r="W12" s="84" t="s">
        <v>149</v>
      </c>
      <c r="X12" s="84" t="s">
        <v>148</v>
      </c>
      <c r="Y12" s="84" t="s">
        <v>147</v>
      </c>
      <c r="Z12" s="84" t="s">
        <v>146</v>
      </c>
      <c r="AA12" s="84" t="s">
        <v>145</v>
      </c>
      <c r="AB12" s="84" t="s">
        <v>144</v>
      </c>
      <c r="AC12" s="84" t="s">
        <v>143</v>
      </c>
      <c r="AD12" s="84" t="s">
        <v>142</v>
      </c>
      <c r="AE12" s="84" t="s">
        <v>141</v>
      </c>
      <c r="AF12" s="84" t="s">
        <v>140</v>
      </c>
      <c r="AG12" s="84" t="s">
        <v>139</v>
      </c>
      <c r="AH12" s="84" t="s">
        <v>138</v>
      </c>
      <c r="AI12" s="84" t="s">
        <v>137</v>
      </c>
      <c r="AJ12" s="84" t="s">
        <v>136</v>
      </c>
      <c r="AK12" s="84" t="s">
        <v>135</v>
      </c>
      <c r="AL12" s="84" t="s">
        <v>134</v>
      </c>
      <c r="AM12" s="84" t="s">
        <v>133</v>
      </c>
      <c r="AN12" s="84" t="s">
        <v>132</v>
      </c>
      <c r="AO12" s="84" t="s">
        <v>131</v>
      </c>
      <c r="AP12" s="84" t="s">
        <v>130</v>
      </c>
      <c r="AQ12" s="84" t="s">
        <v>129</v>
      </c>
      <c r="AR12" s="84" t="s">
        <v>128</v>
      </c>
      <c r="AS12" s="84" t="s">
        <v>127</v>
      </c>
      <c r="AT12" s="84" t="s">
        <v>126</v>
      </c>
      <c r="AU12" s="84" t="s">
        <v>125</v>
      </c>
      <c r="AV12" s="84" t="s">
        <v>124</v>
      </c>
      <c r="AW12" s="84" t="s">
        <v>123</v>
      </c>
      <c r="AX12" s="84" t="s">
        <v>122</v>
      </c>
      <c r="AY12" s="84" t="s">
        <v>121</v>
      </c>
      <c r="AZ12" s="84" t="s">
        <v>120</v>
      </c>
      <c r="BA12" s="84" t="s">
        <v>119</v>
      </c>
      <c r="BB12" s="84" t="s">
        <v>118</v>
      </c>
      <c r="BC12" s="84" t="s">
        <v>117</v>
      </c>
      <c r="BD12" s="84" t="s">
        <v>116</v>
      </c>
      <c r="BE12" s="84" t="s">
        <v>115</v>
      </c>
      <c r="BF12" s="84" t="s">
        <v>114</v>
      </c>
      <c r="BG12" s="84" t="s">
        <v>113</v>
      </c>
      <c r="BH12" s="84" t="s">
        <v>112</v>
      </c>
      <c r="BI12" s="84" t="s">
        <v>111</v>
      </c>
      <c r="BJ12" s="84" t="s">
        <v>110</v>
      </c>
      <c r="BK12" s="84" t="s">
        <v>109</v>
      </c>
      <c r="BL12" s="84" t="s">
        <v>102</v>
      </c>
      <c r="BM12" s="84" t="s">
        <v>103</v>
      </c>
      <c r="BN12" s="84" t="s">
        <v>104</v>
      </c>
      <c r="BO12" s="84" t="s">
        <v>105</v>
      </c>
      <c r="BP12" s="84" t="s">
        <v>106</v>
      </c>
      <c r="BQ12" s="84" t="s">
        <v>107</v>
      </c>
      <c r="BR12" s="84" t="s">
        <v>10</v>
      </c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</row>
    <row r="13" spans="2:89" ht="14.4" x14ac:dyDescent="0.3">
      <c r="B13" s="83" t="s">
        <v>158</v>
      </c>
      <c r="D13" s="87"/>
      <c r="E13" s="87"/>
      <c r="F13" s="87"/>
      <c r="G13" s="87"/>
      <c r="H13" s="87"/>
      <c r="I13" s="87"/>
      <c r="J13" s="9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R13" s="88">
        <f>SUM(D13:BQ13)</f>
        <v>0</v>
      </c>
      <c r="BS13" s="85"/>
    </row>
    <row r="14" spans="2:89" ht="14.4" x14ac:dyDescent="0.3">
      <c r="B14" s="83" t="s">
        <v>160</v>
      </c>
      <c r="C14" s="83">
        <v>1</v>
      </c>
      <c r="E14" s="89">
        <f>IF(E$11-$C14&gt;$D$8,$D$6-SUM(D14:$E14),$D$6/$D$8)</f>
        <v>0.39730080000341661</v>
      </c>
      <c r="F14" s="89">
        <f>IF(F$11-$C14&gt;$D$8,$D$6-SUM(E14:$E14),$D$6/$D$8)</f>
        <v>0.39730080000341661</v>
      </c>
      <c r="G14" s="89">
        <f>IF(G$11-$C14&gt;$D$8,$D$6-SUM($E14:F14),$D$6/$D$8)</f>
        <v>0.39730080000341661</v>
      </c>
      <c r="H14" s="89">
        <f>IF(H$11-$C14&gt;$D$8,$D$6-SUM($E14:G14),$D$6/$D$8)</f>
        <v>0.39730080000341661</v>
      </c>
      <c r="I14" s="89">
        <f>IF(I$11-$C14&gt;$D$8,$D$6-SUM($E14:H14),$D$6/$D$8)</f>
        <v>0.39730080000341661</v>
      </c>
      <c r="J14" s="98">
        <f>IF(J$11-$C14&gt;$D$8,$D$6-SUM($E14:I14),$D$6/$D$8)</f>
        <v>0.39730080000341661</v>
      </c>
      <c r="K14" s="89">
        <f>IF(K$11-$C14&gt;$D$8,$D$6-SUM($E14:J14),$D$6/$D$8)</f>
        <v>0.39730080000341661</v>
      </c>
      <c r="L14" s="89">
        <f>IF(L$11-$C14&gt;$D$8,$D$6-SUM($E14:K14),$D$6/$D$8)</f>
        <v>0.39730080000341661</v>
      </c>
      <c r="M14" s="89">
        <f>IF(M$11-$C14&gt;$D$8,$D$6-SUM($E14:L14),$D$6/$D$8)</f>
        <v>0.39730080000341661</v>
      </c>
      <c r="N14" s="89">
        <f>IF(N$11-$C14&gt;$D$8,$D$6-SUM($E14:M14),$D$6/$D$8)</f>
        <v>0.39730080000341661</v>
      </c>
      <c r="O14" s="89">
        <f>IF(O$11-$C14&gt;$D$8,$D$6-SUM($E14:N14),$D$6/$D$8)</f>
        <v>0.39730080000341661</v>
      </c>
      <c r="P14" s="89">
        <f>IF(P$11-$C14&gt;$D$8,$D$6-SUM($E14:O14),$D$6/$D$8)</f>
        <v>0.39730080000341661</v>
      </c>
      <c r="Q14" s="89">
        <f>IF(Q$11-$C14&gt;$D$8,$D$6-SUM($E14:P14),$D$6/$D$8)</f>
        <v>0.39730080000341661</v>
      </c>
      <c r="R14" s="89">
        <f>IF(R$11-$C14&gt;$D$8,$D$6-SUM($E14:Q14),$D$6/$D$8)</f>
        <v>0.39730080000341661</v>
      </c>
      <c r="S14" s="89">
        <f>IF(S$11-$C14&gt;$D$8,$D$6-SUM($E14:R14),$D$6/$D$8)</f>
        <v>0.39730080000341661</v>
      </c>
      <c r="T14" s="89">
        <f>IF(T$11-$C14&gt;$D$8,$D$6-SUM($E14:S14),$D$6/$D$8)</f>
        <v>0.39730080000341661</v>
      </c>
      <c r="U14" s="89">
        <f>IF(U$11-$C14&gt;$D$8,$D$6-SUM($E14:T14),$D$6/$D$8)</f>
        <v>0.39730080000341661</v>
      </c>
      <c r="V14" s="89">
        <f>IF(V$11-$C14&gt;$D$8,$D$6-SUM($E14:U14),$D$6/$D$8)</f>
        <v>0.39730080000341661</v>
      </c>
      <c r="W14" s="89">
        <f>IF(W$11-$C14&gt;$D$8,$D$6-SUM($E14:V14),$D$6/$D$8)</f>
        <v>0.39730080000341661</v>
      </c>
      <c r="X14" s="89">
        <f>IF(X$11-$C14&gt;$D$8,$D$6-SUM($E14:W14),$D$6/$D$8)</f>
        <v>0.39730080000341661</v>
      </c>
      <c r="Y14" s="89">
        <f>IF(Y$11-$C14&gt;$D$8,$D$6-SUM($E14:X14),$D$6/$D$8)</f>
        <v>0.39730080000341661</v>
      </c>
      <c r="Z14" s="89">
        <f>IF(Z$11-$C14&gt;$D$8,$D$6-SUM($E14:Y14),$D$6/$D$8)</f>
        <v>0.39730080000341661</v>
      </c>
      <c r="AA14" s="89">
        <f>IF(AA$11-$C14&gt;$D$8,$D$6-SUM($E14:Z14),$D$6/$D$8)</f>
        <v>0.39730080000341661</v>
      </c>
      <c r="AB14" s="89">
        <f>IF(AB$11-$C14&gt;$D$8,$D$6-SUM($E14:AA14),$D$6/$D$8)</f>
        <v>0.39730080000341661</v>
      </c>
      <c r="AC14" s="89">
        <f>IF(AC$11-$C14&gt;$D$8,$D$6-SUM($E14:AB14),$D$6/$D$8)</f>
        <v>0.39730080000341661</v>
      </c>
      <c r="AD14" s="89">
        <f>IF(AD$11-$C14&gt;$D$8,$D$6-SUM($E14:AC14),$D$6/$D$8)</f>
        <v>0.39730080000341661</v>
      </c>
      <c r="AE14" s="89">
        <f>IF(AE$11-$C14&gt;$D$8,$D$6-SUM($E14:AD14),$D$6/$D$8)</f>
        <v>0.39730080000341661</v>
      </c>
      <c r="AF14" s="89">
        <f>IF(AF$11-$C14&gt;$D$8,$D$6-SUM($E14:AE14),$D$6/$D$8)</f>
        <v>0.39730080000341661</v>
      </c>
      <c r="AG14" s="89">
        <f>IF(AG$11-$C14&gt;$D$8,$D$6-SUM($E14:AF14),$D$6/$D$8)</f>
        <v>0.39730080000341661</v>
      </c>
      <c r="AH14" s="89">
        <f>IF(AH$11-$C14&gt;$D$8,$D$6-SUM($E14:AG14),$D$6/$D$8)</f>
        <v>0.39730080000341661</v>
      </c>
      <c r="AI14" s="89">
        <f>IF(AI$11-$C14&gt;$D$8,$D$6-SUM($E14:AH14),$D$6/$D$8)</f>
        <v>0.39730080000341661</v>
      </c>
      <c r="AJ14" s="89">
        <f>IF(AJ$11-$C14&gt;$D$8,$D$6-SUM($E14:AI14),$D$6/$D$8)</f>
        <v>0.39730080000341661</v>
      </c>
      <c r="AK14" s="89">
        <f>IF(AK$11-$C14&gt;$D$8,$D$6-SUM($E14:AJ14),$D$6/$D$8)</f>
        <v>0.39730080000341661</v>
      </c>
      <c r="AL14" s="89">
        <f>IF(AL$11-$C14&gt;$D$8,$D$6-SUM($E14:AK14),$D$6/$D$8)</f>
        <v>0.39730080000341661</v>
      </c>
      <c r="AM14" s="89">
        <f>IF(AM$11-$C14&gt;$D$8,$D$6-SUM($E14:AL14),$D$6/$D$8)</f>
        <v>0.39730080000341661</v>
      </c>
      <c r="AN14" s="89">
        <f>IF(AN$11-$C14&gt;$D$8,$D$6-SUM($E14:AM14),$D$6/$D$8)</f>
        <v>0.39730080000341661</v>
      </c>
      <c r="AO14" s="89">
        <f>IF(AO$11-$C14&gt;$D$8,$D$6-SUM($E14:AN14),$D$6/$D$8)</f>
        <v>0.39730080000341661</v>
      </c>
      <c r="AP14" s="89">
        <f>IF(AP$11-$C14&gt;$D$8,$D$6-SUM($E14:AO14),$D$6/$D$8)</f>
        <v>0.39730080000341661</v>
      </c>
      <c r="AQ14" s="89">
        <f>IF(AQ$11-$C14&gt;$D$8,$D$6-SUM($E14:AP14),$D$6/$D$8)</f>
        <v>0.39730080000341661</v>
      </c>
      <c r="AR14" s="89">
        <f>IF(AR$11-$C14&gt;$D$8,$D$6-SUM($E14:AQ14),$D$6/$D$8)</f>
        <v>0.39730080000341661</v>
      </c>
      <c r="AS14" s="89">
        <f>IF(AS$11-$C14&gt;$D$8,$D$6-SUM($E14:AR14),$D$6/$D$8)</f>
        <v>0.39730080000341661</v>
      </c>
      <c r="AT14" s="89">
        <f>IF(AT$11-$C14&gt;$D$8,$D$6-SUM($E14:AS14),$D$6/$D$8)</f>
        <v>0.39730080000341661</v>
      </c>
      <c r="AU14" s="89">
        <f>IF(AU$11-$C14&gt;$D$8,$D$6-SUM($E14:AT14),$D$6/$D$8)</f>
        <v>0.39730080000341661</v>
      </c>
      <c r="AV14" s="89">
        <f>IF(AV$11-$C14&gt;$D$8,$D$6-SUM($E14:AU14),$D$6/$D$8)</f>
        <v>0.39730080000341661</v>
      </c>
      <c r="AW14" s="89">
        <f>IF(AW$11-$C14&gt;$D$8,$D$6-SUM($E14:AV14),$D$6/$D$8)</f>
        <v>0.39730080000341661</v>
      </c>
      <c r="AX14" s="89">
        <f>IF(AX$11-$C14&gt;$D$8,$D$6-SUM($E14:AW14),$D$6/$D$8)</f>
        <v>7.1054273576010019E-15</v>
      </c>
      <c r="AY14" s="89">
        <f>IF(AY$11-$C14&gt;$D$8,$D$6-SUM($E14:AX14),$D$6/$D$8)</f>
        <v>0</v>
      </c>
      <c r="AZ14" s="89">
        <f>IF(AZ$11-$C14&gt;$D$8,$D$6-SUM($E14:AY14),$D$6/$D$8)</f>
        <v>0</v>
      </c>
      <c r="BA14" s="89">
        <f>IF(BA$11-$C14&gt;$D$8,$D$6-SUM($E14:AZ14),$D$6/$D$8)</f>
        <v>0</v>
      </c>
      <c r="BB14" s="89">
        <f>IF(BB$11-$C14&gt;$D$8,$D$6-SUM($E14:BA14),$D$6/$D$8)</f>
        <v>0</v>
      </c>
      <c r="BC14" s="89">
        <f>IF(BC$11-$C14&gt;$D$8,$D$6-SUM($E14:BB14),$D$6/$D$8)</f>
        <v>0</v>
      </c>
      <c r="BD14" s="89">
        <f>IF(BD$11-$C14&gt;$D$8,$D$6-SUM($E14:BC14),$D$6/$D$8)</f>
        <v>0</v>
      </c>
      <c r="BE14" s="89">
        <f>IF(BE$11-$C14&gt;$D$8,$D$6-SUM($E14:BD14),$D$6/$D$8)</f>
        <v>0</v>
      </c>
      <c r="BF14" s="89">
        <f>IF(BF$11-$C14&gt;$D$8,$D$6-SUM($E14:BE14),$D$6/$D$8)</f>
        <v>0</v>
      </c>
      <c r="BG14" s="89">
        <f>IF(BG$11-$C14&gt;$D$8,$D$6-SUM($E14:BF14),$D$6/$D$8)</f>
        <v>0</v>
      </c>
      <c r="BH14" s="89">
        <f>IF(BH$11-$C14&gt;$D$8,$D$6-SUM($E14:BG14),$D$6/$D$8)</f>
        <v>0</v>
      </c>
      <c r="BI14" s="89">
        <f>IF(BI$11-$C14&gt;$D$8,$D$6-SUM($E14:BH14),$D$6/$D$8)</f>
        <v>0</v>
      </c>
      <c r="BJ14" s="89">
        <f>IF(BJ$11-$C14&gt;$D$8,$D$6-SUM($E14:BI14),$D$6/$D$8)</f>
        <v>0</v>
      </c>
      <c r="BK14" s="89">
        <f>IF(BK$11-$C14&gt;$D$8,$D$6-SUM($E14:BJ14),$D$6/$D$8)</f>
        <v>0</v>
      </c>
      <c r="BL14" s="89">
        <f>IF(BL$11-$C14&gt;$D$8,$D$6-SUM($E14:BK14),$D$6/$D$8)</f>
        <v>0</v>
      </c>
      <c r="BM14" s="89">
        <f>IF(BM$11-$C14&gt;$D$8,$D$6-SUM($E14:BL14),$D$6/$D$8)</f>
        <v>0</v>
      </c>
      <c r="BN14" s="89">
        <f>IF(BN$11-$C14&gt;$D$8,$D$6-SUM($E14:BM14),$D$6/$D$8)</f>
        <v>0</v>
      </c>
      <c r="BO14" s="89">
        <f>IF(BO$11-$C14&gt;$D$8,$D$6-SUM($E14:BN14),$D$6/$D$8)</f>
        <v>0</v>
      </c>
      <c r="BP14" s="89">
        <f>IF(BP$11-$C14&gt;$D$8,$D$6-SUM($E14:BO14),$D$6/$D$8)</f>
        <v>0</v>
      </c>
      <c r="BR14" s="88">
        <f t="shared" ref="BR14:BR19" si="0">SUM(D14:BQ14)</f>
        <v>17.878536000153748</v>
      </c>
      <c r="BS14" s="83" t="b">
        <f>BR14=D6</f>
        <v>1</v>
      </c>
    </row>
    <row r="15" spans="2:89" ht="14.4" x14ac:dyDescent="0.3">
      <c r="B15" s="83" t="s">
        <v>161</v>
      </c>
      <c r="C15" s="83">
        <v>2</v>
      </c>
      <c r="F15" s="89">
        <f>IF(F$11-$C15&gt;$D$8,$E$6-SUM(E15:$E15),$E$6/$D$8)</f>
        <v>0.1081650659094695</v>
      </c>
      <c r="G15" s="89">
        <f>IF(G$11-$C15&gt;$D$8,$E$6-SUM($E15:F15),$E$6/$D$8)</f>
        <v>0.1081650659094695</v>
      </c>
      <c r="H15" s="89">
        <f>IF(H$11-$C15&gt;$D$8,$E$6-SUM($E15:G15),$E$6/$D$8)</f>
        <v>0.1081650659094695</v>
      </c>
      <c r="I15" s="89">
        <f>IF(I$11-$C15&gt;$D$8,$E$6-SUM($E15:H15),$E$6/$D$8)</f>
        <v>0.1081650659094695</v>
      </c>
      <c r="J15" s="98">
        <f>IF(J$11-$C15&gt;$D$8,$E$6-SUM($E15:I15),$E$6/$D$8)</f>
        <v>0.1081650659094695</v>
      </c>
      <c r="K15" s="89">
        <f>IF(K$11-$C15&gt;$D$8,$E$6-SUM($E15:J15),$E$6/$D$8)</f>
        <v>0.1081650659094695</v>
      </c>
      <c r="L15" s="89">
        <f>IF(L$11-$C15&gt;$D$8,$E$6-SUM($E15:K15),$E$6/$D$8)</f>
        <v>0.1081650659094695</v>
      </c>
      <c r="M15" s="89">
        <f>IF(M$11-$C15&gt;$D$8,$E$6-SUM($E15:L15),$E$6/$D$8)</f>
        <v>0.1081650659094695</v>
      </c>
      <c r="N15" s="89">
        <f>IF(N$11-$C15&gt;$D$8,$E$6-SUM($E15:M15),$E$6/$D$8)</f>
        <v>0.1081650659094695</v>
      </c>
      <c r="O15" s="89">
        <f>IF(O$11-$C15&gt;$D$8,$E$6-SUM($E15:N15),$E$6/$D$8)</f>
        <v>0.1081650659094695</v>
      </c>
      <c r="P15" s="89">
        <f>IF(P$11-$C15&gt;$D$8,$E$6-SUM($E15:O15),$E$6/$D$8)</f>
        <v>0.1081650659094695</v>
      </c>
      <c r="Q15" s="89">
        <f>IF(Q$11-$C15&gt;$D$8,$E$6-SUM($E15:P15),$E$6/$D$8)</f>
        <v>0.1081650659094695</v>
      </c>
      <c r="R15" s="89">
        <f>IF(R$11-$C15&gt;$D$8,$E$6-SUM($E15:Q15),$E$6/$D$8)</f>
        <v>0.1081650659094695</v>
      </c>
      <c r="S15" s="89">
        <f>IF(S$11-$C15&gt;$D$8,$E$6-SUM($E15:R15),$E$6/$D$8)</f>
        <v>0.1081650659094695</v>
      </c>
      <c r="T15" s="89">
        <f>IF(T$11-$C15&gt;$D$8,$E$6-SUM($E15:S15),$E$6/$D$8)</f>
        <v>0.1081650659094695</v>
      </c>
      <c r="U15" s="89">
        <f>IF(U$11-$C15&gt;$D$8,$E$6-SUM($E15:T15),$E$6/$D$8)</f>
        <v>0.1081650659094695</v>
      </c>
      <c r="V15" s="89">
        <f>IF(V$11-$C15&gt;$D$8,$E$6-SUM($E15:U15),$E$6/$D$8)</f>
        <v>0.1081650659094695</v>
      </c>
      <c r="W15" s="89">
        <f>IF(W$11-$C15&gt;$D$8,$E$6-SUM($E15:V15),$E$6/$D$8)</f>
        <v>0.1081650659094695</v>
      </c>
      <c r="X15" s="89">
        <f>IF(X$11-$C15&gt;$D$8,$E$6-SUM($E15:W15),$E$6/$D$8)</f>
        <v>0.1081650659094695</v>
      </c>
      <c r="Y15" s="89">
        <f>IF(Y$11-$C15&gt;$D$8,$E$6-SUM($E15:X15),$E$6/$D$8)</f>
        <v>0.1081650659094695</v>
      </c>
      <c r="Z15" s="89">
        <f>IF(Z$11-$C15&gt;$D$8,$E$6-SUM($E15:Y15),$E$6/$D$8)</f>
        <v>0.1081650659094695</v>
      </c>
      <c r="AA15" s="89">
        <f>IF(AA$11-$C15&gt;$D$8,$E$6-SUM($E15:Z15),$E$6/$D$8)</f>
        <v>0.1081650659094695</v>
      </c>
      <c r="AB15" s="89">
        <f>IF(AB$11-$C15&gt;$D$8,$E$6-SUM($E15:AA15),$E$6/$D$8)</f>
        <v>0.1081650659094695</v>
      </c>
      <c r="AC15" s="89">
        <f>IF(AC$11-$C15&gt;$D$8,$E$6-SUM($E15:AB15),$E$6/$D$8)</f>
        <v>0.1081650659094695</v>
      </c>
      <c r="AD15" s="89">
        <f>IF(AD$11-$C15&gt;$D$8,$E$6-SUM($E15:AC15),$E$6/$D$8)</f>
        <v>0.1081650659094695</v>
      </c>
      <c r="AE15" s="89">
        <f>IF(AE$11-$C15&gt;$D$8,$E$6-SUM($E15:AD15),$E$6/$D$8)</f>
        <v>0.1081650659094695</v>
      </c>
      <c r="AF15" s="89">
        <f>IF(AF$11-$C15&gt;$D$8,$E$6-SUM($E15:AE15),$E$6/$D$8)</f>
        <v>0.1081650659094695</v>
      </c>
      <c r="AG15" s="89">
        <f>IF(AG$11-$C15&gt;$D$8,$E$6-SUM($E15:AF15),$E$6/$D$8)</f>
        <v>0.1081650659094695</v>
      </c>
      <c r="AH15" s="89">
        <f>IF(AH$11-$C15&gt;$D$8,$E$6-SUM($E15:AG15),$E$6/$D$8)</f>
        <v>0.1081650659094695</v>
      </c>
      <c r="AI15" s="89">
        <f>IF(AI$11-$C15&gt;$D$8,$E$6-SUM($E15:AH15),$E$6/$D$8)</f>
        <v>0.1081650659094695</v>
      </c>
      <c r="AJ15" s="89">
        <f>IF(AJ$11-$C15&gt;$D$8,$E$6-SUM($E15:AI15),$E$6/$D$8)</f>
        <v>0.1081650659094695</v>
      </c>
      <c r="AK15" s="89">
        <f>IF(AK$11-$C15&gt;$D$8,$E$6-SUM($E15:AJ15),$E$6/$D$8)</f>
        <v>0.1081650659094695</v>
      </c>
      <c r="AL15" s="89">
        <f>IF(AL$11-$C15&gt;$D$8,$E$6-SUM($E15:AK15),$E$6/$D$8)</f>
        <v>0.1081650659094695</v>
      </c>
      <c r="AM15" s="89">
        <f>IF(AM$11-$C15&gt;$D$8,$E$6-SUM($E15:AL15),$E$6/$D$8)</f>
        <v>0.1081650659094695</v>
      </c>
      <c r="AN15" s="89">
        <f>IF(AN$11-$C15&gt;$D$8,$E$6-SUM($E15:AM15),$E$6/$D$8)</f>
        <v>0.1081650659094695</v>
      </c>
      <c r="AO15" s="89">
        <f>IF(AO$11-$C15&gt;$D$8,$E$6-SUM($E15:AN15),$E$6/$D$8)</f>
        <v>0.1081650659094695</v>
      </c>
      <c r="AP15" s="89">
        <f>IF(AP$11-$C15&gt;$D$8,$E$6-SUM($E15:AO15),$E$6/$D$8)</f>
        <v>0.1081650659094695</v>
      </c>
      <c r="AQ15" s="89">
        <f>IF(AQ$11-$C15&gt;$D$8,$E$6-SUM($E15:AP15),$E$6/$D$8)</f>
        <v>0.1081650659094695</v>
      </c>
      <c r="AR15" s="89">
        <f>IF(AR$11-$C15&gt;$D$8,$E$6-SUM($E15:AQ15),$E$6/$D$8)</f>
        <v>0.1081650659094695</v>
      </c>
      <c r="AS15" s="89">
        <f>IF(AS$11-$C15&gt;$D$8,$E$6-SUM($E15:AR15),$E$6/$D$8)</f>
        <v>0.1081650659094695</v>
      </c>
      <c r="AT15" s="89">
        <f>IF(AT$11-$C15&gt;$D$8,$E$6-SUM($E15:AS15),$E$6/$D$8)</f>
        <v>0.1081650659094695</v>
      </c>
      <c r="AU15" s="89">
        <f>IF(AU$11-$C15&gt;$D$8,$E$6-SUM($E15:AT15),$E$6/$D$8)</f>
        <v>0.1081650659094695</v>
      </c>
      <c r="AV15" s="89">
        <f>IF(AV$11-$C15&gt;$D$8,$E$6-SUM($E15:AU15),$E$6/$D$8)</f>
        <v>0.1081650659094695</v>
      </c>
      <c r="AW15" s="89">
        <f>IF(AW$11-$C15&gt;$D$8,$E$6-SUM($E15:AV15),$E$6/$D$8)</f>
        <v>0.1081650659094695</v>
      </c>
      <c r="AX15" s="89">
        <f>IF(AX$11-$C15&gt;$D$8,$E$6-SUM($E15:AW15),$E$6/$D$8)</f>
        <v>0.1081650659094695</v>
      </c>
      <c r="AY15" s="89">
        <f>IF(AY$11-$C15&gt;$D$8,$E$6-SUM($E15:AX15),$E$6/$D$8)</f>
        <v>0</v>
      </c>
      <c r="AZ15" s="89">
        <f>IF(AZ$11-$C15&gt;$D$8,$E$6-SUM($E15:AY15),$E$6/$D$8)</f>
        <v>0</v>
      </c>
      <c r="BA15" s="89">
        <f>IF(BA$11-$C15&gt;$D$8,$E$6-SUM($E15:AZ15),$E$6/$D$8)</f>
        <v>0</v>
      </c>
      <c r="BB15" s="89">
        <f>IF(BB$11-$C15&gt;$D$8,$E$6-SUM($E15:BA15),$E$6/$D$8)</f>
        <v>0</v>
      </c>
      <c r="BC15" s="89">
        <f>IF(BC$11-$C15&gt;$D$8,$E$6-SUM($E15:BB15),$E$6/$D$8)</f>
        <v>0</v>
      </c>
      <c r="BD15" s="89">
        <f>IF(BD$11-$C15&gt;$D$8,$E$6-SUM($E15:BC15),$E$6/$D$8)</f>
        <v>0</v>
      </c>
      <c r="BE15" s="89">
        <f>IF(BE$11-$C15&gt;$D$8,$E$6-SUM($E15:BD15),$E$6/$D$8)</f>
        <v>0</v>
      </c>
      <c r="BF15" s="89">
        <f>IF(BF$11-$C15&gt;$D$8,$E$6-SUM($E15:BE15),$E$6/$D$8)</f>
        <v>0</v>
      </c>
      <c r="BG15" s="89">
        <f>IF(BG$11-$C15&gt;$D$8,$E$6-SUM($E15:BF15),$E$6/$D$8)</f>
        <v>0</v>
      </c>
      <c r="BH15" s="89">
        <f>IF(BH$11-$C15&gt;$D$8,$E$6-SUM($E15:BG15),$E$6/$D$8)</f>
        <v>0</v>
      </c>
      <c r="BI15" s="89">
        <f>IF(BI$11-$C15&gt;$D$8,$E$6-SUM($E15:BH15),$E$6/$D$8)</f>
        <v>0</v>
      </c>
      <c r="BJ15" s="89">
        <f>IF(BJ$11-$C15&gt;$D$8,$E$6-SUM($E15:BI15),$E$6/$D$8)</f>
        <v>0</v>
      </c>
      <c r="BK15" s="89">
        <f>IF(BK$11-$C15&gt;$D$8,$E$6-SUM($E15:BJ15),$E$6/$D$8)</f>
        <v>0</v>
      </c>
      <c r="BL15" s="89">
        <f>IF(BL$11-$C15&gt;$D$8,$E$6-SUM($E15:BK15),$E$6/$D$8)</f>
        <v>0</v>
      </c>
      <c r="BM15" s="89">
        <f>IF(BM$11-$C15&gt;$D$8,$E$6-SUM($E15:BL15),$E$6/$D$8)</f>
        <v>0</v>
      </c>
      <c r="BN15" s="89">
        <f>IF(BN$11-$C15&gt;$D$8,$E$6-SUM($E15:BM15),$E$6/$D$8)</f>
        <v>0</v>
      </c>
      <c r="BO15" s="89">
        <f>IF(BO$11-$C15&gt;$D$8,$E$6-SUM($E15:BN15),$E$6/$D$8)</f>
        <v>0</v>
      </c>
      <c r="BP15" s="89">
        <f>IF(BP$11-$C15&gt;$D$8,$E$6-SUM($E15:BO15),$E$6/$D$8)</f>
        <v>0</v>
      </c>
      <c r="BR15" s="88">
        <f t="shared" si="0"/>
        <v>4.8674279659261277</v>
      </c>
      <c r="BS15" s="83" t="b">
        <f>BR15=E6</f>
        <v>1</v>
      </c>
    </row>
    <row r="16" spans="2:89" ht="14.4" x14ac:dyDescent="0.3">
      <c r="B16" s="83" t="s">
        <v>162</v>
      </c>
      <c r="C16" s="83">
        <v>3</v>
      </c>
      <c r="G16" s="89">
        <f>IF(G$11-$C16&gt;$D$8,$F$6-SUM($E16:F16),$F$6/$D$8)</f>
        <v>0.16174311318734499</v>
      </c>
      <c r="H16" s="89">
        <f>IF(H$11-$C16&gt;$D$8,$F$6-SUM($E16:G16),$F$6/$D$8)</f>
        <v>0.16174311318734499</v>
      </c>
      <c r="I16" s="89">
        <f>IF(I$11-$C16&gt;$D$8,$F$6-SUM($E16:H16),$F$6/$D$8)</f>
        <v>0.16174311318734499</v>
      </c>
      <c r="J16" s="98">
        <f>IF(J$11-$C16&gt;$D$8,$F$6-SUM($E16:I16),$F$6/$D$8)</f>
        <v>0.16174311318734499</v>
      </c>
      <c r="K16" s="89">
        <f>IF(K$11-$C16&gt;$D$8,$F$6-SUM($E16:J16),$F$6/$D$8)</f>
        <v>0.16174311318734499</v>
      </c>
      <c r="L16" s="89">
        <f>IF(L$11-$C16&gt;$D$8,$F$6-SUM($E16:K16),$F$6/$D$8)</f>
        <v>0.16174311318734499</v>
      </c>
      <c r="M16" s="89">
        <f>IF(M$11-$C16&gt;$D$8,$F$6-SUM($E16:L16),$F$6/$D$8)</f>
        <v>0.16174311318734499</v>
      </c>
      <c r="N16" s="89">
        <f>IF(N$11-$C16&gt;$D$8,$F$6-SUM($E16:M16),$F$6/$D$8)</f>
        <v>0.16174311318734499</v>
      </c>
      <c r="O16" s="89">
        <f>IF(O$11-$C16&gt;$D$8,$F$6-SUM($E16:N16),$F$6/$D$8)</f>
        <v>0.16174311318734499</v>
      </c>
      <c r="P16" s="89">
        <f>IF(P$11-$C16&gt;$D$8,$F$6-SUM($E16:O16),$F$6/$D$8)</f>
        <v>0.16174311318734499</v>
      </c>
      <c r="Q16" s="89">
        <f>IF(Q$11-$C16&gt;$D$8,$F$6-SUM($E16:P16),$F$6/$D$8)</f>
        <v>0.16174311318734499</v>
      </c>
      <c r="R16" s="89">
        <f>IF(R$11-$C16&gt;$D$8,$F$6-SUM($E16:Q16),$F$6/$D$8)</f>
        <v>0.16174311318734499</v>
      </c>
      <c r="S16" s="89">
        <f>IF(S$11-$C16&gt;$D$8,$F$6-SUM($E16:R16),$F$6/$D$8)</f>
        <v>0.16174311318734499</v>
      </c>
      <c r="T16" s="89">
        <f>IF(T$11-$C16&gt;$D$8,$F$6-SUM($E16:S16),$F$6/$D$8)</f>
        <v>0.16174311318734499</v>
      </c>
      <c r="U16" s="89">
        <f>IF(U$11-$C16&gt;$D$8,$F$6-SUM($E16:T16),$F$6/$D$8)</f>
        <v>0.16174311318734499</v>
      </c>
      <c r="V16" s="89">
        <f>IF(V$11-$C16&gt;$D$8,$F$6-SUM($E16:U16),$F$6/$D$8)</f>
        <v>0.16174311318734499</v>
      </c>
      <c r="W16" s="89">
        <f>IF(W$11-$C16&gt;$D$8,$F$6-SUM($E16:V16),$F$6/$D$8)</f>
        <v>0.16174311318734499</v>
      </c>
      <c r="X16" s="89">
        <f>IF(X$11-$C16&gt;$D$8,$F$6-SUM($E16:W16),$F$6/$D$8)</f>
        <v>0.16174311318734499</v>
      </c>
      <c r="Y16" s="89">
        <f>IF(Y$11-$C16&gt;$D$8,$F$6-SUM($E16:X16),$F$6/$D$8)</f>
        <v>0.16174311318734499</v>
      </c>
      <c r="Z16" s="89">
        <f>IF(Z$11-$C16&gt;$D$8,$F$6-SUM($E16:Y16),$F$6/$D$8)</f>
        <v>0.16174311318734499</v>
      </c>
      <c r="AA16" s="89">
        <f>IF(AA$11-$C16&gt;$D$8,$F$6-SUM($E16:Z16),$F$6/$D$8)</f>
        <v>0.16174311318734499</v>
      </c>
      <c r="AB16" s="89">
        <f>IF(AB$11-$C16&gt;$D$8,$F$6-SUM($E16:AA16),$F$6/$D$8)</f>
        <v>0.16174311318734499</v>
      </c>
      <c r="AC16" s="89">
        <f>IF(AC$11-$C16&gt;$D$8,$F$6-SUM($E16:AB16),$F$6/$D$8)</f>
        <v>0.16174311318734499</v>
      </c>
      <c r="AD16" s="89">
        <f>IF(AD$11-$C16&gt;$D$8,$F$6-SUM($E16:AC16),$F$6/$D$8)</f>
        <v>0.16174311318734499</v>
      </c>
      <c r="AE16" s="89">
        <f>IF(AE$11-$C16&gt;$D$8,$F$6-SUM($E16:AD16),$F$6/$D$8)</f>
        <v>0.16174311318734499</v>
      </c>
      <c r="AF16" s="89">
        <f>IF(AF$11-$C16&gt;$D$8,$F$6-SUM($E16:AE16),$F$6/$D$8)</f>
        <v>0.16174311318734499</v>
      </c>
      <c r="AG16" s="89">
        <f>IF(AG$11-$C16&gt;$D$8,$F$6-SUM($E16:AF16),$F$6/$D$8)</f>
        <v>0.16174311318734499</v>
      </c>
      <c r="AH16" s="89">
        <f>IF(AH$11-$C16&gt;$D$8,$F$6-SUM($E16:AG16),$F$6/$D$8)</f>
        <v>0.16174311318734499</v>
      </c>
      <c r="AI16" s="89">
        <f>IF(AI$11-$C16&gt;$D$8,$F$6-SUM($E16:AH16),$F$6/$D$8)</f>
        <v>0.16174311318734499</v>
      </c>
      <c r="AJ16" s="89">
        <f>IF(AJ$11-$C16&gt;$D$8,$F$6-SUM($E16:AI16),$F$6/$D$8)</f>
        <v>0.16174311318734499</v>
      </c>
      <c r="AK16" s="89">
        <f>IF(AK$11-$C16&gt;$D$8,$F$6-SUM($E16:AJ16),$F$6/$D$8)</f>
        <v>0.16174311318734499</v>
      </c>
      <c r="AL16" s="89">
        <f>IF(AL$11-$C16&gt;$D$8,$F$6-SUM($E16:AK16),$F$6/$D$8)</f>
        <v>0.16174311318734499</v>
      </c>
      <c r="AM16" s="89">
        <f>IF(AM$11-$C16&gt;$D$8,$F$6-SUM($E16:AL16),$F$6/$D$8)</f>
        <v>0.16174311318734499</v>
      </c>
      <c r="AN16" s="89">
        <f>IF(AN$11-$C16&gt;$D$8,$F$6-SUM($E16:AM16),$F$6/$D$8)</f>
        <v>0.16174311318734499</v>
      </c>
      <c r="AO16" s="89">
        <f>IF(AO$11-$C16&gt;$D$8,$F$6-SUM($E16:AN16),$F$6/$D$8)</f>
        <v>0.16174311318734499</v>
      </c>
      <c r="AP16" s="89">
        <f>IF(AP$11-$C16&gt;$D$8,$F$6-SUM($E16:AO16),$F$6/$D$8)</f>
        <v>0.16174311318734499</v>
      </c>
      <c r="AQ16" s="89">
        <f>IF(AQ$11-$C16&gt;$D$8,$F$6-SUM($E16:AP16),$F$6/$D$8)</f>
        <v>0.16174311318734499</v>
      </c>
      <c r="AR16" s="89">
        <f>IF(AR$11-$C16&gt;$D$8,$F$6-SUM($E16:AQ16),$F$6/$D$8)</f>
        <v>0.16174311318734499</v>
      </c>
      <c r="AS16" s="89">
        <f>IF(AS$11-$C16&gt;$D$8,$F$6-SUM($E16:AR16),$F$6/$D$8)</f>
        <v>0.16174311318734499</v>
      </c>
      <c r="AT16" s="89">
        <f>IF(AT$11-$C16&gt;$D$8,$F$6-SUM($E16:AS16),$F$6/$D$8)</f>
        <v>0.16174311318734499</v>
      </c>
      <c r="AU16" s="89">
        <f>IF(AU$11-$C16&gt;$D$8,$F$6-SUM($E16:AT16),$F$6/$D$8)</f>
        <v>0.16174311318734499</v>
      </c>
      <c r="AV16" s="89">
        <f>IF(AV$11-$C16&gt;$D$8,$F$6-SUM($E16:AU16),$F$6/$D$8)</f>
        <v>0.16174311318734499</v>
      </c>
      <c r="AW16" s="89">
        <f>IF(AW$11-$C16&gt;$D$8,$F$6-SUM($E16:AV16),$F$6/$D$8)</f>
        <v>0.16174311318734499</v>
      </c>
      <c r="AX16" s="89">
        <f>IF(AX$11-$C16&gt;$D$8,$F$6-SUM($E16:AW16),$F$6/$D$8)</f>
        <v>0.16174311318734499</v>
      </c>
      <c r="AY16" s="89">
        <f>IF(AY$11-$C16&gt;$D$8,$F$6-SUM($E16:AX16),$F$6/$D$8)</f>
        <v>0.16174311318734499</v>
      </c>
      <c r="AZ16" s="89">
        <f>IF(AZ$11-$C16&gt;$D$8,$F$6-SUM($E16:AY16),$F$6/$D$8)</f>
        <v>-2.6645352591003757E-15</v>
      </c>
      <c r="BA16" s="89">
        <f>IF(BA$11-$C16&gt;$D$8,$F$6-SUM($E16:AZ16),$F$6/$D$8)</f>
        <v>0</v>
      </c>
      <c r="BB16" s="89">
        <f>IF(BB$11-$C16&gt;$D$8,$F$6-SUM($E16:BA16),$F$6/$D$8)</f>
        <v>0</v>
      </c>
      <c r="BC16" s="89">
        <f>IF(BC$11-$C16&gt;$D$8,$F$6-SUM($E16:BB16),$F$6/$D$8)</f>
        <v>0</v>
      </c>
      <c r="BD16" s="89">
        <f>IF(BD$11-$C16&gt;$D$8,$F$6-SUM($E16:BC16),$F$6/$D$8)</f>
        <v>0</v>
      </c>
      <c r="BE16" s="89">
        <f>IF(BE$11-$C16&gt;$D$8,$F$6-SUM($E16:BD16),$F$6/$D$8)</f>
        <v>0</v>
      </c>
      <c r="BF16" s="89">
        <f>IF(BF$11-$C16&gt;$D$8,$F$6-SUM($E16:BE16),$F$6/$D$8)</f>
        <v>0</v>
      </c>
      <c r="BG16" s="89">
        <f>IF(BG$11-$C16&gt;$D$8,$F$6-SUM($E16:BF16),$F$6/$D$8)</f>
        <v>0</v>
      </c>
      <c r="BH16" s="89">
        <f>IF(BH$11-$C16&gt;$D$8,$F$6-SUM($E16:BG16),$F$6/$D$8)</f>
        <v>0</v>
      </c>
      <c r="BI16" s="89">
        <f>IF(BI$11-$C16&gt;$D$8,$F$6-SUM($E16:BH16),$F$6/$D$8)</f>
        <v>0</v>
      </c>
      <c r="BJ16" s="89">
        <f>IF(BJ$11-$C16&gt;$D$8,$F$6-SUM($E16:BI16),$F$6/$D$8)</f>
        <v>0</v>
      </c>
      <c r="BK16" s="89">
        <f>IF(BK$11-$C16&gt;$D$8,$F$6-SUM($E16:BJ16),$F$6/$D$8)</f>
        <v>0</v>
      </c>
      <c r="BL16" s="89">
        <f>IF(BL$11-$C16&gt;$D$8,$F$6-SUM($E16:BK16),$F$6/$D$8)</f>
        <v>0</v>
      </c>
      <c r="BM16" s="89">
        <f>IF(BM$11-$C16&gt;$D$8,$F$6-SUM($E16:BL16),$F$6/$D$8)</f>
        <v>0</v>
      </c>
      <c r="BN16" s="89">
        <f>IF(BN$11-$C16&gt;$D$8,$F$6-SUM($E16:BM16),$F$6/$D$8)</f>
        <v>0</v>
      </c>
      <c r="BO16" s="89">
        <f>IF(BO$11-$C16&gt;$D$8,$F$6-SUM($E16:BN16),$F$6/$D$8)</f>
        <v>0</v>
      </c>
      <c r="BP16" s="89">
        <f>IF(BP$11-$C16&gt;$D$8,$F$6-SUM($E16:BO16),$F$6/$D$8)</f>
        <v>0</v>
      </c>
      <c r="BR16" s="88">
        <f t="shared" si="0"/>
        <v>7.2784400934305253</v>
      </c>
      <c r="BS16" s="83" t="b">
        <f>BR16=F6</f>
        <v>1</v>
      </c>
    </row>
    <row r="17" spans="2:71" ht="14.4" x14ac:dyDescent="0.3">
      <c r="B17" s="83" t="s">
        <v>163</v>
      </c>
      <c r="C17" s="83">
        <v>4</v>
      </c>
      <c r="H17" s="89">
        <f>IF(H$11-$C17&gt;$D$8,$G$6-SUM($E17:G17),$G$6/$D$8)</f>
        <v>5.3373662758604423</v>
      </c>
      <c r="I17" s="89">
        <f>IF(I$11-$C17&gt;$D$8,$G$6-SUM($E17:H17),$G$6/$D$8)</f>
        <v>5.3373662758604423</v>
      </c>
      <c r="J17" s="98">
        <f>IF(J$11-$C17&gt;$D$8,$G$6-SUM($E17:I17),$G$6/$D$8)</f>
        <v>5.3373662758604423</v>
      </c>
      <c r="K17" s="89">
        <f>IF(K$11-$C17&gt;$D$8,$G$6-SUM($E17:J17),$G$6/$D$8)</f>
        <v>5.3373662758604423</v>
      </c>
      <c r="L17" s="89">
        <f>IF(L$11-$C17&gt;$D$8,$G$6-SUM($E17:K17),$G$6/$D$8)</f>
        <v>5.3373662758604423</v>
      </c>
      <c r="M17" s="89">
        <f>IF(M$11-$C17&gt;$D$8,$G$6-SUM($E17:L17),$G$6/$D$8)</f>
        <v>5.3373662758604423</v>
      </c>
      <c r="N17" s="89">
        <f>IF(N$11-$C17&gt;$D$8,$G$6-SUM($E17:M17),$G$6/$D$8)</f>
        <v>5.3373662758604423</v>
      </c>
      <c r="O17" s="89">
        <f>IF(O$11-$C17&gt;$D$8,$G$6-SUM($E17:N17),$G$6/$D$8)</f>
        <v>5.3373662758604423</v>
      </c>
      <c r="P17" s="89">
        <f>IF(P$11-$C17&gt;$D$8,$G$6-SUM($E17:O17),$G$6/$D$8)</f>
        <v>5.3373662758604423</v>
      </c>
      <c r="Q17" s="89">
        <f>IF(Q$11-$C17&gt;$D$8,$G$6-SUM($E17:P17),$G$6/$D$8)</f>
        <v>5.3373662758604423</v>
      </c>
      <c r="R17" s="89">
        <f>IF(R$11-$C17&gt;$D$8,$G$6-SUM($E17:Q17),$G$6/$D$8)</f>
        <v>5.3373662758604423</v>
      </c>
      <c r="S17" s="89">
        <f>IF(S$11-$C17&gt;$D$8,$G$6-SUM($E17:R17),$G$6/$D$8)</f>
        <v>5.3373662758604423</v>
      </c>
      <c r="T17" s="89">
        <f>IF(T$11-$C17&gt;$D$8,$G$6-SUM($E17:S17),$G$6/$D$8)</f>
        <v>5.3373662758604423</v>
      </c>
      <c r="U17" s="89">
        <f>IF(U$11-$C17&gt;$D$8,$G$6-SUM($E17:T17),$G$6/$D$8)</f>
        <v>5.3373662758604423</v>
      </c>
      <c r="V17" s="89">
        <f>IF(V$11-$C17&gt;$D$8,$G$6-SUM($E17:U17),$G$6/$D$8)</f>
        <v>5.3373662758604423</v>
      </c>
      <c r="W17" s="89">
        <f>IF(W$11-$C17&gt;$D$8,$G$6-SUM($E17:V17),$G$6/$D$8)</f>
        <v>5.3373662758604423</v>
      </c>
      <c r="X17" s="89">
        <f>IF(X$11-$C17&gt;$D$8,$G$6-SUM($E17:W17),$G$6/$D$8)</f>
        <v>5.3373662758604423</v>
      </c>
      <c r="Y17" s="89">
        <f>IF(Y$11-$C17&gt;$D$8,$G$6-SUM($E17:X17),$G$6/$D$8)</f>
        <v>5.3373662758604423</v>
      </c>
      <c r="Z17" s="89">
        <f>IF(Z$11-$C17&gt;$D$8,$G$6-SUM($E17:Y17),$G$6/$D$8)</f>
        <v>5.3373662758604423</v>
      </c>
      <c r="AA17" s="89">
        <f>IF(AA$11-$C17&gt;$D$8,$G$6-SUM($E17:Z17),$G$6/$D$8)</f>
        <v>5.3373662758604423</v>
      </c>
      <c r="AB17" s="89">
        <f>IF(AB$11-$C17&gt;$D$8,$G$6-SUM($E17:AA17),$G$6/$D$8)</f>
        <v>5.3373662758604423</v>
      </c>
      <c r="AC17" s="89">
        <f>IF(AC$11-$C17&gt;$D$8,$G$6-SUM($E17:AB17),$G$6/$D$8)</f>
        <v>5.3373662758604423</v>
      </c>
      <c r="AD17" s="89">
        <f>IF(AD$11-$C17&gt;$D$8,$G$6-SUM($E17:AC17),$G$6/$D$8)</f>
        <v>5.3373662758604423</v>
      </c>
      <c r="AE17" s="89">
        <f>IF(AE$11-$C17&gt;$D$8,$G$6-SUM($E17:AD17),$G$6/$D$8)</f>
        <v>5.3373662758604423</v>
      </c>
      <c r="AF17" s="89">
        <f>IF(AF$11-$C17&gt;$D$8,$G$6-SUM($E17:AE17),$G$6/$D$8)</f>
        <v>5.3373662758604423</v>
      </c>
      <c r="AG17" s="89">
        <f>IF(AG$11-$C17&gt;$D$8,$G$6-SUM($E17:AF17),$G$6/$D$8)</f>
        <v>5.3373662758604423</v>
      </c>
      <c r="AH17" s="89">
        <f>IF(AH$11-$C17&gt;$D$8,$G$6-SUM($E17:AG17),$G$6/$D$8)</f>
        <v>5.3373662758604423</v>
      </c>
      <c r="AI17" s="89">
        <f>IF(AI$11-$C17&gt;$D$8,$G$6-SUM($E17:AH17),$G$6/$D$8)</f>
        <v>5.3373662758604423</v>
      </c>
      <c r="AJ17" s="89">
        <f>IF(AJ$11-$C17&gt;$D$8,$G$6-SUM($E17:AI17),$G$6/$D$8)</f>
        <v>5.3373662758604423</v>
      </c>
      <c r="AK17" s="89">
        <f>IF(AK$11-$C17&gt;$D$8,$G$6-SUM($E17:AJ17),$G$6/$D$8)</f>
        <v>5.3373662758604423</v>
      </c>
      <c r="AL17" s="89">
        <f>IF(AL$11-$C17&gt;$D$8,$G$6-SUM($E17:AK17),$G$6/$D$8)</f>
        <v>5.3373662758604423</v>
      </c>
      <c r="AM17" s="89">
        <f>IF(AM$11-$C17&gt;$D$8,$G$6-SUM($E17:AL17),$G$6/$D$8)</f>
        <v>5.3373662758604423</v>
      </c>
      <c r="AN17" s="89">
        <f>IF(AN$11-$C17&gt;$D$8,$G$6-SUM($E17:AM17),$G$6/$D$8)</f>
        <v>5.3373662758604423</v>
      </c>
      <c r="AO17" s="89">
        <f>IF(AO$11-$C17&gt;$D$8,$G$6-SUM($E17:AN17),$G$6/$D$8)</f>
        <v>5.3373662758604423</v>
      </c>
      <c r="AP17" s="89">
        <f>IF(AP$11-$C17&gt;$D$8,$G$6-SUM($E17:AO17),$G$6/$D$8)</f>
        <v>5.3373662758604423</v>
      </c>
      <c r="AQ17" s="89">
        <f>IF(AQ$11-$C17&gt;$D$8,$G$6-SUM($E17:AP17),$G$6/$D$8)</f>
        <v>5.3373662758604423</v>
      </c>
      <c r="AR17" s="89">
        <f>IF(AR$11-$C17&gt;$D$8,$G$6-SUM($E17:AQ17),$G$6/$D$8)</f>
        <v>5.3373662758604423</v>
      </c>
      <c r="AS17" s="89">
        <f>IF(AS$11-$C17&gt;$D$8,$G$6-SUM($E17:AR17),$G$6/$D$8)</f>
        <v>5.3373662758604423</v>
      </c>
      <c r="AT17" s="89">
        <f>IF(AT$11-$C17&gt;$D$8,$G$6-SUM($E17:AS17),$G$6/$D$8)</f>
        <v>5.3373662758604423</v>
      </c>
      <c r="AU17" s="89">
        <f>IF(AU$11-$C17&gt;$D$8,$G$6-SUM($E17:AT17),$G$6/$D$8)</f>
        <v>5.3373662758604423</v>
      </c>
      <c r="AV17" s="89">
        <f>IF(AV$11-$C17&gt;$D$8,$G$6-SUM($E17:AU17),$G$6/$D$8)</f>
        <v>5.3373662758604423</v>
      </c>
      <c r="AW17" s="89">
        <f>IF(AW$11-$C17&gt;$D$8,$G$6-SUM($E17:AV17),$G$6/$D$8)</f>
        <v>5.3373662758604423</v>
      </c>
      <c r="AX17" s="89">
        <f>IF(AX$11-$C17&gt;$D$8,$G$6-SUM($E17:AW17),$G$6/$D$8)</f>
        <v>5.3373662758604423</v>
      </c>
      <c r="AY17" s="89">
        <f>IF(AY$11-$C17&gt;$D$8,$G$6-SUM($E17:AX17),$G$6/$D$8)</f>
        <v>5.3373662758604423</v>
      </c>
      <c r="AZ17" s="89">
        <f>IF(AZ$11-$C17&gt;$D$8,$G$6-SUM($E17:AY17),$G$6/$D$8)</f>
        <v>5.3373662758604423</v>
      </c>
      <c r="BA17" s="89">
        <f>IF(BA$11-$C17&gt;$D$8,$G$6-SUM($E17:AZ17),$G$6/$D$8)</f>
        <v>1.9895196601282805E-13</v>
      </c>
      <c r="BB17" s="89">
        <f>IF(BB$11-$C17&gt;$D$8,$G$6-SUM($E17:BA17),$G$6/$D$8)</f>
        <v>0</v>
      </c>
      <c r="BC17" s="89">
        <f>IF(BC$11-$C17&gt;$D$8,$G$6-SUM($E17:BB17),$G$6/$D$8)</f>
        <v>0</v>
      </c>
      <c r="BD17" s="89">
        <f>IF(BD$11-$C17&gt;$D$8,$G$6-SUM($E17:BC17),$G$6/$D$8)</f>
        <v>0</v>
      </c>
      <c r="BE17" s="89">
        <f>IF(BE$11-$C17&gt;$D$8,$G$6-SUM($E17:BD17),$G$6/$D$8)</f>
        <v>0</v>
      </c>
      <c r="BF17" s="89">
        <f>IF(BF$11-$C17&gt;$D$8,$G$6-SUM($E17:BE17),$G$6/$D$8)</f>
        <v>0</v>
      </c>
      <c r="BG17" s="89">
        <f>IF(BG$11-$C17&gt;$D$8,$G$6-SUM($E17:BF17),$G$6/$D$8)</f>
        <v>0</v>
      </c>
      <c r="BH17" s="89">
        <f>IF(BH$11-$C17&gt;$D$8,$G$6-SUM($E17:BG17),$G$6/$D$8)</f>
        <v>0</v>
      </c>
      <c r="BI17" s="89">
        <f>IF(BI$11-$C17&gt;$D$8,$G$6-SUM($E17:BH17),$G$6/$D$8)</f>
        <v>0</v>
      </c>
      <c r="BJ17" s="89">
        <f>IF(BJ$11-$C17&gt;$D$8,$G$6-SUM($E17:BI17),$G$6/$D$8)</f>
        <v>0</v>
      </c>
      <c r="BK17" s="89">
        <f>IF(BK$11-$C17&gt;$D$8,$G$6-SUM($E17:BJ17),$G$6/$D$8)</f>
        <v>0</v>
      </c>
      <c r="BL17" s="89">
        <f>IF(BL$11-$C17&gt;$D$8,$G$6-SUM($E17:BK17),$G$6/$D$8)</f>
        <v>0</v>
      </c>
      <c r="BM17" s="89">
        <f>IF(BM$11-$C17&gt;$D$8,$G$6-SUM($E17:BL17),$G$6/$D$8)</f>
        <v>0</v>
      </c>
      <c r="BN17" s="89">
        <f>IF(BN$11-$C17&gt;$D$8,$G$6-SUM($E17:BM17),$G$6/$D$8)</f>
        <v>0</v>
      </c>
      <c r="BO17" s="89">
        <f>IF(BO$11-$C17&gt;$D$8,$G$6-SUM($E17:BN17),$G$6/$D$8)</f>
        <v>0</v>
      </c>
      <c r="BP17" s="89">
        <f>IF(BP$11-$C17&gt;$D$8,$G$6-SUM($E17:BO17),$G$6/$D$8)</f>
        <v>0</v>
      </c>
      <c r="BR17" s="88">
        <f t="shared" si="0"/>
        <v>240.18148241371992</v>
      </c>
      <c r="BS17" s="83" t="b">
        <f>BR17=G6</f>
        <v>1</v>
      </c>
    </row>
    <row r="18" spans="2:71" ht="14.4" x14ac:dyDescent="0.3">
      <c r="B18" s="83" t="s">
        <v>164</v>
      </c>
      <c r="C18" s="83">
        <v>5</v>
      </c>
      <c r="I18" s="89">
        <f>IF(I$11-$C18&gt;$D$8,$H$6-SUM($E18:H18),$H$6/$D$8)</f>
        <v>1.0234496893724683</v>
      </c>
      <c r="J18" s="98">
        <f>IF(J$11-$C18&gt;$D$8,$H$6-SUM($E18:I18),$H$6/$D$8)</f>
        <v>1.0234496893724683</v>
      </c>
      <c r="K18" s="89">
        <f>IF(K$11-$C18&gt;$D$8,$H$6-SUM($E18:J18),$H$6/$D$8)</f>
        <v>1.0234496893724683</v>
      </c>
      <c r="L18" s="89">
        <f>IF(L$11-$C18&gt;$D$8,$H$6-SUM($E18:K18),$H$6/$D$8)</f>
        <v>1.0234496893724683</v>
      </c>
      <c r="M18" s="89">
        <f>IF(M$11-$C18&gt;$D$8,$H$6-SUM($E18:L18),$H$6/$D$8)</f>
        <v>1.0234496893724683</v>
      </c>
      <c r="N18" s="89">
        <f>IF(N$11-$C18&gt;$D$8,$H$6-SUM($E18:M18),$H$6/$D$8)</f>
        <v>1.0234496893724683</v>
      </c>
      <c r="O18" s="89">
        <f>IF(O$11-$C18&gt;$D$8,$H$6-SUM($E18:N18),$H$6/$D$8)</f>
        <v>1.0234496893724683</v>
      </c>
      <c r="P18" s="89">
        <f>IF(P$11-$C18&gt;$D$8,$H$6-SUM($E18:O18),$H$6/$D$8)</f>
        <v>1.0234496893724683</v>
      </c>
      <c r="Q18" s="89">
        <f>IF(Q$11-$C18&gt;$D$8,$H$6-SUM($E18:P18),$H$6/$D$8)</f>
        <v>1.0234496893724683</v>
      </c>
      <c r="R18" s="89">
        <f>IF(R$11-$C18&gt;$D$8,$H$6-SUM($E18:Q18),$H$6/$D$8)</f>
        <v>1.0234496893724683</v>
      </c>
      <c r="S18" s="89">
        <f>IF(S$11-$C18&gt;$D$8,$H$6-SUM($E18:R18),$H$6/$D$8)</f>
        <v>1.0234496893724683</v>
      </c>
      <c r="T18" s="89">
        <f>IF(T$11-$C18&gt;$D$8,$H$6-SUM($E18:S18),$H$6/$D$8)</f>
        <v>1.0234496893724683</v>
      </c>
      <c r="U18" s="89">
        <f>IF(U$11-$C18&gt;$D$8,$H$6-SUM($E18:T18),$H$6/$D$8)</f>
        <v>1.0234496893724683</v>
      </c>
      <c r="V18" s="89">
        <f>IF(V$11-$C18&gt;$D$8,$H$6-SUM($E18:U18),$H$6/$D$8)</f>
        <v>1.0234496893724683</v>
      </c>
      <c r="W18" s="89">
        <f>IF(W$11-$C18&gt;$D$8,$H$6-SUM($E18:V18),$H$6/$D$8)</f>
        <v>1.0234496893724683</v>
      </c>
      <c r="X18" s="89">
        <f>IF(X$11-$C18&gt;$D$8,$H$6-SUM($E18:W18),$H$6/$D$8)</f>
        <v>1.0234496893724683</v>
      </c>
      <c r="Y18" s="89">
        <f>IF(Y$11-$C18&gt;$D$8,$H$6-SUM($E18:X18),$H$6/$D$8)</f>
        <v>1.0234496893724683</v>
      </c>
      <c r="Z18" s="89">
        <f>IF(Z$11-$C18&gt;$D$8,$H$6-SUM($E18:Y18),$H$6/$D$8)</f>
        <v>1.0234496893724683</v>
      </c>
      <c r="AA18" s="89">
        <f>IF(AA$11-$C18&gt;$D$8,$H$6-SUM($E18:Z18),$H$6/$D$8)</f>
        <v>1.0234496893724683</v>
      </c>
      <c r="AB18" s="89">
        <f>IF(AB$11-$C18&gt;$D$8,$H$6-SUM($E18:AA18),$H$6/$D$8)</f>
        <v>1.0234496893724683</v>
      </c>
      <c r="AC18" s="89">
        <f>IF(AC$11-$C18&gt;$D$8,$H$6-SUM($E18:AB18),$H$6/$D$8)</f>
        <v>1.0234496893724683</v>
      </c>
      <c r="AD18" s="89">
        <f>IF(AD$11-$C18&gt;$D$8,$H$6-SUM($E18:AC18),$H$6/$D$8)</f>
        <v>1.0234496893724683</v>
      </c>
      <c r="AE18" s="89">
        <f>IF(AE$11-$C18&gt;$D$8,$H$6-SUM($E18:AD18),$H$6/$D$8)</f>
        <v>1.0234496893724683</v>
      </c>
      <c r="AF18" s="89">
        <f>IF(AF$11-$C18&gt;$D$8,$H$6-SUM($E18:AE18),$H$6/$D$8)</f>
        <v>1.0234496893724683</v>
      </c>
      <c r="AG18" s="89">
        <f>IF(AG$11-$C18&gt;$D$8,$H$6-SUM($E18:AF18),$H$6/$D$8)</f>
        <v>1.0234496893724683</v>
      </c>
      <c r="AH18" s="89">
        <f>IF(AH$11-$C18&gt;$D$8,$H$6-SUM($E18:AG18),$H$6/$D$8)</f>
        <v>1.0234496893724683</v>
      </c>
      <c r="AI18" s="89">
        <f>IF(AI$11-$C18&gt;$D$8,$H$6-SUM($E18:AH18),$H$6/$D$8)</f>
        <v>1.0234496893724683</v>
      </c>
      <c r="AJ18" s="89">
        <f>IF(AJ$11-$C18&gt;$D$8,$H$6-SUM($E18:AI18),$H$6/$D$8)</f>
        <v>1.0234496893724683</v>
      </c>
      <c r="AK18" s="89">
        <f>IF(AK$11-$C18&gt;$D$8,$H$6-SUM($E18:AJ18),$H$6/$D$8)</f>
        <v>1.0234496893724683</v>
      </c>
      <c r="AL18" s="89">
        <f>IF(AL$11-$C18&gt;$D$8,$H$6-SUM($E18:AK18),$H$6/$D$8)</f>
        <v>1.0234496893724683</v>
      </c>
      <c r="AM18" s="89">
        <f>IF(AM$11-$C18&gt;$D$8,$H$6-SUM($E18:AL18),$H$6/$D$8)</f>
        <v>1.0234496893724683</v>
      </c>
      <c r="AN18" s="89">
        <f>IF(AN$11-$C18&gt;$D$8,$H$6-SUM($E18:AM18),$H$6/$D$8)</f>
        <v>1.0234496893724683</v>
      </c>
      <c r="AO18" s="89">
        <f>IF(AO$11-$C18&gt;$D$8,$H$6-SUM($E18:AN18),$H$6/$D$8)</f>
        <v>1.0234496893724683</v>
      </c>
      <c r="AP18" s="89">
        <f>IF(AP$11-$C18&gt;$D$8,$H$6-SUM($E18:AO18),$H$6/$D$8)</f>
        <v>1.0234496893724683</v>
      </c>
      <c r="AQ18" s="89">
        <f>IF(AQ$11-$C18&gt;$D$8,$H$6-SUM($E18:AP18),$H$6/$D$8)</f>
        <v>1.0234496893724683</v>
      </c>
      <c r="AR18" s="89">
        <f>IF(AR$11-$C18&gt;$D$8,$H$6-SUM($E18:AQ18),$H$6/$D$8)</f>
        <v>1.0234496893724683</v>
      </c>
      <c r="AS18" s="89">
        <f>IF(AS$11-$C18&gt;$D$8,$H$6-SUM($E18:AR18),$H$6/$D$8)</f>
        <v>1.0234496893724683</v>
      </c>
      <c r="AT18" s="89">
        <f>IF(AT$11-$C18&gt;$D$8,$H$6-SUM($E18:AS18),$H$6/$D$8)</f>
        <v>1.0234496893724683</v>
      </c>
      <c r="AU18" s="89">
        <f>IF(AU$11-$C18&gt;$D$8,$H$6-SUM($E18:AT18),$H$6/$D$8)</f>
        <v>1.0234496893724683</v>
      </c>
      <c r="AV18" s="89">
        <f>IF(AV$11-$C18&gt;$D$8,$H$6-SUM($E18:AU18),$H$6/$D$8)</f>
        <v>1.0234496893724683</v>
      </c>
      <c r="AW18" s="89">
        <f>IF(AW$11-$C18&gt;$D$8,$H$6-SUM($E18:AV18),$H$6/$D$8)</f>
        <v>1.0234496893724683</v>
      </c>
      <c r="AX18" s="89">
        <f>IF(AX$11-$C18&gt;$D$8,$H$6-SUM($E18:AW18),$H$6/$D$8)</f>
        <v>1.0234496893724683</v>
      </c>
      <c r="AY18" s="89">
        <f>IF(AY$11-$C18&gt;$D$8,$H$6-SUM($E18:AX18),$H$6/$D$8)</f>
        <v>1.0234496893724683</v>
      </c>
      <c r="AZ18" s="89">
        <f>IF(AZ$11-$C18&gt;$D$8,$H$6-SUM($E18:AY18),$H$6/$D$8)</f>
        <v>1.0234496893724683</v>
      </c>
      <c r="BA18" s="89">
        <f>IF(BA$11-$C18&gt;$D$8,$H$6-SUM($E18:AZ18),$H$6/$D$8)</f>
        <v>1.0234496893724683</v>
      </c>
      <c r="BB18" s="89">
        <f>IF(BB$11-$C18&gt;$D$8,$H$6-SUM($E18:BA18),$H$6/$D$8)</f>
        <v>-2.8421709430404007E-14</v>
      </c>
      <c r="BC18" s="89">
        <f>IF(BC$11-$C18&gt;$D$8,$H$6-SUM($E18:BB18),$H$6/$D$8)</f>
        <v>0</v>
      </c>
      <c r="BD18" s="89">
        <f>IF(BD$11-$C18&gt;$D$8,$H$6-SUM($E18:BC18),$H$6/$D$8)</f>
        <v>0</v>
      </c>
      <c r="BE18" s="89">
        <f>IF(BE$11-$C18&gt;$D$8,$H$6-SUM($E18:BD18),$H$6/$D$8)</f>
        <v>0</v>
      </c>
      <c r="BF18" s="89">
        <f>IF(BF$11-$C18&gt;$D$8,$H$6-SUM($E18:BE18),$H$6/$D$8)</f>
        <v>0</v>
      </c>
      <c r="BG18" s="89">
        <f>IF(BG$11-$C18&gt;$D$8,$H$6-SUM($E18:BF18),$H$6/$D$8)</f>
        <v>0</v>
      </c>
      <c r="BH18" s="89">
        <f>IF(BH$11-$C18&gt;$D$8,$H$6-SUM($E18:BG18),$H$6/$D$8)</f>
        <v>0</v>
      </c>
      <c r="BI18" s="89">
        <f>IF(BI$11-$C18&gt;$D$8,$H$6-SUM($E18:BH18),$H$6/$D$8)</f>
        <v>0</v>
      </c>
      <c r="BJ18" s="89">
        <f>IF(BJ$11-$C18&gt;$D$8,$H$6-SUM($E18:BI18),$H$6/$D$8)</f>
        <v>0</v>
      </c>
      <c r="BK18" s="89">
        <f>IF(BK$11-$C18&gt;$D$8,$H$6-SUM($E18:BJ18),$H$6/$D$8)</f>
        <v>0</v>
      </c>
      <c r="BL18" s="89">
        <f>IF(BL$11-$C18&gt;$D$8,$H$6-SUM($E18:BK18),$H$6/$D$8)</f>
        <v>0</v>
      </c>
      <c r="BM18" s="89">
        <f>IF(BM$11-$C18&gt;$D$8,$H$6-SUM($E18:BL18),$H$6/$D$8)</f>
        <v>0</v>
      </c>
      <c r="BN18" s="89">
        <f>IF(BN$11-$C18&gt;$D$8,$H$6-SUM($E18:BM18),$H$6/$D$8)</f>
        <v>0</v>
      </c>
      <c r="BO18" s="89">
        <f>IF(BO$11-$C18&gt;$D$8,$H$6-SUM($E18:BN18),$H$6/$D$8)</f>
        <v>0</v>
      </c>
      <c r="BP18" s="89">
        <f>IF(BP$11-$C18&gt;$D$8,$H$6-SUM($E18:BO18),$H$6/$D$8)</f>
        <v>0</v>
      </c>
      <c r="BQ18" s="89">
        <f>IF(BQ$11-$C18&gt;$D$8,$H$6-SUM($E18:BP18),$H$6/$D$8)</f>
        <v>0</v>
      </c>
      <c r="BR18" s="88">
        <f t="shared" si="0"/>
        <v>46.055236021761075</v>
      </c>
      <c r="BS18" s="89" t="b">
        <f>BR18=H6</f>
        <v>1</v>
      </c>
    </row>
    <row r="19" spans="2:71" ht="14.4" x14ac:dyDescent="0.3">
      <c r="B19" s="83" t="s">
        <v>165</v>
      </c>
      <c r="C19" s="83">
        <v>6</v>
      </c>
      <c r="J19" s="98">
        <f>IF(J$11-$C19&gt;$D$8,$I$6-SUM($E19:I19),$I$6/$D$8)</f>
        <v>0</v>
      </c>
      <c r="K19" s="89">
        <f>IF(K$11-$C19&gt;$D$8,$I$6-SUM($E19:J19),$I$6/$D$8)</f>
        <v>0</v>
      </c>
      <c r="L19" s="89">
        <f>IF(L$11-$C19&gt;$D$8,$I$6-SUM($E19:K19),$I$6/$D$8)</f>
        <v>0</v>
      </c>
      <c r="M19" s="89">
        <f>IF(M$11-$C19&gt;$D$8,$I$6-SUM($E19:L19),$I$6/$D$8)</f>
        <v>0</v>
      </c>
      <c r="N19" s="89">
        <f>IF(N$11-$C19&gt;$D$8,$I$6-SUM($E19:M19),$I$6/$D$8)</f>
        <v>0</v>
      </c>
      <c r="O19" s="89">
        <f>IF(O$11-$C19&gt;$D$8,$I$6-SUM($E19:N19),$I$6/$D$8)</f>
        <v>0</v>
      </c>
      <c r="P19" s="89">
        <f>IF(P$11-$C19&gt;$D$8,$I$6-SUM($E19:O19),$I$6/$D$8)</f>
        <v>0</v>
      </c>
      <c r="Q19" s="89">
        <f>IF(Q$11-$C19&gt;$D$8,$I$6-SUM($E19:P19),$I$6/$D$8)</f>
        <v>0</v>
      </c>
      <c r="R19" s="89">
        <f>IF(R$11-$C19&gt;$D$8,$I$6-SUM($E19:Q19),$I$6/$D$8)</f>
        <v>0</v>
      </c>
      <c r="S19" s="89">
        <f>IF(S$11-$C19&gt;$D$8,$I$6-SUM($E19:R19),$I$6/$D$8)</f>
        <v>0</v>
      </c>
      <c r="T19" s="89">
        <f>IF(T$11-$C19&gt;$D$8,$I$6-SUM($E19:S19),$I$6/$D$8)</f>
        <v>0</v>
      </c>
      <c r="U19" s="89">
        <f>IF(U$11-$C19&gt;$D$8,$I$6-SUM($E19:T19),$I$6/$D$8)</f>
        <v>0</v>
      </c>
      <c r="V19" s="89">
        <f>IF(V$11-$C19&gt;$D$8,$I$6-SUM($E19:U19),$I$6/$D$8)</f>
        <v>0</v>
      </c>
      <c r="W19" s="89">
        <f>IF(W$11-$C19&gt;$D$8,$I$6-SUM($E19:V19),$I$6/$D$8)</f>
        <v>0</v>
      </c>
      <c r="X19" s="89">
        <f>IF(X$11-$C19&gt;$D$8,$I$6-SUM($E19:W19),$I$6/$D$8)</f>
        <v>0</v>
      </c>
      <c r="Y19" s="89">
        <f>IF(Y$11-$C19&gt;$D$8,$I$6-SUM($E19:X19),$I$6/$D$8)</f>
        <v>0</v>
      </c>
      <c r="Z19" s="89">
        <f>IF(Z$11-$C19&gt;$D$8,$I$6-SUM($E19:Y19),$I$6/$D$8)</f>
        <v>0</v>
      </c>
      <c r="AA19" s="89">
        <f>IF(AA$11-$C19&gt;$D$8,$I$6-SUM($E19:Z19),$I$6/$D$8)</f>
        <v>0</v>
      </c>
      <c r="AB19" s="89">
        <f>IF(AB$11-$C19&gt;$D$8,$I$6-SUM($E19:AA19),$I$6/$D$8)</f>
        <v>0</v>
      </c>
      <c r="AC19" s="89">
        <f>IF(AC$11-$C19&gt;$D$8,$I$6-SUM($E19:AB19),$I$6/$D$8)</f>
        <v>0</v>
      </c>
      <c r="AD19" s="89">
        <f>IF(AD$11-$C19&gt;$D$8,$I$6-SUM($E19:AC19),$I$6/$D$8)</f>
        <v>0</v>
      </c>
      <c r="AE19" s="89">
        <f>IF(AE$11-$C19&gt;$D$8,$I$6-SUM($E19:AD19),$I$6/$D$8)</f>
        <v>0</v>
      </c>
      <c r="AF19" s="89">
        <f>IF(AF$11-$C19&gt;$D$8,$I$6-SUM($E19:AE19),$I$6/$D$8)</f>
        <v>0</v>
      </c>
      <c r="AG19" s="89">
        <f>IF(AG$11-$C19&gt;$D$8,$I$6-SUM($E19:AF19),$I$6/$D$8)</f>
        <v>0</v>
      </c>
      <c r="AH19" s="89">
        <f>IF(AH$11-$C19&gt;$D$8,$I$6-SUM($E19:AG19),$I$6/$D$8)</f>
        <v>0</v>
      </c>
      <c r="AI19" s="89">
        <f>IF(AI$11-$C19&gt;$D$8,$I$6-SUM($E19:AH19),$I$6/$D$8)</f>
        <v>0</v>
      </c>
      <c r="AJ19" s="89">
        <f>IF(AJ$11-$C19&gt;$D$8,$I$6-SUM($E19:AI19),$I$6/$D$8)</f>
        <v>0</v>
      </c>
      <c r="AK19" s="89">
        <f>IF(AK$11-$C19&gt;$D$8,$I$6-SUM($E19:AJ19),$I$6/$D$8)</f>
        <v>0</v>
      </c>
      <c r="AL19" s="89">
        <f>IF(AL$11-$C19&gt;$D$8,$I$6-SUM($E19:AK19),$I$6/$D$8)</f>
        <v>0</v>
      </c>
      <c r="AM19" s="89">
        <f>IF(AM$11-$C19&gt;$D$8,$I$6-SUM($E19:AL19),$I$6/$D$8)</f>
        <v>0</v>
      </c>
      <c r="AN19" s="89">
        <f>IF(AN$11-$C19&gt;$D$8,$I$6-SUM($E19:AM19),$I$6/$D$8)</f>
        <v>0</v>
      </c>
      <c r="AO19" s="89">
        <f>IF(AO$11-$C19&gt;$D$8,$I$6-SUM($E19:AN19),$I$6/$D$8)</f>
        <v>0</v>
      </c>
      <c r="AP19" s="89">
        <f>IF(AP$11-$C19&gt;$D$8,$I$6-SUM($E19:AO19),$I$6/$D$8)</f>
        <v>0</v>
      </c>
      <c r="AQ19" s="89">
        <f>IF(AQ$11-$C19&gt;$D$8,$I$6-SUM($E19:AP19),$I$6/$D$8)</f>
        <v>0</v>
      </c>
      <c r="AR19" s="89">
        <f>IF(AR$11-$C19&gt;$D$8,$I$6-SUM($E19:AQ19),$I$6/$D$8)</f>
        <v>0</v>
      </c>
      <c r="AS19" s="89">
        <f>IF(AS$11-$C19&gt;$D$8,$I$6-SUM($E19:AR19),$I$6/$D$8)</f>
        <v>0</v>
      </c>
      <c r="AT19" s="89">
        <f>IF(AT$11-$C19&gt;$D$8,$I$6-SUM($E19:AS19),$I$6/$D$8)</f>
        <v>0</v>
      </c>
      <c r="AU19" s="89">
        <f>IF(AU$11-$C19&gt;$D$8,$I$6-SUM($E19:AT19),$I$6/$D$8)</f>
        <v>0</v>
      </c>
      <c r="AV19" s="89">
        <f>IF(AV$11-$C19&gt;$D$8,$I$6-SUM($E19:AU19),$I$6/$D$8)</f>
        <v>0</v>
      </c>
      <c r="AW19" s="89">
        <f>IF(AW$11-$C19&gt;$D$8,$I$6-SUM($E19:AV19),$I$6/$D$8)</f>
        <v>0</v>
      </c>
      <c r="AX19" s="89">
        <f>IF(AX$11-$C19&gt;$D$8,$I$6-SUM($E19:AW19),$I$6/$D$8)</f>
        <v>0</v>
      </c>
      <c r="AY19" s="89">
        <f>IF(AY$11-$C19&gt;$D$8,$I$6-SUM($E19:AX19),$I$6/$D$8)</f>
        <v>0</v>
      </c>
      <c r="AZ19" s="89">
        <f>IF(AZ$11-$C19&gt;$D$8,$I$6-SUM($E19:AY19),$I$6/$D$8)</f>
        <v>0</v>
      </c>
      <c r="BA19" s="89">
        <f>IF(BA$11-$C19&gt;$D$8,$I$6-SUM($E19:AZ19),$I$6/$D$8)</f>
        <v>0</v>
      </c>
      <c r="BB19" s="89">
        <f>IF(BB$11-$C19&gt;$D$8,$I$6-SUM($E19:BA19),$I$6/$D$8)</f>
        <v>0</v>
      </c>
      <c r="BC19" s="89">
        <f>IF(BC$11-$C19&gt;$D$8,$I$6-SUM($E19:BB19),$I$6/$D$8)</f>
        <v>0</v>
      </c>
      <c r="BD19" s="89">
        <f>IF(BD$11-$C19&gt;$D$8,$I$6-SUM($E19:BC19),$I$6/$D$8)</f>
        <v>0</v>
      </c>
      <c r="BE19" s="89">
        <f>IF(BE$11-$C19&gt;$D$8,$I$6-SUM($E19:BD19),$I$6/$D$8)</f>
        <v>0</v>
      </c>
      <c r="BF19" s="89">
        <f>IF(BF$11-$C19&gt;$D$8,$I$6-SUM($E19:BE19),$I$6/$D$8)</f>
        <v>0</v>
      </c>
      <c r="BG19" s="89">
        <f>IF(BG$11-$C19&gt;$D$8,$I$6-SUM($E19:BF19),$I$6/$D$8)</f>
        <v>0</v>
      </c>
      <c r="BH19" s="89">
        <f>IF(BH$11-$C19&gt;$D$8,$I$6-SUM($E19:BG19),$I$6/$D$8)</f>
        <v>0</v>
      </c>
      <c r="BI19" s="89">
        <f>IF(BI$11-$C19&gt;$D$8,$I$6-SUM($E19:BH19),$I$6/$D$8)</f>
        <v>0</v>
      </c>
      <c r="BJ19" s="89">
        <f>IF(BJ$11-$C19&gt;$D$8,$I$6-SUM($E19:BI19),$I$6/$D$8)</f>
        <v>0</v>
      </c>
      <c r="BK19" s="89">
        <f>IF(BK$11-$C19&gt;$D$8,$I$6-SUM($E19:BJ19),$I$6/$D$8)</f>
        <v>0</v>
      </c>
      <c r="BL19" s="89">
        <f>IF(BL$11-$C19&gt;$D$8,$I$6-SUM($E19:BK19),$I$6/$D$8)</f>
        <v>0</v>
      </c>
      <c r="BM19" s="89">
        <f>IF(BM$11-$C19&gt;$D$8,$I$6-SUM($E19:BL19),$I$6/$D$8)</f>
        <v>0</v>
      </c>
      <c r="BN19" s="89">
        <f>IF(BN$11-$C19&gt;$D$8,$I$6-SUM($E19:BM19),$I$6/$D$8)</f>
        <v>0</v>
      </c>
      <c r="BO19" s="89">
        <f>IF(BO$11-$C19&gt;$D$8,$I$6-SUM($E19:BN19),$I$6/$D$8)</f>
        <v>0</v>
      </c>
      <c r="BP19" s="89">
        <f>IF(BP$11-$C19&gt;$D$8,$I$6-SUM($E19:BO19),$I$6/$D$8)</f>
        <v>0</v>
      </c>
      <c r="BQ19" s="89">
        <f>IF(BQ$11-$C19&gt;$D$8,$I$6-SUM($E19:BP19),$I$6/$D$8)</f>
        <v>0</v>
      </c>
      <c r="BR19" s="88">
        <f t="shared" si="0"/>
        <v>0</v>
      </c>
      <c r="BS19" s="89" t="b">
        <f>BR19=I6</f>
        <v>1</v>
      </c>
    </row>
    <row r="21" spans="2:71" x14ac:dyDescent="0.25">
      <c r="B21" s="83" t="s">
        <v>108</v>
      </c>
    </row>
    <row r="23" spans="2:71" x14ac:dyDescent="0.25">
      <c r="B23" s="82" t="s">
        <v>167</v>
      </c>
      <c r="C23" s="82"/>
      <c r="D23" s="90">
        <f>SUM(D13:D21)</f>
        <v>0</v>
      </c>
      <c r="E23" s="90">
        <f t="shared" ref="E23:BP23" si="1">SUM(E13:E21)</f>
        <v>0.39730080000341661</v>
      </c>
      <c r="F23" s="90">
        <f t="shared" si="1"/>
        <v>0.50546586591288611</v>
      </c>
      <c r="G23" s="90">
        <f t="shared" si="1"/>
        <v>0.66720897910023114</v>
      </c>
      <c r="H23" s="90">
        <f t="shared" si="1"/>
        <v>6.0045752549606739</v>
      </c>
      <c r="I23" s="90">
        <f t="shared" si="1"/>
        <v>7.0280249443331417</v>
      </c>
      <c r="J23" s="90">
        <f t="shared" si="1"/>
        <v>7.0280249443331417</v>
      </c>
      <c r="K23" s="90">
        <f t="shared" si="1"/>
        <v>7.0280249443331417</v>
      </c>
      <c r="L23" s="90">
        <f t="shared" si="1"/>
        <v>7.0280249443331417</v>
      </c>
      <c r="M23" s="90">
        <f t="shared" si="1"/>
        <v>7.0280249443331417</v>
      </c>
      <c r="N23" s="90">
        <f t="shared" si="1"/>
        <v>7.0280249443331417</v>
      </c>
      <c r="O23" s="90">
        <f t="shared" si="1"/>
        <v>7.0280249443331417</v>
      </c>
      <c r="P23" s="90">
        <f t="shared" si="1"/>
        <v>7.0280249443331417</v>
      </c>
      <c r="Q23" s="90">
        <f t="shared" si="1"/>
        <v>7.0280249443331417</v>
      </c>
      <c r="R23" s="90">
        <f t="shared" si="1"/>
        <v>7.0280249443331417</v>
      </c>
      <c r="S23" s="90">
        <f t="shared" si="1"/>
        <v>7.0280249443331417</v>
      </c>
      <c r="T23" s="90">
        <f t="shared" si="1"/>
        <v>7.0280249443331417</v>
      </c>
      <c r="U23" s="90">
        <f t="shared" si="1"/>
        <v>7.0280249443331417</v>
      </c>
      <c r="V23" s="90">
        <f t="shared" si="1"/>
        <v>7.0280249443331417</v>
      </c>
      <c r="W23" s="90">
        <f t="shared" si="1"/>
        <v>7.0280249443331417</v>
      </c>
      <c r="X23" s="90">
        <f t="shared" si="1"/>
        <v>7.0280249443331417</v>
      </c>
      <c r="Y23" s="90">
        <f t="shared" si="1"/>
        <v>7.0280249443331417</v>
      </c>
      <c r="Z23" s="90">
        <f t="shared" si="1"/>
        <v>7.0280249443331417</v>
      </c>
      <c r="AA23" s="90">
        <f t="shared" si="1"/>
        <v>7.0280249443331417</v>
      </c>
      <c r="AB23" s="90">
        <f t="shared" si="1"/>
        <v>7.0280249443331417</v>
      </c>
      <c r="AC23" s="90">
        <f t="shared" si="1"/>
        <v>7.0280249443331417</v>
      </c>
      <c r="AD23" s="90">
        <f t="shared" si="1"/>
        <v>7.0280249443331417</v>
      </c>
      <c r="AE23" s="90">
        <f t="shared" si="1"/>
        <v>7.0280249443331417</v>
      </c>
      <c r="AF23" s="90">
        <f t="shared" si="1"/>
        <v>7.0280249443331417</v>
      </c>
      <c r="AG23" s="90">
        <f t="shared" si="1"/>
        <v>7.0280249443331417</v>
      </c>
      <c r="AH23" s="90">
        <f t="shared" si="1"/>
        <v>7.0280249443331417</v>
      </c>
      <c r="AI23" s="90">
        <f t="shared" si="1"/>
        <v>7.0280249443331417</v>
      </c>
      <c r="AJ23" s="90">
        <f t="shared" si="1"/>
        <v>7.0280249443331417</v>
      </c>
      <c r="AK23" s="90">
        <f t="shared" si="1"/>
        <v>7.0280249443331417</v>
      </c>
      <c r="AL23" s="90">
        <f t="shared" si="1"/>
        <v>7.0280249443331417</v>
      </c>
      <c r="AM23" s="90">
        <f t="shared" si="1"/>
        <v>7.0280249443331417</v>
      </c>
      <c r="AN23" s="90">
        <f t="shared" si="1"/>
        <v>7.0280249443331417</v>
      </c>
      <c r="AO23" s="90">
        <f t="shared" si="1"/>
        <v>7.0280249443331417</v>
      </c>
      <c r="AP23" s="90">
        <f t="shared" si="1"/>
        <v>7.0280249443331417</v>
      </c>
      <c r="AQ23" s="90">
        <f t="shared" si="1"/>
        <v>7.0280249443331417</v>
      </c>
      <c r="AR23" s="90">
        <f t="shared" si="1"/>
        <v>7.0280249443331417</v>
      </c>
      <c r="AS23" s="90">
        <f t="shared" si="1"/>
        <v>7.0280249443331417</v>
      </c>
      <c r="AT23" s="90">
        <f t="shared" si="1"/>
        <v>7.0280249443331417</v>
      </c>
      <c r="AU23" s="90">
        <f t="shared" si="1"/>
        <v>7.0280249443331417</v>
      </c>
      <c r="AV23" s="90">
        <f t="shared" si="1"/>
        <v>7.0280249443331417</v>
      </c>
      <c r="AW23" s="90">
        <f t="shared" si="1"/>
        <v>7.0280249443331417</v>
      </c>
      <c r="AX23" s="90">
        <f t="shared" si="1"/>
        <v>6.6307241443297329</v>
      </c>
      <c r="AY23" s="90">
        <f t="shared" si="1"/>
        <v>6.5225590784202563</v>
      </c>
      <c r="AZ23" s="90">
        <f t="shared" si="1"/>
        <v>6.3608159652329075</v>
      </c>
      <c r="BA23" s="90">
        <f t="shared" si="1"/>
        <v>1.0234496893726672</v>
      </c>
      <c r="BB23" s="90">
        <f t="shared" si="1"/>
        <v>-2.8421709430404007E-14</v>
      </c>
      <c r="BC23" s="90">
        <f t="shared" si="1"/>
        <v>0</v>
      </c>
      <c r="BD23" s="90">
        <f t="shared" si="1"/>
        <v>0</v>
      </c>
      <c r="BE23" s="90">
        <f t="shared" si="1"/>
        <v>0</v>
      </c>
      <c r="BF23" s="90">
        <f t="shared" si="1"/>
        <v>0</v>
      </c>
      <c r="BG23" s="90">
        <f t="shared" si="1"/>
        <v>0</v>
      </c>
      <c r="BH23" s="90">
        <f t="shared" si="1"/>
        <v>0</v>
      </c>
      <c r="BI23" s="90">
        <f t="shared" si="1"/>
        <v>0</v>
      </c>
      <c r="BJ23" s="90">
        <f t="shared" si="1"/>
        <v>0</v>
      </c>
      <c r="BK23" s="90">
        <f t="shared" si="1"/>
        <v>0</v>
      </c>
      <c r="BL23" s="90">
        <f t="shared" si="1"/>
        <v>0</v>
      </c>
      <c r="BM23" s="90">
        <f t="shared" si="1"/>
        <v>0</v>
      </c>
      <c r="BN23" s="90">
        <f t="shared" si="1"/>
        <v>0</v>
      </c>
      <c r="BO23" s="90">
        <f t="shared" si="1"/>
        <v>0</v>
      </c>
      <c r="BP23" s="90">
        <f t="shared" si="1"/>
        <v>0</v>
      </c>
      <c r="BQ23" s="90">
        <f t="shared" ref="BQ23:BR23" si="2">SUM(BQ13:BQ21)</f>
        <v>0</v>
      </c>
      <c r="BR23" s="90">
        <f t="shared" si="2"/>
        <v>316.26112249499135</v>
      </c>
    </row>
    <row r="26" spans="2:71" x14ac:dyDescent="0.25">
      <c r="B26" s="82" t="s">
        <v>193</v>
      </c>
    </row>
    <row r="27" spans="2:71" x14ac:dyDescent="0.25">
      <c r="B27" s="83" t="s">
        <v>157</v>
      </c>
    </row>
    <row r="28" spans="2:71" x14ac:dyDescent="0.25">
      <c r="B28" s="83" t="s">
        <v>166</v>
      </c>
      <c r="D28" s="84" t="s">
        <v>66</v>
      </c>
      <c r="E28" s="84" t="s">
        <v>66</v>
      </c>
      <c r="F28" s="84" t="s">
        <v>100</v>
      </c>
      <c r="G28" s="84" t="s">
        <v>100</v>
      </c>
      <c r="H28" s="84" t="s">
        <v>100</v>
      </c>
    </row>
    <row r="29" spans="2:71" x14ac:dyDescent="0.25">
      <c r="D29" s="84">
        <v>2016</v>
      </c>
      <c r="E29" s="84">
        <v>2017</v>
      </c>
      <c r="F29" s="84">
        <v>2018</v>
      </c>
      <c r="G29" s="84">
        <v>2019</v>
      </c>
      <c r="H29" s="84">
        <v>2020</v>
      </c>
      <c r="I29" s="83" t="s">
        <v>42</v>
      </c>
    </row>
    <row r="30" spans="2:71" x14ac:dyDescent="0.25">
      <c r="B30" s="100" t="s">
        <v>84</v>
      </c>
      <c r="D30" s="91">
        <f>'KLO - Total_(IR004A)'!D18/1000*(1+D$1)^0.5</f>
        <v>0</v>
      </c>
      <c r="E30" s="91">
        <f>'KLO - Total_(IR004A)'!E18/1000*(1+E$1)^0.5</f>
        <v>0</v>
      </c>
      <c r="F30" s="91">
        <f>'KLO - Total_(IR004A)'!F18/1000*(1+F$1)^0.5</f>
        <v>0</v>
      </c>
      <c r="G30" s="91">
        <f>'KLO - Total_(IR004A)'!G18/1000*(1+G$1)^0.5</f>
        <v>48.530578802284928</v>
      </c>
      <c r="H30" s="91">
        <f>'KLO - Total_(IR004A)'!H18/1000*(1+H$1)^0.5</f>
        <v>50.391144813974968</v>
      </c>
      <c r="I30" s="91"/>
    </row>
    <row r="32" spans="2:71" x14ac:dyDescent="0.25">
      <c r="B32" s="83" t="s">
        <v>101</v>
      </c>
      <c r="D32" s="85">
        <v>50</v>
      </c>
    </row>
    <row r="34" spans="2:89" x14ac:dyDescent="0.25">
      <c r="B34" s="82" t="s">
        <v>159</v>
      </c>
      <c r="C34" s="82"/>
    </row>
    <row r="35" spans="2:89" x14ac:dyDescent="0.25">
      <c r="D35" s="84">
        <v>1</v>
      </c>
      <c r="E35" s="84">
        <v>2</v>
      </c>
      <c r="F35" s="84">
        <v>3</v>
      </c>
      <c r="G35" s="84">
        <v>4</v>
      </c>
      <c r="H35" s="84">
        <v>5</v>
      </c>
      <c r="I35" s="84">
        <v>6</v>
      </c>
      <c r="J35" s="96">
        <v>7</v>
      </c>
      <c r="K35" s="84">
        <v>8</v>
      </c>
      <c r="L35" s="84">
        <v>9</v>
      </c>
      <c r="M35" s="84">
        <v>10</v>
      </c>
      <c r="N35" s="84">
        <v>11</v>
      </c>
      <c r="O35" s="84">
        <v>12</v>
      </c>
      <c r="P35" s="84">
        <v>13</v>
      </c>
      <c r="Q35" s="84">
        <v>14</v>
      </c>
      <c r="R35" s="84">
        <v>15</v>
      </c>
      <c r="S35" s="84">
        <v>16</v>
      </c>
      <c r="T35" s="84">
        <v>17</v>
      </c>
      <c r="U35" s="84">
        <v>18</v>
      </c>
      <c r="V35" s="84">
        <v>19</v>
      </c>
      <c r="W35" s="84">
        <v>20</v>
      </c>
      <c r="X35" s="84">
        <v>21</v>
      </c>
      <c r="Y35" s="84">
        <v>22</v>
      </c>
      <c r="Z35" s="84">
        <v>23</v>
      </c>
      <c r="AA35" s="84">
        <v>24</v>
      </c>
      <c r="AB35" s="84">
        <v>25</v>
      </c>
      <c r="AC35" s="84">
        <v>26</v>
      </c>
      <c r="AD35" s="84">
        <v>27</v>
      </c>
      <c r="AE35" s="84">
        <v>28</v>
      </c>
      <c r="AF35" s="84">
        <v>29</v>
      </c>
      <c r="AG35" s="84">
        <v>30</v>
      </c>
      <c r="AH35" s="84">
        <v>31</v>
      </c>
      <c r="AI35" s="84">
        <v>32</v>
      </c>
      <c r="AJ35" s="84">
        <v>33</v>
      </c>
      <c r="AK35" s="84">
        <v>34</v>
      </c>
      <c r="AL35" s="84">
        <v>35</v>
      </c>
      <c r="AM35" s="84">
        <v>36</v>
      </c>
      <c r="AN35" s="84">
        <v>37</v>
      </c>
      <c r="AO35" s="84">
        <v>38</v>
      </c>
      <c r="AP35" s="84">
        <v>39</v>
      </c>
      <c r="AQ35" s="84">
        <v>40</v>
      </c>
      <c r="AR35" s="84">
        <v>41</v>
      </c>
      <c r="AS35" s="84">
        <v>42</v>
      </c>
      <c r="AT35" s="84">
        <v>43</v>
      </c>
      <c r="AU35" s="84">
        <v>44</v>
      </c>
      <c r="AV35" s="84">
        <v>45</v>
      </c>
      <c r="AW35" s="84">
        <v>46</v>
      </c>
      <c r="AX35" s="84">
        <v>47</v>
      </c>
      <c r="AY35" s="84">
        <v>48</v>
      </c>
      <c r="AZ35" s="84">
        <v>49</v>
      </c>
      <c r="BA35" s="84">
        <v>50</v>
      </c>
      <c r="BB35" s="84">
        <v>51</v>
      </c>
      <c r="BC35" s="84">
        <v>52</v>
      </c>
      <c r="BD35" s="84">
        <v>53</v>
      </c>
      <c r="BE35" s="84">
        <v>54</v>
      </c>
      <c r="BF35" s="84">
        <v>55</v>
      </c>
      <c r="BG35" s="84">
        <v>56</v>
      </c>
      <c r="BH35" s="84">
        <v>57</v>
      </c>
      <c r="BI35" s="84">
        <v>58</v>
      </c>
      <c r="BJ35" s="84">
        <v>59</v>
      </c>
      <c r="BK35" s="84">
        <v>60</v>
      </c>
      <c r="BL35" s="84">
        <v>61</v>
      </c>
      <c r="BM35" s="84">
        <v>62</v>
      </c>
      <c r="BN35" s="84">
        <v>63</v>
      </c>
      <c r="BO35" s="84">
        <v>64</v>
      </c>
      <c r="BP35" s="84">
        <v>65</v>
      </c>
      <c r="BQ35" s="84">
        <v>66</v>
      </c>
    </row>
    <row r="36" spans="2:89" x14ac:dyDescent="0.25">
      <c r="B36" s="86" t="str">
        <f>B30</f>
        <v>Distribution system assets</v>
      </c>
      <c r="C36" s="82"/>
      <c r="D36" s="84">
        <v>2016</v>
      </c>
      <c r="E36" s="84">
        <v>2017</v>
      </c>
      <c r="F36" s="84">
        <v>2018</v>
      </c>
      <c r="G36" s="84">
        <v>2019</v>
      </c>
      <c r="H36" s="84">
        <v>2020</v>
      </c>
      <c r="I36" s="84" t="s">
        <v>42</v>
      </c>
      <c r="J36" s="96" t="s">
        <v>63</v>
      </c>
      <c r="K36" s="84" t="s">
        <v>64</v>
      </c>
      <c r="L36" s="84" t="s">
        <v>65</v>
      </c>
      <c r="M36" s="84" t="s">
        <v>46</v>
      </c>
      <c r="N36" s="84" t="s">
        <v>47</v>
      </c>
      <c r="O36" s="84" t="s">
        <v>68</v>
      </c>
      <c r="P36" s="84" t="s">
        <v>156</v>
      </c>
      <c r="Q36" s="84" t="s">
        <v>155</v>
      </c>
      <c r="R36" s="84" t="s">
        <v>154</v>
      </c>
      <c r="S36" s="84" t="s">
        <v>153</v>
      </c>
      <c r="T36" s="84" t="s">
        <v>152</v>
      </c>
      <c r="U36" s="84" t="s">
        <v>151</v>
      </c>
      <c r="V36" s="84" t="s">
        <v>150</v>
      </c>
      <c r="W36" s="84" t="s">
        <v>149</v>
      </c>
      <c r="X36" s="84" t="s">
        <v>148</v>
      </c>
      <c r="Y36" s="84" t="s">
        <v>147</v>
      </c>
      <c r="Z36" s="84" t="s">
        <v>146</v>
      </c>
      <c r="AA36" s="84" t="s">
        <v>145</v>
      </c>
      <c r="AB36" s="84" t="s">
        <v>144</v>
      </c>
      <c r="AC36" s="84" t="s">
        <v>143</v>
      </c>
      <c r="AD36" s="84" t="s">
        <v>142</v>
      </c>
      <c r="AE36" s="84" t="s">
        <v>141</v>
      </c>
      <c r="AF36" s="84" t="s">
        <v>140</v>
      </c>
      <c r="AG36" s="84" t="s">
        <v>139</v>
      </c>
      <c r="AH36" s="84" t="s">
        <v>138</v>
      </c>
      <c r="AI36" s="84" t="s">
        <v>137</v>
      </c>
      <c r="AJ36" s="84" t="s">
        <v>136</v>
      </c>
      <c r="AK36" s="84" t="s">
        <v>135</v>
      </c>
      <c r="AL36" s="84" t="s">
        <v>134</v>
      </c>
      <c r="AM36" s="84" t="s">
        <v>133</v>
      </c>
      <c r="AN36" s="84" t="s">
        <v>132</v>
      </c>
      <c r="AO36" s="84" t="s">
        <v>131</v>
      </c>
      <c r="AP36" s="84" t="s">
        <v>130</v>
      </c>
      <c r="AQ36" s="84" t="s">
        <v>129</v>
      </c>
      <c r="AR36" s="84" t="s">
        <v>128</v>
      </c>
      <c r="AS36" s="84" t="s">
        <v>127</v>
      </c>
      <c r="AT36" s="84" t="s">
        <v>126</v>
      </c>
      <c r="AU36" s="84" t="s">
        <v>125</v>
      </c>
      <c r="AV36" s="84" t="s">
        <v>124</v>
      </c>
      <c r="AW36" s="84" t="s">
        <v>123</v>
      </c>
      <c r="AX36" s="84" t="s">
        <v>122</v>
      </c>
      <c r="AY36" s="84" t="s">
        <v>121</v>
      </c>
      <c r="AZ36" s="84" t="s">
        <v>120</v>
      </c>
      <c r="BA36" s="84" t="s">
        <v>119</v>
      </c>
      <c r="BB36" s="84" t="s">
        <v>118</v>
      </c>
      <c r="BC36" s="84" t="s">
        <v>117</v>
      </c>
      <c r="BD36" s="84" t="s">
        <v>116</v>
      </c>
      <c r="BE36" s="84" t="s">
        <v>115</v>
      </c>
      <c r="BF36" s="84" t="s">
        <v>114</v>
      </c>
      <c r="BG36" s="84" t="s">
        <v>113</v>
      </c>
      <c r="BH36" s="84" t="s">
        <v>112</v>
      </c>
      <c r="BI36" s="84" t="s">
        <v>111</v>
      </c>
      <c r="BJ36" s="84" t="s">
        <v>110</v>
      </c>
      <c r="BK36" s="84" t="s">
        <v>109</v>
      </c>
      <c r="BL36" s="84" t="s">
        <v>102</v>
      </c>
      <c r="BM36" s="84" t="s">
        <v>103</v>
      </c>
      <c r="BN36" s="84" t="s">
        <v>104</v>
      </c>
      <c r="BO36" s="84" t="s">
        <v>105</v>
      </c>
      <c r="BP36" s="84" t="s">
        <v>106</v>
      </c>
      <c r="BQ36" s="84" t="s">
        <v>107</v>
      </c>
      <c r="BR36" s="84" t="s">
        <v>10</v>
      </c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</row>
    <row r="37" spans="2:89" ht="14.4" x14ac:dyDescent="0.3">
      <c r="B37" s="83" t="s">
        <v>158</v>
      </c>
      <c r="D37" s="87"/>
      <c r="E37" s="87"/>
      <c r="F37" s="87"/>
      <c r="G37" s="87"/>
      <c r="H37" s="87"/>
      <c r="I37" s="87"/>
      <c r="J37" s="9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R37" s="88">
        <f t="shared" ref="BR37:BR43" si="3">SUM(D37:BQ37)</f>
        <v>0</v>
      </c>
      <c r="BS37" s="85"/>
    </row>
    <row r="38" spans="2:89" ht="14.4" x14ac:dyDescent="0.3">
      <c r="B38" s="83" t="s">
        <v>160</v>
      </c>
      <c r="C38" s="83">
        <v>1</v>
      </c>
      <c r="E38" s="89">
        <f>IF(E$35-$C38&gt;$D$32,$D$30-SUM(D38:$E38),$D$30/$D$32)</f>
        <v>0</v>
      </c>
      <c r="F38" s="89">
        <f>IF(F$35-$C38&gt;$D$32,$D$30-SUM(E38:$E38),$D$30/$D$32)</f>
        <v>0</v>
      </c>
      <c r="G38" s="89">
        <f>IF(G$35-$C38&gt;$D$32,$D$30-SUM($E38:F38),$D$30/$D$32)</f>
        <v>0</v>
      </c>
      <c r="H38" s="89">
        <f>IF(H$35-$C38&gt;$D$32,$D$30-SUM($E38:G38),$D$30/$D$32)</f>
        <v>0</v>
      </c>
      <c r="I38" s="89">
        <f>IF(I$35-$C38&gt;$D$32,$D$30-SUM($E38:H38),$D$30/$D$32)</f>
        <v>0</v>
      </c>
      <c r="J38" s="98">
        <f>IF(J$35-$C38&gt;$D$32,$D$30-SUM($E38:I38),$D$30/$D$32)</f>
        <v>0</v>
      </c>
      <c r="K38" s="89">
        <f>IF(K$35-$C38&gt;$D$32,$D$30-SUM($E38:J38),$D$30/$D$32)</f>
        <v>0</v>
      </c>
      <c r="L38" s="89">
        <f>IF(L$35-$C38&gt;$D$32,$D$30-SUM($E38:K38),$D$30/$D$32)</f>
        <v>0</v>
      </c>
      <c r="M38" s="89">
        <f>IF(M$35-$C38&gt;$D$32,$D$30-SUM($E38:L38),$D$30/$D$32)</f>
        <v>0</v>
      </c>
      <c r="N38" s="89">
        <f>IF(N$35-$C38&gt;$D$32,$D$30-SUM($E38:M38),$D$30/$D$32)</f>
        <v>0</v>
      </c>
      <c r="O38" s="89">
        <f>IF(O$35-$C38&gt;$D$32,$D$30-SUM($E38:N38),$D$30/$D$32)</f>
        <v>0</v>
      </c>
      <c r="P38" s="89">
        <f>IF(P$35-$C38&gt;$D$32,$D$30-SUM($E38:O38),$D$30/$D$32)</f>
        <v>0</v>
      </c>
      <c r="Q38" s="89">
        <f>IF(Q$35-$C38&gt;$D$32,$D$30-SUM($E38:P38),$D$30/$D$32)</f>
        <v>0</v>
      </c>
      <c r="R38" s="89">
        <f>IF(R$35-$C38&gt;$D$32,$D$30-SUM($E38:Q38),$D$30/$D$32)</f>
        <v>0</v>
      </c>
      <c r="S38" s="89">
        <f>IF(S$35-$C38&gt;$D$32,$D$30-SUM($E38:R38),$D$30/$D$32)</f>
        <v>0</v>
      </c>
      <c r="T38" s="89">
        <f>IF(T$35-$C38&gt;$D$32,$D$30-SUM($E38:S38),$D$30/$D$32)</f>
        <v>0</v>
      </c>
      <c r="U38" s="89">
        <f>IF(U$35-$C38&gt;$D$32,$D$30-SUM($E38:T38),$D$30/$D$32)</f>
        <v>0</v>
      </c>
      <c r="V38" s="89">
        <f>IF(V$35-$C38&gt;$D$32,$D$30-SUM($E38:U38),$D$30/$D$32)</f>
        <v>0</v>
      </c>
      <c r="W38" s="89">
        <f>IF(W$35-$C38&gt;$D$32,$D$30-SUM($E38:V38),$D$30/$D$32)</f>
        <v>0</v>
      </c>
      <c r="X38" s="89">
        <f>IF(X$35-$C38&gt;$D$32,$D$30-SUM($E38:W38),$D$30/$D$32)</f>
        <v>0</v>
      </c>
      <c r="Y38" s="89">
        <f>IF(Y$35-$C38&gt;$D$32,$D$30-SUM($E38:X38),$D$30/$D$32)</f>
        <v>0</v>
      </c>
      <c r="Z38" s="89">
        <f>IF(Z$35-$C38&gt;$D$32,$D$30-SUM($E38:Y38),$D$30/$D$32)</f>
        <v>0</v>
      </c>
      <c r="AA38" s="89">
        <f>IF(AA$35-$C38&gt;$D$32,$D$30-SUM($E38:Z38),$D$30/$D$32)</f>
        <v>0</v>
      </c>
      <c r="AB38" s="89">
        <f>IF(AB$35-$C38&gt;$D$32,$D$30-SUM($E38:AA38),$D$30/$D$32)</f>
        <v>0</v>
      </c>
      <c r="AC38" s="89">
        <f>IF(AC$35-$C38&gt;$D$32,$D$30-SUM($E38:AB38),$D$30/$D$32)</f>
        <v>0</v>
      </c>
      <c r="AD38" s="89">
        <f>IF(AD$35-$C38&gt;$D$32,$D$30-SUM($E38:AC38),$D$30/$D$32)</f>
        <v>0</v>
      </c>
      <c r="AE38" s="89">
        <f>IF(AE$35-$C38&gt;$D$32,$D$30-SUM($E38:AD38),$D$30/$D$32)</f>
        <v>0</v>
      </c>
      <c r="AF38" s="89">
        <f>IF(AF$35-$C38&gt;$D$32,$D$30-SUM($E38:AE38),$D$30/$D$32)</f>
        <v>0</v>
      </c>
      <c r="AG38" s="89">
        <f>IF(AG$35-$C38&gt;$D$32,$D$30-SUM($E38:AF38),$D$30/$D$32)</f>
        <v>0</v>
      </c>
      <c r="AH38" s="89">
        <f>IF(AH$35-$C38&gt;$D$32,$D$30-SUM($E38:AG38),$D$30/$D$32)</f>
        <v>0</v>
      </c>
      <c r="AI38" s="89">
        <f>IF(AI$35-$C38&gt;$D$32,$D$30-SUM($E38:AH38),$D$30/$D$32)</f>
        <v>0</v>
      </c>
      <c r="AJ38" s="89">
        <f>IF(AJ$35-$C38&gt;$D$32,$D$30-SUM($E38:AI38),$D$30/$D$32)</f>
        <v>0</v>
      </c>
      <c r="AK38" s="89">
        <f>IF(AK$35-$C38&gt;$D$32,$D$30-SUM($E38:AJ38),$D$30/$D$32)</f>
        <v>0</v>
      </c>
      <c r="AL38" s="89">
        <f>IF(AL$35-$C38&gt;$D$32,$D$30-SUM($E38:AK38),$D$30/$D$32)</f>
        <v>0</v>
      </c>
      <c r="AM38" s="89">
        <f>IF(AM$35-$C38&gt;$D$32,$D$30-SUM($E38:AL38),$D$30/$D$32)</f>
        <v>0</v>
      </c>
      <c r="AN38" s="89">
        <f>IF(AN$35-$C38&gt;$D$32,$D$30-SUM($E38:AM38),$D$30/$D$32)</f>
        <v>0</v>
      </c>
      <c r="AO38" s="89">
        <f>IF(AO$35-$C38&gt;$D$32,$D$30-SUM($E38:AN38),$D$30/$D$32)</f>
        <v>0</v>
      </c>
      <c r="AP38" s="89">
        <f>IF(AP$35-$C38&gt;$D$32,$D$30-SUM($E38:AO38),$D$30/$D$32)</f>
        <v>0</v>
      </c>
      <c r="AQ38" s="89">
        <f>IF(AQ$35-$C38&gt;$D$32,$D$30-SUM($E38:AP38),$D$30/$D$32)</f>
        <v>0</v>
      </c>
      <c r="AR38" s="89">
        <f>IF(AR$35-$C38&gt;$D$32,$D$30-SUM($E38:AQ38),$D$30/$D$32)</f>
        <v>0</v>
      </c>
      <c r="AS38" s="89">
        <f>IF(AS$35-$C38&gt;$D$32,$D$30-SUM($E38:AR38),$D$30/$D$32)</f>
        <v>0</v>
      </c>
      <c r="AT38" s="89">
        <f>IF(AT$35-$C38&gt;$D$32,$D$30-SUM($E38:AS38),$D$30/$D$32)</f>
        <v>0</v>
      </c>
      <c r="AU38" s="89">
        <f>IF(AU$35-$C38&gt;$D$32,$D$30-SUM($E38:AT38),$D$30/$D$32)</f>
        <v>0</v>
      </c>
      <c r="AV38" s="89">
        <f>IF(AV$35-$C38&gt;$D$32,$D$30-SUM($E38:AU38),$D$30/$D$32)</f>
        <v>0</v>
      </c>
      <c r="AW38" s="89">
        <f>IF(AW$35-$C38&gt;$D$32,$D$30-SUM($E38:AV38),$D$30/$D$32)</f>
        <v>0</v>
      </c>
      <c r="AX38" s="89">
        <f>IF(AX$35-$C38&gt;$D$32,$D$30-SUM($E38:AW38),$D$30/$D$32)</f>
        <v>0</v>
      </c>
      <c r="AY38" s="89">
        <f>IF(AY$35-$C38&gt;$D$32,$D$30-SUM($E38:AX38),$D$30/$D$32)</f>
        <v>0</v>
      </c>
      <c r="AZ38" s="89">
        <f>IF(AZ$35-$C38&gt;$D$32,$D$30-SUM($E38:AY38),$D$30/$D$32)</f>
        <v>0</v>
      </c>
      <c r="BA38" s="89">
        <f>IF(BA$35-$C38&gt;$D$32,$D$30-SUM($E38:AZ38),$D$30/$D$32)</f>
        <v>0</v>
      </c>
      <c r="BB38" s="89">
        <f>IF(BB$35-$C38&gt;$D$32,$D$30-SUM($E38:BA38),$D$30/$D$32)</f>
        <v>0</v>
      </c>
      <c r="BC38" s="89">
        <f>IF(BC$35-$C38&gt;$D$32,$D$30-SUM($E38:BB38),$D$30/$D$32)</f>
        <v>0</v>
      </c>
      <c r="BD38" s="89">
        <f>IF(BD$35-$C38&gt;$D$32,$D$30-SUM($E38:BC38),$D$30/$D$32)</f>
        <v>0</v>
      </c>
      <c r="BE38" s="89">
        <f>IF(BE$35-$C38&gt;$D$32,$D$30-SUM($E38:BD38),$D$30/$D$32)</f>
        <v>0</v>
      </c>
      <c r="BF38" s="89">
        <f>IF(BF$35-$C38&gt;$D$32,$D$30-SUM($E38:BE38),$D$30/$D$32)</f>
        <v>0</v>
      </c>
      <c r="BG38" s="89">
        <f>IF(BG$35-$C38&gt;$D$32,$D$30-SUM($E38:BF38),$D$30/$D$32)</f>
        <v>0</v>
      </c>
      <c r="BH38" s="89">
        <f>IF(BH$35-$C38&gt;$D$32,$D$30-SUM($E38:BG38),$D$30/$D$32)</f>
        <v>0</v>
      </c>
      <c r="BI38" s="89">
        <f>IF(BI$35-$C38&gt;$D$32,$D$30-SUM($E38:BH38),$D$30/$D$32)</f>
        <v>0</v>
      </c>
      <c r="BJ38" s="89">
        <f>IF(BJ$35-$C38&gt;$D$32,$D$30-SUM($E38:BI38),$D$30/$D$32)</f>
        <v>0</v>
      </c>
      <c r="BK38" s="89">
        <f>IF(BK$35-$C38&gt;$D$32,$D$30-SUM($E38:BJ38),$D$30/$D$32)</f>
        <v>0</v>
      </c>
      <c r="BL38" s="89">
        <f>IF(BL$35-$C38&gt;$D$32,$D$30-SUM($E38:BK38),$D$30/$D$32)</f>
        <v>0</v>
      </c>
      <c r="BM38" s="89">
        <f>IF(BM$35-$C38&gt;$D$32,$D$30-SUM($E38:BL38),$D$30/$D$32)</f>
        <v>0</v>
      </c>
      <c r="BN38" s="89">
        <f>IF(BN$35-$C38&gt;$D$32,$D$30-SUM($E38:BM38),$D$30/$D$32)</f>
        <v>0</v>
      </c>
      <c r="BO38" s="89">
        <f>IF(BO$35-$C38&gt;$D$32,$D$30-SUM($E38:BN38),$D$30/$D$32)</f>
        <v>0</v>
      </c>
      <c r="BP38" s="89">
        <f>IF(BP$35-$C38&gt;$D$32,$D$30-SUM($E38:BO38),$D$30/$D$32)</f>
        <v>0</v>
      </c>
      <c r="BR38" s="88">
        <f t="shared" si="3"/>
        <v>0</v>
      </c>
      <c r="BS38" s="83" t="b">
        <f>BR38=D30</f>
        <v>1</v>
      </c>
    </row>
    <row r="39" spans="2:89" ht="14.4" x14ac:dyDescent="0.3">
      <c r="B39" s="83" t="s">
        <v>161</v>
      </c>
      <c r="C39" s="83">
        <v>2</v>
      </c>
      <c r="F39" s="89">
        <f>IF(F$35-$C39&gt;$D$32,$E$30-SUM(E39:$E39),$E$30/$D$32)</f>
        <v>0</v>
      </c>
      <c r="G39" s="89">
        <f>IF(G$35-$C39&gt;$D$32,$E$30-SUM($E39:F39),$E$30/$D$32)</f>
        <v>0</v>
      </c>
      <c r="H39" s="89">
        <f>IF(H$35-$C39&gt;$D$32,$E$30-SUM($E39:G39),$E$30/$D$32)</f>
        <v>0</v>
      </c>
      <c r="I39" s="89">
        <f>IF(I$35-$C39&gt;$D$32,$E$30-SUM($E39:H39),$E$30/$D$32)</f>
        <v>0</v>
      </c>
      <c r="J39" s="98">
        <f>IF(J$35-$C39&gt;$D$32,$E$30-SUM($E39:I39),$E$30/$D$32)</f>
        <v>0</v>
      </c>
      <c r="K39" s="89">
        <f>IF(K$35-$C39&gt;$D$32,$E$30-SUM($E39:J39),$E$30/$D$32)</f>
        <v>0</v>
      </c>
      <c r="L39" s="89">
        <f>IF(L$35-$C39&gt;$D$32,$E$30-SUM($E39:K39),$E$30/$D$32)</f>
        <v>0</v>
      </c>
      <c r="M39" s="89">
        <f>IF(M$35-$C39&gt;$D$32,$E$30-SUM($E39:L39),$E$30/$D$32)</f>
        <v>0</v>
      </c>
      <c r="N39" s="89">
        <f>IF(N$35-$C39&gt;$D$32,$E$30-SUM($E39:M39),$E$30/$D$32)</f>
        <v>0</v>
      </c>
      <c r="O39" s="89">
        <f>IF(O$35-$C39&gt;$D$32,$E$30-SUM($E39:N39),$E$30/$D$32)</f>
        <v>0</v>
      </c>
      <c r="P39" s="89">
        <f>IF(P$35-$C39&gt;$D$32,$E$30-SUM($E39:O39),$E$30/$D$32)</f>
        <v>0</v>
      </c>
      <c r="Q39" s="89">
        <f>IF(Q$35-$C39&gt;$D$32,$E$30-SUM($E39:P39),$E$30/$D$32)</f>
        <v>0</v>
      </c>
      <c r="R39" s="89">
        <f>IF(R$35-$C39&gt;$D$32,$E$30-SUM($E39:Q39),$E$30/$D$32)</f>
        <v>0</v>
      </c>
      <c r="S39" s="89">
        <f>IF(S$35-$C39&gt;$D$32,$E$30-SUM($E39:R39),$E$30/$D$32)</f>
        <v>0</v>
      </c>
      <c r="T39" s="89">
        <f>IF(T$35-$C39&gt;$D$32,$E$30-SUM($E39:S39),$E$30/$D$32)</f>
        <v>0</v>
      </c>
      <c r="U39" s="89">
        <f>IF(U$35-$C39&gt;$D$32,$E$30-SUM($E39:T39),$E$30/$D$32)</f>
        <v>0</v>
      </c>
      <c r="V39" s="89">
        <f>IF(V$35-$C39&gt;$D$32,$E$30-SUM($E39:U39),$E$30/$D$32)</f>
        <v>0</v>
      </c>
      <c r="W39" s="89">
        <f>IF(W$35-$C39&gt;$D$32,$E$30-SUM($E39:V39),$E$30/$D$32)</f>
        <v>0</v>
      </c>
      <c r="X39" s="89">
        <f>IF(X$35-$C39&gt;$D$32,$E$30-SUM($E39:W39),$E$30/$D$32)</f>
        <v>0</v>
      </c>
      <c r="Y39" s="89">
        <f>IF(Y$35-$C39&gt;$D$32,$E$30-SUM($E39:X39),$E$30/$D$32)</f>
        <v>0</v>
      </c>
      <c r="Z39" s="89">
        <f>IF(Z$35-$C39&gt;$D$32,$E$30-SUM($E39:Y39),$E$30/$D$32)</f>
        <v>0</v>
      </c>
      <c r="AA39" s="89">
        <f>IF(AA$35-$C39&gt;$D$32,$E$30-SUM($E39:Z39),$E$30/$D$32)</f>
        <v>0</v>
      </c>
      <c r="AB39" s="89">
        <f>IF(AB$35-$C39&gt;$D$32,$E$30-SUM($E39:AA39),$E$30/$D$32)</f>
        <v>0</v>
      </c>
      <c r="AC39" s="89">
        <f>IF(AC$35-$C39&gt;$D$32,$E$30-SUM($E39:AB39),$E$30/$D$32)</f>
        <v>0</v>
      </c>
      <c r="AD39" s="89">
        <f>IF(AD$35-$C39&gt;$D$32,$E$30-SUM($E39:AC39),$E$30/$D$32)</f>
        <v>0</v>
      </c>
      <c r="AE39" s="89">
        <f>IF(AE$35-$C39&gt;$D$32,$E$30-SUM($E39:AD39),$E$30/$D$32)</f>
        <v>0</v>
      </c>
      <c r="AF39" s="89">
        <f>IF(AF$35-$C39&gt;$D$32,$E$30-SUM($E39:AE39),$E$30/$D$32)</f>
        <v>0</v>
      </c>
      <c r="AG39" s="89">
        <f>IF(AG$35-$C39&gt;$D$32,$E$30-SUM($E39:AF39),$E$30/$D$32)</f>
        <v>0</v>
      </c>
      <c r="AH39" s="89">
        <f>IF(AH$35-$C39&gt;$D$32,$E$30-SUM($E39:AG39),$E$30/$D$32)</f>
        <v>0</v>
      </c>
      <c r="AI39" s="89">
        <f>IF(AI$35-$C39&gt;$D$32,$E$30-SUM($E39:AH39),$E$30/$D$32)</f>
        <v>0</v>
      </c>
      <c r="AJ39" s="89">
        <f>IF(AJ$35-$C39&gt;$D$32,$E$30-SUM($E39:AI39),$E$30/$D$32)</f>
        <v>0</v>
      </c>
      <c r="AK39" s="89">
        <f>IF(AK$35-$C39&gt;$D$32,$E$30-SUM($E39:AJ39),$E$30/$D$32)</f>
        <v>0</v>
      </c>
      <c r="AL39" s="89">
        <f>IF(AL$35-$C39&gt;$D$32,$E$30-SUM($E39:AK39),$E$30/$D$32)</f>
        <v>0</v>
      </c>
      <c r="AM39" s="89">
        <f>IF(AM$35-$C39&gt;$D$32,$E$30-SUM($E39:AL39),$E$30/$D$32)</f>
        <v>0</v>
      </c>
      <c r="AN39" s="89">
        <f>IF(AN$35-$C39&gt;$D$32,$E$30-SUM($E39:AM39),$E$30/$D$32)</f>
        <v>0</v>
      </c>
      <c r="AO39" s="89">
        <f>IF(AO$35-$C39&gt;$D$32,$E$30-SUM($E39:AN39),$E$30/$D$32)</f>
        <v>0</v>
      </c>
      <c r="AP39" s="89">
        <f>IF(AP$35-$C39&gt;$D$32,$E$30-SUM($E39:AO39),$E$30/$D$32)</f>
        <v>0</v>
      </c>
      <c r="AQ39" s="89">
        <f>IF(AQ$35-$C39&gt;$D$32,$E$30-SUM($E39:AP39),$E$30/$D$32)</f>
        <v>0</v>
      </c>
      <c r="AR39" s="89">
        <f>IF(AR$35-$C39&gt;$D$32,$E$30-SUM($E39:AQ39),$E$30/$D$32)</f>
        <v>0</v>
      </c>
      <c r="AS39" s="89">
        <f>IF(AS$35-$C39&gt;$D$32,$E$30-SUM($E39:AR39),$E$30/$D$32)</f>
        <v>0</v>
      </c>
      <c r="AT39" s="89">
        <f>IF(AT$35-$C39&gt;$D$32,$E$30-SUM($E39:AS39),$E$30/$D$32)</f>
        <v>0</v>
      </c>
      <c r="AU39" s="89">
        <f>IF(AU$35-$C39&gt;$D$32,$E$30-SUM($E39:AT39),$E$30/$D$32)</f>
        <v>0</v>
      </c>
      <c r="AV39" s="89">
        <f>IF(AV$35-$C39&gt;$D$32,$E$30-SUM($E39:AU39),$E$30/$D$32)</f>
        <v>0</v>
      </c>
      <c r="AW39" s="89">
        <f>IF(AW$35-$C39&gt;$D$32,$E$30-SUM($E39:AV39),$E$30/$D$32)</f>
        <v>0</v>
      </c>
      <c r="AX39" s="89">
        <f>IF(AX$35-$C39&gt;$D$32,$E$30-SUM($E39:AW39),$E$30/$D$32)</f>
        <v>0</v>
      </c>
      <c r="AY39" s="89">
        <f>IF(AY$35-$C39&gt;$D$32,$E$30-SUM($E39:AX39),$E$30/$D$32)</f>
        <v>0</v>
      </c>
      <c r="AZ39" s="89">
        <f>IF(AZ$35-$C39&gt;$D$32,$E$30-SUM($E39:AY39),$E$30/$D$32)</f>
        <v>0</v>
      </c>
      <c r="BA39" s="89">
        <f>IF(BA$35-$C39&gt;$D$32,$E$30-SUM($E39:AZ39),$E$30/$D$32)</f>
        <v>0</v>
      </c>
      <c r="BB39" s="89">
        <f>IF(BB$35-$C39&gt;$D$32,$E$30-SUM($E39:BA39),$E$30/$D$32)</f>
        <v>0</v>
      </c>
      <c r="BC39" s="89">
        <f>IF(BC$35-$C39&gt;$D$32,$E$30-SUM($E39:BB39),$E$30/$D$32)</f>
        <v>0</v>
      </c>
      <c r="BD39" s="89">
        <f>IF(BD$35-$C39&gt;$D$32,$E$30-SUM($E39:BC39),$E$30/$D$32)</f>
        <v>0</v>
      </c>
      <c r="BE39" s="89">
        <f>IF(BE$35-$C39&gt;$D$32,$E$30-SUM($E39:BD39),$E$30/$D$32)</f>
        <v>0</v>
      </c>
      <c r="BF39" s="89">
        <f>IF(BF$35-$C39&gt;$D$32,$E$30-SUM($E39:BE39),$E$30/$D$32)</f>
        <v>0</v>
      </c>
      <c r="BG39" s="89">
        <f>IF(BG$35-$C39&gt;$D$32,$E$30-SUM($E39:BF39),$E$30/$D$32)</f>
        <v>0</v>
      </c>
      <c r="BH39" s="89">
        <f>IF(BH$35-$C39&gt;$D$32,$E$30-SUM($E39:BG39),$E$30/$D$32)</f>
        <v>0</v>
      </c>
      <c r="BI39" s="89">
        <f>IF(BI$35-$C39&gt;$D$32,$E$30-SUM($E39:BH39),$E$30/$D$32)</f>
        <v>0</v>
      </c>
      <c r="BJ39" s="89">
        <f>IF(BJ$35-$C39&gt;$D$32,$E$30-SUM($E39:BI39),$E$30/$D$32)</f>
        <v>0</v>
      </c>
      <c r="BK39" s="89">
        <f>IF(BK$35-$C39&gt;$D$32,$E$30-SUM($E39:BJ39),$E$30/$D$32)</f>
        <v>0</v>
      </c>
      <c r="BL39" s="89">
        <f>IF(BL$35-$C39&gt;$D$32,$E$30-SUM($E39:BK39),$E$30/$D$32)</f>
        <v>0</v>
      </c>
      <c r="BM39" s="89">
        <f>IF(BM$35-$C39&gt;$D$32,$E$30-SUM($E39:BL39),$E$30/$D$32)</f>
        <v>0</v>
      </c>
      <c r="BN39" s="89">
        <f>IF(BN$35-$C39&gt;$D$32,$E$30-SUM($E39:BM39),$E$30/$D$32)</f>
        <v>0</v>
      </c>
      <c r="BO39" s="89">
        <f>IF(BO$35-$C39&gt;$D$32,$E$30-SUM($E39:BN39),$E$30/$D$32)</f>
        <v>0</v>
      </c>
      <c r="BP39" s="89">
        <f>IF(BP$35-$C39&gt;$D$32,$E$30-SUM($E39:BO39),$E$30/$D$32)</f>
        <v>0</v>
      </c>
      <c r="BR39" s="88">
        <f t="shared" si="3"/>
        <v>0</v>
      </c>
      <c r="BS39" s="83" t="b">
        <f>BR39=E30</f>
        <v>1</v>
      </c>
    </row>
    <row r="40" spans="2:89" ht="14.4" x14ac:dyDescent="0.3">
      <c r="B40" s="83" t="s">
        <v>162</v>
      </c>
      <c r="C40" s="83">
        <v>3</v>
      </c>
      <c r="G40" s="89">
        <f>IF(G$35-$C40&gt;$D$32,$F$30-SUM($E40:F40),$F$30/$D$32)</f>
        <v>0</v>
      </c>
      <c r="H40" s="89">
        <f>IF(H$35-$C40&gt;$D$32,$F$30-SUM($E40:G40),$F$30/$D$32)</f>
        <v>0</v>
      </c>
      <c r="I40" s="89">
        <f>IF(I$35-$C40&gt;$D$32,$F$30-SUM($E40:H40),$F$30/$D$32)</f>
        <v>0</v>
      </c>
      <c r="J40" s="98">
        <f>IF(J$35-$C40&gt;$D$32,$F$30-SUM($E40:I40),$F$30/$D$32)</f>
        <v>0</v>
      </c>
      <c r="K40" s="89">
        <f>IF(K$35-$C40&gt;$D$32,$F$30-SUM($E40:J40),$F$30/$D$32)</f>
        <v>0</v>
      </c>
      <c r="L40" s="89">
        <f>IF(L$35-$C40&gt;$D$32,$F$30-SUM($E40:K40),$F$30/$D$32)</f>
        <v>0</v>
      </c>
      <c r="M40" s="89">
        <f>IF(M$35-$C40&gt;$D$32,$F$30-SUM($E40:L40),$F$30/$D$32)</f>
        <v>0</v>
      </c>
      <c r="N40" s="89">
        <f>IF(N$35-$C40&gt;$D$32,$F$30-SUM($E40:M40),$F$30/$D$32)</f>
        <v>0</v>
      </c>
      <c r="O40" s="89">
        <f>IF(O$35-$C40&gt;$D$32,$F$30-SUM($E40:N40),$F$30/$D$32)</f>
        <v>0</v>
      </c>
      <c r="P40" s="89">
        <f>IF(P$35-$C40&gt;$D$32,$F$30-SUM($E40:O40),$F$30/$D$32)</f>
        <v>0</v>
      </c>
      <c r="Q40" s="89">
        <f>IF(Q$35-$C40&gt;$D$32,$F$30-SUM($E40:P40),$F$30/$D$32)</f>
        <v>0</v>
      </c>
      <c r="R40" s="89">
        <f>IF(R$35-$C40&gt;$D$32,$F$30-SUM($E40:Q40),$F$30/$D$32)</f>
        <v>0</v>
      </c>
      <c r="S40" s="89">
        <f>IF(S$35-$C40&gt;$D$32,$F$30-SUM($E40:R40),$F$30/$D$32)</f>
        <v>0</v>
      </c>
      <c r="T40" s="89">
        <f>IF(T$35-$C40&gt;$D$32,$F$30-SUM($E40:S40),$F$30/$D$32)</f>
        <v>0</v>
      </c>
      <c r="U40" s="89">
        <f>IF(U$35-$C40&gt;$D$32,$F$30-SUM($E40:T40),$F$30/$D$32)</f>
        <v>0</v>
      </c>
      <c r="V40" s="89">
        <f>IF(V$35-$C40&gt;$D$32,$F$30-SUM($E40:U40),$F$30/$D$32)</f>
        <v>0</v>
      </c>
      <c r="W40" s="89">
        <f>IF(W$35-$C40&gt;$D$32,$F$30-SUM($E40:V40),$F$30/$D$32)</f>
        <v>0</v>
      </c>
      <c r="X40" s="89">
        <f>IF(X$35-$C40&gt;$D$32,$F$30-SUM($E40:W40),$F$30/$D$32)</f>
        <v>0</v>
      </c>
      <c r="Y40" s="89">
        <f>IF(Y$35-$C40&gt;$D$32,$F$30-SUM($E40:X40),$F$30/$D$32)</f>
        <v>0</v>
      </c>
      <c r="Z40" s="89">
        <f>IF(Z$35-$C40&gt;$D$32,$F$30-SUM($E40:Y40),$F$30/$D$32)</f>
        <v>0</v>
      </c>
      <c r="AA40" s="89">
        <f>IF(AA$35-$C40&gt;$D$32,$F$30-SUM($E40:Z40),$F$30/$D$32)</f>
        <v>0</v>
      </c>
      <c r="AB40" s="89">
        <f>IF(AB$35-$C40&gt;$D$32,$F$30-SUM($E40:AA40),$F$30/$D$32)</f>
        <v>0</v>
      </c>
      <c r="AC40" s="89">
        <f>IF(AC$35-$C40&gt;$D$32,$F$30-SUM($E40:AB40),$F$30/$D$32)</f>
        <v>0</v>
      </c>
      <c r="AD40" s="89">
        <f>IF(AD$35-$C40&gt;$D$32,$F$30-SUM($E40:AC40),$F$30/$D$32)</f>
        <v>0</v>
      </c>
      <c r="AE40" s="89">
        <f>IF(AE$35-$C40&gt;$D$32,$F$30-SUM($E40:AD40),$F$30/$D$32)</f>
        <v>0</v>
      </c>
      <c r="AF40" s="89">
        <f>IF(AF$35-$C40&gt;$D$32,$F$30-SUM($E40:AE40),$F$30/$D$32)</f>
        <v>0</v>
      </c>
      <c r="AG40" s="89">
        <f>IF(AG$35-$C40&gt;$D$32,$F$30-SUM($E40:AF40),$F$30/$D$32)</f>
        <v>0</v>
      </c>
      <c r="AH40" s="89">
        <f>IF(AH$35-$C40&gt;$D$32,$F$30-SUM($E40:AG40),$F$30/$D$32)</f>
        <v>0</v>
      </c>
      <c r="AI40" s="89">
        <f>IF(AI$35-$C40&gt;$D$32,$F$30-SUM($E40:AH40),$F$30/$D$32)</f>
        <v>0</v>
      </c>
      <c r="AJ40" s="89">
        <f>IF(AJ$35-$C40&gt;$D$32,$F$30-SUM($E40:AI40),$F$30/$D$32)</f>
        <v>0</v>
      </c>
      <c r="AK40" s="89">
        <f>IF(AK$35-$C40&gt;$D$32,$F$30-SUM($E40:AJ40),$F$30/$D$32)</f>
        <v>0</v>
      </c>
      <c r="AL40" s="89">
        <f>IF(AL$35-$C40&gt;$D$32,$F$30-SUM($E40:AK40),$F$30/$D$32)</f>
        <v>0</v>
      </c>
      <c r="AM40" s="89">
        <f>IF(AM$35-$C40&gt;$D$32,$F$30-SUM($E40:AL40),$F$30/$D$32)</f>
        <v>0</v>
      </c>
      <c r="AN40" s="89">
        <f>IF(AN$35-$C40&gt;$D$32,$F$30-SUM($E40:AM40),$F$30/$D$32)</f>
        <v>0</v>
      </c>
      <c r="AO40" s="89">
        <f>IF(AO$35-$C40&gt;$D$32,$F$30-SUM($E40:AN40),$F$30/$D$32)</f>
        <v>0</v>
      </c>
      <c r="AP40" s="89">
        <f>IF(AP$35-$C40&gt;$D$32,$F$30-SUM($E40:AO40),$F$30/$D$32)</f>
        <v>0</v>
      </c>
      <c r="AQ40" s="89">
        <f>IF(AQ$35-$C40&gt;$D$32,$F$30-SUM($E40:AP40),$F$30/$D$32)</f>
        <v>0</v>
      </c>
      <c r="AR40" s="89">
        <f>IF(AR$35-$C40&gt;$D$32,$F$30-SUM($E40:AQ40),$F$30/$D$32)</f>
        <v>0</v>
      </c>
      <c r="AS40" s="89">
        <f>IF(AS$35-$C40&gt;$D$32,$F$30-SUM($E40:AR40),$F$30/$D$32)</f>
        <v>0</v>
      </c>
      <c r="AT40" s="89">
        <f>IF(AT$35-$C40&gt;$D$32,$F$30-SUM($E40:AS40),$F$30/$D$32)</f>
        <v>0</v>
      </c>
      <c r="AU40" s="89">
        <f>IF(AU$35-$C40&gt;$D$32,$F$30-SUM($E40:AT40),$F$30/$D$32)</f>
        <v>0</v>
      </c>
      <c r="AV40" s="89">
        <f>IF(AV$35-$C40&gt;$D$32,$F$30-SUM($E40:AU40),$F$30/$D$32)</f>
        <v>0</v>
      </c>
      <c r="AW40" s="89">
        <f>IF(AW$35-$C40&gt;$D$32,$F$30-SUM($E40:AV40),$F$30/$D$32)</f>
        <v>0</v>
      </c>
      <c r="AX40" s="89">
        <f>IF(AX$35-$C40&gt;$D$32,$F$30-SUM($E40:AW40),$F$30/$D$32)</f>
        <v>0</v>
      </c>
      <c r="AY40" s="89">
        <f>IF(AY$35-$C40&gt;$D$32,$F$30-SUM($E40:AX40),$F$30/$D$32)</f>
        <v>0</v>
      </c>
      <c r="AZ40" s="89">
        <f>IF(AZ$35-$C40&gt;$D$32,$F$30-SUM($E40:AY40),$F$30/$D$32)</f>
        <v>0</v>
      </c>
      <c r="BA40" s="89">
        <f>IF(BA$35-$C40&gt;$D$32,$F$30-SUM($E40:AZ40),$F$30/$D$32)</f>
        <v>0</v>
      </c>
      <c r="BB40" s="89">
        <f>IF(BB$35-$C40&gt;$D$32,$F$30-SUM($E40:BA40),$F$30/$D$32)</f>
        <v>0</v>
      </c>
      <c r="BC40" s="89">
        <f>IF(BC$35-$C40&gt;$D$32,$F$30-SUM($E40:BB40),$F$30/$D$32)</f>
        <v>0</v>
      </c>
      <c r="BD40" s="89">
        <f>IF(BD$35-$C40&gt;$D$32,$F$30-SUM($E40:BC40),$F$30/$D$32)</f>
        <v>0</v>
      </c>
      <c r="BE40" s="89">
        <f>IF(BE$35-$C40&gt;$D$32,$F$30-SUM($E40:BD40),$F$30/$D$32)</f>
        <v>0</v>
      </c>
      <c r="BF40" s="89">
        <f>IF(BF$35-$C40&gt;$D$32,$F$30-SUM($E40:BE40),$F$30/$D$32)</f>
        <v>0</v>
      </c>
      <c r="BG40" s="89">
        <f>IF(BG$35-$C40&gt;$D$32,$F$30-SUM($E40:BF40),$F$30/$D$32)</f>
        <v>0</v>
      </c>
      <c r="BH40" s="89">
        <f>IF(BH$35-$C40&gt;$D$32,$F$30-SUM($E40:BG40),$F$30/$D$32)</f>
        <v>0</v>
      </c>
      <c r="BI40" s="89">
        <f>IF(BI$35-$C40&gt;$D$32,$F$30-SUM($E40:BH40),$F$30/$D$32)</f>
        <v>0</v>
      </c>
      <c r="BJ40" s="89">
        <f>IF(BJ$35-$C40&gt;$D$32,$F$30-SUM($E40:BI40),$F$30/$D$32)</f>
        <v>0</v>
      </c>
      <c r="BK40" s="89">
        <f>IF(BK$35-$C40&gt;$D$32,$F$30-SUM($E40:BJ40),$F$30/$D$32)</f>
        <v>0</v>
      </c>
      <c r="BL40" s="89">
        <f>IF(BL$35-$C40&gt;$D$32,$F$30-SUM($E40:BK40),$F$30/$D$32)</f>
        <v>0</v>
      </c>
      <c r="BM40" s="89">
        <f>IF(BM$35-$C40&gt;$D$32,$F$30-SUM($E40:BL40),$F$30/$D$32)</f>
        <v>0</v>
      </c>
      <c r="BN40" s="89">
        <f>IF(BN$35-$C40&gt;$D$32,$F$30-SUM($E40:BM40),$F$30/$D$32)</f>
        <v>0</v>
      </c>
      <c r="BO40" s="89">
        <f>IF(BO$35-$C40&gt;$D$32,$F$30-SUM($E40:BN40),$F$30/$D$32)</f>
        <v>0</v>
      </c>
      <c r="BP40" s="89">
        <f>IF(BP$35-$C40&gt;$D$32,$F$30-SUM($E40:BO40),$F$30/$D$32)</f>
        <v>0</v>
      </c>
      <c r="BR40" s="88">
        <f t="shared" si="3"/>
        <v>0</v>
      </c>
      <c r="BS40" s="83" t="b">
        <f>BR40=F30</f>
        <v>1</v>
      </c>
    </row>
    <row r="41" spans="2:89" ht="14.4" x14ac:dyDescent="0.3">
      <c r="B41" s="83" t="s">
        <v>163</v>
      </c>
      <c r="C41" s="83">
        <v>4</v>
      </c>
      <c r="H41" s="89">
        <f>IF(H$35-$C41&gt;$D$32,$G$30-SUM($E41:G41),$G$30/$D$32)</f>
        <v>0.97061157604569859</v>
      </c>
      <c r="I41" s="89">
        <f>IF(I$35-$C41&gt;$D$32,$G$30-SUM($E41:H41),$G$30/$D$32)</f>
        <v>0.97061157604569859</v>
      </c>
      <c r="J41" s="98">
        <f>IF(J$35-$C41&gt;$D$32,$G$30-SUM($E41:I41),$G$30/$D$32)</f>
        <v>0.97061157604569859</v>
      </c>
      <c r="K41" s="89">
        <f>IF(K$35-$C41&gt;$D$32,$G$30-SUM($E41:J41),$G$30/$D$32)</f>
        <v>0.97061157604569859</v>
      </c>
      <c r="L41" s="89">
        <f>IF(L$35-$C41&gt;$D$32,$G$30-SUM($E41:K41),$G$30/$D$32)</f>
        <v>0.97061157604569859</v>
      </c>
      <c r="M41" s="89">
        <f>IF(M$35-$C41&gt;$D$32,$G$30-SUM($E41:L41),$G$30/$D$32)</f>
        <v>0.97061157604569859</v>
      </c>
      <c r="N41" s="89">
        <f>IF(N$35-$C41&gt;$D$32,$G$30-SUM($E41:M41),$G$30/$D$32)</f>
        <v>0.97061157604569859</v>
      </c>
      <c r="O41" s="89">
        <f>IF(O$35-$C41&gt;$D$32,$G$30-SUM($E41:N41),$G$30/$D$32)</f>
        <v>0.97061157604569859</v>
      </c>
      <c r="P41" s="89">
        <f>IF(P$35-$C41&gt;$D$32,$G$30-SUM($E41:O41),$G$30/$D$32)</f>
        <v>0.97061157604569859</v>
      </c>
      <c r="Q41" s="89">
        <f>IF(Q$35-$C41&gt;$D$32,$G$30-SUM($E41:P41),$G$30/$D$32)</f>
        <v>0.97061157604569859</v>
      </c>
      <c r="R41" s="89">
        <f>IF(R$35-$C41&gt;$D$32,$G$30-SUM($E41:Q41),$G$30/$D$32)</f>
        <v>0.97061157604569859</v>
      </c>
      <c r="S41" s="89">
        <f>IF(S$35-$C41&gt;$D$32,$G$30-SUM($E41:R41),$G$30/$D$32)</f>
        <v>0.97061157604569859</v>
      </c>
      <c r="T41" s="89">
        <f>IF(T$35-$C41&gt;$D$32,$G$30-SUM($E41:S41),$G$30/$D$32)</f>
        <v>0.97061157604569859</v>
      </c>
      <c r="U41" s="89">
        <f>IF(U$35-$C41&gt;$D$32,$G$30-SUM($E41:T41),$G$30/$D$32)</f>
        <v>0.97061157604569859</v>
      </c>
      <c r="V41" s="89">
        <f>IF(V$35-$C41&gt;$D$32,$G$30-SUM($E41:U41),$G$30/$D$32)</f>
        <v>0.97061157604569859</v>
      </c>
      <c r="W41" s="89">
        <f>IF(W$35-$C41&gt;$D$32,$G$30-SUM($E41:V41),$G$30/$D$32)</f>
        <v>0.97061157604569859</v>
      </c>
      <c r="X41" s="89">
        <f>IF(X$35-$C41&gt;$D$32,$G$30-SUM($E41:W41),$G$30/$D$32)</f>
        <v>0.97061157604569859</v>
      </c>
      <c r="Y41" s="89">
        <f>IF(Y$35-$C41&gt;$D$32,$G$30-SUM($E41:X41),$G$30/$D$32)</f>
        <v>0.97061157604569859</v>
      </c>
      <c r="Z41" s="89">
        <f>IF(Z$35-$C41&gt;$D$32,$G$30-SUM($E41:Y41),$G$30/$D$32)</f>
        <v>0.97061157604569859</v>
      </c>
      <c r="AA41" s="89">
        <f>IF(AA$35-$C41&gt;$D$32,$G$30-SUM($E41:Z41),$G$30/$D$32)</f>
        <v>0.97061157604569859</v>
      </c>
      <c r="AB41" s="89">
        <f>IF(AB$35-$C41&gt;$D$32,$G$30-SUM($E41:AA41),$G$30/$D$32)</f>
        <v>0.97061157604569859</v>
      </c>
      <c r="AC41" s="89">
        <f>IF(AC$35-$C41&gt;$D$32,$G$30-SUM($E41:AB41),$G$30/$D$32)</f>
        <v>0.97061157604569859</v>
      </c>
      <c r="AD41" s="89">
        <f>IF(AD$35-$C41&gt;$D$32,$G$30-SUM($E41:AC41),$G$30/$D$32)</f>
        <v>0.97061157604569859</v>
      </c>
      <c r="AE41" s="89">
        <f>IF(AE$35-$C41&gt;$D$32,$G$30-SUM($E41:AD41),$G$30/$D$32)</f>
        <v>0.97061157604569859</v>
      </c>
      <c r="AF41" s="89">
        <f>IF(AF$35-$C41&gt;$D$32,$G$30-SUM($E41:AE41),$G$30/$D$32)</f>
        <v>0.97061157604569859</v>
      </c>
      <c r="AG41" s="89">
        <f>IF(AG$35-$C41&gt;$D$32,$G$30-SUM($E41:AF41),$G$30/$D$32)</f>
        <v>0.97061157604569859</v>
      </c>
      <c r="AH41" s="89">
        <f>IF(AH$35-$C41&gt;$D$32,$G$30-SUM($E41:AG41),$G$30/$D$32)</f>
        <v>0.97061157604569859</v>
      </c>
      <c r="AI41" s="89">
        <f>IF(AI$35-$C41&gt;$D$32,$G$30-SUM($E41:AH41),$G$30/$D$32)</f>
        <v>0.97061157604569859</v>
      </c>
      <c r="AJ41" s="89">
        <f>IF(AJ$35-$C41&gt;$D$32,$G$30-SUM($E41:AI41),$G$30/$D$32)</f>
        <v>0.97061157604569859</v>
      </c>
      <c r="AK41" s="89">
        <f>IF(AK$35-$C41&gt;$D$32,$G$30-SUM($E41:AJ41),$G$30/$D$32)</f>
        <v>0.97061157604569859</v>
      </c>
      <c r="AL41" s="89">
        <f>IF(AL$35-$C41&gt;$D$32,$G$30-SUM($E41:AK41),$G$30/$D$32)</f>
        <v>0.97061157604569859</v>
      </c>
      <c r="AM41" s="89">
        <f>IF(AM$35-$C41&gt;$D$32,$G$30-SUM($E41:AL41),$G$30/$D$32)</f>
        <v>0.97061157604569859</v>
      </c>
      <c r="AN41" s="89">
        <f>IF(AN$35-$C41&gt;$D$32,$G$30-SUM($E41:AM41),$G$30/$D$32)</f>
        <v>0.97061157604569859</v>
      </c>
      <c r="AO41" s="89">
        <f>IF(AO$35-$C41&gt;$D$32,$G$30-SUM($E41:AN41),$G$30/$D$32)</f>
        <v>0.97061157604569859</v>
      </c>
      <c r="AP41" s="89">
        <f>IF(AP$35-$C41&gt;$D$32,$G$30-SUM($E41:AO41),$G$30/$D$32)</f>
        <v>0.97061157604569859</v>
      </c>
      <c r="AQ41" s="89">
        <f>IF(AQ$35-$C41&gt;$D$32,$G$30-SUM($E41:AP41),$G$30/$D$32)</f>
        <v>0.97061157604569859</v>
      </c>
      <c r="AR41" s="89">
        <f>IF(AR$35-$C41&gt;$D$32,$G$30-SUM($E41:AQ41),$G$30/$D$32)</f>
        <v>0.97061157604569859</v>
      </c>
      <c r="AS41" s="89">
        <f>IF(AS$35-$C41&gt;$D$32,$G$30-SUM($E41:AR41),$G$30/$D$32)</f>
        <v>0.97061157604569859</v>
      </c>
      <c r="AT41" s="89">
        <f>IF(AT$35-$C41&gt;$D$32,$G$30-SUM($E41:AS41),$G$30/$D$32)</f>
        <v>0.97061157604569859</v>
      </c>
      <c r="AU41" s="89">
        <f>IF(AU$35-$C41&gt;$D$32,$G$30-SUM($E41:AT41),$G$30/$D$32)</f>
        <v>0.97061157604569859</v>
      </c>
      <c r="AV41" s="89">
        <f>IF(AV$35-$C41&gt;$D$32,$G$30-SUM($E41:AU41),$G$30/$D$32)</f>
        <v>0.97061157604569859</v>
      </c>
      <c r="AW41" s="89">
        <f>IF(AW$35-$C41&gt;$D$32,$G$30-SUM($E41:AV41),$G$30/$D$32)</f>
        <v>0.97061157604569859</v>
      </c>
      <c r="AX41" s="89">
        <f>IF(AX$35-$C41&gt;$D$32,$G$30-SUM($E41:AW41),$G$30/$D$32)</f>
        <v>0.97061157604569859</v>
      </c>
      <c r="AY41" s="89">
        <f>IF(AY$35-$C41&gt;$D$32,$G$30-SUM($E41:AX41),$G$30/$D$32)</f>
        <v>0.97061157604569859</v>
      </c>
      <c r="AZ41" s="89">
        <f>IF(AZ$35-$C41&gt;$D$32,$G$30-SUM($E41:AY41),$G$30/$D$32)</f>
        <v>0.97061157604569859</v>
      </c>
      <c r="BA41" s="89">
        <f>IF(BA$35-$C41&gt;$D$32,$G$30-SUM($E41:AZ41),$G$30/$D$32)</f>
        <v>0.97061157604569859</v>
      </c>
      <c r="BB41" s="89">
        <f>IF(BB$35-$C41&gt;$D$32,$G$30-SUM($E41:BA41),$G$30/$D$32)</f>
        <v>0.97061157604569859</v>
      </c>
      <c r="BC41" s="89">
        <f>IF(BC$35-$C41&gt;$D$32,$G$30-SUM($E41:BB41),$G$30/$D$32)</f>
        <v>0.97061157604569859</v>
      </c>
      <c r="BD41" s="89">
        <f>IF(BD$35-$C41&gt;$D$32,$G$30-SUM($E41:BC41),$G$30/$D$32)</f>
        <v>0.97061157604569859</v>
      </c>
      <c r="BE41" s="89">
        <f>IF(BE$35-$C41&gt;$D$32,$G$30-SUM($E41:BD41),$G$30/$D$32)</f>
        <v>0.97061157604569859</v>
      </c>
      <c r="BF41" s="89">
        <f>IF(BF$35-$C41&gt;$D$32,$G$30-SUM($E41:BE41),$G$30/$D$32)</f>
        <v>1.4210854715202004E-14</v>
      </c>
      <c r="BG41" s="89">
        <f>IF(BG$35-$C41&gt;$D$32,$G$30-SUM($E41:BF41),$G$30/$D$32)</f>
        <v>0</v>
      </c>
      <c r="BH41" s="89">
        <f>IF(BH$35-$C41&gt;$D$32,$G$30-SUM($E41:BG41),$G$30/$D$32)</f>
        <v>0</v>
      </c>
      <c r="BI41" s="89">
        <f>IF(BI$35-$C41&gt;$D$32,$G$30-SUM($E41:BH41),$G$30/$D$32)</f>
        <v>0</v>
      </c>
      <c r="BJ41" s="89">
        <f>IF(BJ$35-$C41&gt;$D$32,$G$30-SUM($E41:BI41),$G$30/$D$32)</f>
        <v>0</v>
      </c>
      <c r="BK41" s="89">
        <f>IF(BK$35-$C41&gt;$D$32,$G$30-SUM($E41:BJ41),$G$30/$D$32)</f>
        <v>0</v>
      </c>
      <c r="BL41" s="89">
        <f>IF(BL$35-$C41&gt;$D$32,$G$30-SUM($E41:BK41),$G$30/$D$32)</f>
        <v>0</v>
      </c>
      <c r="BM41" s="89">
        <f>IF(BM$35-$C41&gt;$D$32,$G$30-SUM($E41:BL41),$G$30/$D$32)</f>
        <v>0</v>
      </c>
      <c r="BN41" s="89">
        <f>IF(BN$35-$C41&gt;$D$32,$G$30-SUM($E41:BM41),$G$30/$D$32)</f>
        <v>0</v>
      </c>
      <c r="BO41" s="89">
        <f>IF(BO$35-$C41&gt;$D$32,$G$30-SUM($E41:BN41),$G$30/$D$32)</f>
        <v>0</v>
      </c>
      <c r="BP41" s="89">
        <f>IF(BP$35-$C41&gt;$D$32,$G$30-SUM($E41:BO41),$G$30/$D$32)</f>
        <v>0</v>
      </c>
      <c r="BR41" s="88">
        <f t="shared" si="3"/>
        <v>48.530578802284928</v>
      </c>
      <c r="BS41" s="83" t="b">
        <f>BR41=G30</f>
        <v>1</v>
      </c>
    </row>
    <row r="42" spans="2:89" ht="14.4" x14ac:dyDescent="0.3">
      <c r="B42" s="83" t="s">
        <v>164</v>
      </c>
      <c r="C42" s="83">
        <v>5</v>
      </c>
      <c r="I42" s="89">
        <f>IF(I$35-$C42&gt;$D$32,$H$30-SUM($E42:H42),$H$30/$D$32)</f>
        <v>1.0078228962794993</v>
      </c>
      <c r="J42" s="98">
        <f>IF(J$35-$C42&gt;$D$32,$H$30-SUM($E42:I42),$H$30/$D$32)</f>
        <v>1.0078228962794993</v>
      </c>
      <c r="K42" s="89">
        <f>IF(K$35-$C42&gt;$D$32,$H$30-SUM($E42:J42),$H$30/$D$32)</f>
        <v>1.0078228962794993</v>
      </c>
      <c r="L42" s="89">
        <f>IF(L$35-$C42&gt;$D$32,$H$30-SUM($E42:K42),$H$30/$D$32)</f>
        <v>1.0078228962794993</v>
      </c>
      <c r="M42" s="89">
        <f>IF(M$35-$C42&gt;$D$32,$H$30-SUM($E42:L42),$H$30/$D$32)</f>
        <v>1.0078228962794993</v>
      </c>
      <c r="N42" s="89">
        <f>IF(N$35-$C42&gt;$D$32,$H$30-SUM($E42:M42),$H$30/$D$32)</f>
        <v>1.0078228962794993</v>
      </c>
      <c r="O42" s="89">
        <f>IF(O$35-$C42&gt;$D$32,$H$30-SUM($E42:N42),$H$30/$D$32)</f>
        <v>1.0078228962794993</v>
      </c>
      <c r="P42" s="89">
        <f>IF(P$35-$C42&gt;$D$32,$H$30-SUM($E42:O42),$H$30/$D$32)</f>
        <v>1.0078228962794993</v>
      </c>
      <c r="Q42" s="89">
        <f>IF(Q$35-$C42&gt;$D$32,$H$30-SUM($E42:P42),$H$30/$D$32)</f>
        <v>1.0078228962794993</v>
      </c>
      <c r="R42" s="89">
        <f>IF(R$35-$C42&gt;$D$32,$H$30-SUM($E42:Q42),$H$30/$D$32)</f>
        <v>1.0078228962794993</v>
      </c>
      <c r="S42" s="89">
        <f>IF(S$35-$C42&gt;$D$32,$H$30-SUM($E42:R42),$H$30/$D$32)</f>
        <v>1.0078228962794993</v>
      </c>
      <c r="T42" s="89">
        <f>IF(T$35-$C42&gt;$D$32,$H$30-SUM($E42:S42),$H$30/$D$32)</f>
        <v>1.0078228962794993</v>
      </c>
      <c r="U42" s="89">
        <f>IF(U$35-$C42&gt;$D$32,$H$30-SUM($E42:T42),$H$30/$D$32)</f>
        <v>1.0078228962794993</v>
      </c>
      <c r="V42" s="89">
        <f>IF(V$35-$C42&gt;$D$32,$H$30-SUM($E42:U42),$H$30/$D$32)</f>
        <v>1.0078228962794993</v>
      </c>
      <c r="W42" s="89">
        <f>IF(W$35-$C42&gt;$D$32,$H$30-SUM($E42:V42),$H$30/$D$32)</f>
        <v>1.0078228962794993</v>
      </c>
      <c r="X42" s="89">
        <f>IF(X$35-$C42&gt;$D$32,$H$30-SUM($E42:W42),$H$30/$D$32)</f>
        <v>1.0078228962794993</v>
      </c>
      <c r="Y42" s="89">
        <f>IF(Y$35-$C42&gt;$D$32,$H$30-SUM($E42:X42),$H$30/$D$32)</f>
        <v>1.0078228962794993</v>
      </c>
      <c r="Z42" s="89">
        <f>IF(Z$35-$C42&gt;$D$32,$H$30-SUM($E42:Y42),$H$30/$D$32)</f>
        <v>1.0078228962794993</v>
      </c>
      <c r="AA42" s="89">
        <f>IF(AA$35-$C42&gt;$D$32,$H$30-SUM($E42:Z42),$H$30/$D$32)</f>
        <v>1.0078228962794993</v>
      </c>
      <c r="AB42" s="89">
        <f>IF(AB$35-$C42&gt;$D$32,$H$30-SUM($E42:AA42),$H$30/$D$32)</f>
        <v>1.0078228962794993</v>
      </c>
      <c r="AC42" s="89">
        <f>IF(AC$35-$C42&gt;$D$32,$H$30-SUM($E42:AB42),$H$30/$D$32)</f>
        <v>1.0078228962794993</v>
      </c>
      <c r="AD42" s="89">
        <f>IF(AD$35-$C42&gt;$D$32,$H$30-SUM($E42:AC42),$H$30/$D$32)</f>
        <v>1.0078228962794993</v>
      </c>
      <c r="AE42" s="89">
        <f>IF(AE$35-$C42&gt;$D$32,$H$30-SUM($E42:AD42),$H$30/$D$32)</f>
        <v>1.0078228962794993</v>
      </c>
      <c r="AF42" s="89">
        <f>IF(AF$35-$C42&gt;$D$32,$H$30-SUM($E42:AE42),$H$30/$D$32)</f>
        <v>1.0078228962794993</v>
      </c>
      <c r="AG42" s="89">
        <f>IF(AG$35-$C42&gt;$D$32,$H$30-SUM($E42:AF42),$H$30/$D$32)</f>
        <v>1.0078228962794993</v>
      </c>
      <c r="AH42" s="89">
        <f>IF(AH$35-$C42&gt;$D$32,$H$30-SUM($E42:AG42),$H$30/$D$32)</f>
        <v>1.0078228962794993</v>
      </c>
      <c r="AI42" s="89">
        <f>IF(AI$35-$C42&gt;$D$32,$H$30-SUM($E42:AH42),$H$30/$D$32)</f>
        <v>1.0078228962794993</v>
      </c>
      <c r="AJ42" s="89">
        <f>IF(AJ$35-$C42&gt;$D$32,$H$30-SUM($E42:AI42),$H$30/$D$32)</f>
        <v>1.0078228962794993</v>
      </c>
      <c r="AK42" s="89">
        <f>IF(AK$35-$C42&gt;$D$32,$H$30-SUM($E42:AJ42),$H$30/$D$32)</f>
        <v>1.0078228962794993</v>
      </c>
      <c r="AL42" s="89">
        <f>IF(AL$35-$C42&gt;$D$32,$H$30-SUM($E42:AK42),$H$30/$D$32)</f>
        <v>1.0078228962794993</v>
      </c>
      <c r="AM42" s="89">
        <f>IF(AM$35-$C42&gt;$D$32,$H$30-SUM($E42:AL42),$H$30/$D$32)</f>
        <v>1.0078228962794993</v>
      </c>
      <c r="AN42" s="89">
        <f>IF(AN$35-$C42&gt;$D$32,$H$30-SUM($E42:AM42),$H$30/$D$32)</f>
        <v>1.0078228962794993</v>
      </c>
      <c r="AO42" s="89">
        <f>IF(AO$35-$C42&gt;$D$32,$H$30-SUM($E42:AN42),$H$30/$D$32)</f>
        <v>1.0078228962794993</v>
      </c>
      <c r="AP42" s="89">
        <f>IF(AP$35-$C42&gt;$D$32,$H$30-SUM($E42:AO42),$H$30/$D$32)</f>
        <v>1.0078228962794993</v>
      </c>
      <c r="AQ42" s="89">
        <f>IF(AQ$35-$C42&gt;$D$32,$H$30-SUM($E42:AP42),$H$30/$D$32)</f>
        <v>1.0078228962794993</v>
      </c>
      <c r="AR42" s="89">
        <f>IF(AR$35-$C42&gt;$D$32,$H$30-SUM($E42:AQ42),$H$30/$D$32)</f>
        <v>1.0078228962794993</v>
      </c>
      <c r="AS42" s="89">
        <f>IF(AS$35-$C42&gt;$D$32,$H$30-SUM($E42:AR42),$H$30/$D$32)</f>
        <v>1.0078228962794993</v>
      </c>
      <c r="AT42" s="89">
        <f>IF(AT$35-$C42&gt;$D$32,$H$30-SUM($E42:AS42),$H$30/$D$32)</f>
        <v>1.0078228962794993</v>
      </c>
      <c r="AU42" s="89">
        <f>IF(AU$35-$C42&gt;$D$32,$H$30-SUM($E42:AT42),$H$30/$D$32)</f>
        <v>1.0078228962794993</v>
      </c>
      <c r="AV42" s="89">
        <f>IF(AV$35-$C42&gt;$D$32,$H$30-SUM($E42:AU42),$H$30/$D$32)</f>
        <v>1.0078228962794993</v>
      </c>
      <c r="AW42" s="89">
        <f>IF(AW$35-$C42&gt;$D$32,$H$30-SUM($E42:AV42),$H$30/$D$32)</f>
        <v>1.0078228962794993</v>
      </c>
      <c r="AX42" s="89">
        <f>IF(AX$35-$C42&gt;$D$32,$H$30-SUM($E42:AW42),$H$30/$D$32)</f>
        <v>1.0078228962794993</v>
      </c>
      <c r="AY42" s="89">
        <f>IF(AY$35-$C42&gt;$D$32,$H$30-SUM($E42:AX42),$H$30/$D$32)</f>
        <v>1.0078228962794993</v>
      </c>
      <c r="AZ42" s="89">
        <f>IF(AZ$35-$C42&gt;$D$32,$H$30-SUM($E42:AY42),$H$30/$D$32)</f>
        <v>1.0078228962794993</v>
      </c>
      <c r="BA42" s="89">
        <f>IF(BA$35-$C42&gt;$D$32,$H$30-SUM($E42:AZ42),$H$30/$D$32)</f>
        <v>1.0078228962794993</v>
      </c>
      <c r="BB42" s="89">
        <f>IF(BB$35-$C42&gt;$D$32,$H$30-SUM($E42:BA42),$H$30/$D$32)</f>
        <v>1.0078228962794993</v>
      </c>
      <c r="BC42" s="89">
        <f>IF(BC$35-$C42&gt;$D$32,$H$30-SUM($E42:BB42),$H$30/$D$32)</f>
        <v>1.0078228962794993</v>
      </c>
      <c r="BD42" s="89">
        <f>IF(BD$35-$C42&gt;$D$32,$H$30-SUM($E42:BC42),$H$30/$D$32)</f>
        <v>1.0078228962794993</v>
      </c>
      <c r="BE42" s="89">
        <f>IF(BE$35-$C42&gt;$D$32,$H$30-SUM($E42:BD42),$H$30/$D$32)</f>
        <v>1.0078228962794993</v>
      </c>
      <c r="BF42" s="89">
        <f>IF(BF$35-$C42&gt;$D$32,$H$30-SUM($E42:BE42),$H$30/$D$32)</f>
        <v>1.0078228962794993</v>
      </c>
      <c r="BG42" s="89">
        <f>IF(BG$35-$C42&gt;$D$32,$H$30-SUM($E42:BF42),$H$30/$D$32)</f>
        <v>0</v>
      </c>
      <c r="BH42" s="89">
        <f>IF(BH$35-$C42&gt;$D$32,$H$30-SUM($E42:BG42),$H$30/$D$32)</f>
        <v>0</v>
      </c>
      <c r="BI42" s="89">
        <f>IF(BI$35-$C42&gt;$D$32,$H$30-SUM($E42:BH42),$H$30/$D$32)</f>
        <v>0</v>
      </c>
      <c r="BJ42" s="89">
        <f>IF(BJ$35-$C42&gt;$D$32,$H$30-SUM($E42:BI42),$H$30/$D$32)</f>
        <v>0</v>
      </c>
      <c r="BK42" s="89">
        <f>IF(BK$35-$C42&gt;$D$32,$H$30-SUM($E42:BJ42),$H$30/$D$32)</f>
        <v>0</v>
      </c>
      <c r="BL42" s="89">
        <f>IF(BL$35-$C42&gt;$D$32,$H$30-SUM($E42:BK42),$H$30/$D$32)</f>
        <v>0</v>
      </c>
      <c r="BM42" s="89">
        <f>IF(BM$35-$C42&gt;$D$32,$H$30-SUM($E42:BL42),$H$30/$D$32)</f>
        <v>0</v>
      </c>
      <c r="BN42" s="89">
        <f>IF(BN$35-$C42&gt;$D$32,$H$30-SUM($E42:BM42),$H$30/$D$32)</f>
        <v>0</v>
      </c>
      <c r="BO42" s="89">
        <f>IF(BO$35-$C42&gt;$D$32,$H$30-SUM($E42:BN42),$H$30/$D$32)</f>
        <v>0</v>
      </c>
      <c r="BP42" s="89">
        <f>IF(BP$35-$C42&gt;$D$32,$H$30-SUM($E42:BO42),$H$30/$D$32)</f>
        <v>0</v>
      </c>
      <c r="BQ42" s="89">
        <f>IF(BQ$35-$C42&gt;$D$32,$H$30-SUM($E42:BP42),$H$30/$D$32)</f>
        <v>0</v>
      </c>
      <c r="BR42" s="88">
        <f t="shared" si="3"/>
        <v>50.391144813974968</v>
      </c>
      <c r="BS42" s="89" t="b">
        <f>BR42=H30</f>
        <v>1</v>
      </c>
    </row>
    <row r="43" spans="2:89" ht="14.4" x14ac:dyDescent="0.3">
      <c r="B43" s="83" t="s">
        <v>165</v>
      </c>
      <c r="C43" s="83">
        <v>6</v>
      </c>
      <c r="J43" s="98">
        <f>IF(J$35-$C43&gt;$D$32,$I$30-SUM($E43:I43),$I$30/$D$32)</f>
        <v>0</v>
      </c>
      <c r="K43" s="89">
        <f>IF(K$35-$C43&gt;$D$32,$I$30-SUM($E43:J43),$I$30/$D$32)</f>
        <v>0</v>
      </c>
      <c r="L43" s="89">
        <f>IF(L$35-$C43&gt;$D$32,$I$30-SUM($E43:K43),$I$30/$D$32)</f>
        <v>0</v>
      </c>
      <c r="M43" s="89">
        <f>IF(M$35-$C43&gt;$D$32,$I$30-SUM($E43:L43),$I$30/$D$32)</f>
        <v>0</v>
      </c>
      <c r="N43" s="89">
        <f>IF(N$35-$C43&gt;$D$32,$I$30-SUM($E43:M43),$I$30/$D$32)</f>
        <v>0</v>
      </c>
      <c r="O43" s="89">
        <f>IF(O$35-$C43&gt;$D$32,$I$30-SUM($E43:N43),$I$30/$D$32)</f>
        <v>0</v>
      </c>
      <c r="P43" s="89">
        <f>IF(P$35-$C43&gt;$D$32,$I$30-SUM($E43:O43),$I$30/$D$32)</f>
        <v>0</v>
      </c>
      <c r="Q43" s="89">
        <f>IF(Q$35-$C43&gt;$D$32,$I$30-SUM($E43:P43),$I$30/$D$32)</f>
        <v>0</v>
      </c>
      <c r="R43" s="89">
        <f>IF(R$35-$C43&gt;$D$32,$I$30-SUM($E43:Q43),$I$30/$D$32)</f>
        <v>0</v>
      </c>
      <c r="S43" s="89">
        <f>IF(S$35-$C43&gt;$D$32,$I$30-SUM($E43:R43),$I$30/$D$32)</f>
        <v>0</v>
      </c>
      <c r="T43" s="89">
        <f>IF(T$35-$C43&gt;$D$32,$I$30-SUM($E43:S43),$I$30/$D$32)</f>
        <v>0</v>
      </c>
      <c r="U43" s="89">
        <f>IF(U$35-$C43&gt;$D$32,$I$30-SUM($E43:T43),$I$30/$D$32)</f>
        <v>0</v>
      </c>
      <c r="V43" s="89">
        <f>IF(V$35-$C43&gt;$D$32,$I$30-SUM($E43:U43),$I$30/$D$32)</f>
        <v>0</v>
      </c>
      <c r="W43" s="89">
        <f>IF(W$35-$C43&gt;$D$32,$I$30-SUM($E43:V43),$I$30/$D$32)</f>
        <v>0</v>
      </c>
      <c r="X43" s="89">
        <f>IF(X$35-$C43&gt;$D$32,$I$30-SUM($E43:W43),$I$30/$D$32)</f>
        <v>0</v>
      </c>
      <c r="Y43" s="89">
        <f>IF(Y$35-$C43&gt;$D$32,$I$30-SUM($E43:X43),$I$30/$D$32)</f>
        <v>0</v>
      </c>
      <c r="Z43" s="89">
        <f>IF(Z$35-$C43&gt;$D$32,$I$30-SUM($E43:Y43),$I$30/$D$32)</f>
        <v>0</v>
      </c>
      <c r="AA43" s="89">
        <f>IF(AA$35-$C43&gt;$D$32,$I$30-SUM($E43:Z43),$I$30/$D$32)</f>
        <v>0</v>
      </c>
      <c r="AB43" s="89">
        <f>IF(AB$35-$C43&gt;$D$32,$I$30-SUM($E43:AA43),$I$30/$D$32)</f>
        <v>0</v>
      </c>
      <c r="AC43" s="89">
        <f>IF(AC$35-$C43&gt;$D$32,$I$30-SUM($E43:AB43),$I$30/$D$32)</f>
        <v>0</v>
      </c>
      <c r="AD43" s="89">
        <f>IF(AD$35-$C43&gt;$D$32,$I$30-SUM($E43:AC43),$I$30/$D$32)</f>
        <v>0</v>
      </c>
      <c r="AE43" s="89">
        <f>IF(AE$35-$C43&gt;$D$32,$I$30-SUM($E43:AD43),$I$30/$D$32)</f>
        <v>0</v>
      </c>
      <c r="AF43" s="89">
        <f>IF(AF$35-$C43&gt;$D$32,$I$30-SUM($E43:AE43),$I$30/$D$32)</f>
        <v>0</v>
      </c>
      <c r="AG43" s="89">
        <f>IF(AG$35-$C43&gt;$D$32,$I$30-SUM($E43:AF43),$I$30/$D$32)</f>
        <v>0</v>
      </c>
      <c r="AH43" s="89">
        <f>IF(AH$35-$C43&gt;$D$32,$I$30-SUM($E43:AG43),$I$30/$D$32)</f>
        <v>0</v>
      </c>
      <c r="AI43" s="89">
        <f>IF(AI$35-$C43&gt;$D$32,$I$30-SUM($E43:AH43),$I$30/$D$32)</f>
        <v>0</v>
      </c>
      <c r="AJ43" s="89">
        <f>IF(AJ$35-$C43&gt;$D$32,$I$30-SUM($E43:AI43),$I$30/$D$32)</f>
        <v>0</v>
      </c>
      <c r="AK43" s="89">
        <f>IF(AK$35-$C43&gt;$D$32,$I$30-SUM($E43:AJ43),$I$30/$D$32)</f>
        <v>0</v>
      </c>
      <c r="AL43" s="89">
        <f>IF(AL$35-$C43&gt;$D$32,$I$30-SUM($E43:AK43),$I$30/$D$32)</f>
        <v>0</v>
      </c>
      <c r="AM43" s="89">
        <f>IF(AM$35-$C43&gt;$D$32,$I$30-SUM($E43:AL43),$I$30/$D$32)</f>
        <v>0</v>
      </c>
      <c r="AN43" s="89">
        <f>IF(AN$35-$C43&gt;$D$32,$I$30-SUM($E43:AM43),$I$30/$D$32)</f>
        <v>0</v>
      </c>
      <c r="AO43" s="89">
        <f>IF(AO$35-$C43&gt;$D$32,$I$30-SUM($E43:AN43),$I$30/$D$32)</f>
        <v>0</v>
      </c>
      <c r="AP43" s="89">
        <f>IF(AP$35-$C43&gt;$D$32,$I$30-SUM($E43:AO43),$I$30/$D$32)</f>
        <v>0</v>
      </c>
      <c r="AQ43" s="89">
        <f>IF(AQ$35-$C43&gt;$D$32,$I$30-SUM($E43:AP43),$I$30/$D$32)</f>
        <v>0</v>
      </c>
      <c r="AR43" s="89">
        <f>IF(AR$35-$C43&gt;$D$32,$I$30-SUM($E43:AQ43),$I$30/$D$32)</f>
        <v>0</v>
      </c>
      <c r="AS43" s="89">
        <f>IF(AS$35-$C43&gt;$D$32,$I$30-SUM($E43:AR43),$I$30/$D$32)</f>
        <v>0</v>
      </c>
      <c r="AT43" s="89">
        <f>IF(AT$35-$C43&gt;$D$32,$I$30-SUM($E43:AS43),$I$30/$D$32)</f>
        <v>0</v>
      </c>
      <c r="AU43" s="89">
        <f>IF(AU$35-$C43&gt;$D$32,$I$30-SUM($E43:AT43),$I$30/$D$32)</f>
        <v>0</v>
      </c>
      <c r="AV43" s="89">
        <f>IF(AV$35-$C43&gt;$D$32,$I$30-SUM($E43:AU43),$I$30/$D$32)</f>
        <v>0</v>
      </c>
      <c r="AW43" s="89">
        <f>IF(AW$35-$C43&gt;$D$32,$I$30-SUM($E43:AV43),$I$30/$D$32)</f>
        <v>0</v>
      </c>
      <c r="AX43" s="89">
        <f>IF(AX$35-$C43&gt;$D$32,$I$30-SUM($E43:AW43),$I$30/$D$32)</f>
        <v>0</v>
      </c>
      <c r="AY43" s="89">
        <f>IF(AY$35-$C43&gt;$D$32,$I$30-SUM($E43:AX43),$I$30/$D$32)</f>
        <v>0</v>
      </c>
      <c r="AZ43" s="89">
        <f>IF(AZ$35-$C43&gt;$D$32,$I$30-SUM($E43:AY43),$I$30/$D$32)</f>
        <v>0</v>
      </c>
      <c r="BA43" s="89">
        <f>IF(BA$35-$C43&gt;$D$32,$I$30-SUM($E43:AZ43),$I$30/$D$32)</f>
        <v>0</v>
      </c>
      <c r="BB43" s="89">
        <f>IF(BB$35-$C43&gt;$D$32,$I$30-SUM($E43:BA43),$I$30/$D$32)</f>
        <v>0</v>
      </c>
      <c r="BC43" s="89">
        <f>IF(BC$35-$C43&gt;$D$32,$I$30-SUM($E43:BB43),$I$30/$D$32)</f>
        <v>0</v>
      </c>
      <c r="BD43" s="89">
        <f>IF(BD$35-$C43&gt;$D$32,$I$30-SUM($E43:BC43),$I$30/$D$32)</f>
        <v>0</v>
      </c>
      <c r="BE43" s="89">
        <f>IF(BE$35-$C43&gt;$D$32,$I$30-SUM($E43:BD43),$I$30/$D$32)</f>
        <v>0</v>
      </c>
      <c r="BF43" s="89">
        <f>IF(BF$35-$C43&gt;$D$32,$I$30-SUM($E43:BE43),$I$30/$D$32)</f>
        <v>0</v>
      </c>
      <c r="BG43" s="89">
        <f>IF(BG$35-$C43&gt;$D$32,$I$30-SUM($E43:BF43),$I$30/$D$32)</f>
        <v>0</v>
      </c>
      <c r="BH43" s="89">
        <f>IF(BH$35-$C43&gt;$D$32,$I$30-SUM($E43:BG43),$I$30/$D$32)</f>
        <v>0</v>
      </c>
      <c r="BI43" s="89">
        <f>IF(BI$35-$C43&gt;$D$32,$I$30-SUM($E43:BH43),$I$30/$D$32)</f>
        <v>0</v>
      </c>
      <c r="BJ43" s="89">
        <f>IF(BJ$35-$C43&gt;$D$32,$I$30-SUM($E43:BI43),$I$30/$D$32)</f>
        <v>0</v>
      </c>
      <c r="BK43" s="89">
        <f>IF(BK$35-$C43&gt;$D$32,$I$30-SUM($E43:BJ43),$I$30/$D$32)</f>
        <v>0</v>
      </c>
      <c r="BL43" s="89">
        <f>IF(BL$35-$C43&gt;$D$32,$I$30-SUM($E43:BK43),$I$30/$D$32)</f>
        <v>0</v>
      </c>
      <c r="BM43" s="89">
        <f>IF(BM$35-$C43&gt;$D$32,$I$30-SUM($E43:BL43),$I$30/$D$32)</f>
        <v>0</v>
      </c>
      <c r="BN43" s="89">
        <f>IF(BN$35-$C43&gt;$D$32,$I$30-SUM($E43:BM43),$I$30/$D$32)</f>
        <v>0</v>
      </c>
      <c r="BO43" s="89">
        <f>IF(BO$35-$C43&gt;$D$32,$I$30-SUM($E43:BN43),$I$30/$D$32)</f>
        <v>0</v>
      </c>
      <c r="BP43" s="89">
        <f>IF(BP$35-$C43&gt;$D$32,$I$30-SUM($E43:BO43),$I$30/$D$32)</f>
        <v>0</v>
      </c>
      <c r="BQ43" s="89">
        <f>IF(BQ$35-$C43&gt;$D$32,$I$30-SUM($E43:BP43),$I$30/$D$32)</f>
        <v>0</v>
      </c>
      <c r="BR43" s="88">
        <f t="shared" si="3"/>
        <v>0</v>
      </c>
      <c r="BS43" s="89" t="b">
        <f>BR43=I30</f>
        <v>1</v>
      </c>
    </row>
    <row r="45" spans="2:89" x14ac:dyDescent="0.25">
      <c r="B45" s="83" t="s">
        <v>108</v>
      </c>
    </row>
    <row r="47" spans="2:89" x14ac:dyDescent="0.25">
      <c r="B47" s="82" t="s">
        <v>167</v>
      </c>
      <c r="C47" s="82"/>
      <c r="D47" s="90">
        <f t="shared" ref="D47:AI47" si="4">SUM(D37:D45)</f>
        <v>0</v>
      </c>
      <c r="E47" s="90">
        <f t="shared" si="4"/>
        <v>0</v>
      </c>
      <c r="F47" s="90">
        <f t="shared" si="4"/>
        <v>0</v>
      </c>
      <c r="G47" s="90">
        <f t="shared" si="4"/>
        <v>0</v>
      </c>
      <c r="H47" s="90">
        <f t="shared" si="4"/>
        <v>0.97061157604569859</v>
      </c>
      <c r="I47" s="90">
        <f t="shared" si="4"/>
        <v>1.9784344723251979</v>
      </c>
      <c r="J47" s="90">
        <f t="shared" si="4"/>
        <v>1.9784344723251979</v>
      </c>
      <c r="K47" s="90">
        <f t="shared" si="4"/>
        <v>1.9784344723251979</v>
      </c>
      <c r="L47" s="90">
        <f t="shared" si="4"/>
        <v>1.9784344723251979</v>
      </c>
      <c r="M47" s="90">
        <f t="shared" si="4"/>
        <v>1.9784344723251979</v>
      </c>
      <c r="N47" s="90">
        <f t="shared" si="4"/>
        <v>1.9784344723251979</v>
      </c>
      <c r="O47" s="90">
        <f t="shared" si="4"/>
        <v>1.9784344723251979</v>
      </c>
      <c r="P47" s="90">
        <f t="shared" si="4"/>
        <v>1.9784344723251979</v>
      </c>
      <c r="Q47" s="90">
        <f t="shared" si="4"/>
        <v>1.9784344723251979</v>
      </c>
      <c r="R47" s="90">
        <f t="shared" si="4"/>
        <v>1.9784344723251979</v>
      </c>
      <c r="S47" s="90">
        <f t="shared" si="4"/>
        <v>1.9784344723251979</v>
      </c>
      <c r="T47" s="90">
        <f t="shared" si="4"/>
        <v>1.9784344723251979</v>
      </c>
      <c r="U47" s="90">
        <f t="shared" si="4"/>
        <v>1.9784344723251979</v>
      </c>
      <c r="V47" s="90">
        <f t="shared" si="4"/>
        <v>1.9784344723251979</v>
      </c>
      <c r="W47" s="90">
        <f t="shared" si="4"/>
        <v>1.9784344723251979</v>
      </c>
      <c r="X47" s="90">
        <f t="shared" si="4"/>
        <v>1.9784344723251979</v>
      </c>
      <c r="Y47" s="90">
        <f t="shared" si="4"/>
        <v>1.9784344723251979</v>
      </c>
      <c r="Z47" s="90">
        <f t="shared" si="4"/>
        <v>1.9784344723251979</v>
      </c>
      <c r="AA47" s="90">
        <f t="shared" si="4"/>
        <v>1.9784344723251979</v>
      </c>
      <c r="AB47" s="90">
        <f t="shared" si="4"/>
        <v>1.9784344723251979</v>
      </c>
      <c r="AC47" s="90">
        <f t="shared" si="4"/>
        <v>1.9784344723251979</v>
      </c>
      <c r="AD47" s="90">
        <f t="shared" si="4"/>
        <v>1.9784344723251979</v>
      </c>
      <c r="AE47" s="90">
        <f t="shared" si="4"/>
        <v>1.9784344723251979</v>
      </c>
      <c r="AF47" s="90">
        <f t="shared" si="4"/>
        <v>1.9784344723251979</v>
      </c>
      <c r="AG47" s="90">
        <f t="shared" si="4"/>
        <v>1.9784344723251979</v>
      </c>
      <c r="AH47" s="90">
        <f t="shared" si="4"/>
        <v>1.9784344723251979</v>
      </c>
      <c r="AI47" s="90">
        <f t="shared" si="4"/>
        <v>1.9784344723251979</v>
      </c>
      <c r="AJ47" s="90">
        <f t="shared" ref="AJ47:BR47" si="5">SUM(AJ37:AJ45)</f>
        <v>1.9784344723251979</v>
      </c>
      <c r="AK47" s="90">
        <f t="shared" si="5"/>
        <v>1.9784344723251979</v>
      </c>
      <c r="AL47" s="90">
        <f t="shared" si="5"/>
        <v>1.9784344723251979</v>
      </c>
      <c r="AM47" s="90">
        <f t="shared" si="5"/>
        <v>1.9784344723251979</v>
      </c>
      <c r="AN47" s="90">
        <f t="shared" si="5"/>
        <v>1.9784344723251979</v>
      </c>
      <c r="AO47" s="90">
        <f t="shared" si="5"/>
        <v>1.9784344723251979</v>
      </c>
      <c r="AP47" s="90">
        <f t="shared" si="5"/>
        <v>1.9784344723251979</v>
      </c>
      <c r="AQ47" s="90">
        <f t="shared" si="5"/>
        <v>1.9784344723251979</v>
      </c>
      <c r="AR47" s="90">
        <f t="shared" si="5"/>
        <v>1.9784344723251979</v>
      </c>
      <c r="AS47" s="90">
        <f t="shared" si="5"/>
        <v>1.9784344723251979</v>
      </c>
      <c r="AT47" s="90">
        <f t="shared" si="5"/>
        <v>1.9784344723251979</v>
      </c>
      <c r="AU47" s="90">
        <f t="shared" si="5"/>
        <v>1.9784344723251979</v>
      </c>
      <c r="AV47" s="90">
        <f t="shared" si="5"/>
        <v>1.9784344723251979</v>
      </c>
      <c r="AW47" s="90">
        <f t="shared" si="5"/>
        <v>1.9784344723251979</v>
      </c>
      <c r="AX47" s="90">
        <f t="shared" si="5"/>
        <v>1.9784344723251979</v>
      </c>
      <c r="AY47" s="90">
        <f t="shared" si="5"/>
        <v>1.9784344723251979</v>
      </c>
      <c r="AZ47" s="90">
        <f t="shared" si="5"/>
        <v>1.9784344723251979</v>
      </c>
      <c r="BA47" s="90">
        <f t="shared" si="5"/>
        <v>1.9784344723251979</v>
      </c>
      <c r="BB47" s="90">
        <f t="shared" si="5"/>
        <v>1.9784344723251979</v>
      </c>
      <c r="BC47" s="90">
        <f t="shared" si="5"/>
        <v>1.9784344723251979</v>
      </c>
      <c r="BD47" s="90">
        <f t="shared" si="5"/>
        <v>1.9784344723251979</v>
      </c>
      <c r="BE47" s="90">
        <f t="shared" si="5"/>
        <v>1.9784344723251979</v>
      </c>
      <c r="BF47" s="90">
        <f t="shared" si="5"/>
        <v>1.0078228962795135</v>
      </c>
      <c r="BG47" s="90">
        <f t="shared" si="5"/>
        <v>0</v>
      </c>
      <c r="BH47" s="90">
        <f t="shared" si="5"/>
        <v>0</v>
      </c>
      <c r="BI47" s="90">
        <f t="shared" si="5"/>
        <v>0</v>
      </c>
      <c r="BJ47" s="90">
        <f t="shared" si="5"/>
        <v>0</v>
      </c>
      <c r="BK47" s="90">
        <f t="shared" si="5"/>
        <v>0</v>
      </c>
      <c r="BL47" s="90">
        <f t="shared" si="5"/>
        <v>0</v>
      </c>
      <c r="BM47" s="90">
        <f t="shared" si="5"/>
        <v>0</v>
      </c>
      <c r="BN47" s="90">
        <f t="shared" si="5"/>
        <v>0</v>
      </c>
      <c r="BO47" s="90">
        <f t="shared" si="5"/>
        <v>0</v>
      </c>
      <c r="BP47" s="90">
        <f t="shared" si="5"/>
        <v>0</v>
      </c>
      <c r="BQ47" s="90">
        <f t="shared" si="5"/>
        <v>0</v>
      </c>
      <c r="BR47" s="90">
        <f t="shared" si="5"/>
        <v>98.921723616259897</v>
      </c>
    </row>
    <row r="50" spans="2:71" x14ac:dyDescent="0.25">
      <c r="B50" s="82" t="s">
        <v>193</v>
      </c>
    </row>
    <row r="51" spans="2:71" x14ac:dyDescent="0.25">
      <c r="B51" s="83" t="s">
        <v>157</v>
      </c>
    </row>
    <row r="52" spans="2:71" x14ac:dyDescent="0.25">
      <c r="B52" s="83" t="s">
        <v>166</v>
      </c>
      <c r="D52" s="84" t="s">
        <v>66</v>
      </c>
      <c r="E52" s="84" t="s">
        <v>66</v>
      </c>
      <c r="F52" s="84" t="s">
        <v>100</v>
      </c>
      <c r="G52" s="84" t="s">
        <v>100</v>
      </c>
      <c r="H52" s="84" t="s">
        <v>100</v>
      </c>
    </row>
    <row r="53" spans="2:71" x14ac:dyDescent="0.25">
      <c r="D53" s="84">
        <v>2016</v>
      </c>
      <c r="E53" s="84">
        <v>2017</v>
      </c>
      <c r="F53" s="84">
        <v>2018</v>
      </c>
      <c r="G53" s="84">
        <v>2019</v>
      </c>
      <c r="H53" s="84">
        <v>2020</v>
      </c>
      <c r="I53" s="83" t="s">
        <v>42</v>
      </c>
    </row>
    <row r="54" spans="2:71" x14ac:dyDescent="0.25">
      <c r="B54" s="100" t="s">
        <v>85</v>
      </c>
      <c r="D54" s="91"/>
      <c r="E54" s="91"/>
      <c r="F54" s="91"/>
      <c r="G54" s="91"/>
      <c r="H54" s="91"/>
      <c r="I54" s="91"/>
    </row>
    <row r="56" spans="2:71" x14ac:dyDescent="0.25">
      <c r="B56" s="83" t="s">
        <v>101</v>
      </c>
      <c r="D56" s="85">
        <v>10</v>
      </c>
    </row>
    <row r="58" spans="2:71" x14ac:dyDescent="0.25">
      <c r="B58" s="82" t="s">
        <v>159</v>
      </c>
      <c r="C58" s="82"/>
    </row>
    <row r="59" spans="2:71" x14ac:dyDescent="0.25">
      <c r="D59" s="84">
        <v>1</v>
      </c>
      <c r="E59" s="84">
        <v>2</v>
      </c>
      <c r="F59" s="84">
        <v>3</v>
      </c>
      <c r="G59" s="84">
        <v>4</v>
      </c>
      <c r="H59" s="84">
        <v>5</v>
      </c>
      <c r="I59" s="84">
        <v>6</v>
      </c>
      <c r="J59" s="96">
        <v>7</v>
      </c>
      <c r="K59" s="84">
        <v>8</v>
      </c>
      <c r="L59" s="84">
        <v>9</v>
      </c>
      <c r="M59" s="84">
        <v>10</v>
      </c>
      <c r="N59" s="84">
        <v>11</v>
      </c>
      <c r="O59" s="84">
        <v>12</v>
      </c>
      <c r="P59" s="84">
        <v>13</v>
      </c>
      <c r="Q59" s="84">
        <v>14</v>
      </c>
      <c r="R59" s="84">
        <v>15</v>
      </c>
      <c r="S59" s="84">
        <v>16</v>
      </c>
      <c r="T59" s="84">
        <v>17</v>
      </c>
      <c r="U59" s="84">
        <v>18</v>
      </c>
      <c r="V59" s="84">
        <v>19</v>
      </c>
      <c r="W59" s="84">
        <v>20</v>
      </c>
      <c r="X59" s="84">
        <v>21</v>
      </c>
      <c r="Y59" s="84">
        <v>22</v>
      </c>
      <c r="Z59" s="84">
        <v>23</v>
      </c>
      <c r="AA59" s="84">
        <v>24</v>
      </c>
      <c r="AB59" s="84">
        <v>25</v>
      </c>
      <c r="AC59" s="84">
        <v>26</v>
      </c>
      <c r="AD59" s="84">
        <v>27</v>
      </c>
      <c r="AE59" s="84">
        <v>28</v>
      </c>
      <c r="AF59" s="84">
        <v>29</v>
      </c>
      <c r="AG59" s="84">
        <v>30</v>
      </c>
      <c r="AH59" s="84">
        <v>31</v>
      </c>
      <c r="AI59" s="84">
        <v>32</v>
      </c>
      <c r="AJ59" s="84">
        <v>33</v>
      </c>
      <c r="AK59" s="84">
        <v>34</v>
      </c>
      <c r="AL59" s="84">
        <v>35</v>
      </c>
      <c r="AM59" s="84">
        <v>36</v>
      </c>
      <c r="AN59" s="84">
        <v>37</v>
      </c>
      <c r="AO59" s="84">
        <v>38</v>
      </c>
      <c r="AP59" s="84">
        <v>39</v>
      </c>
      <c r="AQ59" s="84">
        <v>40</v>
      </c>
      <c r="AR59" s="84">
        <v>41</v>
      </c>
      <c r="AS59" s="84">
        <v>42</v>
      </c>
      <c r="AT59" s="84">
        <v>43</v>
      </c>
      <c r="AU59" s="84">
        <v>44</v>
      </c>
      <c r="AV59" s="84">
        <v>45</v>
      </c>
      <c r="AW59" s="84">
        <v>46</v>
      </c>
      <c r="AX59" s="84">
        <v>47</v>
      </c>
      <c r="AY59" s="84">
        <v>48</v>
      </c>
      <c r="AZ59" s="84">
        <v>49</v>
      </c>
      <c r="BA59" s="84">
        <v>50</v>
      </c>
      <c r="BB59" s="84">
        <v>51</v>
      </c>
      <c r="BC59" s="84">
        <v>52</v>
      </c>
      <c r="BD59" s="84">
        <v>53</v>
      </c>
      <c r="BE59" s="84">
        <v>54</v>
      </c>
      <c r="BF59" s="84">
        <v>55</v>
      </c>
      <c r="BG59" s="84">
        <v>56</v>
      </c>
      <c r="BH59" s="84">
        <v>57</v>
      </c>
      <c r="BI59" s="84">
        <v>58</v>
      </c>
      <c r="BJ59" s="84">
        <v>59</v>
      </c>
      <c r="BK59" s="84">
        <v>60</v>
      </c>
      <c r="BL59" s="84">
        <v>61</v>
      </c>
      <c r="BM59" s="84">
        <v>62</v>
      </c>
      <c r="BN59" s="84">
        <v>63</v>
      </c>
      <c r="BO59" s="84">
        <v>64</v>
      </c>
      <c r="BP59" s="84">
        <v>65</v>
      </c>
      <c r="BQ59" s="84">
        <v>66</v>
      </c>
    </row>
    <row r="60" spans="2:71" x14ac:dyDescent="0.25">
      <c r="B60" s="86" t="str">
        <f>B54</f>
        <v>SCADA/Network control</v>
      </c>
      <c r="C60" s="82"/>
      <c r="D60" s="84">
        <v>2016</v>
      </c>
      <c r="E60" s="84">
        <v>2017</v>
      </c>
      <c r="F60" s="84">
        <v>2018</v>
      </c>
      <c r="G60" s="84">
        <v>2019</v>
      </c>
      <c r="H60" s="84">
        <v>2020</v>
      </c>
      <c r="I60" s="84" t="s">
        <v>42</v>
      </c>
      <c r="J60" s="96" t="s">
        <v>63</v>
      </c>
      <c r="K60" s="84" t="s">
        <v>64</v>
      </c>
      <c r="L60" s="84" t="s">
        <v>65</v>
      </c>
      <c r="M60" s="84" t="s">
        <v>46</v>
      </c>
      <c r="N60" s="84" t="s">
        <v>47</v>
      </c>
      <c r="O60" s="84" t="s">
        <v>68</v>
      </c>
      <c r="P60" s="84" t="s">
        <v>156</v>
      </c>
      <c r="Q60" s="84" t="s">
        <v>155</v>
      </c>
      <c r="R60" s="84" t="s">
        <v>154</v>
      </c>
      <c r="S60" s="84" t="s">
        <v>153</v>
      </c>
      <c r="T60" s="84" t="s">
        <v>152</v>
      </c>
      <c r="U60" s="84" t="s">
        <v>151</v>
      </c>
      <c r="V60" s="84" t="s">
        <v>150</v>
      </c>
      <c r="W60" s="84" t="s">
        <v>149</v>
      </c>
      <c r="X60" s="84" t="s">
        <v>148</v>
      </c>
      <c r="Y60" s="84" t="s">
        <v>147</v>
      </c>
      <c r="Z60" s="84" t="s">
        <v>146</v>
      </c>
      <c r="AA60" s="84" t="s">
        <v>145</v>
      </c>
      <c r="AB60" s="84" t="s">
        <v>144</v>
      </c>
      <c r="AC60" s="84" t="s">
        <v>143</v>
      </c>
      <c r="AD60" s="84" t="s">
        <v>142</v>
      </c>
      <c r="AE60" s="84" t="s">
        <v>141</v>
      </c>
      <c r="AF60" s="84" t="s">
        <v>140</v>
      </c>
      <c r="AG60" s="84" t="s">
        <v>139</v>
      </c>
      <c r="AH60" s="84" t="s">
        <v>138</v>
      </c>
      <c r="AI60" s="84" t="s">
        <v>137</v>
      </c>
      <c r="AJ60" s="84" t="s">
        <v>136</v>
      </c>
      <c r="AK60" s="84" t="s">
        <v>135</v>
      </c>
      <c r="AL60" s="84" t="s">
        <v>134</v>
      </c>
      <c r="AM60" s="84" t="s">
        <v>133</v>
      </c>
      <c r="AN60" s="84" t="s">
        <v>132</v>
      </c>
      <c r="AO60" s="84" t="s">
        <v>131</v>
      </c>
      <c r="AP60" s="84" t="s">
        <v>130</v>
      </c>
      <c r="AQ60" s="84" t="s">
        <v>129</v>
      </c>
      <c r="AR60" s="84" t="s">
        <v>128</v>
      </c>
      <c r="AS60" s="84" t="s">
        <v>127</v>
      </c>
      <c r="AT60" s="84" t="s">
        <v>126</v>
      </c>
      <c r="AU60" s="84" t="s">
        <v>125</v>
      </c>
      <c r="AV60" s="84" t="s">
        <v>124</v>
      </c>
      <c r="AW60" s="84" t="s">
        <v>123</v>
      </c>
      <c r="AX60" s="84" t="s">
        <v>122</v>
      </c>
      <c r="AY60" s="84" t="s">
        <v>121</v>
      </c>
      <c r="AZ60" s="84" t="s">
        <v>120</v>
      </c>
      <c r="BA60" s="84" t="s">
        <v>119</v>
      </c>
      <c r="BB60" s="84" t="s">
        <v>118</v>
      </c>
      <c r="BC60" s="84" t="s">
        <v>117</v>
      </c>
      <c r="BD60" s="84" t="s">
        <v>116</v>
      </c>
      <c r="BE60" s="84" t="s">
        <v>115</v>
      </c>
      <c r="BF60" s="84" t="s">
        <v>114</v>
      </c>
      <c r="BG60" s="84" t="s">
        <v>113</v>
      </c>
      <c r="BH60" s="84" t="s">
        <v>112</v>
      </c>
      <c r="BI60" s="84" t="s">
        <v>111</v>
      </c>
      <c r="BJ60" s="84" t="s">
        <v>110</v>
      </c>
      <c r="BK60" s="84" t="s">
        <v>109</v>
      </c>
      <c r="BL60" s="84" t="s">
        <v>102</v>
      </c>
      <c r="BM60" s="84" t="s">
        <v>103</v>
      </c>
      <c r="BN60" s="84" t="s">
        <v>104</v>
      </c>
      <c r="BO60" s="84" t="s">
        <v>105</v>
      </c>
      <c r="BP60" s="84" t="s">
        <v>106</v>
      </c>
      <c r="BQ60" s="84" t="s">
        <v>107</v>
      </c>
      <c r="BR60" s="84" t="s">
        <v>10</v>
      </c>
      <c r="BS60" s="84"/>
    </row>
    <row r="61" spans="2:71" ht="14.4" x14ac:dyDescent="0.3">
      <c r="B61" s="83" t="s">
        <v>158</v>
      </c>
      <c r="D61" s="87"/>
      <c r="E61" s="87"/>
      <c r="F61" s="87"/>
      <c r="G61" s="87"/>
      <c r="H61" s="87"/>
      <c r="I61" s="87"/>
      <c r="J61" s="9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R61" s="88">
        <f t="shared" ref="BR61:BR67" si="6">SUM(D61:BQ61)</f>
        <v>0</v>
      </c>
      <c r="BS61" s="85"/>
    </row>
    <row r="62" spans="2:71" ht="14.4" x14ac:dyDescent="0.3">
      <c r="B62" s="83" t="s">
        <v>160</v>
      </c>
      <c r="C62" s="83">
        <v>1</v>
      </c>
      <c r="E62" s="89">
        <f>IF(E$59-$C62&gt;$D$56,$D$54-SUM(D62:$E62),$D$54/$D$56)</f>
        <v>0</v>
      </c>
      <c r="F62" s="89">
        <f>IF(F$59-$C62&gt;$D$56,$D$54-SUM(E62:$E62),$D$54/$D$56)</f>
        <v>0</v>
      </c>
      <c r="G62" s="89">
        <f>IF(G$59-$C62&gt;$D$56,$D$54-SUM($E62:F62),$D$54/$D$56)</f>
        <v>0</v>
      </c>
      <c r="H62" s="89">
        <f>IF(H$59-$C62&gt;$D$56,$D$54-SUM($E62:G62),$D$54/$D$56)</f>
        <v>0</v>
      </c>
      <c r="I62" s="89">
        <f>IF(I$59-$C62&gt;$D$56,$D$54-SUM($E62:H62),$D$54/$D$56)</f>
        <v>0</v>
      </c>
      <c r="J62" s="98">
        <f>IF(J$59-$C62&gt;$D$56,$D$54-SUM($E62:I62),$D$54/$D$56)</f>
        <v>0</v>
      </c>
      <c r="K62" s="89">
        <f>IF(K$59-$C62&gt;$D$56,$D$54-SUM($E62:J62),$D$54/$D$56)</f>
        <v>0</v>
      </c>
      <c r="L62" s="89">
        <f>IF(L$59-$C62&gt;$D$56,$D$54-SUM($E62:K62),$D$54/$D$56)</f>
        <v>0</v>
      </c>
      <c r="M62" s="89">
        <f>IF(M$59-$C62&gt;$D$56,$D$54-SUM($E62:L62),$D$54/$D$56)</f>
        <v>0</v>
      </c>
      <c r="N62" s="89">
        <f>IF(N$59-$C62&gt;$D$56,$D$54-SUM($E62:M62),$D$54/$D$56)</f>
        <v>0</v>
      </c>
      <c r="O62" s="89">
        <f>IF(O$59-$C62&gt;$D$56,$D$54-SUM($E62:N62),$D$54/$D$56)</f>
        <v>0</v>
      </c>
      <c r="P62" s="89">
        <f>IF(P$59-$C62&gt;$D$56,$D$54-SUM($E62:O62),$D$54/$D$56)</f>
        <v>0</v>
      </c>
      <c r="Q62" s="89">
        <f>IF(Q$59-$C62&gt;$D$56,$D$54-SUM($E62:P62),$D$54/$D$56)</f>
        <v>0</v>
      </c>
      <c r="R62" s="89">
        <f>IF(R$59-$C62&gt;$D$56,$D$54-SUM($E62:Q62),$D$54/$D$56)</f>
        <v>0</v>
      </c>
      <c r="S62" s="89">
        <f>IF(S$59-$C62&gt;$D$56,$D$54-SUM($E62:R62),$D$54/$D$56)</f>
        <v>0</v>
      </c>
      <c r="T62" s="89">
        <f>IF(T$59-$C62&gt;$D$56,$D$54-SUM($E62:S62),$D$54/$D$56)</f>
        <v>0</v>
      </c>
      <c r="U62" s="89">
        <f>IF(U$59-$C62&gt;$D$56,$D$54-SUM($E62:T62),$D$54/$D$56)</f>
        <v>0</v>
      </c>
      <c r="V62" s="89">
        <f>IF(V$59-$C62&gt;$D$56,$D$54-SUM($E62:U62),$D$54/$D$56)</f>
        <v>0</v>
      </c>
      <c r="W62" s="89">
        <f>IF(W$59-$C62&gt;$D$56,$D$54-SUM($E62:V62),$D$54/$D$56)</f>
        <v>0</v>
      </c>
      <c r="X62" s="89">
        <f>IF(X$59-$C62&gt;$D$56,$D$54-SUM($E62:W62),$D$54/$D$56)</f>
        <v>0</v>
      </c>
      <c r="Y62" s="89">
        <f>IF(Y$59-$C62&gt;$D$56,$D$54-SUM($E62:X62),$D$54/$D$56)</f>
        <v>0</v>
      </c>
      <c r="Z62" s="89">
        <f>IF(Z$59-$C62&gt;$D$56,$D$54-SUM($E62:Y62),$D$54/$D$56)</f>
        <v>0</v>
      </c>
      <c r="AA62" s="89">
        <f>IF(AA$59-$C62&gt;$D$56,$D$54-SUM($E62:Z62),$D$54/$D$56)</f>
        <v>0</v>
      </c>
      <c r="AB62" s="89">
        <f>IF(AB$59-$C62&gt;$D$56,$D$54-SUM($E62:AA62),$D$54/$D$56)</f>
        <v>0</v>
      </c>
      <c r="AC62" s="89">
        <f>IF(AC$59-$C62&gt;$D$56,$D$54-SUM($E62:AB62),$D$54/$D$56)</f>
        <v>0</v>
      </c>
      <c r="AD62" s="89">
        <f>IF(AD$59-$C62&gt;$D$56,$D$54-SUM($E62:AC62),$D$54/$D$56)</f>
        <v>0</v>
      </c>
      <c r="AE62" s="89">
        <f>IF(AE$59-$C62&gt;$D$56,$D$54-SUM($E62:AD62),$D$54/$D$56)</f>
        <v>0</v>
      </c>
      <c r="AF62" s="89">
        <f>IF(AF$59-$C62&gt;$D$56,$D$54-SUM($E62:AE62),$D$54/$D$56)</f>
        <v>0</v>
      </c>
      <c r="AG62" s="89">
        <f>IF(AG$59-$C62&gt;$D$56,$D$54-SUM($E62:AF62),$D$54/$D$56)</f>
        <v>0</v>
      </c>
      <c r="AH62" s="89">
        <f>IF(AH$59-$C62&gt;$D$56,$D$54-SUM($E62:AG62),$D$54/$D$56)</f>
        <v>0</v>
      </c>
      <c r="AI62" s="89">
        <f>IF(AI$59-$C62&gt;$D$56,$D$54-SUM($E62:AH62),$D$54/$D$56)</f>
        <v>0</v>
      </c>
      <c r="AJ62" s="89">
        <f>IF(AJ$59-$C62&gt;$D$56,$D$54-SUM($E62:AI62),$D$54/$D$56)</f>
        <v>0</v>
      </c>
      <c r="AK62" s="89">
        <f>IF(AK$59-$C62&gt;$D$56,$D$54-SUM($E62:AJ62),$D$54/$D$56)</f>
        <v>0</v>
      </c>
      <c r="AL62" s="89">
        <f>IF(AL$59-$C62&gt;$D$56,$D$54-SUM($E62:AK62),$D$54/$D$56)</f>
        <v>0</v>
      </c>
      <c r="AM62" s="89">
        <f>IF(AM$59-$C62&gt;$D$56,$D$54-SUM($E62:AL62),$D$54/$D$56)</f>
        <v>0</v>
      </c>
      <c r="AN62" s="89">
        <f>IF(AN$59-$C62&gt;$D$56,$D$54-SUM($E62:AM62),$D$54/$D$56)</f>
        <v>0</v>
      </c>
      <c r="AO62" s="89">
        <f>IF(AO$59-$C62&gt;$D$56,$D$54-SUM($E62:AN62),$D$54/$D$56)</f>
        <v>0</v>
      </c>
      <c r="AP62" s="89">
        <f>IF(AP$59-$C62&gt;$D$56,$D$54-SUM($E62:AO62),$D$54/$D$56)</f>
        <v>0</v>
      </c>
      <c r="AQ62" s="89">
        <f>IF(AQ$59-$C62&gt;$D$56,$D$54-SUM($E62:AP62),$D$54/$D$56)</f>
        <v>0</v>
      </c>
      <c r="AR62" s="89">
        <f>IF(AR$59-$C62&gt;$D$56,$D$54-SUM($E62:AQ62),$D$54/$D$56)</f>
        <v>0</v>
      </c>
      <c r="AS62" s="89">
        <f>IF(AS$59-$C62&gt;$D$56,$D$54-SUM($E62:AR62),$D$54/$D$56)</f>
        <v>0</v>
      </c>
      <c r="AT62" s="89">
        <f>IF(AT$59-$C62&gt;$D$56,$D$54-SUM($E62:AS62),$D$54/$D$56)</f>
        <v>0</v>
      </c>
      <c r="AU62" s="89">
        <f>IF(AU$59-$C62&gt;$D$56,$D$54-SUM($E62:AT62),$D$54/$D$56)</f>
        <v>0</v>
      </c>
      <c r="AV62" s="89">
        <f>IF(AV$59-$C62&gt;$D$56,$D$54-SUM($E62:AU62),$D$54/$D$56)</f>
        <v>0</v>
      </c>
      <c r="AW62" s="89">
        <f>IF(AW$59-$C62&gt;$D$56,$D$54-SUM($E62:AV62),$D$54/$D$56)</f>
        <v>0</v>
      </c>
      <c r="AX62" s="89">
        <f>IF(AX$59-$C62&gt;$D$56,$D$54-SUM($E62:AW62),$D$54/$D$56)</f>
        <v>0</v>
      </c>
      <c r="AY62" s="89">
        <f>IF(AY$59-$C62&gt;$D$56,$D$54-SUM($E62:AX62),$D$54/$D$56)</f>
        <v>0</v>
      </c>
      <c r="AZ62" s="89">
        <f>IF(AZ$59-$C62&gt;$D$56,$D$54-SUM($E62:AY62),$D$54/$D$56)</f>
        <v>0</v>
      </c>
      <c r="BA62" s="89">
        <f>IF(BA$59-$C62&gt;$D$56,$D$54-SUM($E62:AZ62),$D$54/$D$56)</f>
        <v>0</v>
      </c>
      <c r="BB62" s="89">
        <f>IF(BB$59-$C62&gt;$D$56,$D$54-SUM($E62:BA62),$D$54/$D$56)</f>
        <v>0</v>
      </c>
      <c r="BC62" s="89">
        <f>IF(BC$59-$C62&gt;$D$56,$D$54-SUM($E62:BB62),$D$54/$D$56)</f>
        <v>0</v>
      </c>
      <c r="BD62" s="89">
        <f>IF(BD$59-$C62&gt;$D$56,$D$54-SUM($E62:BC62),$D$54/$D$56)</f>
        <v>0</v>
      </c>
      <c r="BE62" s="89">
        <f>IF(BE$59-$C62&gt;$D$56,$D$54-SUM($E62:BD62),$D$54/$D$56)</f>
        <v>0</v>
      </c>
      <c r="BF62" s="89">
        <f>IF(BF$59-$C62&gt;$D$56,$D$54-SUM($E62:BE62),$D$54/$D$56)</f>
        <v>0</v>
      </c>
      <c r="BG62" s="89">
        <f>IF(BG$59-$C62&gt;$D$56,$D$54-SUM($E62:BF62),$D$54/$D$56)</f>
        <v>0</v>
      </c>
      <c r="BH62" s="89">
        <f>IF(BH$59-$C62&gt;$D$56,$D$54-SUM($E62:BG62),$D$54/$D$56)</f>
        <v>0</v>
      </c>
      <c r="BI62" s="89">
        <f>IF(BI$59-$C62&gt;$D$56,$D$54-SUM($E62:BH62),$D$54/$D$56)</f>
        <v>0</v>
      </c>
      <c r="BJ62" s="89">
        <f>IF(BJ$59-$C62&gt;$D$56,$D$54-SUM($E62:BI62),$D$54/$D$56)</f>
        <v>0</v>
      </c>
      <c r="BK62" s="89">
        <f>IF(BK$59-$C62&gt;$D$56,$D$54-SUM($E62:BJ62),$D$54/$D$56)</f>
        <v>0</v>
      </c>
      <c r="BL62" s="89">
        <f>IF(BL$59-$C62&gt;$D$56,$D$54-SUM($E62:BK62),$D$54/$D$56)</f>
        <v>0</v>
      </c>
      <c r="BM62" s="89">
        <f>IF(BM$59-$C62&gt;$D$56,$D$54-SUM($E62:BL62),$D$54/$D$56)</f>
        <v>0</v>
      </c>
      <c r="BN62" s="89">
        <f>IF(BN$59-$C62&gt;$D$56,$D$54-SUM($E62:BM62),$D$54/$D$56)</f>
        <v>0</v>
      </c>
      <c r="BO62" s="89">
        <f>IF(BO$59-$C62&gt;$D$56,$D$54-SUM($E62:BN62),$D$54/$D$56)</f>
        <v>0</v>
      </c>
      <c r="BP62" s="89">
        <f>IF(BP$59-$C62&gt;$D$56,$D$54-SUM($E62:BO62),$D$54/$D$56)</f>
        <v>0</v>
      </c>
      <c r="BR62" s="88">
        <f t="shared" si="6"/>
        <v>0</v>
      </c>
      <c r="BS62" s="83" t="b">
        <f>BR62=D54</f>
        <v>1</v>
      </c>
    </row>
    <row r="63" spans="2:71" ht="14.4" x14ac:dyDescent="0.3">
      <c r="B63" s="83" t="s">
        <v>161</v>
      </c>
      <c r="C63" s="83">
        <v>2</v>
      </c>
      <c r="F63" s="89">
        <f>IF(F$59-$C63&gt;$D$56,$E$54-SUM(E63:$E63),$E$54/$D$56)</f>
        <v>0</v>
      </c>
      <c r="G63" s="89">
        <f>IF(G$59-$C63&gt;$D$56,$E$54-SUM($E63:F63),$E$54/$D$56)</f>
        <v>0</v>
      </c>
      <c r="H63" s="89">
        <f>IF(H$59-$C63&gt;$D$56,$E$54-SUM($E63:G63),$E$54/$D$56)</f>
        <v>0</v>
      </c>
      <c r="I63" s="89">
        <f>IF(I$59-$C63&gt;$D$56,$E$54-SUM($E63:H63),$E$54/$D$56)</f>
        <v>0</v>
      </c>
      <c r="J63" s="98">
        <f>IF(J$59-$C63&gt;$D$56,$E$54-SUM($E63:I63),$E$54/$D$56)</f>
        <v>0</v>
      </c>
      <c r="K63" s="89">
        <f>IF(K$59-$C63&gt;$D$56,$E$54-SUM($E63:J63),$E$54/$D$56)</f>
        <v>0</v>
      </c>
      <c r="L63" s="89">
        <f>IF(L$59-$C63&gt;$D$56,$E$54-SUM($E63:K63),$E$54/$D$56)</f>
        <v>0</v>
      </c>
      <c r="M63" s="89">
        <f>IF(M$59-$C63&gt;$D$56,$E$54-SUM($E63:L63),$E$54/$D$56)</f>
        <v>0</v>
      </c>
      <c r="N63" s="89">
        <f>IF(N$59-$C63&gt;$D$56,$E$54-SUM($E63:M63),$E$54/$D$56)</f>
        <v>0</v>
      </c>
      <c r="O63" s="89">
        <f>IF(O$59-$C63&gt;$D$56,$E$54-SUM($E63:N63),$E$54/$D$56)</f>
        <v>0</v>
      </c>
      <c r="P63" s="89">
        <f>IF(P$59-$C63&gt;$D$56,$E$54-SUM($E63:O63),$E$54/$D$56)</f>
        <v>0</v>
      </c>
      <c r="Q63" s="89">
        <f>IF(Q$59-$C63&gt;$D$56,$E$54-SUM($E63:P63),$E$54/$D$56)</f>
        <v>0</v>
      </c>
      <c r="R63" s="89">
        <f>IF(R$59-$C63&gt;$D$56,$E$54-SUM($E63:Q63),$E$54/$D$56)</f>
        <v>0</v>
      </c>
      <c r="S63" s="89">
        <f>IF(S$59-$C63&gt;$D$56,$E$54-SUM($E63:R63),$E$54/$D$56)</f>
        <v>0</v>
      </c>
      <c r="T63" s="89">
        <f>IF(T$59-$C63&gt;$D$56,$E$54-SUM($E63:S63),$E$54/$D$56)</f>
        <v>0</v>
      </c>
      <c r="U63" s="89">
        <f>IF(U$59-$C63&gt;$D$56,$E$54-SUM($E63:T63),$E$54/$D$56)</f>
        <v>0</v>
      </c>
      <c r="V63" s="89">
        <f>IF(V$59-$C63&gt;$D$56,$E$54-SUM($E63:U63),$E$54/$D$56)</f>
        <v>0</v>
      </c>
      <c r="W63" s="89">
        <f>IF(W$59-$C63&gt;$D$56,$E$54-SUM($E63:V63),$E$54/$D$56)</f>
        <v>0</v>
      </c>
      <c r="X63" s="89">
        <f>IF(X$59-$C63&gt;$D$56,$E$54-SUM($E63:W63),$E$54/$D$56)</f>
        <v>0</v>
      </c>
      <c r="Y63" s="89">
        <f>IF(Y$59-$C63&gt;$D$56,$E$54-SUM($E63:X63),$E$54/$D$56)</f>
        <v>0</v>
      </c>
      <c r="Z63" s="89">
        <f>IF(Z$59-$C63&gt;$D$56,$E$54-SUM($E63:Y63),$E$54/$D$56)</f>
        <v>0</v>
      </c>
      <c r="AA63" s="89">
        <f>IF(AA$59-$C63&gt;$D$56,$E$54-SUM($E63:Z63),$E$54/$D$56)</f>
        <v>0</v>
      </c>
      <c r="AB63" s="89">
        <f>IF(AB$59-$C63&gt;$D$56,$E$54-SUM($E63:AA63),$E$54/$D$56)</f>
        <v>0</v>
      </c>
      <c r="AC63" s="89">
        <f>IF(AC$59-$C63&gt;$D$56,$E$54-SUM($E63:AB63),$E$54/$D$56)</f>
        <v>0</v>
      </c>
      <c r="AD63" s="89">
        <f>IF(AD$59-$C63&gt;$D$56,$E$54-SUM($E63:AC63),$E$54/$D$56)</f>
        <v>0</v>
      </c>
      <c r="AE63" s="89">
        <f>IF(AE$59-$C63&gt;$D$56,$E$54-SUM($E63:AD63),$E$54/$D$56)</f>
        <v>0</v>
      </c>
      <c r="AF63" s="89">
        <f>IF(AF$59-$C63&gt;$D$56,$E$54-SUM($E63:AE63),$E$54/$D$56)</f>
        <v>0</v>
      </c>
      <c r="AG63" s="89">
        <f>IF(AG$59-$C63&gt;$D$56,$E$54-SUM($E63:AF63),$E$54/$D$56)</f>
        <v>0</v>
      </c>
      <c r="AH63" s="89">
        <f>IF(AH$59-$C63&gt;$D$56,$E$54-SUM($E63:AG63),$E$54/$D$56)</f>
        <v>0</v>
      </c>
      <c r="AI63" s="89">
        <f>IF(AI$59-$C63&gt;$D$56,$E$54-SUM($E63:AH63),$E$54/$D$56)</f>
        <v>0</v>
      </c>
      <c r="AJ63" s="89">
        <f>IF(AJ$59-$C63&gt;$D$56,$E$54-SUM($E63:AI63),$E$54/$D$56)</f>
        <v>0</v>
      </c>
      <c r="AK63" s="89">
        <f>IF(AK$59-$C63&gt;$D$56,$E$54-SUM($E63:AJ63),$E$54/$D$56)</f>
        <v>0</v>
      </c>
      <c r="AL63" s="89">
        <f>IF(AL$59-$C63&gt;$D$56,$E$54-SUM($E63:AK63),$E$54/$D$56)</f>
        <v>0</v>
      </c>
      <c r="AM63" s="89">
        <f>IF(AM$59-$C63&gt;$D$56,$E$54-SUM($E63:AL63),$E$54/$D$56)</f>
        <v>0</v>
      </c>
      <c r="AN63" s="89">
        <f>IF(AN$59-$C63&gt;$D$56,$E$54-SUM($E63:AM63),$E$54/$D$56)</f>
        <v>0</v>
      </c>
      <c r="AO63" s="89">
        <f>IF(AO$59-$C63&gt;$D$56,$E$54-SUM($E63:AN63),$E$54/$D$56)</f>
        <v>0</v>
      </c>
      <c r="AP63" s="89">
        <f>IF(AP$59-$C63&gt;$D$56,$E$54-SUM($E63:AO63),$E$54/$D$56)</f>
        <v>0</v>
      </c>
      <c r="AQ63" s="89">
        <f>IF(AQ$59-$C63&gt;$D$56,$E$54-SUM($E63:AP63),$E$54/$D$56)</f>
        <v>0</v>
      </c>
      <c r="AR63" s="89">
        <f>IF(AR$59-$C63&gt;$D$56,$E$54-SUM($E63:AQ63),$E$54/$D$56)</f>
        <v>0</v>
      </c>
      <c r="AS63" s="89">
        <f>IF(AS$59-$C63&gt;$D$56,$E$54-SUM($E63:AR63),$E$54/$D$56)</f>
        <v>0</v>
      </c>
      <c r="AT63" s="89">
        <f>IF(AT$59-$C63&gt;$D$56,$E$54-SUM($E63:AS63),$E$54/$D$56)</f>
        <v>0</v>
      </c>
      <c r="AU63" s="89">
        <f>IF(AU$59-$C63&gt;$D$56,$E$54-SUM($E63:AT63),$E$54/$D$56)</f>
        <v>0</v>
      </c>
      <c r="AV63" s="89">
        <f>IF(AV$59-$C63&gt;$D$56,$E$54-SUM($E63:AU63),$E$54/$D$56)</f>
        <v>0</v>
      </c>
      <c r="AW63" s="89">
        <f>IF(AW$59-$C63&gt;$D$56,$E$54-SUM($E63:AV63),$E$54/$D$56)</f>
        <v>0</v>
      </c>
      <c r="AX63" s="89">
        <f>IF(AX$59-$C63&gt;$D$56,$E$54-SUM($E63:AW63),$E$54/$D$56)</f>
        <v>0</v>
      </c>
      <c r="AY63" s="89">
        <f>IF(AY$59-$C63&gt;$D$56,$E$54-SUM($E63:AX63),$E$54/$D$56)</f>
        <v>0</v>
      </c>
      <c r="AZ63" s="89">
        <f>IF(AZ$59-$C63&gt;$D$56,$E$54-SUM($E63:AY63),$E$54/$D$56)</f>
        <v>0</v>
      </c>
      <c r="BA63" s="89">
        <f>IF(BA$59-$C63&gt;$D$56,$E$54-SUM($E63:AZ63),$E$54/$D$56)</f>
        <v>0</v>
      </c>
      <c r="BB63" s="89">
        <f>IF(BB$59-$C63&gt;$D$56,$E$54-SUM($E63:BA63),$E$54/$D$56)</f>
        <v>0</v>
      </c>
      <c r="BC63" s="89">
        <f>IF(BC$59-$C63&gt;$D$56,$E$54-SUM($E63:BB63),$E$54/$D$56)</f>
        <v>0</v>
      </c>
      <c r="BD63" s="89">
        <f>IF(BD$59-$C63&gt;$D$56,$E$54-SUM($E63:BC63),$E$54/$D$56)</f>
        <v>0</v>
      </c>
      <c r="BE63" s="89">
        <f>IF(BE$59-$C63&gt;$D$56,$E$54-SUM($E63:BD63),$E$54/$D$56)</f>
        <v>0</v>
      </c>
      <c r="BF63" s="89">
        <f>IF(BF$59-$C63&gt;$D$56,$E$54-SUM($E63:BE63),$E$54/$D$56)</f>
        <v>0</v>
      </c>
      <c r="BG63" s="89">
        <f>IF(BG$59-$C63&gt;$D$56,$E$54-SUM($E63:BF63),$E$54/$D$56)</f>
        <v>0</v>
      </c>
      <c r="BH63" s="89">
        <f>IF(BH$59-$C63&gt;$D$56,$E$54-SUM($E63:BG63),$E$54/$D$56)</f>
        <v>0</v>
      </c>
      <c r="BI63" s="89">
        <f>IF(BI$59-$C63&gt;$D$56,$E$54-SUM($E63:BH63),$E$54/$D$56)</f>
        <v>0</v>
      </c>
      <c r="BJ63" s="89">
        <f>IF(BJ$59-$C63&gt;$D$56,$E$54-SUM($E63:BI63),$E$54/$D$56)</f>
        <v>0</v>
      </c>
      <c r="BK63" s="89">
        <f>IF(BK$59-$C63&gt;$D$56,$E$54-SUM($E63:BJ63),$E$54/$D$56)</f>
        <v>0</v>
      </c>
      <c r="BL63" s="89">
        <f>IF(BL$59-$C63&gt;$D$56,$E$54-SUM($E63:BK63),$E$54/$D$56)</f>
        <v>0</v>
      </c>
      <c r="BM63" s="89">
        <f>IF(BM$59-$C63&gt;$D$56,$E$54-SUM($E63:BL63),$E$54/$D$56)</f>
        <v>0</v>
      </c>
      <c r="BN63" s="89">
        <f>IF(BN$59-$C63&gt;$D$56,$E$54-SUM($E63:BM63),$E$54/$D$56)</f>
        <v>0</v>
      </c>
      <c r="BO63" s="89">
        <f>IF(BO$59-$C63&gt;$D$56,$E$54-SUM($E63:BN63),$E$54/$D$56)</f>
        <v>0</v>
      </c>
      <c r="BP63" s="89">
        <f>IF(BP$59-$C63&gt;$D$56,$E$54-SUM($E63:BO63),$E$54/$D$56)</f>
        <v>0</v>
      </c>
      <c r="BR63" s="88">
        <f t="shared" si="6"/>
        <v>0</v>
      </c>
      <c r="BS63" s="83" t="b">
        <f>BR63=E54</f>
        <v>1</v>
      </c>
    </row>
    <row r="64" spans="2:71" ht="14.4" x14ac:dyDescent="0.3">
      <c r="B64" s="83" t="s">
        <v>162</v>
      </c>
      <c r="C64" s="83">
        <v>3</v>
      </c>
      <c r="G64" s="89">
        <f>IF(G$59-$C64&gt;$D$56,$F$54-SUM($E64:F64),$F$54/$D$56)</f>
        <v>0</v>
      </c>
      <c r="H64" s="89">
        <f>IF(H$59-$C64&gt;$D$56,$F$54-SUM($E64:G64),$F$54/$D$56)</f>
        <v>0</v>
      </c>
      <c r="I64" s="89">
        <f>IF(I$59-$C64&gt;$D$56,$F$54-SUM($E64:H64),$F$54/$D$56)</f>
        <v>0</v>
      </c>
      <c r="J64" s="98">
        <f>IF(J$59-$C64&gt;$D$56,$F$54-SUM($E64:I64),$F$54/$D$56)</f>
        <v>0</v>
      </c>
      <c r="K64" s="89">
        <f>IF(K$59-$C64&gt;$D$56,$F$54-SUM($E64:J64),$F$54/$D$56)</f>
        <v>0</v>
      </c>
      <c r="L64" s="89">
        <f>IF(L$59-$C64&gt;$D$56,$F$54-SUM($E64:K64),$F$54/$D$56)</f>
        <v>0</v>
      </c>
      <c r="M64" s="89">
        <f>IF(M$59-$C64&gt;$D$56,$F$54-SUM($E64:L64),$F$54/$D$56)</f>
        <v>0</v>
      </c>
      <c r="N64" s="89">
        <f>IF(N$59-$C64&gt;$D$56,$F$54-SUM($E64:M64),$F$54/$D$56)</f>
        <v>0</v>
      </c>
      <c r="O64" s="89">
        <f>IF(O$59-$C64&gt;$D$56,$F$54-SUM($E64:N64),$F$54/$D$56)</f>
        <v>0</v>
      </c>
      <c r="P64" s="89">
        <f>IF(P$59-$C64&gt;$D$56,$F$54-SUM($E64:O64),$F$54/$D$56)</f>
        <v>0</v>
      </c>
      <c r="Q64" s="89">
        <f>IF(Q$59-$C64&gt;$D$56,$F$54-SUM($E64:P64),$F$54/$D$56)</f>
        <v>0</v>
      </c>
      <c r="R64" s="89">
        <f>IF(R$59-$C64&gt;$D$56,$F$54-SUM($E64:Q64),$F$54/$D$56)</f>
        <v>0</v>
      </c>
      <c r="S64" s="89">
        <f>IF(S$59-$C64&gt;$D$56,$F$54-SUM($E64:R64),$F$54/$D$56)</f>
        <v>0</v>
      </c>
      <c r="T64" s="89">
        <f>IF(T$59-$C64&gt;$D$56,$F$54-SUM($E64:S64),$F$54/$D$56)</f>
        <v>0</v>
      </c>
      <c r="U64" s="89">
        <f>IF(U$59-$C64&gt;$D$56,$F$54-SUM($E64:T64),$F$54/$D$56)</f>
        <v>0</v>
      </c>
      <c r="V64" s="89">
        <f>IF(V$59-$C64&gt;$D$56,$F$54-SUM($E64:U64),$F$54/$D$56)</f>
        <v>0</v>
      </c>
      <c r="W64" s="89">
        <f>IF(W$59-$C64&gt;$D$56,$F$54-SUM($E64:V64),$F$54/$D$56)</f>
        <v>0</v>
      </c>
      <c r="X64" s="89">
        <f>IF(X$59-$C64&gt;$D$56,$F$54-SUM($E64:W64),$F$54/$D$56)</f>
        <v>0</v>
      </c>
      <c r="Y64" s="89">
        <f>IF(Y$59-$C64&gt;$D$56,$F$54-SUM($E64:X64),$F$54/$D$56)</f>
        <v>0</v>
      </c>
      <c r="Z64" s="89">
        <f>IF(Z$59-$C64&gt;$D$56,$F$54-SUM($E64:Y64),$F$54/$D$56)</f>
        <v>0</v>
      </c>
      <c r="AA64" s="89">
        <f>IF(AA$59-$C64&gt;$D$56,$F$54-SUM($E64:Z64),$F$54/$D$56)</f>
        <v>0</v>
      </c>
      <c r="AB64" s="89">
        <f>IF(AB$59-$C64&gt;$D$56,$F$54-SUM($E64:AA64),$F$54/$D$56)</f>
        <v>0</v>
      </c>
      <c r="AC64" s="89">
        <f>IF(AC$59-$C64&gt;$D$56,$F$54-SUM($E64:AB64),$F$54/$D$56)</f>
        <v>0</v>
      </c>
      <c r="AD64" s="89">
        <f>IF(AD$59-$C64&gt;$D$56,$F$54-SUM($E64:AC64),$F$54/$D$56)</f>
        <v>0</v>
      </c>
      <c r="AE64" s="89">
        <f>IF(AE$59-$C64&gt;$D$56,$F$54-SUM($E64:AD64),$F$54/$D$56)</f>
        <v>0</v>
      </c>
      <c r="AF64" s="89">
        <f>IF(AF$59-$C64&gt;$D$56,$F$54-SUM($E64:AE64),$F$54/$D$56)</f>
        <v>0</v>
      </c>
      <c r="AG64" s="89">
        <f>IF(AG$59-$C64&gt;$D$56,$F$54-SUM($E64:AF64),$F$54/$D$56)</f>
        <v>0</v>
      </c>
      <c r="AH64" s="89">
        <f>IF(AH$59-$C64&gt;$D$56,$F$54-SUM($E64:AG64),$F$54/$D$56)</f>
        <v>0</v>
      </c>
      <c r="AI64" s="89">
        <f>IF(AI$59-$C64&gt;$D$56,$F$54-SUM($E64:AH64),$F$54/$D$56)</f>
        <v>0</v>
      </c>
      <c r="AJ64" s="89">
        <f>IF(AJ$59-$C64&gt;$D$56,$F$54-SUM($E64:AI64),$F$54/$D$56)</f>
        <v>0</v>
      </c>
      <c r="AK64" s="89">
        <f>IF(AK$59-$C64&gt;$D$56,$F$54-SUM($E64:AJ64),$F$54/$D$56)</f>
        <v>0</v>
      </c>
      <c r="AL64" s="89">
        <f>IF(AL$59-$C64&gt;$D$56,$F$54-SUM($E64:AK64),$F$54/$D$56)</f>
        <v>0</v>
      </c>
      <c r="AM64" s="89">
        <f>IF(AM$59-$C64&gt;$D$56,$F$54-SUM($E64:AL64),$F$54/$D$56)</f>
        <v>0</v>
      </c>
      <c r="AN64" s="89">
        <f>IF(AN$59-$C64&gt;$D$56,$F$54-SUM($E64:AM64),$F$54/$D$56)</f>
        <v>0</v>
      </c>
      <c r="AO64" s="89">
        <f>IF(AO$59-$C64&gt;$D$56,$F$54-SUM($E64:AN64),$F$54/$D$56)</f>
        <v>0</v>
      </c>
      <c r="AP64" s="89">
        <f>IF(AP$59-$C64&gt;$D$56,$F$54-SUM($E64:AO64),$F$54/$D$56)</f>
        <v>0</v>
      </c>
      <c r="AQ64" s="89">
        <f>IF(AQ$59-$C64&gt;$D$56,$F$54-SUM($E64:AP64),$F$54/$D$56)</f>
        <v>0</v>
      </c>
      <c r="AR64" s="89">
        <f>IF(AR$59-$C64&gt;$D$56,$F$54-SUM($E64:AQ64),$F$54/$D$56)</f>
        <v>0</v>
      </c>
      <c r="AS64" s="89">
        <f>IF(AS$59-$C64&gt;$D$56,$F$54-SUM($E64:AR64),$F$54/$D$56)</f>
        <v>0</v>
      </c>
      <c r="AT64" s="89">
        <f>IF(AT$59-$C64&gt;$D$56,$F$54-SUM($E64:AS64),$F$54/$D$56)</f>
        <v>0</v>
      </c>
      <c r="AU64" s="89">
        <f>IF(AU$59-$C64&gt;$D$56,$F$54-SUM($E64:AT64),$F$54/$D$56)</f>
        <v>0</v>
      </c>
      <c r="AV64" s="89">
        <f>IF(AV$59-$C64&gt;$D$56,$F$54-SUM($E64:AU64),$F$54/$D$56)</f>
        <v>0</v>
      </c>
      <c r="AW64" s="89">
        <f>IF(AW$59-$C64&gt;$D$56,$F$54-SUM($E64:AV64),$F$54/$D$56)</f>
        <v>0</v>
      </c>
      <c r="AX64" s="89">
        <f>IF(AX$59-$C64&gt;$D$56,$F$54-SUM($E64:AW64),$F$54/$D$56)</f>
        <v>0</v>
      </c>
      <c r="AY64" s="89">
        <f>IF(AY$59-$C64&gt;$D$56,$F$54-SUM($E64:AX64),$F$54/$D$56)</f>
        <v>0</v>
      </c>
      <c r="AZ64" s="89">
        <f>IF(AZ$59-$C64&gt;$D$56,$F$54-SUM($E64:AY64),$F$54/$D$56)</f>
        <v>0</v>
      </c>
      <c r="BA64" s="89">
        <f>IF(BA$59-$C64&gt;$D$56,$F$54-SUM($E64:AZ64),$F$54/$D$56)</f>
        <v>0</v>
      </c>
      <c r="BB64" s="89">
        <f>IF(BB$59-$C64&gt;$D$56,$F$54-SUM($E64:BA64),$F$54/$D$56)</f>
        <v>0</v>
      </c>
      <c r="BC64" s="89">
        <f>IF(BC$59-$C64&gt;$D$56,$F$54-SUM($E64:BB64),$F$54/$D$56)</f>
        <v>0</v>
      </c>
      <c r="BD64" s="89">
        <f>IF(BD$59-$C64&gt;$D$56,$F$54-SUM($E64:BC64),$F$54/$D$56)</f>
        <v>0</v>
      </c>
      <c r="BE64" s="89">
        <f>IF(BE$59-$C64&gt;$D$56,$F$54-SUM($E64:BD64),$F$54/$D$56)</f>
        <v>0</v>
      </c>
      <c r="BF64" s="89">
        <f>IF(BF$59-$C64&gt;$D$56,$F$54-SUM($E64:BE64),$F$54/$D$56)</f>
        <v>0</v>
      </c>
      <c r="BG64" s="89">
        <f>IF(BG$59-$C64&gt;$D$56,$F$54-SUM($E64:BF64),$F$54/$D$56)</f>
        <v>0</v>
      </c>
      <c r="BH64" s="89">
        <f>IF(BH$59-$C64&gt;$D$56,$F$54-SUM($E64:BG64),$F$54/$D$56)</f>
        <v>0</v>
      </c>
      <c r="BI64" s="89">
        <f>IF(BI$59-$C64&gt;$D$56,$F$54-SUM($E64:BH64),$F$54/$D$56)</f>
        <v>0</v>
      </c>
      <c r="BJ64" s="89">
        <f>IF(BJ$59-$C64&gt;$D$56,$F$54-SUM($E64:BI64),$F$54/$D$56)</f>
        <v>0</v>
      </c>
      <c r="BK64" s="89">
        <f>IF(BK$59-$C64&gt;$D$56,$F$54-SUM($E64:BJ64),$F$54/$D$56)</f>
        <v>0</v>
      </c>
      <c r="BL64" s="89">
        <f>IF(BL$59-$C64&gt;$D$56,$F$54-SUM($E64:BK64),$F$54/$D$56)</f>
        <v>0</v>
      </c>
      <c r="BM64" s="89">
        <f>IF(BM$59-$C64&gt;$D$56,$F$54-SUM($E64:BL64),$F$54/$D$56)</f>
        <v>0</v>
      </c>
      <c r="BN64" s="89">
        <f>IF(BN$59-$C64&gt;$D$56,$F$54-SUM($E64:BM64),$F$54/$D$56)</f>
        <v>0</v>
      </c>
      <c r="BO64" s="89">
        <f>IF(BO$59-$C64&gt;$D$56,$F$54-SUM($E64:BN64),$F$54/$D$56)</f>
        <v>0</v>
      </c>
      <c r="BP64" s="89">
        <f>IF(BP$59-$C64&gt;$D$56,$F$54-SUM($E64:BO64),$F$54/$D$56)</f>
        <v>0</v>
      </c>
      <c r="BR64" s="88">
        <f t="shared" si="6"/>
        <v>0</v>
      </c>
      <c r="BS64" s="83" t="b">
        <f>BR64=F54</f>
        <v>1</v>
      </c>
    </row>
    <row r="65" spans="2:71" ht="14.4" x14ac:dyDescent="0.3">
      <c r="B65" s="83" t="s">
        <v>163</v>
      </c>
      <c r="C65" s="83">
        <v>4</v>
      </c>
      <c r="H65" s="89">
        <f>IF(H$59-$C65&gt;$D$56,$G$54-SUM($E65:G65),$G$54/$D$56)</f>
        <v>0</v>
      </c>
      <c r="I65" s="89">
        <f>IF(I$59-$C65&gt;$D$56,$G$54-SUM($E65:H65),$G$54/$D$56)</f>
        <v>0</v>
      </c>
      <c r="J65" s="98">
        <f>IF(J$59-$C65&gt;$D$56,$G$54-SUM($E65:I65),$G$54/$D$56)</f>
        <v>0</v>
      </c>
      <c r="K65" s="89">
        <f>IF(K$59-$C65&gt;$D$56,$G$54-SUM($E65:J65),$G$54/$D$56)</f>
        <v>0</v>
      </c>
      <c r="L65" s="89">
        <f>IF(L$59-$C65&gt;$D$56,$G$54-SUM($E65:K65),$G$54/$D$56)</f>
        <v>0</v>
      </c>
      <c r="M65" s="89">
        <f>IF(M$59-$C65&gt;$D$56,$G$54-SUM($E65:L65),$G$54/$D$56)</f>
        <v>0</v>
      </c>
      <c r="N65" s="89">
        <f>IF(N$59-$C65&gt;$D$56,$G$54-SUM($E65:M65),$G$54/$D$56)</f>
        <v>0</v>
      </c>
      <c r="O65" s="89">
        <f>IF(O$59-$C65&gt;$D$56,$G$54-SUM($E65:N65),$G$54/$D$56)</f>
        <v>0</v>
      </c>
      <c r="P65" s="89">
        <f>IF(P$59-$C65&gt;$D$56,$G$54-SUM($E65:O65),$G$54/$D$56)</f>
        <v>0</v>
      </c>
      <c r="Q65" s="89">
        <f>IF(Q$59-$C65&gt;$D$56,$G$54-SUM($E65:P65),$G$54/$D$56)</f>
        <v>0</v>
      </c>
      <c r="R65" s="89">
        <f>IF(R$59-$C65&gt;$D$56,$G$54-SUM($E65:Q65),$G$54/$D$56)</f>
        <v>0</v>
      </c>
      <c r="S65" s="89">
        <f>IF(S$59-$C65&gt;$D$56,$G$54-SUM($E65:R65),$G$54/$D$56)</f>
        <v>0</v>
      </c>
      <c r="T65" s="89">
        <f>IF(T$59-$C65&gt;$D$56,$G$54-SUM($E65:S65),$G$54/$D$56)</f>
        <v>0</v>
      </c>
      <c r="U65" s="89">
        <f>IF(U$59-$C65&gt;$D$56,$G$54-SUM($E65:T65),$G$54/$D$56)</f>
        <v>0</v>
      </c>
      <c r="V65" s="89">
        <f>IF(V$59-$C65&gt;$D$56,$G$54-SUM($E65:U65),$G$54/$D$56)</f>
        <v>0</v>
      </c>
      <c r="W65" s="89">
        <f>IF(W$59-$C65&gt;$D$56,$G$54-SUM($E65:V65),$G$54/$D$56)</f>
        <v>0</v>
      </c>
      <c r="X65" s="89">
        <f>IF(X$59-$C65&gt;$D$56,$G$54-SUM($E65:W65),$G$54/$D$56)</f>
        <v>0</v>
      </c>
      <c r="Y65" s="89">
        <f>IF(Y$59-$C65&gt;$D$56,$G$54-SUM($E65:X65),$G$54/$D$56)</f>
        <v>0</v>
      </c>
      <c r="Z65" s="89">
        <f>IF(Z$59-$C65&gt;$D$56,$G$54-SUM($E65:Y65),$G$54/$D$56)</f>
        <v>0</v>
      </c>
      <c r="AA65" s="89">
        <f>IF(AA$59-$C65&gt;$D$56,$G$54-SUM($E65:Z65),$G$54/$D$56)</f>
        <v>0</v>
      </c>
      <c r="AB65" s="89">
        <f>IF(AB$59-$C65&gt;$D$56,$G$54-SUM($E65:AA65),$G$54/$D$56)</f>
        <v>0</v>
      </c>
      <c r="AC65" s="89">
        <f>IF(AC$59-$C65&gt;$D$56,$G$54-SUM($E65:AB65),$G$54/$D$56)</f>
        <v>0</v>
      </c>
      <c r="AD65" s="89">
        <f>IF(AD$59-$C65&gt;$D$56,$G$54-SUM($E65:AC65),$G$54/$D$56)</f>
        <v>0</v>
      </c>
      <c r="AE65" s="89">
        <f>IF(AE$59-$C65&gt;$D$56,$G$54-SUM($E65:AD65),$G$54/$D$56)</f>
        <v>0</v>
      </c>
      <c r="AF65" s="89">
        <f>IF(AF$59-$C65&gt;$D$56,$G$54-SUM($E65:AE65),$G$54/$D$56)</f>
        <v>0</v>
      </c>
      <c r="AG65" s="89">
        <f>IF(AG$59-$C65&gt;$D$56,$G$54-SUM($E65:AF65),$G$54/$D$56)</f>
        <v>0</v>
      </c>
      <c r="AH65" s="89">
        <f>IF(AH$59-$C65&gt;$D$56,$G$54-SUM($E65:AG65),$G$54/$D$56)</f>
        <v>0</v>
      </c>
      <c r="AI65" s="89">
        <f>IF(AI$59-$C65&gt;$D$56,$G$54-SUM($E65:AH65),$G$54/$D$56)</f>
        <v>0</v>
      </c>
      <c r="AJ65" s="89">
        <f>IF(AJ$59-$C65&gt;$D$56,$G$54-SUM($E65:AI65),$G$54/$D$56)</f>
        <v>0</v>
      </c>
      <c r="AK65" s="89">
        <f>IF(AK$59-$C65&gt;$D$56,$G$54-SUM($E65:AJ65),$G$54/$D$56)</f>
        <v>0</v>
      </c>
      <c r="AL65" s="89">
        <f>IF(AL$59-$C65&gt;$D$56,$G$54-SUM($E65:AK65),$G$54/$D$56)</f>
        <v>0</v>
      </c>
      <c r="AM65" s="89">
        <f>IF(AM$59-$C65&gt;$D$56,$G$54-SUM($E65:AL65),$G$54/$D$56)</f>
        <v>0</v>
      </c>
      <c r="AN65" s="89">
        <f>IF(AN$59-$C65&gt;$D$56,$G$54-SUM($E65:AM65),$G$54/$D$56)</f>
        <v>0</v>
      </c>
      <c r="AO65" s="89">
        <f>IF(AO$59-$C65&gt;$D$56,$G$54-SUM($E65:AN65),$G$54/$D$56)</f>
        <v>0</v>
      </c>
      <c r="AP65" s="89">
        <f>IF(AP$59-$C65&gt;$D$56,$G$54-SUM($E65:AO65),$G$54/$D$56)</f>
        <v>0</v>
      </c>
      <c r="AQ65" s="89">
        <f>IF(AQ$59-$C65&gt;$D$56,$G$54-SUM($E65:AP65),$G$54/$D$56)</f>
        <v>0</v>
      </c>
      <c r="AR65" s="89">
        <f>IF(AR$59-$C65&gt;$D$56,$G$54-SUM($E65:AQ65),$G$54/$D$56)</f>
        <v>0</v>
      </c>
      <c r="AS65" s="89">
        <f>IF(AS$59-$C65&gt;$D$56,$G$54-SUM($E65:AR65),$G$54/$D$56)</f>
        <v>0</v>
      </c>
      <c r="AT65" s="89">
        <f>IF(AT$59-$C65&gt;$D$56,$G$54-SUM($E65:AS65),$G$54/$D$56)</f>
        <v>0</v>
      </c>
      <c r="AU65" s="89">
        <f>IF(AU$59-$C65&gt;$D$56,$G$54-SUM($E65:AT65),$G$54/$D$56)</f>
        <v>0</v>
      </c>
      <c r="AV65" s="89">
        <f>IF(AV$59-$C65&gt;$D$56,$G$54-SUM($E65:AU65),$G$54/$D$56)</f>
        <v>0</v>
      </c>
      <c r="AW65" s="89">
        <f>IF(AW$59-$C65&gt;$D$56,$G$54-SUM($E65:AV65),$G$54/$D$56)</f>
        <v>0</v>
      </c>
      <c r="AX65" s="89">
        <f>IF(AX$59-$C65&gt;$D$56,$G$54-SUM($E65:AW65),$G$54/$D$56)</f>
        <v>0</v>
      </c>
      <c r="AY65" s="89">
        <f>IF(AY$59-$C65&gt;$D$56,$G$54-SUM($E65:AX65),$G$54/$D$56)</f>
        <v>0</v>
      </c>
      <c r="AZ65" s="89">
        <f>IF(AZ$59-$C65&gt;$D$56,$G$54-SUM($E65:AY65),$G$54/$D$56)</f>
        <v>0</v>
      </c>
      <c r="BA65" s="89">
        <f>IF(BA$59-$C65&gt;$D$56,$G$54-SUM($E65:AZ65),$G$54/$D$56)</f>
        <v>0</v>
      </c>
      <c r="BB65" s="89">
        <f>IF(BB$59-$C65&gt;$D$56,$G$54-SUM($E65:BA65),$G$54/$D$56)</f>
        <v>0</v>
      </c>
      <c r="BC65" s="89">
        <f>IF(BC$59-$C65&gt;$D$56,$G$54-SUM($E65:BB65),$G$54/$D$56)</f>
        <v>0</v>
      </c>
      <c r="BD65" s="89">
        <f>IF(BD$59-$C65&gt;$D$56,$G$54-SUM($E65:BC65),$G$54/$D$56)</f>
        <v>0</v>
      </c>
      <c r="BE65" s="89">
        <f>IF(BE$59-$C65&gt;$D$56,$G$54-SUM($E65:BD65),$G$54/$D$56)</f>
        <v>0</v>
      </c>
      <c r="BF65" s="89">
        <f>IF(BF$59-$C65&gt;$D$56,$G$54-SUM($E65:BE65),$G$54/$D$56)</f>
        <v>0</v>
      </c>
      <c r="BG65" s="89">
        <f>IF(BG$59-$C65&gt;$D$56,$G$54-SUM($E65:BF65),$G$54/$D$56)</f>
        <v>0</v>
      </c>
      <c r="BH65" s="89">
        <f>IF(BH$59-$C65&gt;$D$56,$G$54-SUM($E65:BG65),$G$54/$D$56)</f>
        <v>0</v>
      </c>
      <c r="BI65" s="89">
        <f>IF(BI$59-$C65&gt;$D$56,$G$54-SUM($E65:BH65),$G$54/$D$56)</f>
        <v>0</v>
      </c>
      <c r="BJ65" s="89">
        <f>IF(BJ$59-$C65&gt;$D$56,$G$54-SUM($E65:BI65),$G$54/$D$56)</f>
        <v>0</v>
      </c>
      <c r="BK65" s="89">
        <f>IF(BK$59-$C65&gt;$D$56,$G$54-SUM($E65:BJ65),$G$54/$D$56)</f>
        <v>0</v>
      </c>
      <c r="BL65" s="89">
        <f>IF(BL$59-$C65&gt;$D$56,$G$54-SUM($E65:BK65),$G$54/$D$56)</f>
        <v>0</v>
      </c>
      <c r="BM65" s="89">
        <f>IF(BM$59-$C65&gt;$D$56,$G$54-SUM($E65:BL65),$G$54/$D$56)</f>
        <v>0</v>
      </c>
      <c r="BN65" s="89">
        <f>IF(BN$59-$C65&gt;$D$56,$G$54-SUM($E65:BM65),$G$54/$D$56)</f>
        <v>0</v>
      </c>
      <c r="BO65" s="89">
        <f>IF(BO$59-$C65&gt;$D$56,$G$54-SUM($E65:BN65),$G$54/$D$56)</f>
        <v>0</v>
      </c>
      <c r="BP65" s="89">
        <f>IF(BP$59-$C65&gt;$D$56,$G$54-SUM($E65:BO65),$G$54/$D$56)</f>
        <v>0</v>
      </c>
      <c r="BR65" s="88">
        <f t="shared" si="6"/>
        <v>0</v>
      </c>
      <c r="BS65" s="83" t="b">
        <f>BR65=G54</f>
        <v>1</v>
      </c>
    </row>
    <row r="66" spans="2:71" ht="14.4" x14ac:dyDescent="0.3">
      <c r="B66" s="83" t="s">
        <v>164</v>
      </c>
      <c r="C66" s="83">
        <v>5</v>
      </c>
      <c r="I66" s="89">
        <f>IF(I$59-$C66&gt;$D$56,$H$54-SUM($E66:H66),$H$54/$D$56)</f>
        <v>0</v>
      </c>
      <c r="J66" s="98">
        <f>IF(J$59-$C66&gt;$D$56,$H$54-SUM($E66:I66),$H$54/$D$56)</f>
        <v>0</v>
      </c>
      <c r="K66" s="89">
        <f>IF(K$59-$C66&gt;$D$56,$H$54-SUM($E66:J66),$H$54/$D$56)</f>
        <v>0</v>
      </c>
      <c r="L66" s="89">
        <f>IF(L$59-$C66&gt;$D$56,$H$54-SUM($E66:K66),$H$54/$D$56)</f>
        <v>0</v>
      </c>
      <c r="M66" s="89">
        <f>IF(M$59-$C66&gt;$D$56,$H$54-SUM($E66:L66),$H$54/$D$56)</f>
        <v>0</v>
      </c>
      <c r="N66" s="89">
        <f>IF(N$59-$C66&gt;$D$56,$H$54-SUM($E66:M66),$H$54/$D$56)</f>
        <v>0</v>
      </c>
      <c r="O66" s="89">
        <f>IF(O$59-$C66&gt;$D$56,$H$54-SUM($E66:N66),$H$54/$D$56)</f>
        <v>0</v>
      </c>
      <c r="P66" s="89">
        <f>IF(P$59-$C66&gt;$D$56,$H$54-SUM($E66:O66),$H$54/$D$56)</f>
        <v>0</v>
      </c>
      <c r="Q66" s="89">
        <f>IF(Q$59-$C66&gt;$D$56,$H$54-SUM($E66:P66),$H$54/$D$56)</f>
        <v>0</v>
      </c>
      <c r="R66" s="89">
        <f>IF(R$59-$C66&gt;$D$56,$H$54-SUM($E66:Q66),$H$54/$D$56)</f>
        <v>0</v>
      </c>
      <c r="S66" s="89">
        <f>IF(S$59-$C66&gt;$D$56,$H$54-SUM($E66:R66),$H$54/$D$56)</f>
        <v>0</v>
      </c>
      <c r="T66" s="89">
        <f>IF(T$59-$C66&gt;$D$56,$H$54-SUM($E66:S66),$H$54/$D$56)</f>
        <v>0</v>
      </c>
      <c r="U66" s="89">
        <f>IF(U$59-$C66&gt;$D$56,$H$54-SUM($E66:T66),$H$54/$D$56)</f>
        <v>0</v>
      </c>
      <c r="V66" s="89">
        <f>IF(V$59-$C66&gt;$D$56,$H$54-SUM($E66:U66),$H$54/$D$56)</f>
        <v>0</v>
      </c>
      <c r="W66" s="89">
        <f>IF(W$59-$C66&gt;$D$56,$H$54-SUM($E66:V66),$H$54/$D$56)</f>
        <v>0</v>
      </c>
      <c r="X66" s="89">
        <f>IF(X$59-$C66&gt;$D$56,$H$54-SUM($E66:W66),$H$54/$D$56)</f>
        <v>0</v>
      </c>
      <c r="Y66" s="89">
        <f>IF(Y$59-$C66&gt;$D$56,$H$54-SUM($E66:X66),$H$54/$D$56)</f>
        <v>0</v>
      </c>
      <c r="Z66" s="89">
        <f>IF(Z$59-$C66&gt;$D$56,$H$54-SUM($E66:Y66),$H$54/$D$56)</f>
        <v>0</v>
      </c>
      <c r="AA66" s="89">
        <f>IF(AA$59-$C66&gt;$D$56,$H$54-SUM($E66:Z66),$H$54/$D$56)</f>
        <v>0</v>
      </c>
      <c r="AB66" s="89">
        <f>IF(AB$59-$C66&gt;$D$56,$H$54-SUM($E66:AA66),$H$54/$D$56)</f>
        <v>0</v>
      </c>
      <c r="AC66" s="89">
        <f>IF(AC$59-$C66&gt;$D$56,$H$54-SUM($E66:AB66),$H$54/$D$56)</f>
        <v>0</v>
      </c>
      <c r="AD66" s="89">
        <f>IF(AD$59-$C66&gt;$D$56,$H$54-SUM($E66:AC66),$H$54/$D$56)</f>
        <v>0</v>
      </c>
      <c r="AE66" s="89">
        <f>IF(AE$59-$C66&gt;$D$56,$H$54-SUM($E66:AD66),$H$54/$D$56)</f>
        <v>0</v>
      </c>
      <c r="AF66" s="89">
        <f>IF(AF$59-$C66&gt;$D$56,$H$54-SUM($E66:AE66),$H$54/$D$56)</f>
        <v>0</v>
      </c>
      <c r="AG66" s="89">
        <f>IF(AG$59-$C66&gt;$D$56,$H$54-SUM($E66:AF66),$H$54/$D$56)</f>
        <v>0</v>
      </c>
      <c r="AH66" s="89">
        <f>IF(AH$59-$C66&gt;$D$56,$H$54-SUM($E66:AG66),$H$54/$D$56)</f>
        <v>0</v>
      </c>
      <c r="AI66" s="89">
        <f>IF(AI$59-$C66&gt;$D$56,$H$54-SUM($E66:AH66),$H$54/$D$56)</f>
        <v>0</v>
      </c>
      <c r="AJ66" s="89">
        <f>IF(AJ$59-$C66&gt;$D$56,$H$54-SUM($E66:AI66),$H$54/$D$56)</f>
        <v>0</v>
      </c>
      <c r="AK66" s="89">
        <f>IF(AK$59-$C66&gt;$D$56,$H$54-SUM($E66:AJ66),$H$54/$D$56)</f>
        <v>0</v>
      </c>
      <c r="AL66" s="89">
        <f>IF(AL$59-$C66&gt;$D$56,$H$54-SUM($E66:AK66),$H$54/$D$56)</f>
        <v>0</v>
      </c>
      <c r="AM66" s="89">
        <f>IF(AM$59-$C66&gt;$D$56,$H$54-SUM($E66:AL66),$H$54/$D$56)</f>
        <v>0</v>
      </c>
      <c r="AN66" s="89">
        <f>IF(AN$59-$C66&gt;$D$56,$H$54-SUM($E66:AM66),$H$54/$D$56)</f>
        <v>0</v>
      </c>
      <c r="AO66" s="89">
        <f>IF(AO$59-$C66&gt;$D$56,$H$54-SUM($E66:AN66),$H$54/$D$56)</f>
        <v>0</v>
      </c>
      <c r="AP66" s="89">
        <f>IF(AP$59-$C66&gt;$D$56,$H$54-SUM($E66:AO66),$H$54/$D$56)</f>
        <v>0</v>
      </c>
      <c r="AQ66" s="89">
        <f>IF(AQ$59-$C66&gt;$D$56,$H$54-SUM($E66:AP66),$H$54/$D$56)</f>
        <v>0</v>
      </c>
      <c r="AR66" s="89">
        <f>IF(AR$59-$C66&gt;$D$56,$H$54-SUM($E66:AQ66),$H$54/$D$56)</f>
        <v>0</v>
      </c>
      <c r="AS66" s="89">
        <f>IF(AS$59-$C66&gt;$D$56,$H$54-SUM($E66:AR66),$H$54/$D$56)</f>
        <v>0</v>
      </c>
      <c r="AT66" s="89">
        <f>IF(AT$59-$C66&gt;$D$56,$H$54-SUM($E66:AS66),$H$54/$D$56)</f>
        <v>0</v>
      </c>
      <c r="AU66" s="89">
        <f>IF(AU$59-$C66&gt;$D$56,$H$54-SUM($E66:AT66),$H$54/$D$56)</f>
        <v>0</v>
      </c>
      <c r="AV66" s="89">
        <f>IF(AV$59-$C66&gt;$D$56,$H$54-SUM($E66:AU66),$H$54/$D$56)</f>
        <v>0</v>
      </c>
      <c r="AW66" s="89">
        <f>IF(AW$59-$C66&gt;$D$56,$H$54-SUM($E66:AV66),$H$54/$D$56)</f>
        <v>0</v>
      </c>
      <c r="AX66" s="89">
        <f>IF(AX$59-$C66&gt;$D$56,$H$54-SUM($E66:AW66),$H$54/$D$56)</f>
        <v>0</v>
      </c>
      <c r="AY66" s="89">
        <f>IF(AY$59-$C66&gt;$D$56,$H$54-SUM($E66:AX66),$H$54/$D$56)</f>
        <v>0</v>
      </c>
      <c r="AZ66" s="89">
        <f>IF(AZ$59-$C66&gt;$D$56,$H$54-SUM($E66:AY66),$H$54/$D$56)</f>
        <v>0</v>
      </c>
      <c r="BA66" s="89">
        <f>IF(BA$59-$C66&gt;$D$56,$H$54-SUM($E66:AZ66),$H$54/$D$56)</f>
        <v>0</v>
      </c>
      <c r="BB66" s="89">
        <f>IF(BB$59-$C66&gt;$D$56,$H$54-SUM($E66:BA66),$H$54/$D$56)</f>
        <v>0</v>
      </c>
      <c r="BC66" s="89">
        <f>IF(BC$59-$C66&gt;$D$56,$H$54-SUM($E66:BB66),$H$54/$D$56)</f>
        <v>0</v>
      </c>
      <c r="BD66" s="89">
        <f>IF(BD$59-$C66&gt;$D$56,$H$54-SUM($E66:BC66),$H$54/$D$56)</f>
        <v>0</v>
      </c>
      <c r="BE66" s="89">
        <f>IF(BE$59-$C66&gt;$D$56,$H$54-SUM($E66:BD66),$H$54/$D$56)</f>
        <v>0</v>
      </c>
      <c r="BF66" s="89">
        <f>IF(BF$59-$C66&gt;$D$56,$H$54-SUM($E66:BE66),$H$54/$D$56)</f>
        <v>0</v>
      </c>
      <c r="BG66" s="89">
        <f>IF(BG$59-$C66&gt;$D$56,$H$54-SUM($E66:BF66),$H$54/$D$56)</f>
        <v>0</v>
      </c>
      <c r="BH66" s="89">
        <f>IF(BH$59-$C66&gt;$D$56,$H$54-SUM($E66:BG66),$H$54/$D$56)</f>
        <v>0</v>
      </c>
      <c r="BI66" s="89">
        <f>IF(BI$59-$C66&gt;$D$56,$H$54-SUM($E66:BH66),$H$54/$D$56)</f>
        <v>0</v>
      </c>
      <c r="BJ66" s="89">
        <f>IF(BJ$59-$C66&gt;$D$56,$H$54-SUM($E66:BI66),$H$54/$D$56)</f>
        <v>0</v>
      </c>
      <c r="BK66" s="89">
        <f>IF(BK$59-$C66&gt;$D$56,$H$54-SUM($E66:BJ66),$H$54/$D$56)</f>
        <v>0</v>
      </c>
      <c r="BL66" s="89">
        <f>IF(BL$59-$C66&gt;$D$56,$H$54-SUM($E66:BK66),$H$54/$D$56)</f>
        <v>0</v>
      </c>
      <c r="BM66" s="89">
        <f>IF(BM$59-$C66&gt;$D$56,$H$54-SUM($E66:BL66),$H$54/$D$56)</f>
        <v>0</v>
      </c>
      <c r="BN66" s="89">
        <f>IF(BN$59-$C66&gt;$D$56,$H$54-SUM($E66:BM66),$H$54/$D$56)</f>
        <v>0</v>
      </c>
      <c r="BO66" s="89">
        <f>IF(BO$59-$C66&gt;$D$56,$H$54-SUM($E66:BN66),$H$54/$D$56)</f>
        <v>0</v>
      </c>
      <c r="BP66" s="89">
        <f>IF(BP$59-$C66&gt;$D$56,$H$54-SUM($E66:BO66),$H$54/$D$56)</f>
        <v>0</v>
      </c>
      <c r="BQ66" s="89">
        <f>IF(BQ$59-$C66&gt;$D$56,$H$54-SUM($E66:BP66),$H$54/$D$56)</f>
        <v>0</v>
      </c>
      <c r="BR66" s="88">
        <f t="shared" si="6"/>
        <v>0</v>
      </c>
      <c r="BS66" s="89" t="b">
        <f>BR66=H54</f>
        <v>1</v>
      </c>
    </row>
    <row r="67" spans="2:71" ht="14.4" x14ac:dyDescent="0.3">
      <c r="B67" s="83" t="s">
        <v>165</v>
      </c>
      <c r="C67" s="83">
        <v>6</v>
      </c>
      <c r="J67" s="98">
        <f>IF(J$59-$C67&gt;$D$56,$I$54-SUM($E67:I67),$I$54/$D$56)</f>
        <v>0</v>
      </c>
      <c r="K67" s="89">
        <f>IF(K$59-$C67&gt;$D$56,$I$54-SUM($E67:J67),$I$54/$D$56)</f>
        <v>0</v>
      </c>
      <c r="L67" s="89">
        <f>IF(L$59-$C67&gt;$D$56,$I$54-SUM($E67:K67),$I$54/$D$56)</f>
        <v>0</v>
      </c>
      <c r="M67" s="89">
        <f>IF(M$59-$C67&gt;$D$56,$I$54-SUM($E67:L67),$I$54/$D$56)</f>
        <v>0</v>
      </c>
      <c r="N67" s="89">
        <f>IF(N$59-$C67&gt;$D$56,$I$54-SUM($E67:M67),$I$54/$D$56)</f>
        <v>0</v>
      </c>
      <c r="O67" s="89">
        <f>IF(O$59-$C67&gt;$D$56,$I$54-SUM($E67:N67),$I$54/$D$56)</f>
        <v>0</v>
      </c>
      <c r="P67" s="89">
        <f>IF(P$59-$C67&gt;$D$56,$I$54-SUM($E67:O67),$I$54/$D$56)</f>
        <v>0</v>
      </c>
      <c r="Q67" s="89">
        <f>IF(Q$59-$C67&gt;$D$56,$I$54-SUM($E67:P67),$I$54/$D$56)</f>
        <v>0</v>
      </c>
      <c r="R67" s="89">
        <f>IF(R$59-$C67&gt;$D$56,$I$54-SUM($E67:Q67),$I$54/$D$56)</f>
        <v>0</v>
      </c>
      <c r="S67" s="89">
        <f>IF(S$59-$C67&gt;$D$56,$I$54-SUM($E67:R67),$I$54/$D$56)</f>
        <v>0</v>
      </c>
      <c r="T67" s="89">
        <f>IF(T$59-$C67&gt;$D$56,$I$54-SUM($E67:S67),$I$54/$D$56)</f>
        <v>0</v>
      </c>
      <c r="U67" s="89">
        <f>IF(U$59-$C67&gt;$D$56,$I$54-SUM($E67:T67),$I$54/$D$56)</f>
        <v>0</v>
      </c>
      <c r="V67" s="89">
        <f>IF(V$59-$C67&gt;$D$56,$I$54-SUM($E67:U67),$I$54/$D$56)</f>
        <v>0</v>
      </c>
      <c r="W67" s="89">
        <f>IF(W$59-$C67&gt;$D$56,$I$54-SUM($E67:V67),$I$54/$D$56)</f>
        <v>0</v>
      </c>
      <c r="X67" s="89">
        <f>IF(X$59-$C67&gt;$D$56,$I$54-SUM($E67:W67),$I$54/$D$56)</f>
        <v>0</v>
      </c>
      <c r="Y67" s="89">
        <f>IF(Y$59-$C67&gt;$D$56,$I$54-SUM($E67:X67),$I$54/$D$56)</f>
        <v>0</v>
      </c>
      <c r="Z67" s="89">
        <f>IF(Z$59-$C67&gt;$D$56,$I$54-SUM($E67:Y67),$I$54/$D$56)</f>
        <v>0</v>
      </c>
      <c r="AA67" s="89">
        <f>IF(AA$59-$C67&gt;$D$56,$I$54-SUM($E67:Z67),$I$54/$D$56)</f>
        <v>0</v>
      </c>
      <c r="AB67" s="89">
        <f>IF(AB$59-$C67&gt;$D$56,$I$54-SUM($E67:AA67),$I$54/$D$56)</f>
        <v>0</v>
      </c>
      <c r="AC67" s="89">
        <f>IF(AC$59-$C67&gt;$D$56,$I$54-SUM($E67:AB67),$I$54/$D$56)</f>
        <v>0</v>
      </c>
      <c r="AD67" s="89">
        <f>IF(AD$59-$C67&gt;$D$56,$I$54-SUM($E67:AC67),$I$54/$D$56)</f>
        <v>0</v>
      </c>
      <c r="AE67" s="89">
        <f>IF(AE$59-$C67&gt;$D$56,$I$54-SUM($E67:AD67),$I$54/$D$56)</f>
        <v>0</v>
      </c>
      <c r="AF67" s="89">
        <f>IF(AF$59-$C67&gt;$D$56,$I$54-SUM($E67:AE67),$I$54/$D$56)</f>
        <v>0</v>
      </c>
      <c r="AG67" s="89">
        <f>IF(AG$59-$C67&gt;$D$56,$I$54-SUM($E67:AF67),$I$54/$D$56)</f>
        <v>0</v>
      </c>
      <c r="AH67" s="89">
        <f>IF(AH$59-$C67&gt;$D$56,$I$54-SUM($E67:AG67),$I$54/$D$56)</f>
        <v>0</v>
      </c>
      <c r="AI67" s="89">
        <f>IF(AI$59-$C67&gt;$D$56,$I$54-SUM($E67:AH67),$I$54/$D$56)</f>
        <v>0</v>
      </c>
      <c r="AJ67" s="89">
        <f>IF(AJ$59-$C67&gt;$D$56,$I$54-SUM($E67:AI67),$I$54/$D$56)</f>
        <v>0</v>
      </c>
      <c r="AK67" s="89">
        <f>IF(AK$59-$C67&gt;$D$56,$I$54-SUM($E67:AJ67),$I$54/$D$56)</f>
        <v>0</v>
      </c>
      <c r="AL67" s="89">
        <f>IF(AL$59-$C67&gt;$D$56,$I$54-SUM($E67:AK67),$I$54/$D$56)</f>
        <v>0</v>
      </c>
      <c r="AM67" s="89">
        <f>IF(AM$59-$C67&gt;$D$56,$I$54-SUM($E67:AL67),$I$54/$D$56)</f>
        <v>0</v>
      </c>
      <c r="AN67" s="89">
        <f>IF(AN$59-$C67&gt;$D$56,$I$54-SUM($E67:AM67),$I$54/$D$56)</f>
        <v>0</v>
      </c>
      <c r="AO67" s="89">
        <f>IF(AO$59-$C67&gt;$D$56,$I$54-SUM($E67:AN67),$I$54/$D$56)</f>
        <v>0</v>
      </c>
      <c r="AP67" s="89">
        <f>IF(AP$59-$C67&gt;$D$56,$I$54-SUM($E67:AO67),$I$54/$D$56)</f>
        <v>0</v>
      </c>
      <c r="AQ67" s="89">
        <f>IF(AQ$59-$C67&gt;$D$56,$I$54-SUM($E67:AP67),$I$54/$D$56)</f>
        <v>0</v>
      </c>
      <c r="AR67" s="89">
        <f>IF(AR$59-$C67&gt;$D$56,$I$54-SUM($E67:AQ67),$I$54/$D$56)</f>
        <v>0</v>
      </c>
      <c r="AS67" s="89">
        <f>IF(AS$59-$C67&gt;$D$56,$I$54-SUM($E67:AR67),$I$54/$D$56)</f>
        <v>0</v>
      </c>
      <c r="AT67" s="89">
        <f>IF(AT$59-$C67&gt;$D$56,$I$54-SUM($E67:AS67),$I$54/$D$56)</f>
        <v>0</v>
      </c>
      <c r="AU67" s="89">
        <f>IF(AU$59-$C67&gt;$D$56,$I$54-SUM($E67:AT67),$I$54/$D$56)</f>
        <v>0</v>
      </c>
      <c r="AV67" s="89">
        <f>IF(AV$59-$C67&gt;$D$56,$I$54-SUM($E67:AU67),$I$54/$D$56)</f>
        <v>0</v>
      </c>
      <c r="AW67" s="89">
        <f>IF(AW$59-$C67&gt;$D$56,$I$54-SUM($E67:AV67),$I$54/$D$56)</f>
        <v>0</v>
      </c>
      <c r="AX67" s="89">
        <f>IF(AX$59-$C67&gt;$D$56,$I$54-SUM($E67:AW67),$I$54/$D$56)</f>
        <v>0</v>
      </c>
      <c r="AY67" s="89">
        <f>IF(AY$59-$C67&gt;$D$56,$I$54-SUM($E67:AX67),$I$54/$D$56)</f>
        <v>0</v>
      </c>
      <c r="AZ67" s="89">
        <f>IF(AZ$59-$C67&gt;$D$56,$I$54-SUM($E67:AY67),$I$54/$D$56)</f>
        <v>0</v>
      </c>
      <c r="BA67" s="89">
        <f>IF(BA$59-$C67&gt;$D$56,$I$54-SUM($E67:AZ67),$I$54/$D$56)</f>
        <v>0</v>
      </c>
      <c r="BB67" s="89">
        <f>IF(BB$59-$C67&gt;$D$56,$I$54-SUM($E67:BA67),$I$54/$D$56)</f>
        <v>0</v>
      </c>
      <c r="BC67" s="89">
        <f>IF(BC$59-$C67&gt;$D$56,$I$54-SUM($E67:BB67),$I$54/$D$56)</f>
        <v>0</v>
      </c>
      <c r="BD67" s="89">
        <f>IF(BD$59-$C67&gt;$D$56,$I$54-SUM($E67:BC67),$I$54/$D$56)</f>
        <v>0</v>
      </c>
      <c r="BE67" s="89">
        <f>IF(BE$59-$C67&gt;$D$56,$I$54-SUM($E67:BD67),$I$54/$D$56)</f>
        <v>0</v>
      </c>
      <c r="BF67" s="89">
        <f>IF(BF$59-$C67&gt;$D$56,$I$54-SUM($E67:BE67),$I$54/$D$56)</f>
        <v>0</v>
      </c>
      <c r="BG67" s="89">
        <f>IF(BG$59-$C67&gt;$D$56,$I$54-SUM($E67:BF67),$I$54/$D$56)</f>
        <v>0</v>
      </c>
      <c r="BH67" s="89">
        <f>IF(BH$59-$C67&gt;$D$56,$I$54-SUM($E67:BG67),$I$54/$D$56)</f>
        <v>0</v>
      </c>
      <c r="BI67" s="89">
        <f>IF(BI$59-$C67&gt;$D$56,$I$54-SUM($E67:BH67),$I$54/$D$56)</f>
        <v>0</v>
      </c>
      <c r="BJ67" s="89">
        <f>IF(BJ$59-$C67&gt;$D$56,$I$54-SUM($E67:BI67),$I$54/$D$56)</f>
        <v>0</v>
      </c>
      <c r="BK67" s="89">
        <f>IF(BK$59-$C67&gt;$D$56,$I$54-SUM($E67:BJ67),$I$54/$D$56)</f>
        <v>0</v>
      </c>
      <c r="BL67" s="89">
        <f>IF(BL$59-$C67&gt;$D$56,$I$54-SUM($E67:BK67),$I$54/$D$56)</f>
        <v>0</v>
      </c>
      <c r="BM67" s="89">
        <f>IF(BM$59-$C67&gt;$D$56,$I$54-SUM($E67:BL67),$I$54/$D$56)</f>
        <v>0</v>
      </c>
      <c r="BN67" s="89">
        <f>IF(BN$59-$C67&gt;$D$56,$I$54-SUM($E67:BM67),$I$54/$D$56)</f>
        <v>0</v>
      </c>
      <c r="BO67" s="89">
        <f>IF(BO$59-$C67&gt;$D$56,$I$54-SUM($E67:BN67),$I$54/$D$56)</f>
        <v>0</v>
      </c>
      <c r="BP67" s="89">
        <f>IF(BP$59-$C67&gt;$D$56,$I$54-SUM($E67:BO67),$I$54/$D$56)</f>
        <v>0</v>
      </c>
      <c r="BQ67" s="89">
        <f>IF(BQ$59-$C67&gt;$D$56,$I$54-SUM($E67:BP67),$I$54/$D$56)</f>
        <v>0</v>
      </c>
      <c r="BR67" s="88">
        <f t="shared" si="6"/>
        <v>0</v>
      </c>
      <c r="BS67" s="89" t="b">
        <f>BR67=I54</f>
        <v>1</v>
      </c>
    </row>
    <row r="69" spans="2:71" x14ac:dyDescent="0.25">
      <c r="B69" s="83" t="s">
        <v>108</v>
      </c>
    </row>
    <row r="71" spans="2:71" x14ac:dyDescent="0.25">
      <c r="B71" s="82" t="s">
        <v>167</v>
      </c>
      <c r="C71" s="82"/>
      <c r="D71" s="90">
        <f t="shared" ref="D71:AI71" si="7">SUM(D61:D69)</f>
        <v>0</v>
      </c>
      <c r="E71" s="90">
        <f t="shared" si="7"/>
        <v>0</v>
      </c>
      <c r="F71" s="90">
        <f t="shared" si="7"/>
        <v>0</v>
      </c>
      <c r="G71" s="90">
        <f t="shared" si="7"/>
        <v>0</v>
      </c>
      <c r="H71" s="90">
        <f t="shared" si="7"/>
        <v>0</v>
      </c>
      <c r="I71" s="90">
        <f t="shared" si="7"/>
        <v>0</v>
      </c>
      <c r="J71" s="90">
        <f t="shared" si="7"/>
        <v>0</v>
      </c>
      <c r="K71" s="90">
        <f t="shared" si="7"/>
        <v>0</v>
      </c>
      <c r="L71" s="90">
        <f t="shared" si="7"/>
        <v>0</v>
      </c>
      <c r="M71" s="90">
        <f t="shared" si="7"/>
        <v>0</v>
      </c>
      <c r="N71" s="90">
        <f t="shared" si="7"/>
        <v>0</v>
      </c>
      <c r="O71" s="90">
        <f t="shared" si="7"/>
        <v>0</v>
      </c>
      <c r="P71" s="90">
        <f t="shared" si="7"/>
        <v>0</v>
      </c>
      <c r="Q71" s="90">
        <f t="shared" si="7"/>
        <v>0</v>
      </c>
      <c r="R71" s="90">
        <f t="shared" si="7"/>
        <v>0</v>
      </c>
      <c r="S71" s="90">
        <f t="shared" si="7"/>
        <v>0</v>
      </c>
      <c r="T71" s="90">
        <f t="shared" si="7"/>
        <v>0</v>
      </c>
      <c r="U71" s="90">
        <f t="shared" si="7"/>
        <v>0</v>
      </c>
      <c r="V71" s="90">
        <f t="shared" si="7"/>
        <v>0</v>
      </c>
      <c r="W71" s="90">
        <f t="shared" si="7"/>
        <v>0</v>
      </c>
      <c r="X71" s="90">
        <f t="shared" si="7"/>
        <v>0</v>
      </c>
      <c r="Y71" s="90">
        <f t="shared" si="7"/>
        <v>0</v>
      </c>
      <c r="Z71" s="90">
        <f t="shared" si="7"/>
        <v>0</v>
      </c>
      <c r="AA71" s="90">
        <f t="shared" si="7"/>
        <v>0</v>
      </c>
      <c r="AB71" s="90">
        <f t="shared" si="7"/>
        <v>0</v>
      </c>
      <c r="AC71" s="90">
        <f t="shared" si="7"/>
        <v>0</v>
      </c>
      <c r="AD71" s="90">
        <f t="shared" si="7"/>
        <v>0</v>
      </c>
      <c r="AE71" s="90">
        <f t="shared" si="7"/>
        <v>0</v>
      </c>
      <c r="AF71" s="90">
        <f t="shared" si="7"/>
        <v>0</v>
      </c>
      <c r="AG71" s="90">
        <f t="shared" si="7"/>
        <v>0</v>
      </c>
      <c r="AH71" s="90">
        <f t="shared" si="7"/>
        <v>0</v>
      </c>
      <c r="AI71" s="90">
        <f t="shared" si="7"/>
        <v>0</v>
      </c>
      <c r="AJ71" s="90">
        <f t="shared" ref="AJ71:BR71" si="8">SUM(AJ61:AJ69)</f>
        <v>0</v>
      </c>
      <c r="AK71" s="90">
        <f t="shared" si="8"/>
        <v>0</v>
      </c>
      <c r="AL71" s="90">
        <f t="shared" si="8"/>
        <v>0</v>
      </c>
      <c r="AM71" s="90">
        <f t="shared" si="8"/>
        <v>0</v>
      </c>
      <c r="AN71" s="90">
        <f t="shared" si="8"/>
        <v>0</v>
      </c>
      <c r="AO71" s="90">
        <f t="shared" si="8"/>
        <v>0</v>
      </c>
      <c r="AP71" s="90">
        <f t="shared" si="8"/>
        <v>0</v>
      </c>
      <c r="AQ71" s="90">
        <f t="shared" si="8"/>
        <v>0</v>
      </c>
      <c r="AR71" s="90">
        <f t="shared" si="8"/>
        <v>0</v>
      </c>
      <c r="AS71" s="90">
        <f t="shared" si="8"/>
        <v>0</v>
      </c>
      <c r="AT71" s="90">
        <f t="shared" si="8"/>
        <v>0</v>
      </c>
      <c r="AU71" s="90">
        <f t="shared" si="8"/>
        <v>0</v>
      </c>
      <c r="AV71" s="90">
        <f t="shared" si="8"/>
        <v>0</v>
      </c>
      <c r="AW71" s="90">
        <f t="shared" si="8"/>
        <v>0</v>
      </c>
      <c r="AX71" s="90">
        <f t="shared" si="8"/>
        <v>0</v>
      </c>
      <c r="AY71" s="90">
        <f t="shared" si="8"/>
        <v>0</v>
      </c>
      <c r="AZ71" s="90">
        <f t="shared" si="8"/>
        <v>0</v>
      </c>
      <c r="BA71" s="90">
        <f t="shared" si="8"/>
        <v>0</v>
      </c>
      <c r="BB71" s="90">
        <f t="shared" si="8"/>
        <v>0</v>
      </c>
      <c r="BC71" s="90">
        <f t="shared" si="8"/>
        <v>0</v>
      </c>
      <c r="BD71" s="90">
        <f t="shared" si="8"/>
        <v>0</v>
      </c>
      <c r="BE71" s="90">
        <f t="shared" si="8"/>
        <v>0</v>
      </c>
      <c r="BF71" s="90">
        <f t="shared" si="8"/>
        <v>0</v>
      </c>
      <c r="BG71" s="90">
        <f t="shared" si="8"/>
        <v>0</v>
      </c>
      <c r="BH71" s="90">
        <f t="shared" si="8"/>
        <v>0</v>
      </c>
      <c r="BI71" s="90">
        <f t="shared" si="8"/>
        <v>0</v>
      </c>
      <c r="BJ71" s="90">
        <f t="shared" si="8"/>
        <v>0</v>
      </c>
      <c r="BK71" s="90">
        <f t="shared" si="8"/>
        <v>0</v>
      </c>
      <c r="BL71" s="90">
        <f t="shared" si="8"/>
        <v>0</v>
      </c>
      <c r="BM71" s="90">
        <f t="shared" si="8"/>
        <v>0</v>
      </c>
      <c r="BN71" s="90">
        <f t="shared" si="8"/>
        <v>0</v>
      </c>
      <c r="BO71" s="90">
        <f t="shared" si="8"/>
        <v>0</v>
      </c>
      <c r="BP71" s="90">
        <f t="shared" si="8"/>
        <v>0</v>
      </c>
      <c r="BQ71" s="90">
        <f t="shared" si="8"/>
        <v>0</v>
      </c>
      <c r="BR71" s="90">
        <f t="shared" si="8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zoomScale="85" zoomScaleNormal="85" workbookViewId="0">
      <selection activeCell="F3" sqref="F3"/>
    </sheetView>
  </sheetViews>
  <sheetFormatPr defaultRowHeight="14.4" x14ac:dyDescent="0.3"/>
  <cols>
    <col min="1" max="1" width="3.88671875" customWidth="1"/>
    <col min="2" max="2" width="37.33203125" customWidth="1"/>
    <col min="3" max="3" width="9" customWidth="1"/>
    <col min="4" max="6" width="9.33203125" customWidth="1"/>
    <col min="7" max="7" width="8.88671875" bestFit="1" customWidth="1"/>
    <col min="8" max="8" width="8.88671875" customWidth="1"/>
    <col min="9" max="9" width="10.33203125" bestFit="1" customWidth="1"/>
    <col min="10" max="10" width="56.33203125" customWidth="1"/>
    <col min="11" max="11" width="34.6640625" customWidth="1"/>
  </cols>
  <sheetData>
    <row r="1" spans="2:11" x14ac:dyDescent="0.3">
      <c r="B1" s="81" t="s">
        <v>213</v>
      </c>
    </row>
    <row r="2" spans="2:11" x14ac:dyDescent="0.3">
      <c r="B2" s="1" t="s">
        <v>201</v>
      </c>
    </row>
    <row r="3" spans="2:11" x14ac:dyDescent="0.3">
      <c r="B3" s="1" t="s">
        <v>220</v>
      </c>
    </row>
    <row r="4" spans="2:11" x14ac:dyDescent="0.3">
      <c r="D4" s="188" t="s">
        <v>219</v>
      </c>
      <c r="E4" s="189"/>
      <c r="F4" s="189"/>
      <c r="G4" s="189"/>
      <c r="H4" s="189"/>
      <c r="I4" s="190"/>
    </row>
    <row r="5" spans="2:11" x14ac:dyDescent="0.3">
      <c r="B5" s="7" t="s">
        <v>202</v>
      </c>
      <c r="C5" s="191" t="s">
        <v>176</v>
      </c>
      <c r="D5" s="107" t="s">
        <v>66</v>
      </c>
      <c r="E5" s="107" t="s">
        <v>66</v>
      </c>
      <c r="F5" s="107" t="s">
        <v>66</v>
      </c>
      <c r="G5" s="107" t="s">
        <v>66</v>
      </c>
      <c r="H5" s="107" t="s">
        <v>22</v>
      </c>
      <c r="I5" s="108"/>
    </row>
    <row r="6" spans="2:11" x14ac:dyDescent="0.3">
      <c r="B6" s="109" t="s">
        <v>177</v>
      </c>
      <c r="C6" s="192"/>
      <c r="D6" s="110" t="s">
        <v>92</v>
      </c>
      <c r="E6" s="110" t="s">
        <v>93</v>
      </c>
      <c r="F6" s="110" t="s">
        <v>94</v>
      </c>
      <c r="G6" s="110" t="s">
        <v>95</v>
      </c>
      <c r="H6" s="110" t="s">
        <v>96</v>
      </c>
      <c r="I6" s="111" t="s">
        <v>10</v>
      </c>
      <c r="J6" s="58" t="s">
        <v>178</v>
      </c>
      <c r="K6" s="132"/>
    </row>
    <row r="7" spans="2:11" ht="48.6" customHeight="1" x14ac:dyDescent="0.3">
      <c r="B7" s="171" t="s">
        <v>179</v>
      </c>
      <c r="C7" s="171" t="s">
        <v>180</v>
      </c>
      <c r="D7" s="172">
        <v>14214.53</v>
      </c>
      <c r="E7" s="172">
        <v>3894.61</v>
      </c>
      <c r="F7" s="172">
        <v>6080.66</v>
      </c>
      <c r="G7" s="172">
        <v>208981.81</v>
      </c>
      <c r="H7" s="172">
        <v>40973.51</v>
      </c>
      <c r="I7" s="172">
        <f>SUM(D7:H7)</f>
        <v>274145.12</v>
      </c>
      <c r="J7" s="114" t="s">
        <v>181</v>
      </c>
      <c r="K7" s="133"/>
    </row>
    <row r="8" spans="2:11" x14ac:dyDescent="0.3">
      <c r="B8" s="171" t="s">
        <v>182</v>
      </c>
      <c r="C8" s="171" t="s">
        <v>183</v>
      </c>
      <c r="D8" s="172">
        <v>0</v>
      </c>
      <c r="E8" s="172">
        <v>0</v>
      </c>
      <c r="F8" s="172">
        <v>0</v>
      </c>
      <c r="G8" s="172">
        <v>42193.878058461698</v>
      </c>
      <c r="H8" s="172">
        <v>44830.995437115576</v>
      </c>
      <c r="I8" s="172">
        <f t="shared" ref="I8:I11" si="0">SUM(D8:H8)</f>
        <v>87024.873495577282</v>
      </c>
      <c r="J8" s="114" t="s">
        <v>204</v>
      </c>
      <c r="K8" s="133"/>
    </row>
    <row r="9" spans="2:11" ht="22.2" customHeight="1" x14ac:dyDescent="0.3">
      <c r="B9" s="171" t="s">
        <v>184</v>
      </c>
      <c r="C9" s="171" t="s">
        <v>180</v>
      </c>
      <c r="D9" s="172">
        <v>0</v>
      </c>
      <c r="E9" s="172">
        <v>0</v>
      </c>
      <c r="F9" s="172">
        <v>0</v>
      </c>
      <c r="G9" s="173">
        <v>0</v>
      </c>
      <c r="H9" s="173">
        <v>0</v>
      </c>
      <c r="I9" s="172">
        <f t="shared" si="0"/>
        <v>0</v>
      </c>
      <c r="J9" s="112" t="s">
        <v>185</v>
      </c>
      <c r="K9" s="133"/>
    </row>
    <row r="10" spans="2:11" ht="22.2" customHeight="1" x14ac:dyDescent="0.3">
      <c r="B10" s="112" t="s">
        <v>186</v>
      </c>
      <c r="C10" s="112" t="s">
        <v>183</v>
      </c>
      <c r="D10" s="113">
        <v>0</v>
      </c>
      <c r="E10" s="113">
        <v>0</v>
      </c>
      <c r="F10" s="113">
        <v>320854.89999999997</v>
      </c>
      <c r="G10" s="113">
        <v>16887.100000000002</v>
      </c>
      <c r="H10" s="113">
        <v>0</v>
      </c>
      <c r="I10" s="113">
        <f t="shared" si="0"/>
        <v>337741.99999999994</v>
      </c>
      <c r="J10" s="193" t="s">
        <v>187</v>
      </c>
      <c r="K10" s="133"/>
    </row>
    <row r="11" spans="2:11" ht="22.2" customHeight="1" x14ac:dyDescent="0.3">
      <c r="B11" s="112" t="s">
        <v>188</v>
      </c>
      <c r="C11" s="112" t="s">
        <v>180</v>
      </c>
      <c r="D11" s="113">
        <v>0</v>
      </c>
      <c r="E11" s="113">
        <v>0</v>
      </c>
      <c r="F11" s="113">
        <v>12898.887570147601</v>
      </c>
      <c r="G11" s="115">
        <v>93780.87965113105</v>
      </c>
      <c r="H11" s="115">
        <v>0</v>
      </c>
      <c r="I11" s="113">
        <f t="shared" si="0"/>
        <v>106679.76722127866</v>
      </c>
      <c r="J11" s="194"/>
      <c r="K11" s="133"/>
    </row>
    <row r="12" spans="2:11" x14ac:dyDescent="0.3">
      <c r="B12" s="109" t="s">
        <v>189</v>
      </c>
      <c r="C12" s="116"/>
      <c r="D12" s="117">
        <f t="shared" ref="D12:H12" si="1">SUM(D7:D11)</f>
        <v>14214.53</v>
      </c>
      <c r="E12" s="117">
        <f t="shared" si="1"/>
        <v>3894.61</v>
      </c>
      <c r="F12" s="117">
        <f t="shared" si="1"/>
        <v>339834.44757014752</v>
      </c>
      <c r="G12" s="117">
        <f t="shared" si="1"/>
        <v>361843.66770959273</v>
      </c>
      <c r="H12" s="117">
        <f t="shared" si="1"/>
        <v>85804.505437115586</v>
      </c>
      <c r="I12" s="117">
        <f>SUM(I7:I11)</f>
        <v>805591.76071685588</v>
      </c>
      <c r="J12" s="112"/>
    </row>
    <row r="14" spans="2:11" x14ac:dyDescent="0.3">
      <c r="B14" t="s">
        <v>190</v>
      </c>
      <c r="D14" s="62">
        <f>[1]Escalators!K$17</f>
        <v>1.089065287920217</v>
      </c>
      <c r="E14" s="62">
        <f>[1]Escalators!L$17</f>
        <v>1.075441975284158</v>
      </c>
      <c r="F14" s="62">
        <f>[1]Escalators!M$17</f>
        <v>1.0597841134352426</v>
      </c>
      <c r="G14" s="62">
        <f>[1]Escalators!N$17</f>
        <v>1.0389462882960341</v>
      </c>
      <c r="H14" s="62">
        <f>[1]Escalators!O$17</f>
        <v>1.0202250019521406</v>
      </c>
    </row>
    <row r="16" spans="2:11" x14ac:dyDescent="0.3">
      <c r="B16" s="7" t="s">
        <v>191</v>
      </c>
      <c r="C16" s="7"/>
      <c r="D16" s="118">
        <f>SUM(D7:D9)*D14</f>
        <v>15480.551207100561</v>
      </c>
      <c r="E16" s="118">
        <f t="shared" ref="E16:H16" si="2">SUM(E7:E9)*E14</f>
        <v>4188.4270713614342</v>
      </c>
      <c r="F16" s="118">
        <f t="shared" si="2"/>
        <v>6444.1868672011424</v>
      </c>
      <c r="G16" s="118">
        <f t="shared" si="2"/>
        <v>260958.04881854128</v>
      </c>
      <c r="H16" s="118">
        <f t="shared" si="2"/>
        <v>87539.901727083707</v>
      </c>
      <c r="I16" s="118">
        <f>SUM(D16:H16)</f>
        <v>374611.11569128814</v>
      </c>
    </row>
    <row r="17" spans="2:9" x14ac:dyDescent="0.3">
      <c r="D17" s="2"/>
      <c r="E17" s="2"/>
      <c r="F17" s="2"/>
      <c r="G17" s="2"/>
      <c r="H17" s="2"/>
    </row>
    <row r="18" spans="2:9" x14ac:dyDescent="0.3">
      <c r="D18" s="6"/>
      <c r="E18" s="6"/>
      <c r="F18" s="6"/>
      <c r="G18" s="6"/>
      <c r="H18" s="6"/>
      <c r="I18" s="6"/>
    </row>
    <row r="19" spans="2:9" x14ac:dyDescent="0.3">
      <c r="B19" s="7"/>
    </row>
  </sheetData>
  <mergeCells count="3">
    <mergeCell ref="D4:I4"/>
    <mergeCell ref="C5:C6"/>
    <mergeCell ref="J10:J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zoomScale="85" zoomScaleNormal="85" workbookViewId="0">
      <selection activeCell="H1" sqref="H1"/>
    </sheetView>
  </sheetViews>
  <sheetFormatPr defaultRowHeight="14.4" x14ac:dyDescent="0.3"/>
  <cols>
    <col min="1" max="1" width="3.88671875" customWidth="1"/>
    <col min="2" max="2" width="37.33203125" customWidth="1"/>
    <col min="3" max="3" width="9" customWidth="1"/>
    <col min="4" max="4" width="9.5546875" customWidth="1"/>
    <col min="5" max="5" width="9.33203125" customWidth="1"/>
    <col min="6" max="6" width="9" bestFit="1" customWidth="1"/>
    <col min="7" max="7" width="10.33203125" bestFit="1" customWidth="1"/>
    <col min="8" max="8" width="8.88671875" customWidth="1"/>
    <col min="9" max="9" width="10.33203125" bestFit="1" customWidth="1"/>
    <col min="10" max="10" width="56.33203125" customWidth="1"/>
  </cols>
  <sheetData>
    <row r="1" spans="2:10" x14ac:dyDescent="0.3">
      <c r="B1" s="81" t="s">
        <v>213</v>
      </c>
      <c r="G1" s="134" t="s">
        <v>203</v>
      </c>
      <c r="H1" s="93">
        <f>[1]AusNet_Overheads!$I$20</f>
        <v>8.2295387491894342E-2</v>
      </c>
      <c r="I1" s="75"/>
    </row>
    <row r="2" spans="2:10" x14ac:dyDescent="0.3">
      <c r="B2" s="1" t="s">
        <v>221</v>
      </c>
    </row>
    <row r="3" spans="2:10" x14ac:dyDescent="0.3">
      <c r="B3" s="1" t="s">
        <v>220</v>
      </c>
    </row>
    <row r="4" spans="2:10" x14ac:dyDescent="0.3">
      <c r="D4" s="188" t="s">
        <v>218</v>
      </c>
      <c r="E4" s="189"/>
      <c r="F4" s="189"/>
      <c r="G4" s="189"/>
      <c r="H4" s="189"/>
      <c r="I4" s="190"/>
    </row>
    <row r="5" spans="2:10" x14ac:dyDescent="0.3">
      <c r="B5" s="7"/>
      <c r="C5" s="191" t="s">
        <v>176</v>
      </c>
      <c r="D5" s="107" t="s">
        <v>66</v>
      </c>
      <c r="E5" s="107" t="s">
        <v>66</v>
      </c>
      <c r="F5" s="107" t="s">
        <v>66</v>
      </c>
      <c r="G5" s="107" t="s">
        <v>66</v>
      </c>
      <c r="H5" s="107" t="s">
        <v>22</v>
      </c>
      <c r="I5" s="108"/>
    </row>
    <row r="6" spans="2:10" x14ac:dyDescent="0.3">
      <c r="B6" s="109" t="s">
        <v>177</v>
      </c>
      <c r="C6" s="192"/>
      <c r="D6" s="110" t="s">
        <v>92</v>
      </c>
      <c r="E6" s="110" t="s">
        <v>93</v>
      </c>
      <c r="F6" s="110" t="s">
        <v>94</v>
      </c>
      <c r="G6" s="110" t="s">
        <v>95</v>
      </c>
      <c r="H6" s="110" t="s">
        <v>96</v>
      </c>
      <c r="I6" s="111" t="s">
        <v>10</v>
      </c>
      <c r="J6" s="58" t="s">
        <v>178</v>
      </c>
    </row>
    <row r="7" spans="2:10" ht="48.6" customHeight="1" x14ac:dyDescent="0.3">
      <c r="B7" s="171" t="s">
        <v>179</v>
      </c>
      <c r="C7" s="171" t="s">
        <v>180</v>
      </c>
      <c r="D7" s="172">
        <v>16107.548978384551</v>
      </c>
      <c r="E7" s="172">
        <v>4441.8</v>
      </c>
      <c r="F7" s="172">
        <v>6740.9243136873793</v>
      </c>
      <c r="G7" s="172">
        <v>226967.13962432893</v>
      </c>
      <c r="H7" s="172">
        <f>'KLO - Direct_(IR004A)'!H7*(1+$H$1)</f>
        <v>44345.44088235301</v>
      </c>
      <c r="I7" s="172">
        <f>SUM(D7:H7)</f>
        <v>298602.85379875387</v>
      </c>
      <c r="J7" s="114" t="s">
        <v>181</v>
      </c>
    </row>
    <row r="8" spans="2:10" x14ac:dyDescent="0.3">
      <c r="B8" s="171" t="s">
        <v>182</v>
      </c>
      <c r="C8" s="171" t="s">
        <v>183</v>
      </c>
      <c r="D8" s="172">
        <v>0</v>
      </c>
      <c r="E8" s="172">
        <v>0</v>
      </c>
      <c r="F8" s="172">
        <v>0</v>
      </c>
      <c r="G8" s="172">
        <v>45860.515741568677</v>
      </c>
      <c r="H8" s="172">
        <f>'KLO - Direct_(IR004A)'!H8*(1+$H$1)</f>
        <v>48520.379578260348</v>
      </c>
      <c r="I8" s="172">
        <f t="shared" ref="I8:I11" si="0">SUM(D8:H8)</f>
        <v>94380.895319829026</v>
      </c>
      <c r="J8" s="114" t="s">
        <v>204</v>
      </c>
    </row>
    <row r="9" spans="2:10" ht="22.2" customHeight="1" x14ac:dyDescent="0.3">
      <c r="B9" s="171" t="s">
        <v>184</v>
      </c>
      <c r="C9" s="171" t="s">
        <v>180</v>
      </c>
      <c r="D9" s="172">
        <v>0</v>
      </c>
      <c r="E9" s="172">
        <v>0</v>
      </c>
      <c r="F9" s="172">
        <v>0</v>
      </c>
      <c r="G9" s="173">
        <v>0</v>
      </c>
      <c r="H9" s="172">
        <f>'KLO - Direct_(IR004A)'!H9*(1+$H$1)</f>
        <v>0</v>
      </c>
      <c r="I9" s="172">
        <f t="shared" si="0"/>
        <v>0</v>
      </c>
      <c r="J9" s="112" t="s">
        <v>185</v>
      </c>
    </row>
    <row r="10" spans="2:10" ht="22.2" customHeight="1" x14ac:dyDescent="0.3">
      <c r="B10" s="112" t="s">
        <v>186</v>
      </c>
      <c r="C10" s="112" t="s">
        <v>183</v>
      </c>
      <c r="D10" s="113">
        <v>0</v>
      </c>
      <c r="E10" s="113">
        <v>0</v>
      </c>
      <c r="F10" s="113">
        <v>358911.23738579371</v>
      </c>
      <c r="G10" s="113">
        <v>18256.034218032943</v>
      </c>
      <c r="H10" s="113">
        <f>'KLO - Direct_(IR004A)'!H10*(1+$H$1)</f>
        <v>0</v>
      </c>
      <c r="I10" s="113">
        <f t="shared" si="0"/>
        <v>377167.27160382667</v>
      </c>
      <c r="J10" s="193" t="s">
        <v>187</v>
      </c>
    </row>
    <row r="11" spans="2:10" ht="22.2" customHeight="1" x14ac:dyDescent="0.3">
      <c r="B11" s="112" t="s">
        <v>188</v>
      </c>
      <c r="C11" s="112" t="s">
        <v>180</v>
      </c>
      <c r="D11" s="113">
        <v>0</v>
      </c>
      <c r="E11" s="113">
        <v>0</v>
      </c>
      <c r="F11" s="113">
        <v>14330.197294874179</v>
      </c>
      <c r="G11" s="113">
        <v>103076.93550486807</v>
      </c>
      <c r="H11" s="113">
        <f>'KLO - Direct_(IR004A)'!H11*(1+$H$1)</f>
        <v>0</v>
      </c>
      <c r="I11" s="113">
        <f t="shared" si="0"/>
        <v>117407.13279974225</v>
      </c>
      <c r="J11" s="194"/>
    </row>
    <row r="12" spans="2:10" x14ac:dyDescent="0.3">
      <c r="B12" s="109" t="s">
        <v>189</v>
      </c>
      <c r="C12" s="116"/>
      <c r="D12" s="117">
        <f t="shared" ref="D12:H12" si="1">SUM(D7:D11)</f>
        <v>16107.548978384551</v>
      </c>
      <c r="E12" s="117">
        <f t="shared" si="1"/>
        <v>4441.8</v>
      </c>
      <c r="F12" s="117">
        <f t="shared" si="1"/>
        <v>379982.35899435525</v>
      </c>
      <c r="G12" s="117">
        <f t="shared" si="1"/>
        <v>394160.6250887987</v>
      </c>
      <c r="H12" s="117">
        <f t="shared" si="1"/>
        <v>92865.820460613351</v>
      </c>
      <c r="I12" s="117">
        <f>SUM(I7:I11)</f>
        <v>887558.15352215187</v>
      </c>
      <c r="J12" s="112"/>
    </row>
    <row r="13" spans="2:10" x14ac:dyDescent="0.3">
      <c r="B13" s="119"/>
      <c r="C13" s="120"/>
      <c r="D13" s="77"/>
      <c r="E13" s="77"/>
      <c r="F13" s="77"/>
      <c r="G13" s="77"/>
      <c r="H13" s="77"/>
      <c r="I13" s="77"/>
      <c r="J13" s="120"/>
    </row>
    <row r="14" spans="2:10" x14ac:dyDescent="0.3">
      <c r="B14" t="s">
        <v>190</v>
      </c>
      <c r="D14" s="62">
        <f>[1]Escalators!K$17</f>
        <v>1.089065287920217</v>
      </c>
      <c r="E14" s="62">
        <f>[1]Escalators!L$17</f>
        <v>1.075441975284158</v>
      </c>
      <c r="F14" s="62">
        <f>[1]Escalators!M$17</f>
        <v>1.0597841134352426</v>
      </c>
      <c r="G14" s="62">
        <f>[1]Escalators!N$17</f>
        <v>1.0389462882960341</v>
      </c>
      <c r="H14" s="62">
        <f>[1]Escalators!O$17</f>
        <v>1.0202250019521406</v>
      </c>
    </row>
    <row r="15" spans="2:10" x14ac:dyDescent="0.3">
      <c r="D15" s="62"/>
      <c r="E15" s="62"/>
      <c r="F15" s="62"/>
      <c r="G15" s="62"/>
      <c r="H15" s="62"/>
    </row>
    <row r="16" spans="2:10" x14ac:dyDescent="0.3">
      <c r="B16" s="7" t="s">
        <v>191</v>
      </c>
      <c r="C16" s="7"/>
      <c r="D16" s="118">
        <f>SUM(D7:D9)*D14</f>
        <v>17542.17246583337</v>
      </c>
      <c r="E16" s="118">
        <f t="shared" ref="E16:H16" si="2">SUM(E7:E9)*E14</f>
        <v>4776.8981658171733</v>
      </c>
      <c r="F16" s="118">
        <f t="shared" si="2"/>
        <v>7143.9244975152506</v>
      </c>
      <c r="G16" s="118">
        <f t="shared" si="2"/>
        <v>283453.27988690889</v>
      </c>
      <c r="H16" s="118">
        <f t="shared" si="2"/>
        <v>94744.031860716394</v>
      </c>
      <c r="I16" s="165">
        <f>SUM(D16:H16)</f>
        <v>407660.30687679106</v>
      </c>
    </row>
    <row r="17" spans="2:9" x14ac:dyDescent="0.3">
      <c r="B17" t="s">
        <v>83</v>
      </c>
      <c r="D17" s="6">
        <f>D7*D14</f>
        <v>17542.17246583337</v>
      </c>
      <c r="E17" s="6">
        <f t="shared" ref="E17:H17" si="3">E7*E14</f>
        <v>4776.8981658171733</v>
      </c>
      <c r="F17" s="6">
        <f t="shared" si="3"/>
        <v>7143.9244975152506</v>
      </c>
      <c r="G17" s="6">
        <f t="shared" si="3"/>
        <v>235806.66727786427</v>
      </c>
      <c r="H17" s="6">
        <f t="shared" si="3"/>
        <v>45242.327510767136</v>
      </c>
      <c r="I17" s="6">
        <f>SUM(D17:H17)</f>
        <v>310511.98991779721</v>
      </c>
    </row>
    <row r="18" spans="2:9" x14ac:dyDescent="0.3">
      <c r="B18" t="s">
        <v>84</v>
      </c>
      <c r="D18" s="6">
        <f>SUM(D8:D9)*D14</f>
        <v>0</v>
      </c>
      <c r="E18" s="6">
        <f t="shared" ref="E18:H18" si="4">SUM(E8:E9)*E14</f>
        <v>0</v>
      </c>
      <c r="F18" s="6">
        <f t="shared" si="4"/>
        <v>0</v>
      </c>
      <c r="G18" s="6">
        <f t="shared" si="4"/>
        <v>47646.61260904462</v>
      </c>
      <c r="H18" s="6">
        <f t="shared" si="4"/>
        <v>49501.704349949265</v>
      </c>
      <c r="I18" s="6">
        <f>SUM(D18:H18)</f>
        <v>97148.316958993877</v>
      </c>
    </row>
    <row r="19" spans="2:9" x14ac:dyDescent="0.3">
      <c r="B19" t="s">
        <v>85</v>
      </c>
      <c r="I19" s="6">
        <f>SUM(D19:H19)</f>
        <v>0</v>
      </c>
    </row>
  </sheetData>
  <mergeCells count="3">
    <mergeCell ref="D4:I4"/>
    <mergeCell ref="C5:C6"/>
    <mergeCell ref="J10:J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zoomScale="85" zoomScaleNormal="85" workbookViewId="0">
      <selection activeCell="F11" sqref="F11"/>
    </sheetView>
  </sheetViews>
  <sheetFormatPr defaultRowHeight="14.4" x14ac:dyDescent="0.3"/>
  <cols>
    <col min="1" max="1" width="3.6640625" customWidth="1"/>
    <col min="2" max="2" width="34.5546875" customWidth="1"/>
    <col min="3" max="4" width="10" customWidth="1"/>
    <col min="5" max="5" width="11.33203125" customWidth="1"/>
    <col min="6" max="6" width="11.33203125" bestFit="1" customWidth="1"/>
    <col min="7" max="7" width="11.33203125" customWidth="1"/>
    <col min="8" max="8" width="11.109375" customWidth="1"/>
    <col min="9" max="13" width="10.33203125" bestFit="1" customWidth="1"/>
  </cols>
  <sheetData>
    <row r="1" spans="2:16" x14ac:dyDescent="0.3"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</row>
    <row r="2" spans="2:16" x14ac:dyDescent="0.3"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 t="s">
        <v>42</v>
      </c>
      <c r="I2" s="3" t="s">
        <v>63</v>
      </c>
      <c r="J2" s="3" t="s">
        <v>64</v>
      </c>
      <c r="K2" s="3" t="s">
        <v>65</v>
      </c>
      <c r="L2" s="3" t="s">
        <v>46</v>
      </c>
      <c r="M2" s="3" t="s">
        <v>47</v>
      </c>
    </row>
    <row r="3" spans="2:16" x14ac:dyDescent="0.3">
      <c r="B3" t="s">
        <v>69</v>
      </c>
      <c r="C3" s="63">
        <f>[2]WACC!G$19</f>
        <v>3.8716794887975373E-2</v>
      </c>
      <c r="D3" s="63">
        <f>[2]WACC!H$19</f>
        <v>3.8262336193053012E-2</v>
      </c>
      <c r="E3" s="63">
        <f>[2]WACC!I$19</f>
        <v>3.8013284689562575E-2</v>
      </c>
      <c r="F3" s="63">
        <f>[2]WACC!J$19</f>
        <v>3.7449298414674724E-2</v>
      </c>
      <c r="G3" s="63">
        <f>[2]WACC!K$19</f>
        <v>3.6258595682746808E-2</v>
      </c>
      <c r="H3" s="63">
        <f>[3]WACC!$R$19</f>
        <v>1.200696924751421E-2</v>
      </c>
      <c r="I3" s="64">
        <f>[4]WACC!G$19</f>
        <v>2.20316373145788E-2</v>
      </c>
      <c r="J3" s="64">
        <f>[4]WACC!H$19</f>
        <v>2.029120273434306E-2</v>
      </c>
      <c r="K3" s="64">
        <f>[4]WACC!I$19</f>
        <v>1.8550768154107056E-2</v>
      </c>
      <c r="L3" s="64">
        <f>[4]WACC!J$19</f>
        <v>1.6810333573871183E-2</v>
      </c>
      <c r="M3" s="64">
        <f>[4]WACC!K$19</f>
        <v>1.5069898993635445E-2</v>
      </c>
    </row>
    <row r="4" spans="2:16" x14ac:dyDescent="0.3">
      <c r="B4" t="s">
        <v>70</v>
      </c>
      <c r="C4" s="62">
        <f t="shared" ref="C4:F4" si="0">D4*(1+D3)</f>
        <v>1.1725423627845761</v>
      </c>
      <c r="D4" s="62">
        <f t="shared" si="0"/>
        <v>1.1293315012118048</v>
      </c>
      <c r="E4" s="62">
        <f t="shared" si="0"/>
        <v>1.0879740345033759</v>
      </c>
      <c r="F4" s="62">
        <f t="shared" si="0"/>
        <v>1.0487009207735818</v>
      </c>
      <c r="G4" s="62">
        <f>H4*(1+H3)</f>
        <v>1.0120069692475142</v>
      </c>
      <c r="H4" s="62">
        <v>1</v>
      </c>
      <c r="I4" s="62">
        <f>H4/(1+I3)</f>
        <v>0.97844329225221671</v>
      </c>
      <c r="J4" s="62">
        <f>I4/(1+J3)</f>
        <v>0.95898434645915243</v>
      </c>
      <c r="K4" s="62">
        <f>J4/(1+K3)</f>
        <v>0.94151845587146799</v>
      </c>
      <c r="L4" s="62">
        <f>K4/(1+L3)</f>
        <v>0.92595287910010871</v>
      </c>
      <c r="M4" s="62">
        <f>L4/(1+M3)</f>
        <v>0.91220602642056514</v>
      </c>
    </row>
    <row r="5" spans="2:16" x14ac:dyDescent="0.3">
      <c r="B5" s="78" t="s">
        <v>172</v>
      </c>
      <c r="C5" s="93">
        <v>5.4410344196953231E-2</v>
      </c>
      <c r="D5" s="93">
        <v>4.8886436022042234E-2</v>
      </c>
      <c r="E5" s="93">
        <v>5.8085364780244619E-2</v>
      </c>
      <c r="F5" s="93">
        <v>5.9004252220941522E-2</v>
      </c>
      <c r="G5" s="93">
        <v>5.27653697732684E-2</v>
      </c>
      <c r="H5" s="93">
        <v>2.4348517652973189E-2</v>
      </c>
      <c r="I5" s="65"/>
      <c r="J5" s="65"/>
      <c r="K5" s="65"/>
      <c r="L5" s="65"/>
      <c r="M5" s="65"/>
    </row>
    <row r="6" spans="2:16" x14ac:dyDescent="0.3">
      <c r="C6" s="93"/>
      <c r="D6" s="93"/>
      <c r="E6" s="93"/>
      <c r="F6" s="93"/>
      <c r="G6" s="93"/>
      <c r="H6" s="93"/>
      <c r="I6" s="65"/>
      <c r="J6" s="65"/>
      <c r="K6" s="65"/>
      <c r="L6" s="65"/>
      <c r="M6" s="65"/>
    </row>
    <row r="7" spans="2:16" x14ac:dyDescent="0.3">
      <c r="B7" t="s">
        <v>173</v>
      </c>
      <c r="C7" s="93">
        <f>[1]Escalators!K$12</f>
        <v>1.5108593012275628E-2</v>
      </c>
      <c r="D7" s="93">
        <f>[1]Escalators!L$12</f>
        <v>1.0232558139534831E-2</v>
      </c>
      <c r="E7" s="93">
        <f>[1]Escalators!M$12</f>
        <v>1.9337016574585641E-2</v>
      </c>
      <c r="F7" s="93">
        <f>[1]Escalators!N$12</f>
        <v>2.0776874435411097E-2</v>
      </c>
      <c r="G7" s="93">
        <f>[1]Escalators!O$12</f>
        <v>1.5929203539823078E-2</v>
      </c>
      <c r="H7" s="187">
        <f>[1]Escalators!P$12</f>
        <v>1.2195121951219523E-2</v>
      </c>
      <c r="I7" s="65"/>
      <c r="J7" s="65"/>
      <c r="K7" s="65"/>
      <c r="L7" s="65"/>
      <c r="M7" s="65"/>
      <c r="O7" s="164"/>
    </row>
    <row r="8" spans="2:16" x14ac:dyDescent="0.3">
      <c r="B8" t="s">
        <v>174</v>
      </c>
      <c r="C8" s="62">
        <f>1+C7</f>
        <v>1.0151085930122756</v>
      </c>
      <c r="D8" s="62">
        <f>C8*(1+D7)</f>
        <v>1.0254957507082152</v>
      </c>
      <c r="E8" s="62">
        <f t="shared" ref="E8:H8" si="1">D8*(1+E7)</f>
        <v>1.0453257790368271</v>
      </c>
      <c r="F8" s="62">
        <f t="shared" si="1"/>
        <v>1.0670443814919734</v>
      </c>
      <c r="G8" s="62">
        <f t="shared" si="1"/>
        <v>1.0840415486307837</v>
      </c>
      <c r="H8" s="76">
        <f t="shared" si="1"/>
        <v>1.0972615675165249</v>
      </c>
      <c r="O8" s="62"/>
    </row>
    <row r="9" spans="2:16" x14ac:dyDescent="0.3">
      <c r="C9" s="62"/>
      <c r="D9" s="62"/>
      <c r="E9" s="62"/>
      <c r="F9" s="62"/>
      <c r="G9" s="62"/>
      <c r="H9" s="62"/>
    </row>
    <row r="10" spans="2:16" x14ac:dyDescent="0.3">
      <c r="B10" s="81" t="s">
        <v>217</v>
      </c>
    </row>
    <row r="11" spans="2:16" x14ac:dyDescent="0.3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60" t="s">
        <v>10</v>
      </c>
    </row>
    <row r="12" spans="2:16" x14ac:dyDescent="0.3">
      <c r="B12" s="7" t="s">
        <v>80</v>
      </c>
      <c r="C12" s="176">
        <v>2016</v>
      </c>
      <c r="D12" s="160">
        <v>2017</v>
      </c>
      <c r="E12" s="160">
        <v>2018</v>
      </c>
      <c r="F12" s="160">
        <v>2019</v>
      </c>
      <c r="G12" s="160">
        <v>2020</v>
      </c>
      <c r="H12" s="160" t="s">
        <v>42</v>
      </c>
      <c r="I12" s="176" t="s">
        <v>63</v>
      </c>
      <c r="J12" s="160" t="s">
        <v>64</v>
      </c>
      <c r="K12" s="160" t="s">
        <v>65</v>
      </c>
      <c r="L12" s="160" t="s">
        <v>46</v>
      </c>
      <c r="M12" s="160" t="s">
        <v>47</v>
      </c>
      <c r="N12" s="7"/>
      <c r="O12" s="160" t="s">
        <v>79</v>
      </c>
    </row>
    <row r="13" spans="2:16" x14ac:dyDescent="0.3">
      <c r="C13" s="66"/>
      <c r="D13" s="3"/>
      <c r="E13" s="3"/>
      <c r="F13" s="3"/>
      <c r="G13" s="3"/>
      <c r="H13" s="3"/>
      <c r="I13" s="67"/>
    </row>
    <row r="14" spans="2:16" x14ac:dyDescent="0.3">
      <c r="B14" t="s">
        <v>71</v>
      </c>
      <c r="C14" s="68">
        <v>0</v>
      </c>
      <c r="D14" s="69">
        <f t="shared" ref="D14:M14" si="2">C17</f>
        <v>0</v>
      </c>
      <c r="E14" s="69">
        <f t="shared" si="2"/>
        <v>0</v>
      </c>
      <c r="F14" s="69">
        <f t="shared" si="2"/>
        <v>0</v>
      </c>
      <c r="G14" s="69">
        <f t="shared" si="2"/>
        <v>411.76892458322942</v>
      </c>
      <c r="H14" s="69">
        <f t="shared" si="2"/>
        <v>15143.683338542221</v>
      </c>
      <c r="I14" s="68">
        <f>H17</f>
        <v>21900.60354173926</v>
      </c>
      <c r="J14" s="69">
        <f t="shared" si="2"/>
        <v>26236.511700350948</v>
      </c>
      <c r="K14" s="69">
        <f t="shared" si="2"/>
        <v>28368.448292520505</v>
      </c>
      <c r="L14" s="69">
        <f t="shared" si="2"/>
        <v>27584.903286072058</v>
      </c>
      <c r="M14" s="69">
        <f t="shared" si="2"/>
        <v>26801.358279623611</v>
      </c>
      <c r="N14" s="69"/>
    </row>
    <row r="15" spans="2:16" x14ac:dyDescent="0.3">
      <c r="B15" t="s">
        <v>72</v>
      </c>
      <c r="C15" s="68">
        <f>-SUM('SL Depn_Fcst_Capex'!D23,'SL Depn_Fcst_Capex'!D47,'SL Depn_Fcst_Capex'!D71)*$H$8</f>
        <v>0</v>
      </c>
      <c r="D15" s="69">
        <f>-SUM('SL Depn_Fcst_Capex'!E23,'SL Depn_Fcst_Capex'!E47,'SL Depn_Fcst_Capex'!E71)*$H$8</f>
        <v>0</v>
      </c>
      <c r="E15" s="69">
        <f>-SUM('SL Depn_Fcst_Capex'!F23,'SL Depn_Fcst_Capex'!F47,'SL Depn_Fcst_Capex'!F71)*$H$8</f>
        <v>0</v>
      </c>
      <c r="F15" s="69">
        <f>-SUM('SL Depn_Fcst_Capex'!G23,'SL Depn_Fcst_Capex'!G47,'SL Depn_Fcst_Capex'!G71)*$H$8</f>
        <v>0</v>
      </c>
      <c r="G15" s="101">
        <f>-SUM('SL Depn_Fcst_Capex'!H23,'SL Depn_Fcst_Capex'!H47,'SL Depn_Fcst_Capex'!H71)*$H$8</f>
        <v>-12.773124292463661</v>
      </c>
      <c r="H15" s="101">
        <f>-SUM('SL Depn_Fcst_Capex'!I23,'SL Depn_Fcst_Capex'!I47,'SL Depn_Fcst_Capex'!I71)*$H$8</f>
        <v>-528.64512248747042</v>
      </c>
      <c r="I15" s="68">
        <f>-SUM('SL Depn_Fcst_Capex'!J23,'SL Depn_Fcst_Capex'!J47,'SL Depn_Fcst_Capex'!J71)*$H$8</f>
        <v>-783.54500644844495</v>
      </c>
      <c r="J15" s="69">
        <f>-SUM('SL Depn_Fcst_Capex'!K23,'SL Depn_Fcst_Capex'!K47,'SL Depn_Fcst_Capex'!K71)*$H$8</f>
        <v>-783.54500644844495</v>
      </c>
      <c r="K15" s="69">
        <f>-SUM('SL Depn_Fcst_Capex'!L23,'SL Depn_Fcst_Capex'!L47,'SL Depn_Fcst_Capex'!L71)*$H$8</f>
        <v>-783.54500644844495</v>
      </c>
      <c r="L15" s="69">
        <f>-SUM('SL Depn_Fcst_Capex'!M23,'SL Depn_Fcst_Capex'!M47,'SL Depn_Fcst_Capex'!M71)*$H$8</f>
        <v>-783.54500644844495</v>
      </c>
      <c r="M15" s="69">
        <f>-SUM('SL Depn_Fcst_Capex'!N23,'SL Depn_Fcst_Capex'!N47,'SL Depn_Fcst_Capex'!N71)*$H$8</f>
        <v>-783.54500644844495</v>
      </c>
      <c r="N15" s="69"/>
    </row>
    <row r="16" spans="2:16" x14ac:dyDescent="0.3">
      <c r="B16" t="s">
        <v>195</v>
      </c>
      <c r="C16" s="68">
        <f>Capex_Allowance!C5*(1+C3)^0.5*$H$8</f>
        <v>0</v>
      </c>
      <c r="D16" s="69">
        <f>Capex_Allowance!D5*(1+D3)^0.5*$H$8</f>
        <v>0</v>
      </c>
      <c r="E16" s="70">
        <f>Capex_Allowance!E5*(1+E3)^0.5*$H$8</f>
        <v>0</v>
      </c>
      <c r="F16" s="70">
        <f>Capex_Allowance!F5*(1+F3)^0.5*$H$8</f>
        <v>411.76892458322942</v>
      </c>
      <c r="G16" s="70">
        <f>Capex_Allowance!G5*(1+G3)^0.5*$H$8</f>
        <v>14744.687538251455</v>
      </c>
      <c r="H16" s="70">
        <f>Capex_Allowance!H5*(1+H3)^0.5*$H$8</f>
        <v>7285.5653256845089</v>
      </c>
      <c r="I16" s="102">
        <f>Capex_Allowance!I5*(1+I3)^0.5*$H$8</f>
        <v>5119.4531650601357</v>
      </c>
      <c r="J16" s="103">
        <f>Capex_Allowance!J5*(1+J3)^0.5*$H$8</f>
        <v>2915.4815986180029</v>
      </c>
      <c r="K16" s="103">
        <f>Capex_Allowance!K5*(1+K3)^0.5*$H$8</f>
        <v>0</v>
      </c>
      <c r="L16" s="103">
        <f>Capex_Allowance!L5*(1+L3)^0.5*$H$8</f>
        <v>0</v>
      </c>
      <c r="M16" s="103">
        <f>Capex_Allowance!M5*(1+M3)^0.5*$H$8</f>
        <v>0</v>
      </c>
      <c r="N16" s="69"/>
      <c r="O16" s="74">
        <f>SUM(C16:M16)</f>
        <v>30476.956552197335</v>
      </c>
      <c r="P16" t="b" cm="1">
        <f t="array" ref="P16">O16=SUMPRODUCT((1+C3:M3)^0.5,(Capex_Allowance!C5:M5*$H$8))</f>
        <v>1</v>
      </c>
    </row>
    <row r="17" spans="2:14" x14ac:dyDescent="0.3">
      <c r="B17" t="s">
        <v>73</v>
      </c>
      <c r="C17" s="71">
        <f t="shared" ref="C17:G17" si="3">C14+C15+C16</f>
        <v>0</v>
      </c>
      <c r="D17" s="70">
        <f t="shared" si="3"/>
        <v>0</v>
      </c>
      <c r="E17" s="70">
        <f t="shared" si="3"/>
        <v>0</v>
      </c>
      <c r="F17" s="70">
        <f t="shared" si="3"/>
        <v>411.76892458322942</v>
      </c>
      <c r="G17" s="70">
        <f t="shared" si="3"/>
        <v>15143.683338542221</v>
      </c>
      <c r="H17" s="70">
        <f>H14+H15+H16</f>
        <v>21900.60354173926</v>
      </c>
      <c r="I17" s="68">
        <f t="shared" ref="I17:M17" si="4">I14+I15+I16</f>
        <v>26236.511700350948</v>
      </c>
      <c r="J17" s="69">
        <f t="shared" si="4"/>
        <v>28368.448292520505</v>
      </c>
      <c r="K17" s="69">
        <f t="shared" si="4"/>
        <v>27584.903286072058</v>
      </c>
      <c r="L17" s="69">
        <f t="shared" si="4"/>
        <v>26801.358279623611</v>
      </c>
      <c r="M17" s="69">
        <f t="shared" si="4"/>
        <v>26017.813273175165</v>
      </c>
      <c r="N17" s="69"/>
    </row>
    <row r="18" spans="2:14" x14ac:dyDescent="0.3">
      <c r="C18" s="68"/>
      <c r="D18" s="69"/>
      <c r="E18" s="69"/>
      <c r="F18" s="69"/>
      <c r="G18" s="69"/>
      <c r="H18" s="69"/>
      <c r="I18" s="68"/>
      <c r="J18" s="69"/>
      <c r="K18" s="69"/>
      <c r="L18" s="69"/>
      <c r="M18" s="69"/>
      <c r="N18" s="69"/>
    </row>
    <row r="19" spans="2:14" x14ac:dyDescent="0.3">
      <c r="B19" t="s">
        <v>74</v>
      </c>
      <c r="C19" s="68">
        <f t="shared" ref="C19:M19" si="5">C3*C14</f>
        <v>0</v>
      </c>
      <c r="D19" s="69">
        <f t="shared" si="5"/>
        <v>0</v>
      </c>
      <c r="E19" s="69">
        <f t="shared" si="5"/>
        <v>0</v>
      </c>
      <c r="F19" s="69">
        <f t="shared" si="5"/>
        <v>0</v>
      </c>
      <c r="G19" s="69">
        <f t="shared" si="5"/>
        <v>14.930162951182778</v>
      </c>
      <c r="H19" s="69">
        <f t="shared" si="5"/>
        <v>181.82974013996977</v>
      </c>
      <c r="I19" s="68">
        <f t="shared" si="5"/>
        <v>482.50615420197931</v>
      </c>
      <c r="J19" s="69">
        <f t="shared" si="5"/>
        <v>532.37037795378478</v>
      </c>
      <c r="K19" s="69">
        <f t="shared" si="5"/>
        <v>526.25650716632208</v>
      </c>
      <c r="L19" s="69">
        <f t="shared" si="5"/>
        <v>463.71142584184668</v>
      </c>
      <c r="M19" s="69">
        <f t="shared" si="5"/>
        <v>403.89376216616284</v>
      </c>
      <c r="N19" s="69"/>
    </row>
    <row r="20" spans="2:14" x14ac:dyDescent="0.3">
      <c r="C20" s="6"/>
      <c r="D20" s="6"/>
      <c r="E20" s="6"/>
      <c r="F20" s="6"/>
      <c r="G20" s="6"/>
      <c r="H20" s="6"/>
    </row>
    <row r="21" spans="2:14" x14ac:dyDescent="0.3">
      <c r="B21" t="s">
        <v>75</v>
      </c>
      <c r="C21" s="6"/>
      <c r="D21" s="6"/>
      <c r="E21" s="3"/>
      <c r="F21" s="6"/>
      <c r="G21" s="6"/>
      <c r="H21" s="6"/>
      <c r="I21" s="66"/>
    </row>
    <row r="22" spans="2:14" x14ac:dyDescent="0.3">
      <c r="B22" t="s">
        <v>170</v>
      </c>
      <c r="D22" s="6"/>
      <c r="E22" s="69"/>
      <c r="F22" s="6"/>
      <c r="H22" s="69" cm="1">
        <f t="array" ref="H22">SUMPRODUCT(C$4:$H$4,C15:$H15*-1)</f>
        <v>541.57161329050837</v>
      </c>
      <c r="I22" s="67"/>
    </row>
    <row r="23" spans="2:14" x14ac:dyDescent="0.3">
      <c r="B23" t="s">
        <v>76</v>
      </c>
      <c r="D23" s="6"/>
      <c r="E23" s="69"/>
      <c r="F23" s="6"/>
      <c r="H23" s="72">
        <f>SUMPRODUCT(C$4:$H$4,C19:$H19)</f>
        <v>196.93916909856779</v>
      </c>
      <c r="I23" s="67"/>
    </row>
    <row r="24" spans="2:14" x14ac:dyDescent="0.3">
      <c r="B24" s="7" t="s">
        <v>77</v>
      </c>
      <c r="C24" s="7"/>
      <c r="D24" s="73"/>
      <c r="E24" s="74"/>
      <c r="F24" s="6"/>
      <c r="H24" s="167">
        <f>SUM(H22:H23)</f>
        <v>738.51078238907621</v>
      </c>
      <c r="I24" s="67"/>
    </row>
    <row r="25" spans="2:14" x14ac:dyDescent="0.3">
      <c r="C25" s="6"/>
      <c r="D25" s="6"/>
      <c r="E25" s="6"/>
      <c r="F25" s="6"/>
      <c r="G25" s="6"/>
      <c r="H25" s="6"/>
    </row>
    <row r="26" spans="2:14" x14ac:dyDescent="0.3">
      <c r="C26" s="6"/>
      <c r="D26" s="6"/>
      <c r="E26" s="6"/>
      <c r="F26" s="6"/>
      <c r="G26" s="3">
        <v>2020</v>
      </c>
      <c r="H26" s="104" t="s">
        <v>42</v>
      </c>
      <c r="I26" s="3" t="s">
        <v>21</v>
      </c>
    </row>
    <row r="27" spans="2:14" x14ac:dyDescent="0.3">
      <c r="B27" t="s">
        <v>171</v>
      </c>
      <c r="G27" s="69">
        <f>G14*G3</f>
        <v>14.930162951182778</v>
      </c>
      <c r="H27" s="69">
        <f>(G27+H14)*H3</f>
        <v>182.00900614738501</v>
      </c>
      <c r="I27" s="105">
        <f>SUM(G27:H27)</f>
        <v>196.93916909856779</v>
      </c>
    </row>
    <row r="28" spans="2:14" x14ac:dyDescent="0.3">
      <c r="B28" t="s">
        <v>91</v>
      </c>
      <c r="I28" s="92">
        <f>I27-H23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K71"/>
  <sheetViews>
    <sheetView zoomScale="85" zoomScaleNormal="85" workbookViewId="0">
      <pane xSplit="2" topLeftCell="C1" activePane="topRight" state="frozen"/>
      <selection activeCell="H8" sqref="H8"/>
      <selection pane="topRight" activeCell="H8" sqref="H8"/>
    </sheetView>
  </sheetViews>
  <sheetFormatPr defaultColWidth="8.88671875" defaultRowHeight="13.2" outlineLevelCol="1" x14ac:dyDescent="0.25"/>
  <cols>
    <col min="1" max="1" width="3.5546875" style="83" customWidth="1"/>
    <col min="2" max="2" width="33.5546875" style="83" customWidth="1"/>
    <col min="3" max="3" width="4.33203125" style="83" hidden="1" customWidth="1" outlineLevel="1"/>
    <col min="4" max="4" width="9" style="83" bestFit="1" customWidth="1" collapsed="1"/>
    <col min="5" max="7" width="9" style="83" bestFit="1" customWidth="1"/>
    <col min="8" max="8" width="9.5546875" style="83" bestFit="1" customWidth="1"/>
    <col min="9" max="9" width="9" style="83" bestFit="1" customWidth="1"/>
    <col min="10" max="69" width="8.88671875" style="83"/>
    <col min="70" max="70" width="10.33203125" style="83" customWidth="1"/>
    <col min="71" max="16384" width="8.88671875" style="83"/>
  </cols>
  <sheetData>
    <row r="1" spans="2:89" ht="14.4" x14ac:dyDescent="0.3">
      <c r="B1" t="s">
        <v>69</v>
      </c>
      <c r="D1" s="106">
        <f>'Forecast KLO RAB'!C3</f>
        <v>3.8716794887975373E-2</v>
      </c>
      <c r="E1" s="106">
        <f>'Forecast KLO RAB'!D3</f>
        <v>3.8262336193053012E-2</v>
      </c>
      <c r="F1" s="106">
        <f>'Forecast KLO RAB'!E3</f>
        <v>3.8013284689562575E-2</v>
      </c>
      <c r="G1" s="106">
        <f>'Forecast KLO RAB'!F3</f>
        <v>3.7449298414674724E-2</v>
      </c>
      <c r="H1" s="106">
        <f>'Forecast KLO RAB'!G3</f>
        <v>3.6258595682746808E-2</v>
      </c>
      <c r="I1" s="106">
        <f>'Forecast KLO RAB'!H3</f>
        <v>1.200696924751421E-2</v>
      </c>
    </row>
    <row r="2" spans="2:89" x14ac:dyDescent="0.25">
      <c r="B2" s="82" t="s">
        <v>192</v>
      </c>
    </row>
    <row r="3" spans="2:89" x14ac:dyDescent="0.25">
      <c r="B3" s="83" t="s">
        <v>175</v>
      </c>
    </row>
    <row r="4" spans="2:89" x14ac:dyDescent="0.25">
      <c r="B4" s="83" t="s">
        <v>166</v>
      </c>
      <c r="D4" s="84" t="s">
        <v>66</v>
      </c>
      <c r="E4" s="84" t="s">
        <v>66</v>
      </c>
      <c r="F4" s="84" t="s">
        <v>100</v>
      </c>
      <c r="G4" s="84" t="s">
        <v>100</v>
      </c>
      <c r="H4" s="84" t="s">
        <v>100</v>
      </c>
    </row>
    <row r="5" spans="2:89" x14ac:dyDescent="0.25">
      <c r="D5" s="84">
        <v>2016</v>
      </c>
      <c r="E5" s="84">
        <v>2017</v>
      </c>
      <c r="F5" s="84">
        <v>2018</v>
      </c>
      <c r="G5" s="84">
        <v>2019</v>
      </c>
      <c r="H5" s="84">
        <v>2020</v>
      </c>
      <c r="I5" s="83" t="s">
        <v>42</v>
      </c>
    </row>
    <row r="6" spans="2:89" x14ac:dyDescent="0.25">
      <c r="B6" s="99" t="s">
        <v>83</v>
      </c>
      <c r="D6" s="91">
        <f>'Capex by Asset class'!C$41*(1+D$1)^0.5</f>
        <v>0</v>
      </c>
      <c r="E6" s="91">
        <f>'Capex by Asset class'!D$41*(1+E$1)^0.5</f>
        <v>0</v>
      </c>
      <c r="F6" s="91">
        <f>'Capex by Asset class'!E$41*(1+F$1)^0.5</f>
        <v>0</v>
      </c>
      <c r="G6" s="91">
        <f>'Capex by Asset class'!F$41*(1+G$1)^0.5</f>
        <v>221.01290144077507</v>
      </c>
      <c r="H6" s="91">
        <f>'Capex by Asset class'!G$41*(1+H$1)^0.5</f>
        <v>8040.2105517481259</v>
      </c>
      <c r="I6" s="91">
        <f>'Capex by Asset class'!H$41*(1+I$1)^0.5</f>
        <v>3972.7853883002967</v>
      </c>
    </row>
    <row r="8" spans="2:89" x14ac:dyDescent="0.25">
      <c r="B8" s="83" t="s">
        <v>101</v>
      </c>
      <c r="D8" s="85">
        <v>45</v>
      </c>
    </row>
    <row r="10" spans="2:89" x14ac:dyDescent="0.25">
      <c r="B10" s="82" t="s">
        <v>222</v>
      </c>
      <c r="C10" s="82"/>
    </row>
    <row r="11" spans="2:89" x14ac:dyDescent="0.25">
      <c r="D11" s="84">
        <v>1</v>
      </c>
      <c r="E11" s="84">
        <v>2</v>
      </c>
      <c r="F11" s="84">
        <v>3</v>
      </c>
      <c r="G11" s="84">
        <v>4</v>
      </c>
      <c r="H11" s="84">
        <v>5</v>
      </c>
      <c r="I11" s="84">
        <v>6</v>
      </c>
      <c r="J11" s="96">
        <v>7</v>
      </c>
      <c r="K11" s="84">
        <v>8</v>
      </c>
      <c r="L11" s="84">
        <v>9</v>
      </c>
      <c r="M11" s="84">
        <v>10</v>
      </c>
      <c r="N11" s="84">
        <v>11</v>
      </c>
      <c r="O11" s="84">
        <v>12</v>
      </c>
      <c r="P11" s="84">
        <v>13</v>
      </c>
      <c r="Q11" s="84">
        <v>14</v>
      </c>
      <c r="R11" s="84">
        <v>15</v>
      </c>
      <c r="S11" s="84">
        <v>16</v>
      </c>
      <c r="T11" s="84">
        <v>17</v>
      </c>
      <c r="U11" s="84">
        <v>18</v>
      </c>
      <c r="V11" s="84">
        <v>19</v>
      </c>
      <c r="W11" s="84">
        <v>20</v>
      </c>
      <c r="X11" s="84">
        <v>21</v>
      </c>
      <c r="Y11" s="84">
        <v>22</v>
      </c>
      <c r="Z11" s="84">
        <v>23</v>
      </c>
      <c r="AA11" s="84">
        <v>24</v>
      </c>
      <c r="AB11" s="84">
        <v>25</v>
      </c>
      <c r="AC11" s="84">
        <v>26</v>
      </c>
      <c r="AD11" s="84">
        <v>27</v>
      </c>
      <c r="AE11" s="84">
        <v>28</v>
      </c>
      <c r="AF11" s="84">
        <v>29</v>
      </c>
      <c r="AG11" s="84">
        <v>30</v>
      </c>
      <c r="AH11" s="84">
        <v>31</v>
      </c>
      <c r="AI11" s="84">
        <v>32</v>
      </c>
      <c r="AJ11" s="84">
        <v>33</v>
      </c>
      <c r="AK11" s="84">
        <v>34</v>
      </c>
      <c r="AL11" s="84">
        <v>35</v>
      </c>
      <c r="AM11" s="84">
        <v>36</v>
      </c>
      <c r="AN11" s="84">
        <v>37</v>
      </c>
      <c r="AO11" s="84">
        <v>38</v>
      </c>
      <c r="AP11" s="84">
        <v>39</v>
      </c>
      <c r="AQ11" s="84">
        <v>40</v>
      </c>
      <c r="AR11" s="84">
        <v>41</v>
      </c>
      <c r="AS11" s="84">
        <v>42</v>
      </c>
      <c r="AT11" s="84">
        <v>43</v>
      </c>
      <c r="AU11" s="84">
        <v>44</v>
      </c>
      <c r="AV11" s="84">
        <v>45</v>
      </c>
      <c r="AW11" s="84">
        <v>46</v>
      </c>
      <c r="AX11" s="84">
        <v>47</v>
      </c>
      <c r="AY11" s="84">
        <v>48</v>
      </c>
      <c r="AZ11" s="84">
        <v>49</v>
      </c>
      <c r="BA11" s="84">
        <v>50</v>
      </c>
      <c r="BB11" s="84">
        <v>51</v>
      </c>
      <c r="BC11" s="84">
        <v>52</v>
      </c>
      <c r="BD11" s="84">
        <v>53</v>
      </c>
      <c r="BE11" s="84">
        <v>54</v>
      </c>
      <c r="BF11" s="84">
        <v>55</v>
      </c>
      <c r="BG11" s="84">
        <v>56</v>
      </c>
      <c r="BH11" s="84">
        <v>57</v>
      </c>
      <c r="BI11" s="84">
        <v>58</v>
      </c>
      <c r="BJ11" s="84">
        <v>59</v>
      </c>
      <c r="BK11" s="84">
        <v>60</v>
      </c>
      <c r="BL11" s="84">
        <v>61</v>
      </c>
      <c r="BM11" s="84">
        <v>62</v>
      </c>
      <c r="BN11" s="84">
        <v>63</v>
      </c>
      <c r="BO11" s="84">
        <v>64</v>
      </c>
      <c r="BP11" s="84">
        <v>65</v>
      </c>
      <c r="BQ11" s="84">
        <v>66</v>
      </c>
    </row>
    <row r="12" spans="2:89" x14ac:dyDescent="0.25">
      <c r="B12" s="86" t="str">
        <f>B6</f>
        <v>Subtransmission</v>
      </c>
      <c r="C12" s="82"/>
      <c r="D12" s="84">
        <v>2016</v>
      </c>
      <c r="E12" s="84">
        <v>2017</v>
      </c>
      <c r="F12" s="84">
        <v>2018</v>
      </c>
      <c r="G12" s="84">
        <v>2019</v>
      </c>
      <c r="H12" s="84">
        <v>2020</v>
      </c>
      <c r="I12" s="84" t="s">
        <v>42</v>
      </c>
      <c r="J12" s="96" t="s">
        <v>63</v>
      </c>
      <c r="K12" s="84" t="s">
        <v>64</v>
      </c>
      <c r="L12" s="84" t="s">
        <v>65</v>
      </c>
      <c r="M12" s="84" t="s">
        <v>46</v>
      </c>
      <c r="N12" s="84" t="s">
        <v>47</v>
      </c>
      <c r="O12" s="84" t="s">
        <v>68</v>
      </c>
      <c r="P12" s="84" t="s">
        <v>156</v>
      </c>
      <c r="Q12" s="84" t="s">
        <v>155</v>
      </c>
      <c r="R12" s="84" t="s">
        <v>154</v>
      </c>
      <c r="S12" s="84" t="s">
        <v>153</v>
      </c>
      <c r="T12" s="84" t="s">
        <v>152</v>
      </c>
      <c r="U12" s="84" t="s">
        <v>151</v>
      </c>
      <c r="V12" s="84" t="s">
        <v>150</v>
      </c>
      <c r="W12" s="84" t="s">
        <v>149</v>
      </c>
      <c r="X12" s="84" t="s">
        <v>148</v>
      </c>
      <c r="Y12" s="84" t="s">
        <v>147</v>
      </c>
      <c r="Z12" s="84" t="s">
        <v>146</v>
      </c>
      <c r="AA12" s="84" t="s">
        <v>145</v>
      </c>
      <c r="AB12" s="84" t="s">
        <v>144</v>
      </c>
      <c r="AC12" s="84" t="s">
        <v>143</v>
      </c>
      <c r="AD12" s="84" t="s">
        <v>142</v>
      </c>
      <c r="AE12" s="84" t="s">
        <v>141</v>
      </c>
      <c r="AF12" s="84" t="s">
        <v>140</v>
      </c>
      <c r="AG12" s="84" t="s">
        <v>139</v>
      </c>
      <c r="AH12" s="84" t="s">
        <v>138</v>
      </c>
      <c r="AI12" s="84" t="s">
        <v>137</v>
      </c>
      <c r="AJ12" s="84" t="s">
        <v>136</v>
      </c>
      <c r="AK12" s="84" t="s">
        <v>135</v>
      </c>
      <c r="AL12" s="84" t="s">
        <v>134</v>
      </c>
      <c r="AM12" s="84" t="s">
        <v>133</v>
      </c>
      <c r="AN12" s="84" t="s">
        <v>132</v>
      </c>
      <c r="AO12" s="84" t="s">
        <v>131</v>
      </c>
      <c r="AP12" s="84" t="s">
        <v>130</v>
      </c>
      <c r="AQ12" s="84" t="s">
        <v>129</v>
      </c>
      <c r="AR12" s="84" t="s">
        <v>128</v>
      </c>
      <c r="AS12" s="84" t="s">
        <v>127</v>
      </c>
      <c r="AT12" s="84" t="s">
        <v>126</v>
      </c>
      <c r="AU12" s="84" t="s">
        <v>125</v>
      </c>
      <c r="AV12" s="84" t="s">
        <v>124</v>
      </c>
      <c r="AW12" s="84" t="s">
        <v>123</v>
      </c>
      <c r="AX12" s="84" t="s">
        <v>122</v>
      </c>
      <c r="AY12" s="84" t="s">
        <v>121</v>
      </c>
      <c r="AZ12" s="84" t="s">
        <v>120</v>
      </c>
      <c r="BA12" s="84" t="s">
        <v>119</v>
      </c>
      <c r="BB12" s="84" t="s">
        <v>118</v>
      </c>
      <c r="BC12" s="84" t="s">
        <v>117</v>
      </c>
      <c r="BD12" s="84" t="s">
        <v>116</v>
      </c>
      <c r="BE12" s="84" t="s">
        <v>115</v>
      </c>
      <c r="BF12" s="84" t="s">
        <v>114</v>
      </c>
      <c r="BG12" s="84" t="s">
        <v>113</v>
      </c>
      <c r="BH12" s="84" t="s">
        <v>112</v>
      </c>
      <c r="BI12" s="84" t="s">
        <v>111</v>
      </c>
      <c r="BJ12" s="84" t="s">
        <v>110</v>
      </c>
      <c r="BK12" s="84" t="s">
        <v>109</v>
      </c>
      <c r="BL12" s="84" t="s">
        <v>102</v>
      </c>
      <c r="BM12" s="84" t="s">
        <v>103</v>
      </c>
      <c r="BN12" s="84" t="s">
        <v>104</v>
      </c>
      <c r="BO12" s="84" t="s">
        <v>105</v>
      </c>
      <c r="BP12" s="84" t="s">
        <v>106</v>
      </c>
      <c r="BQ12" s="84" t="s">
        <v>107</v>
      </c>
      <c r="BR12" s="84" t="s">
        <v>10</v>
      </c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</row>
    <row r="13" spans="2:89" ht="14.4" x14ac:dyDescent="0.3">
      <c r="B13" s="83" t="s">
        <v>158</v>
      </c>
      <c r="D13" s="87"/>
      <c r="E13" s="87"/>
      <c r="F13" s="87"/>
      <c r="G13" s="87"/>
      <c r="H13" s="87"/>
      <c r="I13" s="87"/>
      <c r="J13" s="9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R13" s="88">
        <f>SUM(D13:BQ13)</f>
        <v>0</v>
      </c>
      <c r="BS13" s="85"/>
    </row>
    <row r="14" spans="2:89" ht="14.4" x14ac:dyDescent="0.3">
      <c r="B14" s="83" t="s">
        <v>160</v>
      </c>
      <c r="C14" s="83">
        <v>1</v>
      </c>
      <c r="E14" s="89">
        <f>IF(E$11-$C14&gt;$D$8,$D$6-SUM(D14:$E14),$D$6/$D$8)</f>
        <v>0</v>
      </c>
      <c r="F14" s="89">
        <f>IF(F$11-$C14&gt;$D$8,$D$6-SUM(E14:$E14),$D$6/$D$8)</f>
        <v>0</v>
      </c>
      <c r="G14" s="89">
        <f>IF(G$11-$C14&gt;$D$8,$D$6-SUM($E14:F14),$D$6/$D$8)</f>
        <v>0</v>
      </c>
      <c r="H14" s="89">
        <f>IF(H$11-$C14&gt;$D$8,$D$6-SUM($E14:G14),$D$6/$D$8)</f>
        <v>0</v>
      </c>
      <c r="I14" s="89">
        <f>IF(I$11-$C14&gt;$D$8,$D$6-SUM($E14:H14),$D$6/$D$8)</f>
        <v>0</v>
      </c>
      <c r="J14" s="98">
        <f>IF(J$11-$C14&gt;$D$8,$D$6-SUM($E14:I14),$D$6/$D$8)</f>
        <v>0</v>
      </c>
      <c r="K14" s="89">
        <f>IF(K$11-$C14&gt;$D$8,$D$6-SUM($E14:J14),$D$6/$D$8)</f>
        <v>0</v>
      </c>
      <c r="L14" s="89">
        <f>IF(L$11-$C14&gt;$D$8,$D$6-SUM($E14:K14),$D$6/$D$8)</f>
        <v>0</v>
      </c>
      <c r="M14" s="89">
        <f>IF(M$11-$C14&gt;$D$8,$D$6-SUM($E14:L14),$D$6/$D$8)</f>
        <v>0</v>
      </c>
      <c r="N14" s="89">
        <f>IF(N$11-$C14&gt;$D$8,$D$6-SUM($E14:M14),$D$6/$D$8)</f>
        <v>0</v>
      </c>
      <c r="O14" s="89">
        <f>IF(O$11-$C14&gt;$D$8,$D$6-SUM($E14:N14),$D$6/$D$8)</f>
        <v>0</v>
      </c>
      <c r="P14" s="89">
        <f>IF(P$11-$C14&gt;$D$8,$D$6-SUM($E14:O14),$D$6/$D$8)</f>
        <v>0</v>
      </c>
      <c r="Q14" s="89">
        <f>IF(Q$11-$C14&gt;$D$8,$D$6-SUM($E14:P14),$D$6/$D$8)</f>
        <v>0</v>
      </c>
      <c r="R14" s="89">
        <f>IF(R$11-$C14&gt;$D$8,$D$6-SUM($E14:Q14),$D$6/$D$8)</f>
        <v>0</v>
      </c>
      <c r="S14" s="89">
        <f>IF(S$11-$C14&gt;$D$8,$D$6-SUM($E14:R14),$D$6/$D$8)</f>
        <v>0</v>
      </c>
      <c r="T14" s="89">
        <f>IF(T$11-$C14&gt;$D$8,$D$6-SUM($E14:S14),$D$6/$D$8)</f>
        <v>0</v>
      </c>
      <c r="U14" s="89">
        <f>IF(U$11-$C14&gt;$D$8,$D$6-SUM($E14:T14),$D$6/$D$8)</f>
        <v>0</v>
      </c>
      <c r="V14" s="89">
        <f>IF(V$11-$C14&gt;$D$8,$D$6-SUM($E14:U14),$D$6/$D$8)</f>
        <v>0</v>
      </c>
      <c r="W14" s="89">
        <f>IF(W$11-$C14&gt;$D$8,$D$6-SUM($E14:V14),$D$6/$D$8)</f>
        <v>0</v>
      </c>
      <c r="X14" s="89">
        <f>IF(X$11-$C14&gt;$D$8,$D$6-SUM($E14:W14),$D$6/$D$8)</f>
        <v>0</v>
      </c>
      <c r="Y14" s="89">
        <f>IF(Y$11-$C14&gt;$D$8,$D$6-SUM($E14:X14),$D$6/$D$8)</f>
        <v>0</v>
      </c>
      <c r="Z14" s="89">
        <f>IF(Z$11-$C14&gt;$D$8,$D$6-SUM($E14:Y14),$D$6/$D$8)</f>
        <v>0</v>
      </c>
      <c r="AA14" s="89">
        <f>IF(AA$11-$C14&gt;$D$8,$D$6-SUM($E14:Z14),$D$6/$D$8)</f>
        <v>0</v>
      </c>
      <c r="AB14" s="89">
        <f>IF(AB$11-$C14&gt;$D$8,$D$6-SUM($E14:AA14),$D$6/$D$8)</f>
        <v>0</v>
      </c>
      <c r="AC14" s="89">
        <f>IF(AC$11-$C14&gt;$D$8,$D$6-SUM($E14:AB14),$D$6/$D$8)</f>
        <v>0</v>
      </c>
      <c r="AD14" s="89">
        <f>IF(AD$11-$C14&gt;$D$8,$D$6-SUM($E14:AC14),$D$6/$D$8)</f>
        <v>0</v>
      </c>
      <c r="AE14" s="89">
        <f>IF(AE$11-$C14&gt;$D$8,$D$6-SUM($E14:AD14),$D$6/$D$8)</f>
        <v>0</v>
      </c>
      <c r="AF14" s="89">
        <f>IF(AF$11-$C14&gt;$D$8,$D$6-SUM($E14:AE14),$D$6/$D$8)</f>
        <v>0</v>
      </c>
      <c r="AG14" s="89">
        <f>IF(AG$11-$C14&gt;$D$8,$D$6-SUM($E14:AF14),$D$6/$D$8)</f>
        <v>0</v>
      </c>
      <c r="AH14" s="89">
        <f>IF(AH$11-$C14&gt;$D$8,$D$6-SUM($E14:AG14),$D$6/$D$8)</f>
        <v>0</v>
      </c>
      <c r="AI14" s="89">
        <f>IF(AI$11-$C14&gt;$D$8,$D$6-SUM($E14:AH14),$D$6/$D$8)</f>
        <v>0</v>
      </c>
      <c r="AJ14" s="89">
        <f>IF(AJ$11-$C14&gt;$D$8,$D$6-SUM($E14:AI14),$D$6/$D$8)</f>
        <v>0</v>
      </c>
      <c r="AK14" s="89">
        <f>IF(AK$11-$C14&gt;$D$8,$D$6-SUM($E14:AJ14),$D$6/$D$8)</f>
        <v>0</v>
      </c>
      <c r="AL14" s="89">
        <f>IF(AL$11-$C14&gt;$D$8,$D$6-SUM($E14:AK14),$D$6/$D$8)</f>
        <v>0</v>
      </c>
      <c r="AM14" s="89">
        <f>IF(AM$11-$C14&gt;$D$8,$D$6-SUM($E14:AL14),$D$6/$D$8)</f>
        <v>0</v>
      </c>
      <c r="AN14" s="89">
        <f>IF(AN$11-$C14&gt;$D$8,$D$6-SUM($E14:AM14),$D$6/$D$8)</f>
        <v>0</v>
      </c>
      <c r="AO14" s="89">
        <f>IF(AO$11-$C14&gt;$D$8,$D$6-SUM($E14:AN14),$D$6/$D$8)</f>
        <v>0</v>
      </c>
      <c r="AP14" s="89">
        <f>IF(AP$11-$C14&gt;$D$8,$D$6-SUM($E14:AO14),$D$6/$D$8)</f>
        <v>0</v>
      </c>
      <c r="AQ14" s="89">
        <f>IF(AQ$11-$C14&gt;$D$8,$D$6-SUM($E14:AP14),$D$6/$D$8)</f>
        <v>0</v>
      </c>
      <c r="AR14" s="89">
        <f>IF(AR$11-$C14&gt;$D$8,$D$6-SUM($E14:AQ14),$D$6/$D$8)</f>
        <v>0</v>
      </c>
      <c r="AS14" s="89">
        <f>IF(AS$11-$C14&gt;$D$8,$D$6-SUM($E14:AR14),$D$6/$D$8)</f>
        <v>0</v>
      </c>
      <c r="AT14" s="89">
        <f>IF(AT$11-$C14&gt;$D$8,$D$6-SUM($E14:AS14),$D$6/$D$8)</f>
        <v>0</v>
      </c>
      <c r="AU14" s="89">
        <f>IF(AU$11-$C14&gt;$D$8,$D$6-SUM($E14:AT14),$D$6/$D$8)</f>
        <v>0</v>
      </c>
      <c r="AV14" s="89">
        <f>IF(AV$11-$C14&gt;$D$8,$D$6-SUM($E14:AU14),$D$6/$D$8)</f>
        <v>0</v>
      </c>
      <c r="AW14" s="89">
        <f>IF(AW$11-$C14&gt;$D$8,$D$6-SUM($E14:AV14),$D$6/$D$8)</f>
        <v>0</v>
      </c>
      <c r="AX14" s="89">
        <f>IF(AX$11-$C14&gt;$D$8,$D$6-SUM($E14:AW14),$D$6/$D$8)</f>
        <v>0</v>
      </c>
      <c r="AY14" s="89">
        <f>IF(AY$11-$C14&gt;$D$8,$D$6-SUM($E14:AX14),$D$6/$D$8)</f>
        <v>0</v>
      </c>
      <c r="AZ14" s="89">
        <f>IF(AZ$11-$C14&gt;$D$8,$D$6-SUM($E14:AY14),$D$6/$D$8)</f>
        <v>0</v>
      </c>
      <c r="BA14" s="89">
        <f>IF(BA$11-$C14&gt;$D$8,$D$6-SUM($E14:AZ14),$D$6/$D$8)</f>
        <v>0</v>
      </c>
      <c r="BB14" s="89">
        <f>IF(BB$11-$C14&gt;$D$8,$D$6-SUM($E14:BA14),$D$6/$D$8)</f>
        <v>0</v>
      </c>
      <c r="BC14" s="89">
        <f>IF(BC$11-$C14&gt;$D$8,$D$6-SUM($E14:BB14),$D$6/$D$8)</f>
        <v>0</v>
      </c>
      <c r="BD14" s="89">
        <f>IF(BD$11-$C14&gt;$D$8,$D$6-SUM($E14:BC14),$D$6/$D$8)</f>
        <v>0</v>
      </c>
      <c r="BE14" s="89">
        <f>IF(BE$11-$C14&gt;$D$8,$D$6-SUM($E14:BD14),$D$6/$D$8)</f>
        <v>0</v>
      </c>
      <c r="BF14" s="89">
        <f>IF(BF$11-$C14&gt;$D$8,$D$6-SUM($E14:BE14),$D$6/$D$8)</f>
        <v>0</v>
      </c>
      <c r="BG14" s="89">
        <f>IF(BG$11-$C14&gt;$D$8,$D$6-SUM($E14:BF14),$D$6/$D$8)</f>
        <v>0</v>
      </c>
      <c r="BH14" s="89">
        <f>IF(BH$11-$C14&gt;$D$8,$D$6-SUM($E14:BG14),$D$6/$D$8)</f>
        <v>0</v>
      </c>
      <c r="BI14" s="89">
        <f>IF(BI$11-$C14&gt;$D$8,$D$6-SUM($E14:BH14),$D$6/$D$8)</f>
        <v>0</v>
      </c>
      <c r="BJ14" s="89">
        <f>IF(BJ$11-$C14&gt;$D$8,$D$6-SUM($E14:BI14),$D$6/$D$8)</f>
        <v>0</v>
      </c>
      <c r="BK14" s="89">
        <f>IF(BK$11-$C14&gt;$D$8,$D$6-SUM($E14:BJ14),$D$6/$D$8)</f>
        <v>0</v>
      </c>
      <c r="BL14" s="89">
        <f>IF(BL$11-$C14&gt;$D$8,$D$6-SUM($E14:BK14),$D$6/$D$8)</f>
        <v>0</v>
      </c>
      <c r="BM14" s="89">
        <f>IF(BM$11-$C14&gt;$D$8,$D$6-SUM($E14:BL14),$D$6/$D$8)</f>
        <v>0</v>
      </c>
      <c r="BN14" s="89">
        <f>IF(BN$11-$C14&gt;$D$8,$D$6-SUM($E14:BM14),$D$6/$D$8)</f>
        <v>0</v>
      </c>
      <c r="BO14" s="89">
        <f>IF(BO$11-$C14&gt;$D$8,$D$6-SUM($E14:BN14),$D$6/$D$8)</f>
        <v>0</v>
      </c>
      <c r="BP14" s="89">
        <f>IF(BP$11-$C14&gt;$D$8,$D$6-SUM($E14:BO14),$D$6/$D$8)</f>
        <v>0</v>
      </c>
      <c r="BR14" s="88">
        <f t="shared" ref="BR14:BR19" si="0">SUM(D14:BQ14)</f>
        <v>0</v>
      </c>
      <c r="BS14" s="83" t="b">
        <f>BR14=D6</f>
        <v>1</v>
      </c>
    </row>
    <row r="15" spans="2:89" ht="14.4" x14ac:dyDescent="0.3">
      <c r="B15" s="83" t="s">
        <v>161</v>
      </c>
      <c r="C15" s="83">
        <v>2</v>
      </c>
      <c r="F15" s="89">
        <f>IF(F$11-$C15&gt;$D$8,$E$6-SUM(E15:$E15),$E$6/$D$8)</f>
        <v>0</v>
      </c>
      <c r="G15" s="89">
        <f>IF(G$11-$C15&gt;$D$8,$E$6-SUM($E15:F15),$E$6/$D$8)</f>
        <v>0</v>
      </c>
      <c r="H15" s="89">
        <f>IF(H$11-$C15&gt;$D$8,$E$6-SUM($E15:G15),$E$6/$D$8)</f>
        <v>0</v>
      </c>
      <c r="I15" s="89">
        <f>IF(I$11-$C15&gt;$D$8,$E$6-SUM($E15:H15),$E$6/$D$8)</f>
        <v>0</v>
      </c>
      <c r="J15" s="98">
        <f>IF(J$11-$C15&gt;$D$8,$E$6-SUM($E15:I15),$E$6/$D$8)</f>
        <v>0</v>
      </c>
      <c r="K15" s="89">
        <f>IF(K$11-$C15&gt;$D$8,$E$6-SUM($E15:J15),$E$6/$D$8)</f>
        <v>0</v>
      </c>
      <c r="L15" s="89">
        <f>IF(L$11-$C15&gt;$D$8,$E$6-SUM($E15:K15),$E$6/$D$8)</f>
        <v>0</v>
      </c>
      <c r="M15" s="89">
        <f>IF(M$11-$C15&gt;$D$8,$E$6-SUM($E15:L15),$E$6/$D$8)</f>
        <v>0</v>
      </c>
      <c r="N15" s="89">
        <f>IF(N$11-$C15&gt;$D$8,$E$6-SUM($E15:M15),$E$6/$D$8)</f>
        <v>0</v>
      </c>
      <c r="O15" s="89">
        <f>IF(O$11-$C15&gt;$D$8,$E$6-SUM($E15:N15),$E$6/$D$8)</f>
        <v>0</v>
      </c>
      <c r="P15" s="89">
        <f>IF(P$11-$C15&gt;$D$8,$E$6-SUM($E15:O15),$E$6/$D$8)</f>
        <v>0</v>
      </c>
      <c r="Q15" s="89">
        <f>IF(Q$11-$C15&gt;$D$8,$E$6-SUM($E15:P15),$E$6/$D$8)</f>
        <v>0</v>
      </c>
      <c r="R15" s="89">
        <f>IF(R$11-$C15&gt;$D$8,$E$6-SUM($E15:Q15),$E$6/$D$8)</f>
        <v>0</v>
      </c>
      <c r="S15" s="89">
        <f>IF(S$11-$C15&gt;$D$8,$E$6-SUM($E15:R15),$E$6/$D$8)</f>
        <v>0</v>
      </c>
      <c r="T15" s="89">
        <f>IF(T$11-$C15&gt;$D$8,$E$6-SUM($E15:S15),$E$6/$D$8)</f>
        <v>0</v>
      </c>
      <c r="U15" s="89">
        <f>IF(U$11-$C15&gt;$D$8,$E$6-SUM($E15:T15),$E$6/$D$8)</f>
        <v>0</v>
      </c>
      <c r="V15" s="89">
        <f>IF(V$11-$C15&gt;$D$8,$E$6-SUM($E15:U15),$E$6/$D$8)</f>
        <v>0</v>
      </c>
      <c r="W15" s="89">
        <f>IF(W$11-$C15&gt;$D$8,$E$6-SUM($E15:V15),$E$6/$D$8)</f>
        <v>0</v>
      </c>
      <c r="X15" s="89">
        <f>IF(X$11-$C15&gt;$D$8,$E$6-SUM($E15:W15),$E$6/$D$8)</f>
        <v>0</v>
      </c>
      <c r="Y15" s="89">
        <f>IF(Y$11-$C15&gt;$D$8,$E$6-SUM($E15:X15),$E$6/$D$8)</f>
        <v>0</v>
      </c>
      <c r="Z15" s="89">
        <f>IF(Z$11-$C15&gt;$D$8,$E$6-SUM($E15:Y15),$E$6/$D$8)</f>
        <v>0</v>
      </c>
      <c r="AA15" s="89">
        <f>IF(AA$11-$C15&gt;$D$8,$E$6-SUM($E15:Z15),$E$6/$D$8)</f>
        <v>0</v>
      </c>
      <c r="AB15" s="89">
        <f>IF(AB$11-$C15&gt;$D$8,$E$6-SUM($E15:AA15),$E$6/$D$8)</f>
        <v>0</v>
      </c>
      <c r="AC15" s="89">
        <f>IF(AC$11-$C15&gt;$D$8,$E$6-SUM($E15:AB15),$E$6/$D$8)</f>
        <v>0</v>
      </c>
      <c r="AD15" s="89">
        <f>IF(AD$11-$C15&gt;$D$8,$E$6-SUM($E15:AC15),$E$6/$D$8)</f>
        <v>0</v>
      </c>
      <c r="AE15" s="89">
        <f>IF(AE$11-$C15&gt;$D$8,$E$6-SUM($E15:AD15),$E$6/$D$8)</f>
        <v>0</v>
      </c>
      <c r="AF15" s="89">
        <f>IF(AF$11-$C15&gt;$D$8,$E$6-SUM($E15:AE15),$E$6/$D$8)</f>
        <v>0</v>
      </c>
      <c r="AG15" s="89">
        <f>IF(AG$11-$C15&gt;$D$8,$E$6-SUM($E15:AF15),$E$6/$D$8)</f>
        <v>0</v>
      </c>
      <c r="AH15" s="89">
        <f>IF(AH$11-$C15&gt;$D$8,$E$6-SUM($E15:AG15),$E$6/$D$8)</f>
        <v>0</v>
      </c>
      <c r="AI15" s="89">
        <f>IF(AI$11-$C15&gt;$D$8,$E$6-SUM($E15:AH15),$E$6/$D$8)</f>
        <v>0</v>
      </c>
      <c r="AJ15" s="89">
        <f>IF(AJ$11-$C15&gt;$D$8,$E$6-SUM($E15:AI15),$E$6/$D$8)</f>
        <v>0</v>
      </c>
      <c r="AK15" s="89">
        <f>IF(AK$11-$C15&gt;$D$8,$E$6-SUM($E15:AJ15),$E$6/$D$8)</f>
        <v>0</v>
      </c>
      <c r="AL15" s="89">
        <f>IF(AL$11-$C15&gt;$D$8,$E$6-SUM($E15:AK15),$E$6/$D$8)</f>
        <v>0</v>
      </c>
      <c r="AM15" s="89">
        <f>IF(AM$11-$C15&gt;$D$8,$E$6-SUM($E15:AL15),$E$6/$D$8)</f>
        <v>0</v>
      </c>
      <c r="AN15" s="89">
        <f>IF(AN$11-$C15&gt;$D$8,$E$6-SUM($E15:AM15),$E$6/$D$8)</f>
        <v>0</v>
      </c>
      <c r="AO15" s="89">
        <f>IF(AO$11-$C15&gt;$D$8,$E$6-SUM($E15:AN15),$E$6/$D$8)</f>
        <v>0</v>
      </c>
      <c r="AP15" s="89">
        <f>IF(AP$11-$C15&gt;$D$8,$E$6-SUM($E15:AO15),$E$6/$D$8)</f>
        <v>0</v>
      </c>
      <c r="AQ15" s="89">
        <f>IF(AQ$11-$C15&gt;$D$8,$E$6-SUM($E15:AP15),$E$6/$D$8)</f>
        <v>0</v>
      </c>
      <c r="AR15" s="89">
        <f>IF(AR$11-$C15&gt;$D$8,$E$6-SUM($E15:AQ15),$E$6/$D$8)</f>
        <v>0</v>
      </c>
      <c r="AS15" s="89">
        <f>IF(AS$11-$C15&gt;$D$8,$E$6-SUM($E15:AR15),$E$6/$D$8)</f>
        <v>0</v>
      </c>
      <c r="AT15" s="89">
        <f>IF(AT$11-$C15&gt;$D$8,$E$6-SUM($E15:AS15),$E$6/$D$8)</f>
        <v>0</v>
      </c>
      <c r="AU15" s="89">
        <f>IF(AU$11-$C15&gt;$D$8,$E$6-SUM($E15:AT15),$E$6/$D$8)</f>
        <v>0</v>
      </c>
      <c r="AV15" s="89">
        <f>IF(AV$11-$C15&gt;$D$8,$E$6-SUM($E15:AU15),$E$6/$D$8)</f>
        <v>0</v>
      </c>
      <c r="AW15" s="89">
        <f>IF(AW$11-$C15&gt;$D$8,$E$6-SUM($E15:AV15),$E$6/$D$8)</f>
        <v>0</v>
      </c>
      <c r="AX15" s="89">
        <f>IF(AX$11-$C15&gt;$D$8,$E$6-SUM($E15:AW15),$E$6/$D$8)</f>
        <v>0</v>
      </c>
      <c r="AY15" s="89">
        <f>IF(AY$11-$C15&gt;$D$8,$E$6-SUM($E15:AX15),$E$6/$D$8)</f>
        <v>0</v>
      </c>
      <c r="AZ15" s="89">
        <f>IF(AZ$11-$C15&gt;$D$8,$E$6-SUM($E15:AY15),$E$6/$D$8)</f>
        <v>0</v>
      </c>
      <c r="BA15" s="89">
        <f>IF(BA$11-$C15&gt;$D$8,$E$6-SUM($E15:AZ15),$E$6/$D$8)</f>
        <v>0</v>
      </c>
      <c r="BB15" s="89">
        <f>IF(BB$11-$C15&gt;$D$8,$E$6-SUM($E15:BA15),$E$6/$D$8)</f>
        <v>0</v>
      </c>
      <c r="BC15" s="89">
        <f>IF(BC$11-$C15&gt;$D$8,$E$6-SUM($E15:BB15),$E$6/$D$8)</f>
        <v>0</v>
      </c>
      <c r="BD15" s="89">
        <f>IF(BD$11-$C15&gt;$D$8,$E$6-SUM($E15:BC15),$E$6/$D$8)</f>
        <v>0</v>
      </c>
      <c r="BE15" s="89">
        <f>IF(BE$11-$C15&gt;$D$8,$E$6-SUM($E15:BD15),$E$6/$D$8)</f>
        <v>0</v>
      </c>
      <c r="BF15" s="89">
        <f>IF(BF$11-$C15&gt;$D$8,$E$6-SUM($E15:BE15),$E$6/$D$8)</f>
        <v>0</v>
      </c>
      <c r="BG15" s="89">
        <f>IF(BG$11-$C15&gt;$D$8,$E$6-SUM($E15:BF15),$E$6/$D$8)</f>
        <v>0</v>
      </c>
      <c r="BH15" s="89">
        <f>IF(BH$11-$C15&gt;$D$8,$E$6-SUM($E15:BG15),$E$6/$D$8)</f>
        <v>0</v>
      </c>
      <c r="BI15" s="89">
        <f>IF(BI$11-$C15&gt;$D$8,$E$6-SUM($E15:BH15),$E$6/$D$8)</f>
        <v>0</v>
      </c>
      <c r="BJ15" s="89">
        <f>IF(BJ$11-$C15&gt;$D$8,$E$6-SUM($E15:BI15),$E$6/$D$8)</f>
        <v>0</v>
      </c>
      <c r="BK15" s="89">
        <f>IF(BK$11-$C15&gt;$D$8,$E$6-SUM($E15:BJ15),$E$6/$D$8)</f>
        <v>0</v>
      </c>
      <c r="BL15" s="89">
        <f>IF(BL$11-$C15&gt;$D$8,$E$6-SUM($E15:BK15),$E$6/$D$8)</f>
        <v>0</v>
      </c>
      <c r="BM15" s="89">
        <f>IF(BM$11-$C15&gt;$D$8,$E$6-SUM($E15:BL15),$E$6/$D$8)</f>
        <v>0</v>
      </c>
      <c r="BN15" s="89">
        <f>IF(BN$11-$C15&gt;$D$8,$E$6-SUM($E15:BM15),$E$6/$D$8)</f>
        <v>0</v>
      </c>
      <c r="BO15" s="89">
        <f>IF(BO$11-$C15&gt;$D$8,$E$6-SUM($E15:BN15),$E$6/$D$8)</f>
        <v>0</v>
      </c>
      <c r="BP15" s="89">
        <f>IF(BP$11-$C15&gt;$D$8,$E$6-SUM($E15:BO15),$E$6/$D$8)</f>
        <v>0</v>
      </c>
      <c r="BR15" s="88">
        <f t="shared" si="0"/>
        <v>0</v>
      </c>
      <c r="BS15" s="83" t="b">
        <f>BR15=E6</f>
        <v>1</v>
      </c>
    </row>
    <row r="16" spans="2:89" ht="14.4" x14ac:dyDescent="0.3">
      <c r="B16" s="83" t="s">
        <v>162</v>
      </c>
      <c r="C16" s="83">
        <v>3</v>
      </c>
      <c r="G16" s="89">
        <f>IF(G$11-$C16&gt;$D$8,$F$6-SUM($E16:F16),$F$6/$D$8)</f>
        <v>0</v>
      </c>
      <c r="H16" s="89">
        <f>IF(H$11-$C16&gt;$D$8,$F$6-SUM($E16:G16),$F$6/$D$8)</f>
        <v>0</v>
      </c>
      <c r="I16" s="89">
        <f>IF(I$11-$C16&gt;$D$8,$F$6-SUM($E16:H16),$F$6/$D$8)</f>
        <v>0</v>
      </c>
      <c r="J16" s="98">
        <f>IF(J$11-$C16&gt;$D$8,$F$6-SUM($E16:I16),$F$6/$D$8)</f>
        <v>0</v>
      </c>
      <c r="K16" s="89">
        <f>IF(K$11-$C16&gt;$D$8,$F$6-SUM($E16:J16),$F$6/$D$8)</f>
        <v>0</v>
      </c>
      <c r="L16" s="89">
        <f>IF(L$11-$C16&gt;$D$8,$F$6-SUM($E16:K16),$F$6/$D$8)</f>
        <v>0</v>
      </c>
      <c r="M16" s="89">
        <f>IF(M$11-$C16&gt;$D$8,$F$6-SUM($E16:L16),$F$6/$D$8)</f>
        <v>0</v>
      </c>
      <c r="N16" s="89">
        <f>IF(N$11-$C16&gt;$D$8,$F$6-SUM($E16:M16),$F$6/$D$8)</f>
        <v>0</v>
      </c>
      <c r="O16" s="89">
        <f>IF(O$11-$C16&gt;$D$8,$F$6-SUM($E16:N16),$F$6/$D$8)</f>
        <v>0</v>
      </c>
      <c r="P16" s="89">
        <f>IF(P$11-$C16&gt;$D$8,$F$6-SUM($E16:O16),$F$6/$D$8)</f>
        <v>0</v>
      </c>
      <c r="Q16" s="89">
        <f>IF(Q$11-$C16&gt;$D$8,$F$6-SUM($E16:P16),$F$6/$D$8)</f>
        <v>0</v>
      </c>
      <c r="R16" s="89">
        <f>IF(R$11-$C16&gt;$D$8,$F$6-SUM($E16:Q16),$F$6/$D$8)</f>
        <v>0</v>
      </c>
      <c r="S16" s="89">
        <f>IF(S$11-$C16&gt;$D$8,$F$6-SUM($E16:R16),$F$6/$D$8)</f>
        <v>0</v>
      </c>
      <c r="T16" s="89">
        <f>IF(T$11-$C16&gt;$D$8,$F$6-SUM($E16:S16),$F$6/$D$8)</f>
        <v>0</v>
      </c>
      <c r="U16" s="89">
        <f>IF(U$11-$C16&gt;$D$8,$F$6-SUM($E16:T16),$F$6/$D$8)</f>
        <v>0</v>
      </c>
      <c r="V16" s="89">
        <f>IF(V$11-$C16&gt;$D$8,$F$6-SUM($E16:U16),$F$6/$D$8)</f>
        <v>0</v>
      </c>
      <c r="W16" s="89">
        <f>IF(W$11-$C16&gt;$D$8,$F$6-SUM($E16:V16),$F$6/$D$8)</f>
        <v>0</v>
      </c>
      <c r="X16" s="89">
        <f>IF(X$11-$C16&gt;$D$8,$F$6-SUM($E16:W16),$F$6/$D$8)</f>
        <v>0</v>
      </c>
      <c r="Y16" s="89">
        <f>IF(Y$11-$C16&gt;$D$8,$F$6-SUM($E16:X16),$F$6/$D$8)</f>
        <v>0</v>
      </c>
      <c r="Z16" s="89">
        <f>IF(Z$11-$C16&gt;$D$8,$F$6-SUM($E16:Y16),$F$6/$D$8)</f>
        <v>0</v>
      </c>
      <c r="AA16" s="89">
        <f>IF(AA$11-$C16&gt;$D$8,$F$6-SUM($E16:Z16),$F$6/$D$8)</f>
        <v>0</v>
      </c>
      <c r="AB16" s="89">
        <f>IF(AB$11-$C16&gt;$D$8,$F$6-SUM($E16:AA16),$F$6/$D$8)</f>
        <v>0</v>
      </c>
      <c r="AC16" s="89">
        <f>IF(AC$11-$C16&gt;$D$8,$F$6-SUM($E16:AB16),$F$6/$D$8)</f>
        <v>0</v>
      </c>
      <c r="AD16" s="89">
        <f>IF(AD$11-$C16&gt;$D$8,$F$6-SUM($E16:AC16),$F$6/$D$8)</f>
        <v>0</v>
      </c>
      <c r="AE16" s="89">
        <f>IF(AE$11-$C16&gt;$D$8,$F$6-SUM($E16:AD16),$F$6/$D$8)</f>
        <v>0</v>
      </c>
      <c r="AF16" s="89">
        <f>IF(AF$11-$C16&gt;$D$8,$F$6-SUM($E16:AE16),$F$6/$D$8)</f>
        <v>0</v>
      </c>
      <c r="AG16" s="89">
        <f>IF(AG$11-$C16&gt;$D$8,$F$6-SUM($E16:AF16),$F$6/$D$8)</f>
        <v>0</v>
      </c>
      <c r="AH16" s="89">
        <f>IF(AH$11-$C16&gt;$D$8,$F$6-SUM($E16:AG16),$F$6/$D$8)</f>
        <v>0</v>
      </c>
      <c r="AI16" s="89">
        <f>IF(AI$11-$C16&gt;$D$8,$F$6-SUM($E16:AH16),$F$6/$D$8)</f>
        <v>0</v>
      </c>
      <c r="AJ16" s="89">
        <f>IF(AJ$11-$C16&gt;$D$8,$F$6-SUM($E16:AI16),$F$6/$D$8)</f>
        <v>0</v>
      </c>
      <c r="AK16" s="89">
        <f>IF(AK$11-$C16&gt;$D$8,$F$6-SUM($E16:AJ16),$F$6/$D$8)</f>
        <v>0</v>
      </c>
      <c r="AL16" s="89">
        <f>IF(AL$11-$C16&gt;$D$8,$F$6-SUM($E16:AK16),$F$6/$D$8)</f>
        <v>0</v>
      </c>
      <c r="AM16" s="89">
        <f>IF(AM$11-$C16&gt;$D$8,$F$6-SUM($E16:AL16),$F$6/$D$8)</f>
        <v>0</v>
      </c>
      <c r="AN16" s="89">
        <f>IF(AN$11-$C16&gt;$D$8,$F$6-SUM($E16:AM16),$F$6/$D$8)</f>
        <v>0</v>
      </c>
      <c r="AO16" s="89">
        <f>IF(AO$11-$C16&gt;$D$8,$F$6-SUM($E16:AN16),$F$6/$D$8)</f>
        <v>0</v>
      </c>
      <c r="AP16" s="89">
        <f>IF(AP$11-$C16&gt;$D$8,$F$6-SUM($E16:AO16),$F$6/$D$8)</f>
        <v>0</v>
      </c>
      <c r="AQ16" s="89">
        <f>IF(AQ$11-$C16&gt;$D$8,$F$6-SUM($E16:AP16),$F$6/$D$8)</f>
        <v>0</v>
      </c>
      <c r="AR16" s="89">
        <f>IF(AR$11-$C16&gt;$D$8,$F$6-SUM($E16:AQ16),$F$6/$D$8)</f>
        <v>0</v>
      </c>
      <c r="AS16" s="89">
        <f>IF(AS$11-$C16&gt;$D$8,$F$6-SUM($E16:AR16),$F$6/$D$8)</f>
        <v>0</v>
      </c>
      <c r="AT16" s="89">
        <f>IF(AT$11-$C16&gt;$D$8,$F$6-SUM($E16:AS16),$F$6/$D$8)</f>
        <v>0</v>
      </c>
      <c r="AU16" s="89">
        <f>IF(AU$11-$C16&gt;$D$8,$F$6-SUM($E16:AT16),$F$6/$D$8)</f>
        <v>0</v>
      </c>
      <c r="AV16" s="89">
        <f>IF(AV$11-$C16&gt;$D$8,$F$6-SUM($E16:AU16),$F$6/$D$8)</f>
        <v>0</v>
      </c>
      <c r="AW16" s="89">
        <f>IF(AW$11-$C16&gt;$D$8,$F$6-SUM($E16:AV16),$F$6/$D$8)</f>
        <v>0</v>
      </c>
      <c r="AX16" s="89">
        <f>IF(AX$11-$C16&gt;$D$8,$F$6-SUM($E16:AW16),$F$6/$D$8)</f>
        <v>0</v>
      </c>
      <c r="AY16" s="89">
        <f>IF(AY$11-$C16&gt;$D$8,$F$6-SUM($E16:AX16),$F$6/$D$8)</f>
        <v>0</v>
      </c>
      <c r="AZ16" s="89">
        <f>IF(AZ$11-$C16&gt;$D$8,$F$6-SUM($E16:AY16),$F$6/$D$8)</f>
        <v>0</v>
      </c>
      <c r="BA16" s="89">
        <f>IF(BA$11-$C16&gt;$D$8,$F$6-SUM($E16:AZ16),$F$6/$D$8)</f>
        <v>0</v>
      </c>
      <c r="BB16" s="89">
        <f>IF(BB$11-$C16&gt;$D$8,$F$6-SUM($E16:BA16),$F$6/$D$8)</f>
        <v>0</v>
      </c>
      <c r="BC16" s="89">
        <f>IF(BC$11-$C16&gt;$D$8,$F$6-SUM($E16:BB16),$F$6/$D$8)</f>
        <v>0</v>
      </c>
      <c r="BD16" s="89">
        <f>IF(BD$11-$C16&gt;$D$8,$F$6-SUM($E16:BC16),$F$6/$D$8)</f>
        <v>0</v>
      </c>
      <c r="BE16" s="89">
        <f>IF(BE$11-$C16&gt;$D$8,$F$6-SUM($E16:BD16),$F$6/$D$8)</f>
        <v>0</v>
      </c>
      <c r="BF16" s="89">
        <f>IF(BF$11-$C16&gt;$D$8,$F$6-SUM($E16:BE16),$F$6/$D$8)</f>
        <v>0</v>
      </c>
      <c r="BG16" s="89">
        <f>IF(BG$11-$C16&gt;$D$8,$F$6-SUM($E16:BF16),$F$6/$D$8)</f>
        <v>0</v>
      </c>
      <c r="BH16" s="89">
        <f>IF(BH$11-$C16&gt;$D$8,$F$6-SUM($E16:BG16),$F$6/$D$8)</f>
        <v>0</v>
      </c>
      <c r="BI16" s="89">
        <f>IF(BI$11-$C16&gt;$D$8,$F$6-SUM($E16:BH16),$F$6/$D$8)</f>
        <v>0</v>
      </c>
      <c r="BJ16" s="89">
        <f>IF(BJ$11-$C16&gt;$D$8,$F$6-SUM($E16:BI16),$F$6/$D$8)</f>
        <v>0</v>
      </c>
      <c r="BK16" s="89">
        <f>IF(BK$11-$C16&gt;$D$8,$F$6-SUM($E16:BJ16),$F$6/$D$8)</f>
        <v>0</v>
      </c>
      <c r="BL16" s="89">
        <f>IF(BL$11-$C16&gt;$D$8,$F$6-SUM($E16:BK16),$F$6/$D$8)</f>
        <v>0</v>
      </c>
      <c r="BM16" s="89">
        <f>IF(BM$11-$C16&gt;$D$8,$F$6-SUM($E16:BL16),$F$6/$D$8)</f>
        <v>0</v>
      </c>
      <c r="BN16" s="89">
        <f>IF(BN$11-$C16&gt;$D$8,$F$6-SUM($E16:BM16),$F$6/$D$8)</f>
        <v>0</v>
      </c>
      <c r="BO16" s="89">
        <f>IF(BO$11-$C16&gt;$D$8,$F$6-SUM($E16:BN16),$F$6/$D$8)</f>
        <v>0</v>
      </c>
      <c r="BP16" s="89">
        <f>IF(BP$11-$C16&gt;$D$8,$F$6-SUM($E16:BO16),$F$6/$D$8)</f>
        <v>0</v>
      </c>
      <c r="BR16" s="88">
        <f t="shared" si="0"/>
        <v>0</v>
      </c>
      <c r="BS16" s="83" t="b">
        <f>BR16=F6</f>
        <v>1</v>
      </c>
    </row>
    <row r="17" spans="2:71" ht="14.4" x14ac:dyDescent="0.3">
      <c r="B17" s="83" t="s">
        <v>163</v>
      </c>
      <c r="C17" s="83">
        <v>4</v>
      </c>
      <c r="H17" s="89">
        <f>IF(H$11-$C17&gt;$D$8,$G$6-SUM($E17:G17),$G$6/$D$8)</f>
        <v>4.9113978097950017</v>
      </c>
      <c r="I17" s="89">
        <f>IF(I$11-$C17&gt;$D$8,$G$6-SUM($E17:H17),$G$6/$D$8)</f>
        <v>4.9113978097950017</v>
      </c>
      <c r="J17" s="98">
        <f>IF(J$11-$C17&gt;$D$8,$G$6-SUM($E17:I17),$G$6/$D$8)</f>
        <v>4.9113978097950017</v>
      </c>
      <c r="K17" s="89">
        <f>IF(K$11-$C17&gt;$D$8,$G$6-SUM($E17:J17),$G$6/$D$8)</f>
        <v>4.9113978097950017</v>
      </c>
      <c r="L17" s="89">
        <f>IF(L$11-$C17&gt;$D$8,$G$6-SUM($E17:K17),$G$6/$D$8)</f>
        <v>4.9113978097950017</v>
      </c>
      <c r="M17" s="89">
        <f>IF(M$11-$C17&gt;$D$8,$G$6-SUM($E17:L17),$G$6/$D$8)</f>
        <v>4.9113978097950017</v>
      </c>
      <c r="N17" s="89">
        <f>IF(N$11-$C17&gt;$D$8,$G$6-SUM($E17:M17),$G$6/$D$8)</f>
        <v>4.9113978097950017</v>
      </c>
      <c r="O17" s="89">
        <f>IF(O$11-$C17&gt;$D$8,$G$6-SUM($E17:N17),$G$6/$D$8)</f>
        <v>4.9113978097950017</v>
      </c>
      <c r="P17" s="89">
        <f>IF(P$11-$C17&gt;$D$8,$G$6-SUM($E17:O17),$G$6/$D$8)</f>
        <v>4.9113978097950017</v>
      </c>
      <c r="Q17" s="89">
        <f>IF(Q$11-$C17&gt;$D$8,$G$6-SUM($E17:P17),$G$6/$D$8)</f>
        <v>4.9113978097950017</v>
      </c>
      <c r="R17" s="89">
        <f>IF(R$11-$C17&gt;$D$8,$G$6-SUM($E17:Q17),$G$6/$D$8)</f>
        <v>4.9113978097950017</v>
      </c>
      <c r="S17" s="89">
        <f>IF(S$11-$C17&gt;$D$8,$G$6-SUM($E17:R17),$G$6/$D$8)</f>
        <v>4.9113978097950017</v>
      </c>
      <c r="T17" s="89">
        <f>IF(T$11-$C17&gt;$D$8,$G$6-SUM($E17:S17),$G$6/$D$8)</f>
        <v>4.9113978097950017</v>
      </c>
      <c r="U17" s="89">
        <f>IF(U$11-$C17&gt;$D$8,$G$6-SUM($E17:T17),$G$6/$D$8)</f>
        <v>4.9113978097950017</v>
      </c>
      <c r="V17" s="89">
        <f>IF(V$11-$C17&gt;$D$8,$G$6-SUM($E17:U17),$G$6/$D$8)</f>
        <v>4.9113978097950017</v>
      </c>
      <c r="W17" s="89">
        <f>IF(W$11-$C17&gt;$D$8,$G$6-SUM($E17:V17),$G$6/$D$8)</f>
        <v>4.9113978097950017</v>
      </c>
      <c r="X17" s="89">
        <f>IF(X$11-$C17&gt;$D$8,$G$6-SUM($E17:W17),$G$6/$D$8)</f>
        <v>4.9113978097950017</v>
      </c>
      <c r="Y17" s="89">
        <f>IF(Y$11-$C17&gt;$D$8,$G$6-SUM($E17:X17),$G$6/$D$8)</f>
        <v>4.9113978097950017</v>
      </c>
      <c r="Z17" s="89">
        <f>IF(Z$11-$C17&gt;$D$8,$G$6-SUM($E17:Y17),$G$6/$D$8)</f>
        <v>4.9113978097950017</v>
      </c>
      <c r="AA17" s="89">
        <f>IF(AA$11-$C17&gt;$D$8,$G$6-SUM($E17:Z17),$G$6/$D$8)</f>
        <v>4.9113978097950017</v>
      </c>
      <c r="AB17" s="89">
        <f>IF(AB$11-$C17&gt;$D$8,$G$6-SUM($E17:AA17),$G$6/$D$8)</f>
        <v>4.9113978097950017</v>
      </c>
      <c r="AC17" s="89">
        <f>IF(AC$11-$C17&gt;$D$8,$G$6-SUM($E17:AB17),$G$6/$D$8)</f>
        <v>4.9113978097950017</v>
      </c>
      <c r="AD17" s="89">
        <f>IF(AD$11-$C17&gt;$D$8,$G$6-SUM($E17:AC17),$G$6/$D$8)</f>
        <v>4.9113978097950017</v>
      </c>
      <c r="AE17" s="89">
        <f>IF(AE$11-$C17&gt;$D$8,$G$6-SUM($E17:AD17),$G$6/$D$8)</f>
        <v>4.9113978097950017</v>
      </c>
      <c r="AF17" s="89">
        <f>IF(AF$11-$C17&gt;$D$8,$G$6-SUM($E17:AE17),$G$6/$D$8)</f>
        <v>4.9113978097950017</v>
      </c>
      <c r="AG17" s="89">
        <f>IF(AG$11-$C17&gt;$D$8,$G$6-SUM($E17:AF17),$G$6/$D$8)</f>
        <v>4.9113978097950017</v>
      </c>
      <c r="AH17" s="89">
        <f>IF(AH$11-$C17&gt;$D$8,$G$6-SUM($E17:AG17),$G$6/$D$8)</f>
        <v>4.9113978097950017</v>
      </c>
      <c r="AI17" s="89">
        <f>IF(AI$11-$C17&gt;$D$8,$G$6-SUM($E17:AH17),$G$6/$D$8)</f>
        <v>4.9113978097950017</v>
      </c>
      <c r="AJ17" s="89">
        <f>IF(AJ$11-$C17&gt;$D$8,$G$6-SUM($E17:AI17),$G$6/$D$8)</f>
        <v>4.9113978097950017</v>
      </c>
      <c r="AK17" s="89">
        <f>IF(AK$11-$C17&gt;$D$8,$G$6-SUM($E17:AJ17),$G$6/$D$8)</f>
        <v>4.9113978097950017</v>
      </c>
      <c r="AL17" s="89">
        <f>IF(AL$11-$C17&gt;$D$8,$G$6-SUM($E17:AK17),$G$6/$D$8)</f>
        <v>4.9113978097950017</v>
      </c>
      <c r="AM17" s="89">
        <f>IF(AM$11-$C17&gt;$D$8,$G$6-SUM($E17:AL17),$G$6/$D$8)</f>
        <v>4.9113978097950017</v>
      </c>
      <c r="AN17" s="89">
        <f>IF(AN$11-$C17&gt;$D$8,$G$6-SUM($E17:AM17),$G$6/$D$8)</f>
        <v>4.9113978097950017</v>
      </c>
      <c r="AO17" s="89">
        <f>IF(AO$11-$C17&gt;$D$8,$G$6-SUM($E17:AN17),$G$6/$D$8)</f>
        <v>4.9113978097950017</v>
      </c>
      <c r="AP17" s="89">
        <f>IF(AP$11-$C17&gt;$D$8,$G$6-SUM($E17:AO17),$G$6/$D$8)</f>
        <v>4.9113978097950017</v>
      </c>
      <c r="AQ17" s="89">
        <f>IF(AQ$11-$C17&gt;$D$8,$G$6-SUM($E17:AP17),$G$6/$D$8)</f>
        <v>4.9113978097950017</v>
      </c>
      <c r="AR17" s="89">
        <f>IF(AR$11-$C17&gt;$D$8,$G$6-SUM($E17:AQ17),$G$6/$D$8)</f>
        <v>4.9113978097950017</v>
      </c>
      <c r="AS17" s="89">
        <f>IF(AS$11-$C17&gt;$D$8,$G$6-SUM($E17:AR17),$G$6/$D$8)</f>
        <v>4.9113978097950017</v>
      </c>
      <c r="AT17" s="89">
        <f>IF(AT$11-$C17&gt;$D$8,$G$6-SUM($E17:AS17),$G$6/$D$8)</f>
        <v>4.9113978097950017</v>
      </c>
      <c r="AU17" s="89">
        <f>IF(AU$11-$C17&gt;$D$8,$G$6-SUM($E17:AT17),$G$6/$D$8)</f>
        <v>4.9113978097950017</v>
      </c>
      <c r="AV17" s="89">
        <f>IF(AV$11-$C17&gt;$D$8,$G$6-SUM($E17:AU17),$G$6/$D$8)</f>
        <v>4.9113978097950017</v>
      </c>
      <c r="AW17" s="89">
        <f>IF(AW$11-$C17&gt;$D$8,$G$6-SUM($E17:AV17),$G$6/$D$8)</f>
        <v>4.9113978097950017</v>
      </c>
      <c r="AX17" s="89">
        <f>IF(AX$11-$C17&gt;$D$8,$G$6-SUM($E17:AW17),$G$6/$D$8)</f>
        <v>4.9113978097950017</v>
      </c>
      <c r="AY17" s="89">
        <f>IF(AY$11-$C17&gt;$D$8,$G$6-SUM($E17:AX17),$G$6/$D$8)</f>
        <v>4.9113978097950017</v>
      </c>
      <c r="AZ17" s="89">
        <f>IF(AZ$11-$C17&gt;$D$8,$G$6-SUM($E17:AY17),$G$6/$D$8)</f>
        <v>4.9113978097950017</v>
      </c>
      <c r="BA17" s="89">
        <f>IF(BA$11-$C17&gt;$D$8,$G$6-SUM($E17:AZ17),$G$6/$D$8)</f>
        <v>-1.4210854715202004E-13</v>
      </c>
      <c r="BB17" s="89">
        <f>IF(BB$11-$C17&gt;$D$8,$G$6-SUM($E17:BA17),$G$6/$D$8)</f>
        <v>0</v>
      </c>
      <c r="BC17" s="89">
        <f>IF(BC$11-$C17&gt;$D$8,$G$6-SUM($E17:BB17),$G$6/$D$8)</f>
        <v>0</v>
      </c>
      <c r="BD17" s="89">
        <f>IF(BD$11-$C17&gt;$D$8,$G$6-SUM($E17:BC17),$G$6/$D$8)</f>
        <v>0</v>
      </c>
      <c r="BE17" s="89">
        <f>IF(BE$11-$C17&gt;$D$8,$G$6-SUM($E17:BD17),$G$6/$D$8)</f>
        <v>0</v>
      </c>
      <c r="BF17" s="89">
        <f>IF(BF$11-$C17&gt;$D$8,$G$6-SUM($E17:BE17),$G$6/$D$8)</f>
        <v>0</v>
      </c>
      <c r="BG17" s="89">
        <f>IF(BG$11-$C17&gt;$D$8,$G$6-SUM($E17:BF17),$G$6/$D$8)</f>
        <v>0</v>
      </c>
      <c r="BH17" s="89">
        <f>IF(BH$11-$C17&gt;$D$8,$G$6-SUM($E17:BG17),$G$6/$D$8)</f>
        <v>0</v>
      </c>
      <c r="BI17" s="89">
        <f>IF(BI$11-$C17&gt;$D$8,$G$6-SUM($E17:BH17),$G$6/$D$8)</f>
        <v>0</v>
      </c>
      <c r="BJ17" s="89">
        <f>IF(BJ$11-$C17&gt;$D$8,$G$6-SUM($E17:BI17),$G$6/$D$8)</f>
        <v>0</v>
      </c>
      <c r="BK17" s="89">
        <f>IF(BK$11-$C17&gt;$D$8,$G$6-SUM($E17:BJ17),$G$6/$D$8)</f>
        <v>0</v>
      </c>
      <c r="BL17" s="89">
        <f>IF(BL$11-$C17&gt;$D$8,$G$6-SUM($E17:BK17),$G$6/$D$8)</f>
        <v>0</v>
      </c>
      <c r="BM17" s="89">
        <f>IF(BM$11-$C17&gt;$D$8,$G$6-SUM($E17:BL17),$G$6/$D$8)</f>
        <v>0</v>
      </c>
      <c r="BN17" s="89">
        <f>IF(BN$11-$C17&gt;$D$8,$G$6-SUM($E17:BM17),$G$6/$D$8)</f>
        <v>0</v>
      </c>
      <c r="BO17" s="89">
        <f>IF(BO$11-$C17&gt;$D$8,$G$6-SUM($E17:BN17),$G$6/$D$8)</f>
        <v>0</v>
      </c>
      <c r="BP17" s="89">
        <f>IF(BP$11-$C17&gt;$D$8,$G$6-SUM($E17:BO17),$G$6/$D$8)</f>
        <v>0</v>
      </c>
      <c r="BR17" s="88">
        <f t="shared" si="0"/>
        <v>221.01290144077507</v>
      </c>
      <c r="BS17" s="83" t="b">
        <f>BR17=G6</f>
        <v>1</v>
      </c>
    </row>
    <row r="18" spans="2:71" ht="14.4" x14ac:dyDescent="0.3">
      <c r="B18" s="83" t="s">
        <v>164</v>
      </c>
      <c r="C18" s="83">
        <v>5</v>
      </c>
      <c r="I18" s="89">
        <f>IF(I$11-$C18&gt;$D$8,$H$6-SUM($E18:H18),$H$6/$D$8)</f>
        <v>178.67134559440279</v>
      </c>
      <c r="J18" s="98">
        <f>IF(J$11-$C18&gt;$D$8,$H$6-SUM($E18:I18),$H$6/$D$8)</f>
        <v>178.67134559440279</v>
      </c>
      <c r="K18" s="89">
        <f>IF(K$11-$C18&gt;$D$8,$H$6-SUM($E18:J18),$H$6/$D$8)</f>
        <v>178.67134559440279</v>
      </c>
      <c r="L18" s="89">
        <f>IF(L$11-$C18&gt;$D$8,$H$6-SUM($E18:K18),$H$6/$D$8)</f>
        <v>178.67134559440279</v>
      </c>
      <c r="M18" s="89">
        <f>IF(M$11-$C18&gt;$D$8,$H$6-SUM($E18:L18),$H$6/$D$8)</f>
        <v>178.67134559440279</v>
      </c>
      <c r="N18" s="89">
        <f>IF(N$11-$C18&gt;$D$8,$H$6-SUM($E18:M18),$H$6/$D$8)</f>
        <v>178.67134559440279</v>
      </c>
      <c r="O18" s="89">
        <f>IF(O$11-$C18&gt;$D$8,$H$6-SUM($E18:N18),$H$6/$D$8)</f>
        <v>178.67134559440279</v>
      </c>
      <c r="P18" s="89">
        <f>IF(P$11-$C18&gt;$D$8,$H$6-SUM($E18:O18),$H$6/$D$8)</f>
        <v>178.67134559440279</v>
      </c>
      <c r="Q18" s="89">
        <f>IF(Q$11-$C18&gt;$D$8,$H$6-SUM($E18:P18),$H$6/$D$8)</f>
        <v>178.67134559440279</v>
      </c>
      <c r="R18" s="89">
        <f>IF(R$11-$C18&gt;$D$8,$H$6-SUM($E18:Q18),$H$6/$D$8)</f>
        <v>178.67134559440279</v>
      </c>
      <c r="S18" s="89">
        <f>IF(S$11-$C18&gt;$D$8,$H$6-SUM($E18:R18),$H$6/$D$8)</f>
        <v>178.67134559440279</v>
      </c>
      <c r="T18" s="89">
        <f>IF(T$11-$C18&gt;$D$8,$H$6-SUM($E18:S18),$H$6/$D$8)</f>
        <v>178.67134559440279</v>
      </c>
      <c r="U18" s="89">
        <f>IF(U$11-$C18&gt;$D$8,$H$6-SUM($E18:T18),$H$6/$D$8)</f>
        <v>178.67134559440279</v>
      </c>
      <c r="V18" s="89">
        <f>IF(V$11-$C18&gt;$D$8,$H$6-SUM($E18:U18),$H$6/$D$8)</f>
        <v>178.67134559440279</v>
      </c>
      <c r="W18" s="89">
        <f>IF(W$11-$C18&gt;$D$8,$H$6-SUM($E18:V18),$H$6/$D$8)</f>
        <v>178.67134559440279</v>
      </c>
      <c r="X18" s="89">
        <f>IF(X$11-$C18&gt;$D$8,$H$6-SUM($E18:W18),$H$6/$D$8)</f>
        <v>178.67134559440279</v>
      </c>
      <c r="Y18" s="89">
        <f>IF(Y$11-$C18&gt;$D$8,$H$6-SUM($E18:X18),$H$6/$D$8)</f>
        <v>178.67134559440279</v>
      </c>
      <c r="Z18" s="89">
        <f>IF(Z$11-$C18&gt;$D$8,$H$6-SUM($E18:Y18),$H$6/$D$8)</f>
        <v>178.67134559440279</v>
      </c>
      <c r="AA18" s="89">
        <f>IF(AA$11-$C18&gt;$D$8,$H$6-SUM($E18:Z18),$H$6/$D$8)</f>
        <v>178.67134559440279</v>
      </c>
      <c r="AB18" s="89">
        <f>IF(AB$11-$C18&gt;$D$8,$H$6-SUM($E18:AA18),$H$6/$D$8)</f>
        <v>178.67134559440279</v>
      </c>
      <c r="AC18" s="89">
        <f>IF(AC$11-$C18&gt;$D$8,$H$6-SUM($E18:AB18),$H$6/$D$8)</f>
        <v>178.67134559440279</v>
      </c>
      <c r="AD18" s="89">
        <f>IF(AD$11-$C18&gt;$D$8,$H$6-SUM($E18:AC18),$H$6/$D$8)</f>
        <v>178.67134559440279</v>
      </c>
      <c r="AE18" s="89">
        <f>IF(AE$11-$C18&gt;$D$8,$H$6-SUM($E18:AD18),$H$6/$D$8)</f>
        <v>178.67134559440279</v>
      </c>
      <c r="AF18" s="89">
        <f>IF(AF$11-$C18&gt;$D$8,$H$6-SUM($E18:AE18),$H$6/$D$8)</f>
        <v>178.67134559440279</v>
      </c>
      <c r="AG18" s="89">
        <f>IF(AG$11-$C18&gt;$D$8,$H$6-SUM($E18:AF18),$H$6/$D$8)</f>
        <v>178.67134559440279</v>
      </c>
      <c r="AH18" s="89">
        <f>IF(AH$11-$C18&gt;$D$8,$H$6-SUM($E18:AG18),$H$6/$D$8)</f>
        <v>178.67134559440279</v>
      </c>
      <c r="AI18" s="89">
        <f>IF(AI$11-$C18&gt;$D$8,$H$6-SUM($E18:AH18),$H$6/$D$8)</f>
        <v>178.67134559440279</v>
      </c>
      <c r="AJ18" s="89">
        <f>IF(AJ$11-$C18&gt;$D$8,$H$6-SUM($E18:AI18),$H$6/$D$8)</f>
        <v>178.67134559440279</v>
      </c>
      <c r="AK18" s="89">
        <f>IF(AK$11-$C18&gt;$D$8,$H$6-SUM($E18:AJ18),$H$6/$D$8)</f>
        <v>178.67134559440279</v>
      </c>
      <c r="AL18" s="89">
        <f>IF(AL$11-$C18&gt;$D$8,$H$6-SUM($E18:AK18),$H$6/$D$8)</f>
        <v>178.67134559440279</v>
      </c>
      <c r="AM18" s="89">
        <f>IF(AM$11-$C18&gt;$D$8,$H$6-SUM($E18:AL18),$H$6/$D$8)</f>
        <v>178.67134559440279</v>
      </c>
      <c r="AN18" s="89">
        <f>IF(AN$11-$C18&gt;$D$8,$H$6-SUM($E18:AM18),$H$6/$D$8)</f>
        <v>178.67134559440279</v>
      </c>
      <c r="AO18" s="89">
        <f>IF(AO$11-$C18&gt;$D$8,$H$6-SUM($E18:AN18),$H$6/$D$8)</f>
        <v>178.67134559440279</v>
      </c>
      <c r="AP18" s="89">
        <f>IF(AP$11-$C18&gt;$D$8,$H$6-SUM($E18:AO18),$H$6/$D$8)</f>
        <v>178.67134559440279</v>
      </c>
      <c r="AQ18" s="89">
        <f>IF(AQ$11-$C18&gt;$D$8,$H$6-SUM($E18:AP18),$H$6/$D$8)</f>
        <v>178.67134559440279</v>
      </c>
      <c r="AR18" s="89">
        <f>IF(AR$11-$C18&gt;$D$8,$H$6-SUM($E18:AQ18),$H$6/$D$8)</f>
        <v>178.67134559440279</v>
      </c>
      <c r="AS18" s="89">
        <f>IF(AS$11-$C18&gt;$D$8,$H$6-SUM($E18:AR18),$H$6/$D$8)</f>
        <v>178.67134559440279</v>
      </c>
      <c r="AT18" s="89">
        <f>IF(AT$11-$C18&gt;$D$8,$H$6-SUM($E18:AS18),$H$6/$D$8)</f>
        <v>178.67134559440279</v>
      </c>
      <c r="AU18" s="89">
        <f>IF(AU$11-$C18&gt;$D$8,$H$6-SUM($E18:AT18),$H$6/$D$8)</f>
        <v>178.67134559440279</v>
      </c>
      <c r="AV18" s="89">
        <f>IF(AV$11-$C18&gt;$D$8,$H$6-SUM($E18:AU18),$H$6/$D$8)</f>
        <v>178.67134559440279</v>
      </c>
      <c r="AW18" s="89">
        <f>IF(AW$11-$C18&gt;$D$8,$H$6-SUM($E18:AV18),$H$6/$D$8)</f>
        <v>178.67134559440279</v>
      </c>
      <c r="AX18" s="89">
        <f>IF(AX$11-$C18&gt;$D$8,$H$6-SUM($E18:AW18),$H$6/$D$8)</f>
        <v>178.67134559440279</v>
      </c>
      <c r="AY18" s="89">
        <f>IF(AY$11-$C18&gt;$D$8,$H$6-SUM($E18:AX18),$H$6/$D$8)</f>
        <v>178.67134559440279</v>
      </c>
      <c r="AZ18" s="89">
        <f>IF(AZ$11-$C18&gt;$D$8,$H$6-SUM($E18:AY18),$H$6/$D$8)</f>
        <v>178.67134559440279</v>
      </c>
      <c r="BA18" s="89">
        <f>IF(BA$11-$C18&gt;$D$8,$H$6-SUM($E18:AZ18),$H$6/$D$8)</f>
        <v>178.67134559440279</v>
      </c>
      <c r="BB18" s="89">
        <f>IF(BB$11-$C18&gt;$D$8,$H$6-SUM($E18:BA18),$H$6/$D$8)</f>
        <v>1.8189894035458565E-12</v>
      </c>
      <c r="BC18" s="89">
        <f>IF(BC$11-$C18&gt;$D$8,$H$6-SUM($E18:BB18),$H$6/$D$8)</f>
        <v>0</v>
      </c>
      <c r="BD18" s="89">
        <f>IF(BD$11-$C18&gt;$D$8,$H$6-SUM($E18:BC18),$H$6/$D$8)</f>
        <v>0</v>
      </c>
      <c r="BE18" s="89">
        <f>IF(BE$11-$C18&gt;$D$8,$H$6-SUM($E18:BD18),$H$6/$D$8)</f>
        <v>0</v>
      </c>
      <c r="BF18" s="89">
        <f>IF(BF$11-$C18&gt;$D$8,$H$6-SUM($E18:BE18),$H$6/$D$8)</f>
        <v>0</v>
      </c>
      <c r="BG18" s="89">
        <f>IF(BG$11-$C18&gt;$D$8,$H$6-SUM($E18:BF18),$H$6/$D$8)</f>
        <v>0</v>
      </c>
      <c r="BH18" s="89">
        <f>IF(BH$11-$C18&gt;$D$8,$H$6-SUM($E18:BG18),$H$6/$D$8)</f>
        <v>0</v>
      </c>
      <c r="BI18" s="89">
        <f>IF(BI$11-$C18&gt;$D$8,$H$6-SUM($E18:BH18),$H$6/$D$8)</f>
        <v>0</v>
      </c>
      <c r="BJ18" s="89">
        <f>IF(BJ$11-$C18&gt;$D$8,$H$6-SUM($E18:BI18),$H$6/$D$8)</f>
        <v>0</v>
      </c>
      <c r="BK18" s="89">
        <f>IF(BK$11-$C18&gt;$D$8,$H$6-SUM($E18:BJ18),$H$6/$D$8)</f>
        <v>0</v>
      </c>
      <c r="BL18" s="89">
        <f>IF(BL$11-$C18&gt;$D$8,$H$6-SUM($E18:BK18),$H$6/$D$8)</f>
        <v>0</v>
      </c>
      <c r="BM18" s="89">
        <f>IF(BM$11-$C18&gt;$D$8,$H$6-SUM($E18:BL18),$H$6/$D$8)</f>
        <v>0</v>
      </c>
      <c r="BN18" s="89">
        <f>IF(BN$11-$C18&gt;$D$8,$H$6-SUM($E18:BM18),$H$6/$D$8)</f>
        <v>0</v>
      </c>
      <c r="BO18" s="89">
        <f>IF(BO$11-$C18&gt;$D$8,$H$6-SUM($E18:BN18),$H$6/$D$8)</f>
        <v>0</v>
      </c>
      <c r="BP18" s="89">
        <f>IF(BP$11-$C18&gt;$D$8,$H$6-SUM($E18:BO18),$H$6/$D$8)</f>
        <v>0</v>
      </c>
      <c r="BQ18" s="89">
        <f>IF(BQ$11-$C18&gt;$D$8,$H$6-SUM($E18:BP18),$H$6/$D$8)</f>
        <v>0</v>
      </c>
      <c r="BR18" s="88">
        <f t="shared" si="0"/>
        <v>8040.2105517481259</v>
      </c>
      <c r="BS18" s="89" t="b">
        <f>BR18=H6</f>
        <v>1</v>
      </c>
    </row>
    <row r="19" spans="2:71" ht="14.4" x14ac:dyDescent="0.3">
      <c r="B19" s="83" t="s">
        <v>165</v>
      </c>
      <c r="C19" s="83">
        <v>6</v>
      </c>
      <c r="J19" s="98">
        <f>IF(J$11-$C19&gt;$D$8,$I$6-SUM($E19:I19),$I$6/$D$8)</f>
        <v>88.284119740006588</v>
      </c>
      <c r="K19" s="89">
        <f>IF(K$11-$C19&gt;$D$8,$I$6-SUM($E19:J19),$I$6/$D$8)</f>
        <v>88.284119740006588</v>
      </c>
      <c r="L19" s="89">
        <f>IF(L$11-$C19&gt;$D$8,$I$6-SUM($E19:K19),$I$6/$D$8)</f>
        <v>88.284119740006588</v>
      </c>
      <c r="M19" s="89">
        <f>IF(M$11-$C19&gt;$D$8,$I$6-SUM($E19:L19),$I$6/$D$8)</f>
        <v>88.284119740006588</v>
      </c>
      <c r="N19" s="89">
        <f>IF(N$11-$C19&gt;$D$8,$I$6-SUM($E19:M19),$I$6/$D$8)</f>
        <v>88.284119740006588</v>
      </c>
      <c r="O19" s="89">
        <f>IF(O$11-$C19&gt;$D$8,$I$6-SUM($E19:N19),$I$6/$D$8)</f>
        <v>88.284119740006588</v>
      </c>
      <c r="P19" s="89">
        <f>IF(P$11-$C19&gt;$D$8,$I$6-SUM($E19:O19),$I$6/$D$8)</f>
        <v>88.284119740006588</v>
      </c>
      <c r="Q19" s="89">
        <f>IF(Q$11-$C19&gt;$D$8,$I$6-SUM($E19:P19),$I$6/$D$8)</f>
        <v>88.284119740006588</v>
      </c>
      <c r="R19" s="89">
        <f>IF(R$11-$C19&gt;$D$8,$I$6-SUM($E19:Q19),$I$6/$D$8)</f>
        <v>88.284119740006588</v>
      </c>
      <c r="S19" s="89">
        <f>IF(S$11-$C19&gt;$D$8,$I$6-SUM($E19:R19),$I$6/$D$8)</f>
        <v>88.284119740006588</v>
      </c>
      <c r="T19" s="89">
        <f>IF(T$11-$C19&gt;$D$8,$I$6-SUM($E19:S19),$I$6/$D$8)</f>
        <v>88.284119740006588</v>
      </c>
      <c r="U19" s="89">
        <f>IF(U$11-$C19&gt;$D$8,$I$6-SUM($E19:T19),$I$6/$D$8)</f>
        <v>88.284119740006588</v>
      </c>
      <c r="V19" s="89">
        <f>IF(V$11-$C19&gt;$D$8,$I$6-SUM($E19:U19),$I$6/$D$8)</f>
        <v>88.284119740006588</v>
      </c>
      <c r="W19" s="89">
        <f>IF(W$11-$C19&gt;$D$8,$I$6-SUM($E19:V19),$I$6/$D$8)</f>
        <v>88.284119740006588</v>
      </c>
      <c r="X19" s="89">
        <f>IF(X$11-$C19&gt;$D$8,$I$6-SUM($E19:W19),$I$6/$D$8)</f>
        <v>88.284119740006588</v>
      </c>
      <c r="Y19" s="89">
        <f>IF(Y$11-$C19&gt;$D$8,$I$6-SUM($E19:X19),$I$6/$D$8)</f>
        <v>88.284119740006588</v>
      </c>
      <c r="Z19" s="89">
        <f>IF(Z$11-$C19&gt;$D$8,$I$6-SUM($E19:Y19),$I$6/$D$8)</f>
        <v>88.284119740006588</v>
      </c>
      <c r="AA19" s="89">
        <f>IF(AA$11-$C19&gt;$D$8,$I$6-SUM($E19:Z19),$I$6/$D$8)</f>
        <v>88.284119740006588</v>
      </c>
      <c r="AB19" s="89">
        <f>IF(AB$11-$C19&gt;$D$8,$I$6-SUM($E19:AA19),$I$6/$D$8)</f>
        <v>88.284119740006588</v>
      </c>
      <c r="AC19" s="89">
        <f>IF(AC$11-$C19&gt;$D$8,$I$6-SUM($E19:AB19),$I$6/$D$8)</f>
        <v>88.284119740006588</v>
      </c>
      <c r="AD19" s="89">
        <f>IF(AD$11-$C19&gt;$D$8,$I$6-SUM($E19:AC19),$I$6/$D$8)</f>
        <v>88.284119740006588</v>
      </c>
      <c r="AE19" s="89">
        <f>IF(AE$11-$C19&gt;$D$8,$I$6-SUM($E19:AD19),$I$6/$D$8)</f>
        <v>88.284119740006588</v>
      </c>
      <c r="AF19" s="89">
        <f>IF(AF$11-$C19&gt;$D$8,$I$6-SUM($E19:AE19),$I$6/$D$8)</f>
        <v>88.284119740006588</v>
      </c>
      <c r="AG19" s="89">
        <f>IF(AG$11-$C19&gt;$D$8,$I$6-SUM($E19:AF19),$I$6/$D$8)</f>
        <v>88.284119740006588</v>
      </c>
      <c r="AH19" s="89">
        <f>IF(AH$11-$C19&gt;$D$8,$I$6-SUM($E19:AG19),$I$6/$D$8)</f>
        <v>88.284119740006588</v>
      </c>
      <c r="AI19" s="89">
        <f>IF(AI$11-$C19&gt;$D$8,$I$6-SUM($E19:AH19),$I$6/$D$8)</f>
        <v>88.284119740006588</v>
      </c>
      <c r="AJ19" s="89">
        <f>IF(AJ$11-$C19&gt;$D$8,$I$6-SUM($E19:AI19),$I$6/$D$8)</f>
        <v>88.284119740006588</v>
      </c>
      <c r="AK19" s="89">
        <f>IF(AK$11-$C19&gt;$D$8,$I$6-SUM($E19:AJ19),$I$6/$D$8)</f>
        <v>88.284119740006588</v>
      </c>
      <c r="AL19" s="89">
        <f>IF(AL$11-$C19&gt;$D$8,$I$6-SUM($E19:AK19),$I$6/$D$8)</f>
        <v>88.284119740006588</v>
      </c>
      <c r="AM19" s="89">
        <f>IF(AM$11-$C19&gt;$D$8,$I$6-SUM($E19:AL19),$I$6/$D$8)</f>
        <v>88.284119740006588</v>
      </c>
      <c r="AN19" s="89">
        <f>IF(AN$11-$C19&gt;$D$8,$I$6-SUM($E19:AM19),$I$6/$D$8)</f>
        <v>88.284119740006588</v>
      </c>
      <c r="AO19" s="89">
        <f>IF(AO$11-$C19&gt;$D$8,$I$6-SUM($E19:AN19),$I$6/$D$8)</f>
        <v>88.284119740006588</v>
      </c>
      <c r="AP19" s="89">
        <f>IF(AP$11-$C19&gt;$D$8,$I$6-SUM($E19:AO19),$I$6/$D$8)</f>
        <v>88.284119740006588</v>
      </c>
      <c r="AQ19" s="89">
        <f>IF(AQ$11-$C19&gt;$D$8,$I$6-SUM($E19:AP19),$I$6/$D$8)</f>
        <v>88.284119740006588</v>
      </c>
      <c r="AR19" s="89">
        <f>IF(AR$11-$C19&gt;$D$8,$I$6-SUM($E19:AQ19),$I$6/$D$8)</f>
        <v>88.284119740006588</v>
      </c>
      <c r="AS19" s="89">
        <f>IF(AS$11-$C19&gt;$D$8,$I$6-SUM($E19:AR19),$I$6/$D$8)</f>
        <v>88.284119740006588</v>
      </c>
      <c r="AT19" s="89">
        <f>IF(AT$11-$C19&gt;$D$8,$I$6-SUM($E19:AS19),$I$6/$D$8)</f>
        <v>88.284119740006588</v>
      </c>
      <c r="AU19" s="89">
        <f>IF(AU$11-$C19&gt;$D$8,$I$6-SUM($E19:AT19),$I$6/$D$8)</f>
        <v>88.284119740006588</v>
      </c>
      <c r="AV19" s="89">
        <f>IF(AV$11-$C19&gt;$D$8,$I$6-SUM($E19:AU19),$I$6/$D$8)</f>
        <v>88.284119740006588</v>
      </c>
      <c r="AW19" s="89">
        <f>IF(AW$11-$C19&gt;$D$8,$I$6-SUM($E19:AV19),$I$6/$D$8)</f>
        <v>88.284119740006588</v>
      </c>
      <c r="AX19" s="89">
        <f>IF(AX$11-$C19&gt;$D$8,$I$6-SUM($E19:AW19),$I$6/$D$8)</f>
        <v>88.284119740006588</v>
      </c>
      <c r="AY19" s="89">
        <f>IF(AY$11-$C19&gt;$D$8,$I$6-SUM($E19:AX19),$I$6/$D$8)</f>
        <v>88.284119740006588</v>
      </c>
      <c r="AZ19" s="89">
        <f>IF(AZ$11-$C19&gt;$D$8,$I$6-SUM($E19:AY19),$I$6/$D$8)</f>
        <v>88.284119740006588</v>
      </c>
      <c r="BA19" s="89">
        <f>IF(BA$11-$C19&gt;$D$8,$I$6-SUM($E19:AZ19),$I$6/$D$8)</f>
        <v>88.284119740006588</v>
      </c>
      <c r="BB19" s="89">
        <f>IF(BB$11-$C19&gt;$D$8,$I$6-SUM($E19:BA19),$I$6/$D$8)</f>
        <v>88.284119740006588</v>
      </c>
      <c r="BC19" s="89">
        <f>IF(BC$11-$C19&gt;$D$8,$I$6-SUM($E19:BB19),$I$6/$D$8)</f>
        <v>-1.8189894035458565E-12</v>
      </c>
      <c r="BD19" s="89">
        <f>IF(BD$11-$C19&gt;$D$8,$I$6-SUM($E19:BC19),$I$6/$D$8)</f>
        <v>0</v>
      </c>
      <c r="BE19" s="89">
        <f>IF(BE$11-$C19&gt;$D$8,$I$6-SUM($E19:BD19),$I$6/$D$8)</f>
        <v>0</v>
      </c>
      <c r="BF19" s="89">
        <f>IF(BF$11-$C19&gt;$D$8,$I$6-SUM($E19:BE19),$I$6/$D$8)</f>
        <v>0</v>
      </c>
      <c r="BG19" s="89">
        <f>IF(BG$11-$C19&gt;$D$8,$I$6-SUM($E19:BF19),$I$6/$D$8)</f>
        <v>0</v>
      </c>
      <c r="BH19" s="89">
        <f>IF(BH$11-$C19&gt;$D$8,$I$6-SUM($E19:BG19),$I$6/$D$8)</f>
        <v>0</v>
      </c>
      <c r="BI19" s="89">
        <f>IF(BI$11-$C19&gt;$D$8,$I$6-SUM($E19:BH19),$I$6/$D$8)</f>
        <v>0</v>
      </c>
      <c r="BJ19" s="89">
        <f>IF(BJ$11-$C19&gt;$D$8,$I$6-SUM($E19:BI19),$I$6/$D$8)</f>
        <v>0</v>
      </c>
      <c r="BK19" s="89">
        <f>IF(BK$11-$C19&gt;$D$8,$I$6-SUM($E19:BJ19),$I$6/$D$8)</f>
        <v>0</v>
      </c>
      <c r="BL19" s="89">
        <f>IF(BL$11-$C19&gt;$D$8,$I$6-SUM($E19:BK19),$I$6/$D$8)</f>
        <v>0</v>
      </c>
      <c r="BM19" s="89">
        <f>IF(BM$11-$C19&gt;$D$8,$I$6-SUM($E19:BL19),$I$6/$D$8)</f>
        <v>0</v>
      </c>
      <c r="BN19" s="89">
        <f>IF(BN$11-$C19&gt;$D$8,$I$6-SUM($E19:BM19),$I$6/$D$8)</f>
        <v>0</v>
      </c>
      <c r="BO19" s="89">
        <f>IF(BO$11-$C19&gt;$D$8,$I$6-SUM($E19:BN19),$I$6/$D$8)</f>
        <v>0</v>
      </c>
      <c r="BP19" s="89">
        <f>IF(BP$11-$C19&gt;$D$8,$I$6-SUM($E19:BO19),$I$6/$D$8)</f>
        <v>0</v>
      </c>
      <c r="BQ19" s="89">
        <f>IF(BQ$11-$C19&gt;$D$8,$I$6-SUM($E19:BP19),$I$6/$D$8)</f>
        <v>0</v>
      </c>
      <c r="BR19" s="88">
        <f t="shared" si="0"/>
        <v>3972.7853883002967</v>
      </c>
      <c r="BS19" s="89" t="b">
        <f>BR19=I6</f>
        <v>1</v>
      </c>
    </row>
    <row r="21" spans="2:71" x14ac:dyDescent="0.25">
      <c r="B21" s="83" t="s">
        <v>108</v>
      </c>
    </row>
    <row r="23" spans="2:71" x14ac:dyDescent="0.25">
      <c r="B23" s="82" t="s">
        <v>223</v>
      </c>
      <c r="C23" s="82"/>
      <c r="D23" s="90">
        <f>SUM(D13:D21)</f>
        <v>0</v>
      </c>
      <c r="E23" s="90">
        <f t="shared" ref="E23:BP23" si="1">SUM(E13:E21)</f>
        <v>0</v>
      </c>
      <c r="F23" s="90">
        <f t="shared" si="1"/>
        <v>0</v>
      </c>
      <c r="G23" s="90">
        <f t="shared" si="1"/>
        <v>0</v>
      </c>
      <c r="H23" s="90">
        <f t="shared" si="1"/>
        <v>4.9113978097950017</v>
      </c>
      <c r="I23" s="90">
        <f t="shared" si="1"/>
        <v>183.5827434041978</v>
      </c>
      <c r="J23" s="90">
        <f t="shared" si="1"/>
        <v>271.86686314420439</v>
      </c>
      <c r="K23" s="90">
        <f t="shared" si="1"/>
        <v>271.86686314420439</v>
      </c>
      <c r="L23" s="90">
        <f t="shared" si="1"/>
        <v>271.86686314420439</v>
      </c>
      <c r="M23" s="90">
        <f t="shared" si="1"/>
        <v>271.86686314420439</v>
      </c>
      <c r="N23" s="90">
        <f t="shared" si="1"/>
        <v>271.86686314420439</v>
      </c>
      <c r="O23" s="90">
        <f t="shared" si="1"/>
        <v>271.86686314420439</v>
      </c>
      <c r="P23" s="90">
        <f t="shared" si="1"/>
        <v>271.86686314420439</v>
      </c>
      <c r="Q23" s="90">
        <f t="shared" si="1"/>
        <v>271.86686314420439</v>
      </c>
      <c r="R23" s="90">
        <f t="shared" si="1"/>
        <v>271.86686314420439</v>
      </c>
      <c r="S23" s="90">
        <f t="shared" si="1"/>
        <v>271.86686314420439</v>
      </c>
      <c r="T23" s="90">
        <f t="shared" si="1"/>
        <v>271.86686314420439</v>
      </c>
      <c r="U23" s="90">
        <f t="shared" si="1"/>
        <v>271.86686314420439</v>
      </c>
      <c r="V23" s="90">
        <f t="shared" si="1"/>
        <v>271.86686314420439</v>
      </c>
      <c r="W23" s="90">
        <f t="shared" si="1"/>
        <v>271.86686314420439</v>
      </c>
      <c r="X23" s="90">
        <f t="shared" si="1"/>
        <v>271.86686314420439</v>
      </c>
      <c r="Y23" s="90">
        <f t="shared" si="1"/>
        <v>271.86686314420439</v>
      </c>
      <c r="Z23" s="90">
        <f t="shared" si="1"/>
        <v>271.86686314420439</v>
      </c>
      <c r="AA23" s="90">
        <f t="shared" si="1"/>
        <v>271.86686314420439</v>
      </c>
      <c r="AB23" s="90">
        <f t="shared" si="1"/>
        <v>271.86686314420439</v>
      </c>
      <c r="AC23" s="90">
        <f t="shared" si="1"/>
        <v>271.86686314420439</v>
      </c>
      <c r="AD23" s="90">
        <f t="shared" si="1"/>
        <v>271.86686314420439</v>
      </c>
      <c r="AE23" s="90">
        <f t="shared" si="1"/>
        <v>271.86686314420439</v>
      </c>
      <c r="AF23" s="90">
        <f t="shared" si="1"/>
        <v>271.86686314420439</v>
      </c>
      <c r="AG23" s="90">
        <f t="shared" si="1"/>
        <v>271.86686314420439</v>
      </c>
      <c r="AH23" s="90">
        <f t="shared" si="1"/>
        <v>271.86686314420439</v>
      </c>
      <c r="AI23" s="90">
        <f t="shared" si="1"/>
        <v>271.86686314420439</v>
      </c>
      <c r="AJ23" s="90">
        <f t="shared" si="1"/>
        <v>271.86686314420439</v>
      </c>
      <c r="AK23" s="90">
        <f t="shared" si="1"/>
        <v>271.86686314420439</v>
      </c>
      <c r="AL23" s="90">
        <f t="shared" si="1"/>
        <v>271.86686314420439</v>
      </c>
      <c r="AM23" s="90">
        <f t="shared" si="1"/>
        <v>271.86686314420439</v>
      </c>
      <c r="AN23" s="90">
        <f t="shared" si="1"/>
        <v>271.86686314420439</v>
      </c>
      <c r="AO23" s="90">
        <f t="shared" si="1"/>
        <v>271.86686314420439</v>
      </c>
      <c r="AP23" s="90">
        <f t="shared" si="1"/>
        <v>271.86686314420439</v>
      </c>
      <c r="AQ23" s="90">
        <f t="shared" si="1"/>
        <v>271.86686314420439</v>
      </c>
      <c r="AR23" s="90">
        <f t="shared" si="1"/>
        <v>271.86686314420439</v>
      </c>
      <c r="AS23" s="90">
        <f t="shared" si="1"/>
        <v>271.86686314420439</v>
      </c>
      <c r="AT23" s="90">
        <f t="shared" si="1"/>
        <v>271.86686314420439</v>
      </c>
      <c r="AU23" s="90">
        <f t="shared" si="1"/>
        <v>271.86686314420439</v>
      </c>
      <c r="AV23" s="90">
        <f t="shared" si="1"/>
        <v>271.86686314420439</v>
      </c>
      <c r="AW23" s="90">
        <f t="shared" si="1"/>
        <v>271.86686314420439</v>
      </c>
      <c r="AX23" s="90">
        <f t="shared" si="1"/>
        <v>271.86686314420439</v>
      </c>
      <c r="AY23" s="90">
        <f t="shared" si="1"/>
        <v>271.86686314420439</v>
      </c>
      <c r="AZ23" s="90">
        <f t="shared" si="1"/>
        <v>271.86686314420439</v>
      </c>
      <c r="BA23" s="90">
        <f t="shared" si="1"/>
        <v>266.95546533440927</v>
      </c>
      <c r="BB23" s="90">
        <f t="shared" si="1"/>
        <v>88.284119740008407</v>
      </c>
      <c r="BC23" s="90">
        <f t="shared" si="1"/>
        <v>-1.8189894035458565E-12</v>
      </c>
      <c r="BD23" s="90">
        <f t="shared" si="1"/>
        <v>0</v>
      </c>
      <c r="BE23" s="90">
        <f t="shared" si="1"/>
        <v>0</v>
      </c>
      <c r="BF23" s="90">
        <f t="shared" si="1"/>
        <v>0</v>
      </c>
      <c r="BG23" s="90">
        <f t="shared" si="1"/>
        <v>0</v>
      </c>
      <c r="BH23" s="90">
        <f t="shared" si="1"/>
        <v>0</v>
      </c>
      <c r="BI23" s="90">
        <f t="shared" si="1"/>
        <v>0</v>
      </c>
      <c r="BJ23" s="90">
        <f t="shared" si="1"/>
        <v>0</v>
      </c>
      <c r="BK23" s="90">
        <f t="shared" si="1"/>
        <v>0</v>
      </c>
      <c r="BL23" s="90">
        <f t="shared" si="1"/>
        <v>0</v>
      </c>
      <c r="BM23" s="90">
        <f t="shared" si="1"/>
        <v>0</v>
      </c>
      <c r="BN23" s="90">
        <f t="shared" si="1"/>
        <v>0</v>
      </c>
      <c r="BO23" s="90">
        <f t="shared" si="1"/>
        <v>0</v>
      </c>
      <c r="BP23" s="90">
        <f t="shared" si="1"/>
        <v>0</v>
      </c>
      <c r="BQ23" s="90">
        <f t="shared" ref="BQ23:BR23" si="2">SUM(BQ13:BQ21)</f>
        <v>0</v>
      </c>
      <c r="BR23" s="90">
        <f t="shared" si="2"/>
        <v>12234.008841489198</v>
      </c>
    </row>
    <row r="26" spans="2:71" x14ac:dyDescent="0.25">
      <c r="B26" s="82" t="s">
        <v>224</v>
      </c>
    </row>
    <row r="27" spans="2:71" x14ac:dyDescent="0.25">
      <c r="B27" s="83" t="s">
        <v>157</v>
      </c>
    </row>
    <row r="28" spans="2:71" x14ac:dyDescent="0.25">
      <c r="B28" s="83" t="s">
        <v>175</v>
      </c>
      <c r="D28" s="84" t="s">
        <v>66</v>
      </c>
      <c r="E28" s="84" t="s">
        <v>66</v>
      </c>
      <c r="F28" s="84" t="s">
        <v>100</v>
      </c>
      <c r="G28" s="84" t="s">
        <v>100</v>
      </c>
      <c r="H28" s="84" t="s">
        <v>100</v>
      </c>
    </row>
    <row r="29" spans="2:71" x14ac:dyDescent="0.25">
      <c r="D29" s="84">
        <v>2016</v>
      </c>
      <c r="E29" s="84">
        <v>2017</v>
      </c>
      <c r="F29" s="84">
        <v>2018</v>
      </c>
      <c r="G29" s="84">
        <v>2019</v>
      </c>
      <c r="H29" s="84">
        <v>2020</v>
      </c>
      <c r="I29" s="83" t="s">
        <v>42</v>
      </c>
    </row>
    <row r="30" spans="2:71" x14ac:dyDescent="0.25">
      <c r="B30" s="100" t="s">
        <v>84</v>
      </c>
      <c r="D30" s="91">
        <f>'Capex by Asset class'!C$42*(1+D$1)^0.5</f>
        <v>0</v>
      </c>
      <c r="E30" s="91">
        <f>'Capex by Asset class'!D$42*(1+E$1)^0.5</f>
        <v>0</v>
      </c>
      <c r="F30" s="91">
        <f>'Capex by Asset class'!E$42*(1+F$1)^0.5</f>
        <v>0</v>
      </c>
      <c r="G30" s="91">
        <f>'Capex by Asset class'!F$42*(1+G$1)^0.5</f>
        <v>66.343245533543723</v>
      </c>
      <c r="H30" s="91">
        <f>'Capex by Asset class'!G$42*(1+H$1)^0.5</f>
        <v>884.96133183168411</v>
      </c>
      <c r="I30" s="91">
        <f>'Capex by Asset class'!H$42*(1+I$1)^0.5</f>
        <v>437.27231092813582</v>
      </c>
    </row>
    <row r="32" spans="2:71" x14ac:dyDescent="0.25">
      <c r="B32" s="83" t="s">
        <v>101</v>
      </c>
      <c r="D32" s="85">
        <v>50</v>
      </c>
    </row>
    <row r="34" spans="2:89" x14ac:dyDescent="0.25">
      <c r="B34" s="82" t="s">
        <v>222</v>
      </c>
      <c r="C34" s="82"/>
    </row>
    <row r="35" spans="2:89" x14ac:dyDescent="0.25">
      <c r="D35" s="84">
        <v>1</v>
      </c>
      <c r="E35" s="84">
        <v>2</v>
      </c>
      <c r="F35" s="84">
        <v>3</v>
      </c>
      <c r="G35" s="84">
        <v>4</v>
      </c>
      <c r="H35" s="84">
        <v>5</v>
      </c>
      <c r="I35" s="84">
        <v>6</v>
      </c>
      <c r="J35" s="96">
        <v>7</v>
      </c>
      <c r="K35" s="84">
        <v>8</v>
      </c>
      <c r="L35" s="84">
        <v>9</v>
      </c>
      <c r="M35" s="84">
        <v>10</v>
      </c>
      <c r="N35" s="84">
        <v>11</v>
      </c>
      <c r="O35" s="84">
        <v>12</v>
      </c>
      <c r="P35" s="84">
        <v>13</v>
      </c>
      <c r="Q35" s="84">
        <v>14</v>
      </c>
      <c r="R35" s="84">
        <v>15</v>
      </c>
      <c r="S35" s="84">
        <v>16</v>
      </c>
      <c r="T35" s="84">
        <v>17</v>
      </c>
      <c r="U35" s="84">
        <v>18</v>
      </c>
      <c r="V35" s="84">
        <v>19</v>
      </c>
      <c r="W35" s="84">
        <v>20</v>
      </c>
      <c r="X35" s="84">
        <v>21</v>
      </c>
      <c r="Y35" s="84">
        <v>22</v>
      </c>
      <c r="Z35" s="84">
        <v>23</v>
      </c>
      <c r="AA35" s="84">
        <v>24</v>
      </c>
      <c r="AB35" s="84">
        <v>25</v>
      </c>
      <c r="AC35" s="84">
        <v>26</v>
      </c>
      <c r="AD35" s="84">
        <v>27</v>
      </c>
      <c r="AE35" s="84">
        <v>28</v>
      </c>
      <c r="AF35" s="84">
        <v>29</v>
      </c>
      <c r="AG35" s="84">
        <v>30</v>
      </c>
      <c r="AH35" s="84">
        <v>31</v>
      </c>
      <c r="AI35" s="84">
        <v>32</v>
      </c>
      <c r="AJ35" s="84">
        <v>33</v>
      </c>
      <c r="AK35" s="84">
        <v>34</v>
      </c>
      <c r="AL35" s="84">
        <v>35</v>
      </c>
      <c r="AM35" s="84">
        <v>36</v>
      </c>
      <c r="AN35" s="84">
        <v>37</v>
      </c>
      <c r="AO35" s="84">
        <v>38</v>
      </c>
      <c r="AP35" s="84">
        <v>39</v>
      </c>
      <c r="AQ35" s="84">
        <v>40</v>
      </c>
      <c r="AR35" s="84">
        <v>41</v>
      </c>
      <c r="AS35" s="84">
        <v>42</v>
      </c>
      <c r="AT35" s="84">
        <v>43</v>
      </c>
      <c r="AU35" s="84">
        <v>44</v>
      </c>
      <c r="AV35" s="84">
        <v>45</v>
      </c>
      <c r="AW35" s="84">
        <v>46</v>
      </c>
      <c r="AX35" s="84">
        <v>47</v>
      </c>
      <c r="AY35" s="84">
        <v>48</v>
      </c>
      <c r="AZ35" s="84">
        <v>49</v>
      </c>
      <c r="BA35" s="84">
        <v>50</v>
      </c>
      <c r="BB35" s="84">
        <v>51</v>
      </c>
      <c r="BC35" s="84">
        <v>52</v>
      </c>
      <c r="BD35" s="84">
        <v>53</v>
      </c>
      <c r="BE35" s="84">
        <v>54</v>
      </c>
      <c r="BF35" s="84">
        <v>55</v>
      </c>
      <c r="BG35" s="84">
        <v>56</v>
      </c>
      <c r="BH35" s="84">
        <v>57</v>
      </c>
      <c r="BI35" s="84">
        <v>58</v>
      </c>
      <c r="BJ35" s="84">
        <v>59</v>
      </c>
      <c r="BK35" s="84">
        <v>60</v>
      </c>
      <c r="BL35" s="84">
        <v>61</v>
      </c>
      <c r="BM35" s="84">
        <v>62</v>
      </c>
      <c r="BN35" s="84">
        <v>63</v>
      </c>
      <c r="BO35" s="84">
        <v>64</v>
      </c>
      <c r="BP35" s="84">
        <v>65</v>
      </c>
      <c r="BQ35" s="84">
        <v>66</v>
      </c>
    </row>
    <row r="36" spans="2:89" x14ac:dyDescent="0.25">
      <c r="B36" s="86" t="str">
        <f>B30</f>
        <v>Distribution system assets</v>
      </c>
      <c r="C36" s="82"/>
      <c r="D36" s="84">
        <v>2016</v>
      </c>
      <c r="E36" s="84">
        <v>2017</v>
      </c>
      <c r="F36" s="84">
        <v>2018</v>
      </c>
      <c r="G36" s="84">
        <v>2019</v>
      </c>
      <c r="H36" s="84">
        <v>2020</v>
      </c>
      <c r="I36" s="84" t="s">
        <v>42</v>
      </c>
      <c r="J36" s="96" t="s">
        <v>63</v>
      </c>
      <c r="K36" s="84" t="s">
        <v>64</v>
      </c>
      <c r="L36" s="84" t="s">
        <v>65</v>
      </c>
      <c r="M36" s="84" t="s">
        <v>46</v>
      </c>
      <c r="N36" s="84" t="s">
        <v>47</v>
      </c>
      <c r="O36" s="84" t="s">
        <v>68</v>
      </c>
      <c r="P36" s="84" t="s">
        <v>156</v>
      </c>
      <c r="Q36" s="84" t="s">
        <v>155</v>
      </c>
      <c r="R36" s="84" t="s">
        <v>154</v>
      </c>
      <c r="S36" s="84" t="s">
        <v>153</v>
      </c>
      <c r="T36" s="84" t="s">
        <v>152</v>
      </c>
      <c r="U36" s="84" t="s">
        <v>151</v>
      </c>
      <c r="V36" s="84" t="s">
        <v>150</v>
      </c>
      <c r="W36" s="84" t="s">
        <v>149</v>
      </c>
      <c r="X36" s="84" t="s">
        <v>148</v>
      </c>
      <c r="Y36" s="84" t="s">
        <v>147</v>
      </c>
      <c r="Z36" s="84" t="s">
        <v>146</v>
      </c>
      <c r="AA36" s="84" t="s">
        <v>145</v>
      </c>
      <c r="AB36" s="84" t="s">
        <v>144</v>
      </c>
      <c r="AC36" s="84" t="s">
        <v>143</v>
      </c>
      <c r="AD36" s="84" t="s">
        <v>142</v>
      </c>
      <c r="AE36" s="84" t="s">
        <v>141</v>
      </c>
      <c r="AF36" s="84" t="s">
        <v>140</v>
      </c>
      <c r="AG36" s="84" t="s">
        <v>139</v>
      </c>
      <c r="AH36" s="84" t="s">
        <v>138</v>
      </c>
      <c r="AI36" s="84" t="s">
        <v>137</v>
      </c>
      <c r="AJ36" s="84" t="s">
        <v>136</v>
      </c>
      <c r="AK36" s="84" t="s">
        <v>135</v>
      </c>
      <c r="AL36" s="84" t="s">
        <v>134</v>
      </c>
      <c r="AM36" s="84" t="s">
        <v>133</v>
      </c>
      <c r="AN36" s="84" t="s">
        <v>132</v>
      </c>
      <c r="AO36" s="84" t="s">
        <v>131</v>
      </c>
      <c r="AP36" s="84" t="s">
        <v>130</v>
      </c>
      <c r="AQ36" s="84" t="s">
        <v>129</v>
      </c>
      <c r="AR36" s="84" t="s">
        <v>128</v>
      </c>
      <c r="AS36" s="84" t="s">
        <v>127</v>
      </c>
      <c r="AT36" s="84" t="s">
        <v>126</v>
      </c>
      <c r="AU36" s="84" t="s">
        <v>125</v>
      </c>
      <c r="AV36" s="84" t="s">
        <v>124</v>
      </c>
      <c r="AW36" s="84" t="s">
        <v>123</v>
      </c>
      <c r="AX36" s="84" t="s">
        <v>122</v>
      </c>
      <c r="AY36" s="84" t="s">
        <v>121</v>
      </c>
      <c r="AZ36" s="84" t="s">
        <v>120</v>
      </c>
      <c r="BA36" s="84" t="s">
        <v>119</v>
      </c>
      <c r="BB36" s="84" t="s">
        <v>118</v>
      </c>
      <c r="BC36" s="84" t="s">
        <v>117</v>
      </c>
      <c r="BD36" s="84" t="s">
        <v>116</v>
      </c>
      <c r="BE36" s="84" t="s">
        <v>115</v>
      </c>
      <c r="BF36" s="84" t="s">
        <v>114</v>
      </c>
      <c r="BG36" s="84" t="s">
        <v>113</v>
      </c>
      <c r="BH36" s="84" t="s">
        <v>112</v>
      </c>
      <c r="BI36" s="84" t="s">
        <v>111</v>
      </c>
      <c r="BJ36" s="84" t="s">
        <v>110</v>
      </c>
      <c r="BK36" s="84" t="s">
        <v>109</v>
      </c>
      <c r="BL36" s="84" t="s">
        <v>102</v>
      </c>
      <c r="BM36" s="84" t="s">
        <v>103</v>
      </c>
      <c r="BN36" s="84" t="s">
        <v>104</v>
      </c>
      <c r="BO36" s="84" t="s">
        <v>105</v>
      </c>
      <c r="BP36" s="84" t="s">
        <v>106</v>
      </c>
      <c r="BQ36" s="84" t="s">
        <v>107</v>
      </c>
      <c r="BR36" s="84" t="s">
        <v>10</v>
      </c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</row>
    <row r="37" spans="2:89" ht="14.4" x14ac:dyDescent="0.3">
      <c r="B37" s="83" t="s">
        <v>158</v>
      </c>
      <c r="D37" s="87"/>
      <c r="E37" s="87"/>
      <c r="F37" s="87"/>
      <c r="G37" s="87"/>
      <c r="H37" s="87"/>
      <c r="I37" s="87"/>
      <c r="J37" s="9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R37" s="88">
        <f t="shared" ref="BR37:BR43" si="3">SUM(D37:BQ37)</f>
        <v>0</v>
      </c>
      <c r="BS37" s="85"/>
    </row>
    <row r="38" spans="2:89" ht="14.4" x14ac:dyDescent="0.3">
      <c r="B38" s="83" t="s">
        <v>160</v>
      </c>
      <c r="C38" s="83">
        <v>1</v>
      </c>
      <c r="E38" s="89">
        <f>IF(E$35-$C38&gt;$D$32,$D$30-SUM(D38:$E38),$D$30/$D$32)</f>
        <v>0</v>
      </c>
      <c r="F38" s="89">
        <f>IF(F$35-$C38&gt;$D$32,$D$30-SUM(E38:$E38),$D$30/$D$32)</f>
        <v>0</v>
      </c>
      <c r="G38" s="89">
        <f>IF(G$35-$C38&gt;$D$32,$D$30-SUM($E38:F38),$D$30/$D$32)</f>
        <v>0</v>
      </c>
      <c r="H38" s="89">
        <f>IF(H$35-$C38&gt;$D$32,$D$30-SUM($E38:G38),$D$30/$D$32)</f>
        <v>0</v>
      </c>
      <c r="I38" s="89">
        <f>IF(I$35-$C38&gt;$D$32,$D$30-SUM($E38:H38),$D$30/$D$32)</f>
        <v>0</v>
      </c>
      <c r="J38" s="98">
        <f>IF(J$35-$C38&gt;$D$32,$D$30-SUM($E38:I38),$D$30/$D$32)</f>
        <v>0</v>
      </c>
      <c r="K38" s="89">
        <f>IF(K$35-$C38&gt;$D$32,$D$30-SUM($E38:J38),$D$30/$D$32)</f>
        <v>0</v>
      </c>
      <c r="L38" s="89">
        <f>IF(L$35-$C38&gt;$D$32,$D$30-SUM($E38:K38),$D$30/$D$32)</f>
        <v>0</v>
      </c>
      <c r="M38" s="89">
        <f>IF(M$35-$C38&gt;$D$32,$D$30-SUM($E38:L38),$D$30/$D$32)</f>
        <v>0</v>
      </c>
      <c r="N38" s="89">
        <f>IF(N$35-$C38&gt;$D$32,$D$30-SUM($E38:M38),$D$30/$D$32)</f>
        <v>0</v>
      </c>
      <c r="O38" s="89">
        <f>IF(O$35-$C38&gt;$D$32,$D$30-SUM($E38:N38),$D$30/$D$32)</f>
        <v>0</v>
      </c>
      <c r="P38" s="89">
        <f>IF(P$35-$C38&gt;$D$32,$D$30-SUM($E38:O38),$D$30/$D$32)</f>
        <v>0</v>
      </c>
      <c r="Q38" s="89">
        <f>IF(Q$35-$C38&gt;$D$32,$D$30-SUM($E38:P38),$D$30/$D$32)</f>
        <v>0</v>
      </c>
      <c r="R38" s="89">
        <f>IF(R$35-$C38&gt;$D$32,$D$30-SUM($E38:Q38),$D$30/$D$32)</f>
        <v>0</v>
      </c>
      <c r="S38" s="89">
        <f>IF(S$35-$C38&gt;$D$32,$D$30-SUM($E38:R38),$D$30/$D$32)</f>
        <v>0</v>
      </c>
      <c r="T38" s="89">
        <f>IF(T$35-$C38&gt;$D$32,$D$30-SUM($E38:S38),$D$30/$D$32)</f>
        <v>0</v>
      </c>
      <c r="U38" s="89">
        <f>IF(U$35-$C38&gt;$D$32,$D$30-SUM($E38:T38),$D$30/$D$32)</f>
        <v>0</v>
      </c>
      <c r="V38" s="89">
        <f>IF(V$35-$C38&gt;$D$32,$D$30-SUM($E38:U38),$D$30/$D$32)</f>
        <v>0</v>
      </c>
      <c r="W38" s="89">
        <f>IF(W$35-$C38&gt;$D$32,$D$30-SUM($E38:V38),$D$30/$D$32)</f>
        <v>0</v>
      </c>
      <c r="X38" s="89">
        <f>IF(X$35-$C38&gt;$D$32,$D$30-SUM($E38:W38),$D$30/$D$32)</f>
        <v>0</v>
      </c>
      <c r="Y38" s="89">
        <f>IF(Y$35-$C38&gt;$D$32,$D$30-SUM($E38:X38),$D$30/$D$32)</f>
        <v>0</v>
      </c>
      <c r="Z38" s="89">
        <f>IF(Z$35-$C38&gt;$D$32,$D$30-SUM($E38:Y38),$D$30/$D$32)</f>
        <v>0</v>
      </c>
      <c r="AA38" s="89">
        <f>IF(AA$35-$C38&gt;$D$32,$D$30-SUM($E38:Z38),$D$30/$D$32)</f>
        <v>0</v>
      </c>
      <c r="AB38" s="89">
        <f>IF(AB$35-$C38&gt;$D$32,$D$30-SUM($E38:AA38),$D$30/$D$32)</f>
        <v>0</v>
      </c>
      <c r="AC38" s="89">
        <f>IF(AC$35-$C38&gt;$D$32,$D$30-SUM($E38:AB38),$D$30/$D$32)</f>
        <v>0</v>
      </c>
      <c r="AD38" s="89">
        <f>IF(AD$35-$C38&gt;$D$32,$D$30-SUM($E38:AC38),$D$30/$D$32)</f>
        <v>0</v>
      </c>
      <c r="AE38" s="89">
        <f>IF(AE$35-$C38&gt;$D$32,$D$30-SUM($E38:AD38),$D$30/$D$32)</f>
        <v>0</v>
      </c>
      <c r="AF38" s="89">
        <f>IF(AF$35-$C38&gt;$D$32,$D$30-SUM($E38:AE38),$D$30/$D$32)</f>
        <v>0</v>
      </c>
      <c r="AG38" s="89">
        <f>IF(AG$35-$C38&gt;$D$32,$D$30-SUM($E38:AF38),$D$30/$D$32)</f>
        <v>0</v>
      </c>
      <c r="AH38" s="89">
        <f>IF(AH$35-$C38&gt;$D$32,$D$30-SUM($E38:AG38),$D$30/$D$32)</f>
        <v>0</v>
      </c>
      <c r="AI38" s="89">
        <f>IF(AI$35-$C38&gt;$D$32,$D$30-SUM($E38:AH38),$D$30/$D$32)</f>
        <v>0</v>
      </c>
      <c r="AJ38" s="89">
        <f>IF(AJ$35-$C38&gt;$D$32,$D$30-SUM($E38:AI38),$D$30/$D$32)</f>
        <v>0</v>
      </c>
      <c r="AK38" s="89">
        <f>IF(AK$35-$C38&gt;$D$32,$D$30-SUM($E38:AJ38),$D$30/$D$32)</f>
        <v>0</v>
      </c>
      <c r="AL38" s="89">
        <f>IF(AL$35-$C38&gt;$D$32,$D$30-SUM($E38:AK38),$D$30/$D$32)</f>
        <v>0</v>
      </c>
      <c r="AM38" s="89">
        <f>IF(AM$35-$C38&gt;$D$32,$D$30-SUM($E38:AL38),$D$30/$D$32)</f>
        <v>0</v>
      </c>
      <c r="AN38" s="89">
        <f>IF(AN$35-$C38&gt;$D$32,$D$30-SUM($E38:AM38),$D$30/$D$32)</f>
        <v>0</v>
      </c>
      <c r="AO38" s="89">
        <f>IF(AO$35-$C38&gt;$D$32,$D$30-SUM($E38:AN38),$D$30/$D$32)</f>
        <v>0</v>
      </c>
      <c r="AP38" s="89">
        <f>IF(AP$35-$C38&gt;$D$32,$D$30-SUM($E38:AO38),$D$30/$D$32)</f>
        <v>0</v>
      </c>
      <c r="AQ38" s="89">
        <f>IF(AQ$35-$C38&gt;$D$32,$D$30-SUM($E38:AP38),$D$30/$D$32)</f>
        <v>0</v>
      </c>
      <c r="AR38" s="89">
        <f>IF(AR$35-$C38&gt;$D$32,$D$30-SUM($E38:AQ38),$D$30/$D$32)</f>
        <v>0</v>
      </c>
      <c r="AS38" s="89">
        <f>IF(AS$35-$C38&gt;$D$32,$D$30-SUM($E38:AR38),$D$30/$D$32)</f>
        <v>0</v>
      </c>
      <c r="AT38" s="89">
        <f>IF(AT$35-$C38&gt;$D$32,$D$30-SUM($E38:AS38),$D$30/$D$32)</f>
        <v>0</v>
      </c>
      <c r="AU38" s="89">
        <f>IF(AU$35-$C38&gt;$D$32,$D$30-SUM($E38:AT38),$D$30/$D$32)</f>
        <v>0</v>
      </c>
      <c r="AV38" s="89">
        <f>IF(AV$35-$C38&gt;$D$32,$D$30-SUM($E38:AU38),$D$30/$D$32)</f>
        <v>0</v>
      </c>
      <c r="AW38" s="89">
        <f>IF(AW$35-$C38&gt;$D$32,$D$30-SUM($E38:AV38),$D$30/$D$32)</f>
        <v>0</v>
      </c>
      <c r="AX38" s="89">
        <f>IF(AX$35-$C38&gt;$D$32,$D$30-SUM($E38:AW38),$D$30/$D$32)</f>
        <v>0</v>
      </c>
      <c r="AY38" s="89">
        <f>IF(AY$35-$C38&gt;$D$32,$D$30-SUM($E38:AX38),$D$30/$D$32)</f>
        <v>0</v>
      </c>
      <c r="AZ38" s="89">
        <f>IF(AZ$35-$C38&gt;$D$32,$D$30-SUM($E38:AY38),$D$30/$D$32)</f>
        <v>0</v>
      </c>
      <c r="BA38" s="89">
        <f>IF(BA$35-$C38&gt;$D$32,$D$30-SUM($E38:AZ38),$D$30/$D$32)</f>
        <v>0</v>
      </c>
      <c r="BB38" s="89">
        <f>IF(BB$35-$C38&gt;$D$32,$D$30-SUM($E38:BA38),$D$30/$D$32)</f>
        <v>0</v>
      </c>
      <c r="BC38" s="89">
        <f>IF(BC$35-$C38&gt;$D$32,$D$30-SUM($E38:BB38),$D$30/$D$32)</f>
        <v>0</v>
      </c>
      <c r="BD38" s="89">
        <f>IF(BD$35-$C38&gt;$D$32,$D$30-SUM($E38:BC38),$D$30/$D$32)</f>
        <v>0</v>
      </c>
      <c r="BE38" s="89">
        <f>IF(BE$35-$C38&gt;$D$32,$D$30-SUM($E38:BD38),$D$30/$D$32)</f>
        <v>0</v>
      </c>
      <c r="BF38" s="89">
        <f>IF(BF$35-$C38&gt;$D$32,$D$30-SUM($E38:BE38),$D$30/$D$32)</f>
        <v>0</v>
      </c>
      <c r="BG38" s="89">
        <f>IF(BG$35-$C38&gt;$D$32,$D$30-SUM($E38:BF38),$D$30/$D$32)</f>
        <v>0</v>
      </c>
      <c r="BH38" s="89">
        <f>IF(BH$35-$C38&gt;$D$32,$D$30-SUM($E38:BG38),$D$30/$D$32)</f>
        <v>0</v>
      </c>
      <c r="BI38" s="89">
        <f>IF(BI$35-$C38&gt;$D$32,$D$30-SUM($E38:BH38),$D$30/$D$32)</f>
        <v>0</v>
      </c>
      <c r="BJ38" s="89">
        <f>IF(BJ$35-$C38&gt;$D$32,$D$30-SUM($E38:BI38),$D$30/$D$32)</f>
        <v>0</v>
      </c>
      <c r="BK38" s="89">
        <f>IF(BK$35-$C38&gt;$D$32,$D$30-SUM($E38:BJ38),$D$30/$D$32)</f>
        <v>0</v>
      </c>
      <c r="BL38" s="89">
        <f>IF(BL$35-$C38&gt;$D$32,$D$30-SUM($E38:BK38),$D$30/$D$32)</f>
        <v>0</v>
      </c>
      <c r="BM38" s="89">
        <f>IF(BM$35-$C38&gt;$D$32,$D$30-SUM($E38:BL38),$D$30/$D$32)</f>
        <v>0</v>
      </c>
      <c r="BN38" s="89">
        <f>IF(BN$35-$C38&gt;$D$32,$D$30-SUM($E38:BM38),$D$30/$D$32)</f>
        <v>0</v>
      </c>
      <c r="BO38" s="89">
        <f>IF(BO$35-$C38&gt;$D$32,$D$30-SUM($E38:BN38),$D$30/$D$32)</f>
        <v>0</v>
      </c>
      <c r="BP38" s="89">
        <f>IF(BP$35-$C38&gt;$D$32,$D$30-SUM($E38:BO38),$D$30/$D$32)</f>
        <v>0</v>
      </c>
      <c r="BR38" s="88">
        <f t="shared" si="3"/>
        <v>0</v>
      </c>
      <c r="BS38" s="83" t="b">
        <f>BR38=D30</f>
        <v>1</v>
      </c>
    </row>
    <row r="39" spans="2:89" ht="14.4" x14ac:dyDescent="0.3">
      <c r="B39" s="83" t="s">
        <v>161</v>
      </c>
      <c r="C39" s="83">
        <v>2</v>
      </c>
      <c r="F39" s="89">
        <f>IF(F$35-$C39&gt;$D$32,$E$30-SUM(E39:$E39),$E$30/$D$32)</f>
        <v>0</v>
      </c>
      <c r="G39" s="89">
        <f>IF(G$35-$C39&gt;$D$32,$E$30-SUM($E39:F39),$E$30/$D$32)</f>
        <v>0</v>
      </c>
      <c r="H39" s="89">
        <f>IF(H$35-$C39&gt;$D$32,$E$30-SUM($E39:G39),$E$30/$D$32)</f>
        <v>0</v>
      </c>
      <c r="I39" s="89">
        <f>IF(I$35-$C39&gt;$D$32,$E$30-SUM($E39:H39),$E$30/$D$32)</f>
        <v>0</v>
      </c>
      <c r="J39" s="98">
        <f>IF(J$35-$C39&gt;$D$32,$E$30-SUM($E39:I39),$E$30/$D$32)</f>
        <v>0</v>
      </c>
      <c r="K39" s="89">
        <f>IF(K$35-$C39&gt;$D$32,$E$30-SUM($E39:J39),$E$30/$D$32)</f>
        <v>0</v>
      </c>
      <c r="L39" s="89">
        <f>IF(L$35-$C39&gt;$D$32,$E$30-SUM($E39:K39),$E$30/$D$32)</f>
        <v>0</v>
      </c>
      <c r="M39" s="89">
        <f>IF(M$35-$C39&gt;$D$32,$E$30-SUM($E39:L39),$E$30/$D$32)</f>
        <v>0</v>
      </c>
      <c r="N39" s="89">
        <f>IF(N$35-$C39&gt;$D$32,$E$30-SUM($E39:M39),$E$30/$D$32)</f>
        <v>0</v>
      </c>
      <c r="O39" s="89">
        <f>IF(O$35-$C39&gt;$D$32,$E$30-SUM($E39:N39),$E$30/$D$32)</f>
        <v>0</v>
      </c>
      <c r="P39" s="89">
        <f>IF(P$35-$C39&gt;$D$32,$E$30-SUM($E39:O39),$E$30/$D$32)</f>
        <v>0</v>
      </c>
      <c r="Q39" s="89">
        <f>IF(Q$35-$C39&gt;$D$32,$E$30-SUM($E39:P39),$E$30/$D$32)</f>
        <v>0</v>
      </c>
      <c r="R39" s="89">
        <f>IF(R$35-$C39&gt;$D$32,$E$30-SUM($E39:Q39),$E$30/$D$32)</f>
        <v>0</v>
      </c>
      <c r="S39" s="89">
        <f>IF(S$35-$C39&gt;$D$32,$E$30-SUM($E39:R39),$E$30/$D$32)</f>
        <v>0</v>
      </c>
      <c r="T39" s="89">
        <f>IF(T$35-$C39&gt;$D$32,$E$30-SUM($E39:S39),$E$30/$D$32)</f>
        <v>0</v>
      </c>
      <c r="U39" s="89">
        <f>IF(U$35-$C39&gt;$D$32,$E$30-SUM($E39:T39),$E$30/$D$32)</f>
        <v>0</v>
      </c>
      <c r="V39" s="89">
        <f>IF(V$35-$C39&gt;$D$32,$E$30-SUM($E39:U39),$E$30/$D$32)</f>
        <v>0</v>
      </c>
      <c r="W39" s="89">
        <f>IF(W$35-$C39&gt;$D$32,$E$30-SUM($E39:V39),$E$30/$D$32)</f>
        <v>0</v>
      </c>
      <c r="X39" s="89">
        <f>IF(X$35-$C39&gt;$D$32,$E$30-SUM($E39:W39),$E$30/$D$32)</f>
        <v>0</v>
      </c>
      <c r="Y39" s="89">
        <f>IF(Y$35-$C39&gt;$D$32,$E$30-SUM($E39:X39),$E$30/$D$32)</f>
        <v>0</v>
      </c>
      <c r="Z39" s="89">
        <f>IF(Z$35-$C39&gt;$D$32,$E$30-SUM($E39:Y39),$E$30/$D$32)</f>
        <v>0</v>
      </c>
      <c r="AA39" s="89">
        <f>IF(AA$35-$C39&gt;$D$32,$E$30-SUM($E39:Z39),$E$30/$D$32)</f>
        <v>0</v>
      </c>
      <c r="AB39" s="89">
        <f>IF(AB$35-$C39&gt;$D$32,$E$30-SUM($E39:AA39),$E$30/$D$32)</f>
        <v>0</v>
      </c>
      <c r="AC39" s="89">
        <f>IF(AC$35-$C39&gt;$D$32,$E$30-SUM($E39:AB39),$E$30/$D$32)</f>
        <v>0</v>
      </c>
      <c r="AD39" s="89">
        <f>IF(AD$35-$C39&gt;$D$32,$E$30-SUM($E39:AC39),$E$30/$D$32)</f>
        <v>0</v>
      </c>
      <c r="AE39" s="89">
        <f>IF(AE$35-$C39&gt;$D$32,$E$30-SUM($E39:AD39),$E$30/$D$32)</f>
        <v>0</v>
      </c>
      <c r="AF39" s="89">
        <f>IF(AF$35-$C39&gt;$D$32,$E$30-SUM($E39:AE39),$E$30/$D$32)</f>
        <v>0</v>
      </c>
      <c r="AG39" s="89">
        <f>IF(AG$35-$C39&gt;$D$32,$E$30-SUM($E39:AF39),$E$30/$D$32)</f>
        <v>0</v>
      </c>
      <c r="AH39" s="89">
        <f>IF(AH$35-$C39&gt;$D$32,$E$30-SUM($E39:AG39),$E$30/$D$32)</f>
        <v>0</v>
      </c>
      <c r="AI39" s="89">
        <f>IF(AI$35-$C39&gt;$D$32,$E$30-SUM($E39:AH39),$E$30/$D$32)</f>
        <v>0</v>
      </c>
      <c r="AJ39" s="89">
        <f>IF(AJ$35-$C39&gt;$D$32,$E$30-SUM($E39:AI39),$E$30/$D$32)</f>
        <v>0</v>
      </c>
      <c r="AK39" s="89">
        <f>IF(AK$35-$C39&gt;$D$32,$E$30-SUM($E39:AJ39),$E$30/$D$32)</f>
        <v>0</v>
      </c>
      <c r="AL39" s="89">
        <f>IF(AL$35-$C39&gt;$D$32,$E$30-SUM($E39:AK39),$E$30/$D$32)</f>
        <v>0</v>
      </c>
      <c r="AM39" s="89">
        <f>IF(AM$35-$C39&gt;$D$32,$E$30-SUM($E39:AL39),$E$30/$D$32)</f>
        <v>0</v>
      </c>
      <c r="AN39" s="89">
        <f>IF(AN$35-$C39&gt;$D$32,$E$30-SUM($E39:AM39),$E$30/$D$32)</f>
        <v>0</v>
      </c>
      <c r="AO39" s="89">
        <f>IF(AO$35-$C39&gt;$D$32,$E$30-SUM($E39:AN39),$E$30/$D$32)</f>
        <v>0</v>
      </c>
      <c r="AP39" s="89">
        <f>IF(AP$35-$C39&gt;$D$32,$E$30-SUM($E39:AO39),$E$30/$D$32)</f>
        <v>0</v>
      </c>
      <c r="AQ39" s="89">
        <f>IF(AQ$35-$C39&gt;$D$32,$E$30-SUM($E39:AP39),$E$30/$D$32)</f>
        <v>0</v>
      </c>
      <c r="AR39" s="89">
        <f>IF(AR$35-$C39&gt;$D$32,$E$30-SUM($E39:AQ39),$E$30/$D$32)</f>
        <v>0</v>
      </c>
      <c r="AS39" s="89">
        <f>IF(AS$35-$C39&gt;$D$32,$E$30-SUM($E39:AR39),$E$30/$D$32)</f>
        <v>0</v>
      </c>
      <c r="AT39" s="89">
        <f>IF(AT$35-$C39&gt;$D$32,$E$30-SUM($E39:AS39),$E$30/$D$32)</f>
        <v>0</v>
      </c>
      <c r="AU39" s="89">
        <f>IF(AU$35-$C39&gt;$D$32,$E$30-SUM($E39:AT39),$E$30/$D$32)</f>
        <v>0</v>
      </c>
      <c r="AV39" s="89">
        <f>IF(AV$35-$C39&gt;$D$32,$E$30-SUM($E39:AU39),$E$30/$D$32)</f>
        <v>0</v>
      </c>
      <c r="AW39" s="89">
        <f>IF(AW$35-$C39&gt;$D$32,$E$30-SUM($E39:AV39),$E$30/$D$32)</f>
        <v>0</v>
      </c>
      <c r="AX39" s="89">
        <f>IF(AX$35-$C39&gt;$D$32,$E$30-SUM($E39:AW39),$E$30/$D$32)</f>
        <v>0</v>
      </c>
      <c r="AY39" s="89">
        <f>IF(AY$35-$C39&gt;$D$32,$E$30-SUM($E39:AX39),$E$30/$D$32)</f>
        <v>0</v>
      </c>
      <c r="AZ39" s="89">
        <f>IF(AZ$35-$C39&gt;$D$32,$E$30-SUM($E39:AY39),$E$30/$D$32)</f>
        <v>0</v>
      </c>
      <c r="BA39" s="89">
        <f>IF(BA$35-$C39&gt;$D$32,$E$30-SUM($E39:AZ39),$E$30/$D$32)</f>
        <v>0</v>
      </c>
      <c r="BB39" s="89">
        <f>IF(BB$35-$C39&gt;$D$32,$E$30-SUM($E39:BA39),$E$30/$D$32)</f>
        <v>0</v>
      </c>
      <c r="BC39" s="89">
        <f>IF(BC$35-$C39&gt;$D$32,$E$30-SUM($E39:BB39),$E$30/$D$32)</f>
        <v>0</v>
      </c>
      <c r="BD39" s="89">
        <f>IF(BD$35-$C39&gt;$D$32,$E$30-SUM($E39:BC39),$E$30/$D$32)</f>
        <v>0</v>
      </c>
      <c r="BE39" s="89">
        <f>IF(BE$35-$C39&gt;$D$32,$E$30-SUM($E39:BD39),$E$30/$D$32)</f>
        <v>0</v>
      </c>
      <c r="BF39" s="89">
        <f>IF(BF$35-$C39&gt;$D$32,$E$30-SUM($E39:BE39),$E$30/$D$32)</f>
        <v>0</v>
      </c>
      <c r="BG39" s="89">
        <f>IF(BG$35-$C39&gt;$D$32,$E$30-SUM($E39:BF39),$E$30/$D$32)</f>
        <v>0</v>
      </c>
      <c r="BH39" s="89">
        <f>IF(BH$35-$C39&gt;$D$32,$E$30-SUM($E39:BG39),$E$30/$D$32)</f>
        <v>0</v>
      </c>
      <c r="BI39" s="89">
        <f>IF(BI$35-$C39&gt;$D$32,$E$30-SUM($E39:BH39),$E$30/$D$32)</f>
        <v>0</v>
      </c>
      <c r="BJ39" s="89">
        <f>IF(BJ$35-$C39&gt;$D$32,$E$30-SUM($E39:BI39),$E$30/$D$32)</f>
        <v>0</v>
      </c>
      <c r="BK39" s="89">
        <f>IF(BK$35-$C39&gt;$D$32,$E$30-SUM($E39:BJ39),$E$30/$D$32)</f>
        <v>0</v>
      </c>
      <c r="BL39" s="89">
        <f>IF(BL$35-$C39&gt;$D$32,$E$30-SUM($E39:BK39),$E$30/$D$32)</f>
        <v>0</v>
      </c>
      <c r="BM39" s="89">
        <f>IF(BM$35-$C39&gt;$D$32,$E$30-SUM($E39:BL39),$E$30/$D$32)</f>
        <v>0</v>
      </c>
      <c r="BN39" s="89">
        <f>IF(BN$35-$C39&gt;$D$32,$E$30-SUM($E39:BM39),$E$30/$D$32)</f>
        <v>0</v>
      </c>
      <c r="BO39" s="89">
        <f>IF(BO$35-$C39&gt;$D$32,$E$30-SUM($E39:BN39),$E$30/$D$32)</f>
        <v>0</v>
      </c>
      <c r="BP39" s="89">
        <f>IF(BP$35-$C39&gt;$D$32,$E$30-SUM($E39:BO39),$E$30/$D$32)</f>
        <v>0</v>
      </c>
      <c r="BR39" s="88">
        <f t="shared" si="3"/>
        <v>0</v>
      </c>
      <c r="BS39" s="83" t="b">
        <f>BR39=E30</f>
        <v>1</v>
      </c>
    </row>
    <row r="40" spans="2:89" ht="14.4" x14ac:dyDescent="0.3">
      <c r="B40" s="83" t="s">
        <v>162</v>
      </c>
      <c r="C40" s="83">
        <v>3</v>
      </c>
      <c r="G40" s="89">
        <f>IF(G$35-$C40&gt;$D$32,$F$30-SUM($E40:F40),$F$30/$D$32)</f>
        <v>0</v>
      </c>
      <c r="H40" s="89">
        <f>IF(H$35-$C40&gt;$D$32,$F$30-SUM($E40:G40),$F$30/$D$32)</f>
        <v>0</v>
      </c>
      <c r="I40" s="89">
        <f>IF(I$35-$C40&gt;$D$32,$F$30-SUM($E40:H40),$F$30/$D$32)</f>
        <v>0</v>
      </c>
      <c r="J40" s="98">
        <f>IF(J$35-$C40&gt;$D$32,$F$30-SUM($E40:I40),$F$30/$D$32)</f>
        <v>0</v>
      </c>
      <c r="K40" s="89">
        <f>IF(K$35-$C40&gt;$D$32,$F$30-SUM($E40:J40),$F$30/$D$32)</f>
        <v>0</v>
      </c>
      <c r="L40" s="89">
        <f>IF(L$35-$C40&gt;$D$32,$F$30-SUM($E40:K40),$F$30/$D$32)</f>
        <v>0</v>
      </c>
      <c r="M40" s="89">
        <f>IF(M$35-$C40&gt;$D$32,$F$30-SUM($E40:L40),$F$30/$D$32)</f>
        <v>0</v>
      </c>
      <c r="N40" s="89">
        <f>IF(N$35-$C40&gt;$D$32,$F$30-SUM($E40:M40),$F$30/$D$32)</f>
        <v>0</v>
      </c>
      <c r="O40" s="89">
        <f>IF(O$35-$C40&gt;$D$32,$F$30-SUM($E40:N40),$F$30/$D$32)</f>
        <v>0</v>
      </c>
      <c r="P40" s="89">
        <f>IF(P$35-$C40&gt;$D$32,$F$30-SUM($E40:O40),$F$30/$D$32)</f>
        <v>0</v>
      </c>
      <c r="Q40" s="89">
        <f>IF(Q$35-$C40&gt;$D$32,$F$30-SUM($E40:P40),$F$30/$D$32)</f>
        <v>0</v>
      </c>
      <c r="R40" s="89">
        <f>IF(R$35-$C40&gt;$D$32,$F$30-SUM($E40:Q40),$F$30/$D$32)</f>
        <v>0</v>
      </c>
      <c r="S40" s="89">
        <f>IF(S$35-$C40&gt;$D$32,$F$30-SUM($E40:R40),$F$30/$D$32)</f>
        <v>0</v>
      </c>
      <c r="T40" s="89">
        <f>IF(T$35-$C40&gt;$D$32,$F$30-SUM($E40:S40),$F$30/$D$32)</f>
        <v>0</v>
      </c>
      <c r="U40" s="89">
        <f>IF(U$35-$C40&gt;$D$32,$F$30-SUM($E40:T40),$F$30/$D$32)</f>
        <v>0</v>
      </c>
      <c r="V40" s="89">
        <f>IF(V$35-$C40&gt;$D$32,$F$30-SUM($E40:U40),$F$30/$D$32)</f>
        <v>0</v>
      </c>
      <c r="W40" s="89">
        <f>IF(W$35-$C40&gt;$D$32,$F$30-SUM($E40:V40),$F$30/$D$32)</f>
        <v>0</v>
      </c>
      <c r="X40" s="89">
        <f>IF(X$35-$C40&gt;$D$32,$F$30-SUM($E40:W40),$F$30/$D$32)</f>
        <v>0</v>
      </c>
      <c r="Y40" s="89">
        <f>IF(Y$35-$C40&gt;$D$32,$F$30-SUM($E40:X40),$F$30/$D$32)</f>
        <v>0</v>
      </c>
      <c r="Z40" s="89">
        <f>IF(Z$35-$C40&gt;$D$32,$F$30-SUM($E40:Y40),$F$30/$D$32)</f>
        <v>0</v>
      </c>
      <c r="AA40" s="89">
        <f>IF(AA$35-$C40&gt;$D$32,$F$30-SUM($E40:Z40),$F$30/$D$32)</f>
        <v>0</v>
      </c>
      <c r="AB40" s="89">
        <f>IF(AB$35-$C40&gt;$D$32,$F$30-SUM($E40:AA40),$F$30/$D$32)</f>
        <v>0</v>
      </c>
      <c r="AC40" s="89">
        <f>IF(AC$35-$C40&gt;$D$32,$F$30-SUM($E40:AB40),$F$30/$D$32)</f>
        <v>0</v>
      </c>
      <c r="AD40" s="89">
        <f>IF(AD$35-$C40&gt;$D$32,$F$30-SUM($E40:AC40),$F$30/$D$32)</f>
        <v>0</v>
      </c>
      <c r="AE40" s="89">
        <f>IF(AE$35-$C40&gt;$D$32,$F$30-SUM($E40:AD40),$F$30/$D$32)</f>
        <v>0</v>
      </c>
      <c r="AF40" s="89">
        <f>IF(AF$35-$C40&gt;$D$32,$F$30-SUM($E40:AE40),$F$30/$D$32)</f>
        <v>0</v>
      </c>
      <c r="AG40" s="89">
        <f>IF(AG$35-$C40&gt;$D$32,$F$30-SUM($E40:AF40),$F$30/$D$32)</f>
        <v>0</v>
      </c>
      <c r="AH40" s="89">
        <f>IF(AH$35-$C40&gt;$D$32,$F$30-SUM($E40:AG40),$F$30/$D$32)</f>
        <v>0</v>
      </c>
      <c r="AI40" s="89">
        <f>IF(AI$35-$C40&gt;$D$32,$F$30-SUM($E40:AH40),$F$30/$D$32)</f>
        <v>0</v>
      </c>
      <c r="AJ40" s="89">
        <f>IF(AJ$35-$C40&gt;$D$32,$F$30-SUM($E40:AI40),$F$30/$D$32)</f>
        <v>0</v>
      </c>
      <c r="AK40" s="89">
        <f>IF(AK$35-$C40&gt;$D$32,$F$30-SUM($E40:AJ40),$F$30/$D$32)</f>
        <v>0</v>
      </c>
      <c r="AL40" s="89">
        <f>IF(AL$35-$C40&gt;$D$32,$F$30-SUM($E40:AK40),$F$30/$D$32)</f>
        <v>0</v>
      </c>
      <c r="AM40" s="89">
        <f>IF(AM$35-$C40&gt;$D$32,$F$30-SUM($E40:AL40),$F$30/$D$32)</f>
        <v>0</v>
      </c>
      <c r="AN40" s="89">
        <f>IF(AN$35-$C40&gt;$D$32,$F$30-SUM($E40:AM40),$F$30/$D$32)</f>
        <v>0</v>
      </c>
      <c r="AO40" s="89">
        <f>IF(AO$35-$C40&gt;$D$32,$F$30-SUM($E40:AN40),$F$30/$D$32)</f>
        <v>0</v>
      </c>
      <c r="AP40" s="89">
        <f>IF(AP$35-$C40&gt;$D$32,$F$30-SUM($E40:AO40),$F$30/$D$32)</f>
        <v>0</v>
      </c>
      <c r="AQ40" s="89">
        <f>IF(AQ$35-$C40&gt;$D$32,$F$30-SUM($E40:AP40),$F$30/$D$32)</f>
        <v>0</v>
      </c>
      <c r="AR40" s="89">
        <f>IF(AR$35-$C40&gt;$D$32,$F$30-SUM($E40:AQ40),$F$30/$D$32)</f>
        <v>0</v>
      </c>
      <c r="AS40" s="89">
        <f>IF(AS$35-$C40&gt;$D$32,$F$30-SUM($E40:AR40),$F$30/$D$32)</f>
        <v>0</v>
      </c>
      <c r="AT40" s="89">
        <f>IF(AT$35-$C40&gt;$D$32,$F$30-SUM($E40:AS40),$F$30/$D$32)</f>
        <v>0</v>
      </c>
      <c r="AU40" s="89">
        <f>IF(AU$35-$C40&gt;$D$32,$F$30-SUM($E40:AT40),$F$30/$D$32)</f>
        <v>0</v>
      </c>
      <c r="AV40" s="89">
        <f>IF(AV$35-$C40&gt;$D$32,$F$30-SUM($E40:AU40),$F$30/$D$32)</f>
        <v>0</v>
      </c>
      <c r="AW40" s="89">
        <f>IF(AW$35-$C40&gt;$D$32,$F$30-SUM($E40:AV40),$F$30/$D$32)</f>
        <v>0</v>
      </c>
      <c r="AX40" s="89">
        <f>IF(AX$35-$C40&gt;$D$32,$F$30-SUM($E40:AW40),$F$30/$D$32)</f>
        <v>0</v>
      </c>
      <c r="AY40" s="89">
        <f>IF(AY$35-$C40&gt;$D$32,$F$30-SUM($E40:AX40),$F$30/$D$32)</f>
        <v>0</v>
      </c>
      <c r="AZ40" s="89">
        <f>IF(AZ$35-$C40&gt;$D$32,$F$30-SUM($E40:AY40),$F$30/$D$32)</f>
        <v>0</v>
      </c>
      <c r="BA40" s="89">
        <f>IF(BA$35-$C40&gt;$D$32,$F$30-SUM($E40:AZ40),$F$30/$D$32)</f>
        <v>0</v>
      </c>
      <c r="BB40" s="89">
        <f>IF(BB$35-$C40&gt;$D$32,$F$30-SUM($E40:BA40),$F$30/$D$32)</f>
        <v>0</v>
      </c>
      <c r="BC40" s="89">
        <f>IF(BC$35-$C40&gt;$D$32,$F$30-SUM($E40:BB40),$F$30/$D$32)</f>
        <v>0</v>
      </c>
      <c r="BD40" s="89">
        <f>IF(BD$35-$C40&gt;$D$32,$F$30-SUM($E40:BC40),$F$30/$D$32)</f>
        <v>0</v>
      </c>
      <c r="BE40" s="89">
        <f>IF(BE$35-$C40&gt;$D$32,$F$30-SUM($E40:BD40),$F$30/$D$32)</f>
        <v>0</v>
      </c>
      <c r="BF40" s="89">
        <f>IF(BF$35-$C40&gt;$D$32,$F$30-SUM($E40:BE40),$F$30/$D$32)</f>
        <v>0</v>
      </c>
      <c r="BG40" s="89">
        <f>IF(BG$35-$C40&gt;$D$32,$F$30-SUM($E40:BF40),$F$30/$D$32)</f>
        <v>0</v>
      </c>
      <c r="BH40" s="89">
        <f>IF(BH$35-$C40&gt;$D$32,$F$30-SUM($E40:BG40),$F$30/$D$32)</f>
        <v>0</v>
      </c>
      <c r="BI40" s="89">
        <f>IF(BI$35-$C40&gt;$D$32,$F$30-SUM($E40:BH40),$F$30/$D$32)</f>
        <v>0</v>
      </c>
      <c r="BJ40" s="89">
        <f>IF(BJ$35-$C40&gt;$D$32,$F$30-SUM($E40:BI40),$F$30/$D$32)</f>
        <v>0</v>
      </c>
      <c r="BK40" s="89">
        <f>IF(BK$35-$C40&gt;$D$32,$F$30-SUM($E40:BJ40),$F$30/$D$32)</f>
        <v>0</v>
      </c>
      <c r="BL40" s="89">
        <f>IF(BL$35-$C40&gt;$D$32,$F$30-SUM($E40:BK40),$F$30/$D$32)</f>
        <v>0</v>
      </c>
      <c r="BM40" s="89">
        <f>IF(BM$35-$C40&gt;$D$32,$F$30-SUM($E40:BL40),$F$30/$D$32)</f>
        <v>0</v>
      </c>
      <c r="BN40" s="89">
        <f>IF(BN$35-$C40&gt;$D$32,$F$30-SUM($E40:BM40),$F$30/$D$32)</f>
        <v>0</v>
      </c>
      <c r="BO40" s="89">
        <f>IF(BO$35-$C40&gt;$D$32,$F$30-SUM($E40:BN40),$F$30/$D$32)</f>
        <v>0</v>
      </c>
      <c r="BP40" s="89">
        <f>IF(BP$35-$C40&gt;$D$32,$F$30-SUM($E40:BO40),$F$30/$D$32)</f>
        <v>0</v>
      </c>
      <c r="BR40" s="88">
        <f t="shared" si="3"/>
        <v>0</v>
      </c>
      <c r="BS40" s="83" t="b">
        <f>BR40=F30</f>
        <v>1</v>
      </c>
    </row>
    <row r="41" spans="2:89" ht="14.4" x14ac:dyDescent="0.3">
      <c r="B41" s="83" t="s">
        <v>163</v>
      </c>
      <c r="C41" s="83">
        <v>4</v>
      </c>
      <c r="H41" s="89">
        <f>IF(H$35-$C41&gt;$D$32,$G$30-SUM($E41:G41),$G$30/$D$32)</f>
        <v>1.3268649106708745</v>
      </c>
      <c r="I41" s="89">
        <f>IF(I$35-$C41&gt;$D$32,$G$30-SUM($E41:H41),$G$30/$D$32)</f>
        <v>1.3268649106708745</v>
      </c>
      <c r="J41" s="98">
        <f>IF(J$35-$C41&gt;$D$32,$G$30-SUM($E41:I41),$G$30/$D$32)</f>
        <v>1.3268649106708745</v>
      </c>
      <c r="K41" s="89">
        <f>IF(K$35-$C41&gt;$D$32,$G$30-SUM($E41:J41),$G$30/$D$32)</f>
        <v>1.3268649106708745</v>
      </c>
      <c r="L41" s="89">
        <f>IF(L$35-$C41&gt;$D$32,$G$30-SUM($E41:K41),$G$30/$D$32)</f>
        <v>1.3268649106708745</v>
      </c>
      <c r="M41" s="89">
        <f>IF(M$35-$C41&gt;$D$32,$G$30-SUM($E41:L41),$G$30/$D$32)</f>
        <v>1.3268649106708745</v>
      </c>
      <c r="N41" s="89">
        <f>IF(N$35-$C41&gt;$D$32,$G$30-SUM($E41:M41),$G$30/$D$32)</f>
        <v>1.3268649106708745</v>
      </c>
      <c r="O41" s="89">
        <f>IF(O$35-$C41&gt;$D$32,$G$30-SUM($E41:N41),$G$30/$D$32)</f>
        <v>1.3268649106708745</v>
      </c>
      <c r="P41" s="89">
        <f>IF(P$35-$C41&gt;$D$32,$G$30-SUM($E41:O41),$G$30/$D$32)</f>
        <v>1.3268649106708745</v>
      </c>
      <c r="Q41" s="89">
        <f>IF(Q$35-$C41&gt;$D$32,$G$30-SUM($E41:P41),$G$30/$D$32)</f>
        <v>1.3268649106708745</v>
      </c>
      <c r="R41" s="89">
        <f>IF(R$35-$C41&gt;$D$32,$G$30-SUM($E41:Q41),$G$30/$D$32)</f>
        <v>1.3268649106708745</v>
      </c>
      <c r="S41" s="89">
        <f>IF(S$35-$C41&gt;$D$32,$G$30-SUM($E41:R41),$G$30/$D$32)</f>
        <v>1.3268649106708745</v>
      </c>
      <c r="T41" s="89">
        <f>IF(T$35-$C41&gt;$D$32,$G$30-SUM($E41:S41),$G$30/$D$32)</f>
        <v>1.3268649106708745</v>
      </c>
      <c r="U41" s="89">
        <f>IF(U$35-$C41&gt;$D$32,$G$30-SUM($E41:T41),$G$30/$D$32)</f>
        <v>1.3268649106708745</v>
      </c>
      <c r="V41" s="89">
        <f>IF(V$35-$C41&gt;$D$32,$G$30-SUM($E41:U41),$G$30/$D$32)</f>
        <v>1.3268649106708745</v>
      </c>
      <c r="W41" s="89">
        <f>IF(W$35-$C41&gt;$D$32,$G$30-SUM($E41:V41),$G$30/$D$32)</f>
        <v>1.3268649106708745</v>
      </c>
      <c r="X41" s="89">
        <f>IF(X$35-$C41&gt;$D$32,$G$30-SUM($E41:W41),$G$30/$D$32)</f>
        <v>1.3268649106708745</v>
      </c>
      <c r="Y41" s="89">
        <f>IF(Y$35-$C41&gt;$D$32,$G$30-SUM($E41:X41),$G$30/$D$32)</f>
        <v>1.3268649106708745</v>
      </c>
      <c r="Z41" s="89">
        <f>IF(Z$35-$C41&gt;$D$32,$G$30-SUM($E41:Y41),$G$30/$D$32)</f>
        <v>1.3268649106708745</v>
      </c>
      <c r="AA41" s="89">
        <f>IF(AA$35-$C41&gt;$D$32,$G$30-SUM($E41:Z41),$G$30/$D$32)</f>
        <v>1.3268649106708745</v>
      </c>
      <c r="AB41" s="89">
        <f>IF(AB$35-$C41&gt;$D$32,$G$30-SUM($E41:AA41),$G$30/$D$32)</f>
        <v>1.3268649106708745</v>
      </c>
      <c r="AC41" s="89">
        <f>IF(AC$35-$C41&gt;$D$32,$G$30-SUM($E41:AB41),$G$30/$D$32)</f>
        <v>1.3268649106708745</v>
      </c>
      <c r="AD41" s="89">
        <f>IF(AD$35-$C41&gt;$D$32,$G$30-SUM($E41:AC41),$G$30/$D$32)</f>
        <v>1.3268649106708745</v>
      </c>
      <c r="AE41" s="89">
        <f>IF(AE$35-$C41&gt;$D$32,$G$30-SUM($E41:AD41),$G$30/$D$32)</f>
        <v>1.3268649106708745</v>
      </c>
      <c r="AF41" s="89">
        <f>IF(AF$35-$C41&gt;$D$32,$G$30-SUM($E41:AE41),$G$30/$D$32)</f>
        <v>1.3268649106708745</v>
      </c>
      <c r="AG41" s="89">
        <f>IF(AG$35-$C41&gt;$D$32,$G$30-SUM($E41:AF41),$G$30/$D$32)</f>
        <v>1.3268649106708745</v>
      </c>
      <c r="AH41" s="89">
        <f>IF(AH$35-$C41&gt;$D$32,$G$30-SUM($E41:AG41),$G$30/$D$32)</f>
        <v>1.3268649106708745</v>
      </c>
      <c r="AI41" s="89">
        <f>IF(AI$35-$C41&gt;$D$32,$G$30-SUM($E41:AH41),$G$30/$D$32)</f>
        <v>1.3268649106708745</v>
      </c>
      <c r="AJ41" s="89">
        <f>IF(AJ$35-$C41&gt;$D$32,$G$30-SUM($E41:AI41),$G$30/$D$32)</f>
        <v>1.3268649106708745</v>
      </c>
      <c r="AK41" s="89">
        <f>IF(AK$35-$C41&gt;$D$32,$G$30-SUM($E41:AJ41),$G$30/$D$32)</f>
        <v>1.3268649106708745</v>
      </c>
      <c r="AL41" s="89">
        <f>IF(AL$35-$C41&gt;$D$32,$G$30-SUM($E41:AK41),$G$30/$D$32)</f>
        <v>1.3268649106708745</v>
      </c>
      <c r="AM41" s="89">
        <f>IF(AM$35-$C41&gt;$D$32,$G$30-SUM($E41:AL41),$G$30/$D$32)</f>
        <v>1.3268649106708745</v>
      </c>
      <c r="AN41" s="89">
        <f>IF(AN$35-$C41&gt;$D$32,$G$30-SUM($E41:AM41),$G$30/$D$32)</f>
        <v>1.3268649106708745</v>
      </c>
      <c r="AO41" s="89">
        <f>IF(AO$35-$C41&gt;$D$32,$G$30-SUM($E41:AN41),$G$30/$D$32)</f>
        <v>1.3268649106708745</v>
      </c>
      <c r="AP41" s="89">
        <f>IF(AP$35-$C41&gt;$D$32,$G$30-SUM($E41:AO41),$G$30/$D$32)</f>
        <v>1.3268649106708745</v>
      </c>
      <c r="AQ41" s="89">
        <f>IF(AQ$35-$C41&gt;$D$32,$G$30-SUM($E41:AP41),$G$30/$D$32)</f>
        <v>1.3268649106708745</v>
      </c>
      <c r="AR41" s="89">
        <f>IF(AR$35-$C41&gt;$D$32,$G$30-SUM($E41:AQ41),$G$30/$D$32)</f>
        <v>1.3268649106708745</v>
      </c>
      <c r="AS41" s="89">
        <f>IF(AS$35-$C41&gt;$D$32,$G$30-SUM($E41:AR41),$G$30/$D$32)</f>
        <v>1.3268649106708745</v>
      </c>
      <c r="AT41" s="89">
        <f>IF(AT$35-$C41&gt;$D$32,$G$30-SUM($E41:AS41),$G$30/$D$32)</f>
        <v>1.3268649106708745</v>
      </c>
      <c r="AU41" s="89">
        <f>IF(AU$35-$C41&gt;$D$32,$G$30-SUM($E41:AT41),$G$30/$D$32)</f>
        <v>1.3268649106708745</v>
      </c>
      <c r="AV41" s="89">
        <f>IF(AV$35-$C41&gt;$D$32,$G$30-SUM($E41:AU41),$G$30/$D$32)</f>
        <v>1.3268649106708745</v>
      </c>
      <c r="AW41" s="89">
        <f>IF(AW$35-$C41&gt;$D$32,$G$30-SUM($E41:AV41),$G$30/$D$32)</f>
        <v>1.3268649106708745</v>
      </c>
      <c r="AX41" s="89">
        <f>IF(AX$35-$C41&gt;$D$32,$G$30-SUM($E41:AW41),$G$30/$D$32)</f>
        <v>1.3268649106708745</v>
      </c>
      <c r="AY41" s="89">
        <f>IF(AY$35-$C41&gt;$D$32,$G$30-SUM($E41:AX41),$G$30/$D$32)</f>
        <v>1.3268649106708745</v>
      </c>
      <c r="AZ41" s="89">
        <f>IF(AZ$35-$C41&gt;$D$32,$G$30-SUM($E41:AY41),$G$30/$D$32)</f>
        <v>1.3268649106708745</v>
      </c>
      <c r="BA41" s="89">
        <f>IF(BA$35-$C41&gt;$D$32,$G$30-SUM($E41:AZ41),$G$30/$D$32)</f>
        <v>1.3268649106708745</v>
      </c>
      <c r="BB41" s="89">
        <f>IF(BB$35-$C41&gt;$D$32,$G$30-SUM($E41:BA41),$G$30/$D$32)</f>
        <v>1.3268649106708745</v>
      </c>
      <c r="BC41" s="89">
        <f>IF(BC$35-$C41&gt;$D$32,$G$30-SUM($E41:BB41),$G$30/$D$32)</f>
        <v>1.3268649106708745</v>
      </c>
      <c r="BD41" s="89">
        <f>IF(BD$35-$C41&gt;$D$32,$G$30-SUM($E41:BC41),$G$30/$D$32)</f>
        <v>1.3268649106708745</v>
      </c>
      <c r="BE41" s="89">
        <f>IF(BE$35-$C41&gt;$D$32,$G$30-SUM($E41:BD41),$G$30/$D$32)</f>
        <v>1.3268649106708745</v>
      </c>
      <c r="BF41" s="89">
        <f>IF(BF$35-$C41&gt;$D$32,$G$30-SUM($E41:BE41),$G$30/$D$32)</f>
        <v>-8.5265128291212022E-14</v>
      </c>
      <c r="BG41" s="89">
        <f>IF(BG$35-$C41&gt;$D$32,$G$30-SUM($E41:BF41),$G$30/$D$32)</f>
        <v>0</v>
      </c>
      <c r="BH41" s="89">
        <f>IF(BH$35-$C41&gt;$D$32,$G$30-SUM($E41:BG41),$G$30/$D$32)</f>
        <v>0</v>
      </c>
      <c r="BI41" s="89">
        <f>IF(BI$35-$C41&gt;$D$32,$G$30-SUM($E41:BH41),$G$30/$D$32)</f>
        <v>0</v>
      </c>
      <c r="BJ41" s="89">
        <f>IF(BJ$35-$C41&gt;$D$32,$G$30-SUM($E41:BI41),$G$30/$D$32)</f>
        <v>0</v>
      </c>
      <c r="BK41" s="89">
        <f>IF(BK$35-$C41&gt;$D$32,$G$30-SUM($E41:BJ41),$G$30/$D$32)</f>
        <v>0</v>
      </c>
      <c r="BL41" s="89">
        <f>IF(BL$35-$C41&gt;$D$32,$G$30-SUM($E41:BK41),$G$30/$D$32)</f>
        <v>0</v>
      </c>
      <c r="BM41" s="89">
        <f>IF(BM$35-$C41&gt;$D$32,$G$30-SUM($E41:BL41),$G$30/$D$32)</f>
        <v>0</v>
      </c>
      <c r="BN41" s="89">
        <f>IF(BN$35-$C41&gt;$D$32,$G$30-SUM($E41:BM41),$G$30/$D$32)</f>
        <v>0</v>
      </c>
      <c r="BO41" s="89">
        <f>IF(BO$35-$C41&gt;$D$32,$G$30-SUM($E41:BN41),$G$30/$D$32)</f>
        <v>0</v>
      </c>
      <c r="BP41" s="89">
        <f>IF(BP$35-$C41&gt;$D$32,$G$30-SUM($E41:BO41),$G$30/$D$32)</f>
        <v>0</v>
      </c>
      <c r="BR41" s="88">
        <f t="shared" si="3"/>
        <v>66.343245533543723</v>
      </c>
      <c r="BS41" s="83" t="b">
        <f>BR41=G30</f>
        <v>1</v>
      </c>
    </row>
    <row r="42" spans="2:89" ht="14.4" x14ac:dyDescent="0.3">
      <c r="B42" s="83" t="s">
        <v>164</v>
      </c>
      <c r="C42" s="83">
        <v>5</v>
      </c>
      <c r="I42" s="89">
        <f>IF(I$35-$C42&gt;$D$32,$H$30-SUM($E42:H42),$H$30/$D$32)</f>
        <v>17.699226636633682</v>
      </c>
      <c r="J42" s="98">
        <f>IF(J$35-$C42&gt;$D$32,$H$30-SUM($E42:I42),$H$30/$D$32)</f>
        <v>17.699226636633682</v>
      </c>
      <c r="K42" s="89">
        <f>IF(K$35-$C42&gt;$D$32,$H$30-SUM($E42:J42),$H$30/$D$32)</f>
        <v>17.699226636633682</v>
      </c>
      <c r="L42" s="89">
        <f>IF(L$35-$C42&gt;$D$32,$H$30-SUM($E42:K42),$H$30/$D$32)</f>
        <v>17.699226636633682</v>
      </c>
      <c r="M42" s="89">
        <f>IF(M$35-$C42&gt;$D$32,$H$30-SUM($E42:L42),$H$30/$D$32)</f>
        <v>17.699226636633682</v>
      </c>
      <c r="N42" s="89">
        <f>IF(N$35-$C42&gt;$D$32,$H$30-SUM($E42:M42),$H$30/$D$32)</f>
        <v>17.699226636633682</v>
      </c>
      <c r="O42" s="89">
        <f>IF(O$35-$C42&gt;$D$32,$H$30-SUM($E42:N42),$H$30/$D$32)</f>
        <v>17.699226636633682</v>
      </c>
      <c r="P42" s="89">
        <f>IF(P$35-$C42&gt;$D$32,$H$30-SUM($E42:O42),$H$30/$D$32)</f>
        <v>17.699226636633682</v>
      </c>
      <c r="Q42" s="89">
        <f>IF(Q$35-$C42&gt;$D$32,$H$30-SUM($E42:P42),$H$30/$D$32)</f>
        <v>17.699226636633682</v>
      </c>
      <c r="R42" s="89">
        <f>IF(R$35-$C42&gt;$D$32,$H$30-SUM($E42:Q42),$H$30/$D$32)</f>
        <v>17.699226636633682</v>
      </c>
      <c r="S42" s="89">
        <f>IF(S$35-$C42&gt;$D$32,$H$30-SUM($E42:R42),$H$30/$D$32)</f>
        <v>17.699226636633682</v>
      </c>
      <c r="T42" s="89">
        <f>IF(T$35-$C42&gt;$D$32,$H$30-SUM($E42:S42),$H$30/$D$32)</f>
        <v>17.699226636633682</v>
      </c>
      <c r="U42" s="89">
        <f>IF(U$35-$C42&gt;$D$32,$H$30-SUM($E42:T42),$H$30/$D$32)</f>
        <v>17.699226636633682</v>
      </c>
      <c r="V42" s="89">
        <f>IF(V$35-$C42&gt;$D$32,$H$30-SUM($E42:U42),$H$30/$D$32)</f>
        <v>17.699226636633682</v>
      </c>
      <c r="W42" s="89">
        <f>IF(W$35-$C42&gt;$D$32,$H$30-SUM($E42:V42),$H$30/$D$32)</f>
        <v>17.699226636633682</v>
      </c>
      <c r="X42" s="89">
        <f>IF(X$35-$C42&gt;$D$32,$H$30-SUM($E42:W42),$H$30/$D$32)</f>
        <v>17.699226636633682</v>
      </c>
      <c r="Y42" s="89">
        <f>IF(Y$35-$C42&gt;$D$32,$H$30-SUM($E42:X42),$H$30/$D$32)</f>
        <v>17.699226636633682</v>
      </c>
      <c r="Z42" s="89">
        <f>IF(Z$35-$C42&gt;$D$32,$H$30-SUM($E42:Y42),$H$30/$D$32)</f>
        <v>17.699226636633682</v>
      </c>
      <c r="AA42" s="89">
        <f>IF(AA$35-$C42&gt;$D$32,$H$30-SUM($E42:Z42),$H$30/$D$32)</f>
        <v>17.699226636633682</v>
      </c>
      <c r="AB42" s="89">
        <f>IF(AB$35-$C42&gt;$D$32,$H$30-SUM($E42:AA42),$H$30/$D$32)</f>
        <v>17.699226636633682</v>
      </c>
      <c r="AC42" s="89">
        <f>IF(AC$35-$C42&gt;$D$32,$H$30-SUM($E42:AB42),$H$30/$D$32)</f>
        <v>17.699226636633682</v>
      </c>
      <c r="AD42" s="89">
        <f>IF(AD$35-$C42&gt;$D$32,$H$30-SUM($E42:AC42),$H$30/$D$32)</f>
        <v>17.699226636633682</v>
      </c>
      <c r="AE42" s="89">
        <f>IF(AE$35-$C42&gt;$D$32,$H$30-SUM($E42:AD42),$H$30/$D$32)</f>
        <v>17.699226636633682</v>
      </c>
      <c r="AF42" s="89">
        <f>IF(AF$35-$C42&gt;$D$32,$H$30-SUM($E42:AE42),$H$30/$D$32)</f>
        <v>17.699226636633682</v>
      </c>
      <c r="AG42" s="89">
        <f>IF(AG$35-$C42&gt;$D$32,$H$30-SUM($E42:AF42),$H$30/$D$32)</f>
        <v>17.699226636633682</v>
      </c>
      <c r="AH42" s="89">
        <f>IF(AH$35-$C42&gt;$D$32,$H$30-SUM($E42:AG42),$H$30/$D$32)</f>
        <v>17.699226636633682</v>
      </c>
      <c r="AI42" s="89">
        <f>IF(AI$35-$C42&gt;$D$32,$H$30-SUM($E42:AH42),$H$30/$D$32)</f>
        <v>17.699226636633682</v>
      </c>
      <c r="AJ42" s="89">
        <f>IF(AJ$35-$C42&gt;$D$32,$H$30-SUM($E42:AI42),$H$30/$D$32)</f>
        <v>17.699226636633682</v>
      </c>
      <c r="AK42" s="89">
        <f>IF(AK$35-$C42&gt;$D$32,$H$30-SUM($E42:AJ42),$H$30/$D$32)</f>
        <v>17.699226636633682</v>
      </c>
      <c r="AL42" s="89">
        <f>IF(AL$35-$C42&gt;$D$32,$H$30-SUM($E42:AK42),$H$30/$D$32)</f>
        <v>17.699226636633682</v>
      </c>
      <c r="AM42" s="89">
        <f>IF(AM$35-$C42&gt;$D$32,$H$30-SUM($E42:AL42),$H$30/$D$32)</f>
        <v>17.699226636633682</v>
      </c>
      <c r="AN42" s="89">
        <f>IF(AN$35-$C42&gt;$D$32,$H$30-SUM($E42:AM42),$H$30/$D$32)</f>
        <v>17.699226636633682</v>
      </c>
      <c r="AO42" s="89">
        <f>IF(AO$35-$C42&gt;$D$32,$H$30-SUM($E42:AN42),$H$30/$D$32)</f>
        <v>17.699226636633682</v>
      </c>
      <c r="AP42" s="89">
        <f>IF(AP$35-$C42&gt;$D$32,$H$30-SUM($E42:AO42),$H$30/$D$32)</f>
        <v>17.699226636633682</v>
      </c>
      <c r="AQ42" s="89">
        <f>IF(AQ$35-$C42&gt;$D$32,$H$30-SUM($E42:AP42),$H$30/$D$32)</f>
        <v>17.699226636633682</v>
      </c>
      <c r="AR42" s="89">
        <f>IF(AR$35-$C42&gt;$D$32,$H$30-SUM($E42:AQ42),$H$30/$D$32)</f>
        <v>17.699226636633682</v>
      </c>
      <c r="AS42" s="89">
        <f>IF(AS$35-$C42&gt;$D$32,$H$30-SUM($E42:AR42),$H$30/$D$32)</f>
        <v>17.699226636633682</v>
      </c>
      <c r="AT42" s="89">
        <f>IF(AT$35-$C42&gt;$D$32,$H$30-SUM($E42:AS42),$H$30/$D$32)</f>
        <v>17.699226636633682</v>
      </c>
      <c r="AU42" s="89">
        <f>IF(AU$35-$C42&gt;$D$32,$H$30-SUM($E42:AT42),$H$30/$D$32)</f>
        <v>17.699226636633682</v>
      </c>
      <c r="AV42" s="89">
        <f>IF(AV$35-$C42&gt;$D$32,$H$30-SUM($E42:AU42),$H$30/$D$32)</f>
        <v>17.699226636633682</v>
      </c>
      <c r="AW42" s="89">
        <f>IF(AW$35-$C42&gt;$D$32,$H$30-SUM($E42:AV42),$H$30/$D$32)</f>
        <v>17.699226636633682</v>
      </c>
      <c r="AX42" s="89">
        <f>IF(AX$35-$C42&gt;$D$32,$H$30-SUM($E42:AW42),$H$30/$D$32)</f>
        <v>17.699226636633682</v>
      </c>
      <c r="AY42" s="89">
        <f>IF(AY$35-$C42&gt;$D$32,$H$30-SUM($E42:AX42),$H$30/$D$32)</f>
        <v>17.699226636633682</v>
      </c>
      <c r="AZ42" s="89">
        <f>IF(AZ$35-$C42&gt;$D$32,$H$30-SUM($E42:AY42),$H$30/$D$32)</f>
        <v>17.699226636633682</v>
      </c>
      <c r="BA42" s="89">
        <f>IF(BA$35-$C42&gt;$D$32,$H$30-SUM($E42:AZ42),$H$30/$D$32)</f>
        <v>17.699226636633682</v>
      </c>
      <c r="BB42" s="89">
        <f>IF(BB$35-$C42&gt;$D$32,$H$30-SUM($E42:BA42),$H$30/$D$32)</f>
        <v>17.699226636633682</v>
      </c>
      <c r="BC42" s="89">
        <f>IF(BC$35-$C42&gt;$D$32,$H$30-SUM($E42:BB42),$H$30/$D$32)</f>
        <v>17.699226636633682</v>
      </c>
      <c r="BD42" s="89">
        <f>IF(BD$35-$C42&gt;$D$32,$H$30-SUM($E42:BC42),$H$30/$D$32)</f>
        <v>17.699226636633682</v>
      </c>
      <c r="BE42" s="89">
        <f>IF(BE$35-$C42&gt;$D$32,$H$30-SUM($E42:BD42),$H$30/$D$32)</f>
        <v>17.699226636633682</v>
      </c>
      <c r="BF42" s="89">
        <f>IF(BF$35-$C42&gt;$D$32,$H$30-SUM($E42:BE42),$H$30/$D$32)</f>
        <v>17.699226636633682</v>
      </c>
      <c r="BG42" s="89">
        <f>IF(BG$35-$C42&gt;$D$32,$H$30-SUM($E42:BF42),$H$30/$D$32)</f>
        <v>-1.2505552149377763E-12</v>
      </c>
      <c r="BH42" s="89">
        <f>IF(BH$35-$C42&gt;$D$32,$H$30-SUM($E42:BG42),$H$30/$D$32)</f>
        <v>0</v>
      </c>
      <c r="BI42" s="89">
        <f>IF(BI$35-$C42&gt;$D$32,$H$30-SUM($E42:BH42),$H$30/$D$32)</f>
        <v>0</v>
      </c>
      <c r="BJ42" s="89">
        <f>IF(BJ$35-$C42&gt;$D$32,$H$30-SUM($E42:BI42),$H$30/$D$32)</f>
        <v>0</v>
      </c>
      <c r="BK42" s="89">
        <f>IF(BK$35-$C42&gt;$D$32,$H$30-SUM($E42:BJ42),$H$30/$D$32)</f>
        <v>0</v>
      </c>
      <c r="BL42" s="89">
        <f>IF(BL$35-$C42&gt;$D$32,$H$30-SUM($E42:BK42),$H$30/$D$32)</f>
        <v>0</v>
      </c>
      <c r="BM42" s="89">
        <f>IF(BM$35-$C42&gt;$D$32,$H$30-SUM($E42:BL42),$H$30/$D$32)</f>
        <v>0</v>
      </c>
      <c r="BN42" s="89">
        <f>IF(BN$35-$C42&gt;$D$32,$H$30-SUM($E42:BM42),$H$30/$D$32)</f>
        <v>0</v>
      </c>
      <c r="BO42" s="89">
        <f>IF(BO$35-$C42&gt;$D$32,$H$30-SUM($E42:BN42),$H$30/$D$32)</f>
        <v>0</v>
      </c>
      <c r="BP42" s="89">
        <f>IF(BP$35-$C42&gt;$D$32,$H$30-SUM($E42:BO42),$H$30/$D$32)</f>
        <v>0</v>
      </c>
      <c r="BQ42" s="89">
        <f>IF(BQ$35-$C42&gt;$D$32,$H$30-SUM($E42:BP42),$H$30/$D$32)</f>
        <v>0</v>
      </c>
      <c r="BR42" s="88">
        <f t="shared" si="3"/>
        <v>884.96133183168411</v>
      </c>
      <c r="BS42" s="89" t="b">
        <f>BR42=H30</f>
        <v>1</v>
      </c>
    </row>
    <row r="43" spans="2:89" ht="14.4" x14ac:dyDescent="0.3">
      <c r="B43" s="83" t="s">
        <v>165</v>
      </c>
      <c r="C43" s="83">
        <v>6</v>
      </c>
      <c r="J43" s="98">
        <f>IF(J$35-$C43&gt;$D$32,$I$30-SUM($E43:I43),$I$30/$D$32)</f>
        <v>8.7454462185627158</v>
      </c>
      <c r="K43" s="89">
        <f>IF(K$35-$C43&gt;$D$32,$I$30-SUM($E43:J43),$I$30/$D$32)</f>
        <v>8.7454462185627158</v>
      </c>
      <c r="L43" s="89">
        <f>IF(L$35-$C43&gt;$D$32,$I$30-SUM($E43:K43),$I$30/$D$32)</f>
        <v>8.7454462185627158</v>
      </c>
      <c r="M43" s="89">
        <f>IF(M$35-$C43&gt;$D$32,$I$30-SUM($E43:L43),$I$30/$D$32)</f>
        <v>8.7454462185627158</v>
      </c>
      <c r="N43" s="89">
        <f>IF(N$35-$C43&gt;$D$32,$I$30-SUM($E43:M43),$I$30/$D$32)</f>
        <v>8.7454462185627158</v>
      </c>
      <c r="O43" s="89">
        <f>IF(O$35-$C43&gt;$D$32,$I$30-SUM($E43:N43),$I$30/$D$32)</f>
        <v>8.7454462185627158</v>
      </c>
      <c r="P43" s="89">
        <f>IF(P$35-$C43&gt;$D$32,$I$30-SUM($E43:O43),$I$30/$D$32)</f>
        <v>8.7454462185627158</v>
      </c>
      <c r="Q43" s="89">
        <f>IF(Q$35-$C43&gt;$D$32,$I$30-SUM($E43:P43),$I$30/$D$32)</f>
        <v>8.7454462185627158</v>
      </c>
      <c r="R43" s="89">
        <f>IF(R$35-$C43&gt;$D$32,$I$30-SUM($E43:Q43),$I$30/$D$32)</f>
        <v>8.7454462185627158</v>
      </c>
      <c r="S43" s="89">
        <f>IF(S$35-$C43&gt;$D$32,$I$30-SUM($E43:R43),$I$30/$D$32)</f>
        <v>8.7454462185627158</v>
      </c>
      <c r="T43" s="89">
        <f>IF(T$35-$C43&gt;$D$32,$I$30-SUM($E43:S43),$I$30/$D$32)</f>
        <v>8.7454462185627158</v>
      </c>
      <c r="U43" s="89">
        <f>IF(U$35-$C43&gt;$D$32,$I$30-SUM($E43:T43),$I$30/$D$32)</f>
        <v>8.7454462185627158</v>
      </c>
      <c r="V43" s="89">
        <f>IF(V$35-$C43&gt;$D$32,$I$30-SUM($E43:U43),$I$30/$D$32)</f>
        <v>8.7454462185627158</v>
      </c>
      <c r="W43" s="89">
        <f>IF(W$35-$C43&gt;$D$32,$I$30-SUM($E43:V43),$I$30/$D$32)</f>
        <v>8.7454462185627158</v>
      </c>
      <c r="X43" s="89">
        <f>IF(X$35-$C43&gt;$D$32,$I$30-SUM($E43:W43),$I$30/$D$32)</f>
        <v>8.7454462185627158</v>
      </c>
      <c r="Y43" s="89">
        <f>IF(Y$35-$C43&gt;$D$32,$I$30-SUM($E43:X43),$I$30/$D$32)</f>
        <v>8.7454462185627158</v>
      </c>
      <c r="Z43" s="89">
        <f>IF(Z$35-$C43&gt;$D$32,$I$30-SUM($E43:Y43),$I$30/$D$32)</f>
        <v>8.7454462185627158</v>
      </c>
      <c r="AA43" s="89">
        <f>IF(AA$35-$C43&gt;$D$32,$I$30-SUM($E43:Z43),$I$30/$D$32)</f>
        <v>8.7454462185627158</v>
      </c>
      <c r="AB43" s="89">
        <f>IF(AB$35-$C43&gt;$D$32,$I$30-SUM($E43:AA43),$I$30/$D$32)</f>
        <v>8.7454462185627158</v>
      </c>
      <c r="AC43" s="89">
        <f>IF(AC$35-$C43&gt;$D$32,$I$30-SUM($E43:AB43),$I$30/$D$32)</f>
        <v>8.7454462185627158</v>
      </c>
      <c r="AD43" s="89">
        <f>IF(AD$35-$C43&gt;$D$32,$I$30-SUM($E43:AC43),$I$30/$D$32)</f>
        <v>8.7454462185627158</v>
      </c>
      <c r="AE43" s="89">
        <f>IF(AE$35-$C43&gt;$D$32,$I$30-SUM($E43:AD43),$I$30/$D$32)</f>
        <v>8.7454462185627158</v>
      </c>
      <c r="AF43" s="89">
        <f>IF(AF$35-$C43&gt;$D$32,$I$30-SUM($E43:AE43),$I$30/$D$32)</f>
        <v>8.7454462185627158</v>
      </c>
      <c r="AG43" s="89">
        <f>IF(AG$35-$C43&gt;$D$32,$I$30-SUM($E43:AF43),$I$30/$D$32)</f>
        <v>8.7454462185627158</v>
      </c>
      <c r="AH43" s="89">
        <f>IF(AH$35-$C43&gt;$D$32,$I$30-SUM($E43:AG43),$I$30/$D$32)</f>
        <v>8.7454462185627158</v>
      </c>
      <c r="AI43" s="89">
        <f>IF(AI$35-$C43&gt;$D$32,$I$30-SUM($E43:AH43),$I$30/$D$32)</f>
        <v>8.7454462185627158</v>
      </c>
      <c r="AJ43" s="89">
        <f>IF(AJ$35-$C43&gt;$D$32,$I$30-SUM($E43:AI43),$I$30/$D$32)</f>
        <v>8.7454462185627158</v>
      </c>
      <c r="AK43" s="89">
        <f>IF(AK$35-$C43&gt;$D$32,$I$30-SUM($E43:AJ43),$I$30/$D$32)</f>
        <v>8.7454462185627158</v>
      </c>
      <c r="AL43" s="89">
        <f>IF(AL$35-$C43&gt;$D$32,$I$30-SUM($E43:AK43),$I$30/$D$32)</f>
        <v>8.7454462185627158</v>
      </c>
      <c r="AM43" s="89">
        <f>IF(AM$35-$C43&gt;$D$32,$I$30-SUM($E43:AL43),$I$30/$D$32)</f>
        <v>8.7454462185627158</v>
      </c>
      <c r="AN43" s="89">
        <f>IF(AN$35-$C43&gt;$D$32,$I$30-SUM($E43:AM43),$I$30/$D$32)</f>
        <v>8.7454462185627158</v>
      </c>
      <c r="AO43" s="89">
        <f>IF(AO$35-$C43&gt;$D$32,$I$30-SUM($E43:AN43),$I$30/$D$32)</f>
        <v>8.7454462185627158</v>
      </c>
      <c r="AP43" s="89">
        <f>IF(AP$35-$C43&gt;$D$32,$I$30-SUM($E43:AO43),$I$30/$D$32)</f>
        <v>8.7454462185627158</v>
      </c>
      <c r="AQ43" s="89">
        <f>IF(AQ$35-$C43&gt;$D$32,$I$30-SUM($E43:AP43),$I$30/$D$32)</f>
        <v>8.7454462185627158</v>
      </c>
      <c r="AR43" s="89">
        <f>IF(AR$35-$C43&gt;$D$32,$I$30-SUM($E43:AQ43),$I$30/$D$32)</f>
        <v>8.7454462185627158</v>
      </c>
      <c r="AS43" s="89">
        <f>IF(AS$35-$C43&gt;$D$32,$I$30-SUM($E43:AR43),$I$30/$D$32)</f>
        <v>8.7454462185627158</v>
      </c>
      <c r="AT43" s="89">
        <f>IF(AT$35-$C43&gt;$D$32,$I$30-SUM($E43:AS43),$I$30/$D$32)</f>
        <v>8.7454462185627158</v>
      </c>
      <c r="AU43" s="89">
        <f>IF(AU$35-$C43&gt;$D$32,$I$30-SUM($E43:AT43),$I$30/$D$32)</f>
        <v>8.7454462185627158</v>
      </c>
      <c r="AV43" s="89">
        <f>IF(AV$35-$C43&gt;$D$32,$I$30-SUM($E43:AU43),$I$30/$D$32)</f>
        <v>8.7454462185627158</v>
      </c>
      <c r="AW43" s="89">
        <f>IF(AW$35-$C43&gt;$D$32,$I$30-SUM($E43:AV43),$I$30/$D$32)</f>
        <v>8.7454462185627158</v>
      </c>
      <c r="AX43" s="89">
        <f>IF(AX$35-$C43&gt;$D$32,$I$30-SUM($E43:AW43),$I$30/$D$32)</f>
        <v>8.7454462185627158</v>
      </c>
      <c r="AY43" s="89">
        <f>IF(AY$35-$C43&gt;$D$32,$I$30-SUM($E43:AX43),$I$30/$D$32)</f>
        <v>8.7454462185627158</v>
      </c>
      <c r="AZ43" s="89">
        <f>IF(AZ$35-$C43&gt;$D$32,$I$30-SUM($E43:AY43),$I$30/$D$32)</f>
        <v>8.7454462185627158</v>
      </c>
      <c r="BA43" s="89">
        <f>IF(BA$35-$C43&gt;$D$32,$I$30-SUM($E43:AZ43),$I$30/$D$32)</f>
        <v>8.7454462185627158</v>
      </c>
      <c r="BB43" s="89">
        <f>IF(BB$35-$C43&gt;$D$32,$I$30-SUM($E43:BA43),$I$30/$D$32)</f>
        <v>8.7454462185627158</v>
      </c>
      <c r="BC43" s="89">
        <f>IF(BC$35-$C43&gt;$D$32,$I$30-SUM($E43:BB43),$I$30/$D$32)</f>
        <v>8.7454462185627158</v>
      </c>
      <c r="BD43" s="89">
        <f>IF(BD$35-$C43&gt;$D$32,$I$30-SUM($E43:BC43),$I$30/$D$32)</f>
        <v>8.7454462185627158</v>
      </c>
      <c r="BE43" s="89">
        <f>IF(BE$35-$C43&gt;$D$32,$I$30-SUM($E43:BD43),$I$30/$D$32)</f>
        <v>8.7454462185627158</v>
      </c>
      <c r="BF43" s="89">
        <f>IF(BF$35-$C43&gt;$D$32,$I$30-SUM($E43:BE43),$I$30/$D$32)</f>
        <v>8.7454462185627158</v>
      </c>
      <c r="BG43" s="89">
        <f>IF(BG$35-$C43&gt;$D$32,$I$30-SUM($E43:BF43),$I$30/$D$32)</f>
        <v>8.7454462185627158</v>
      </c>
      <c r="BH43" s="89">
        <f>IF(BH$35-$C43&gt;$D$32,$I$30-SUM($E43:BG43),$I$30/$D$32)</f>
        <v>-2.2737367544323206E-13</v>
      </c>
      <c r="BI43" s="89">
        <f>IF(BI$35-$C43&gt;$D$32,$I$30-SUM($E43:BH43),$I$30/$D$32)</f>
        <v>0</v>
      </c>
      <c r="BJ43" s="89">
        <f>IF(BJ$35-$C43&gt;$D$32,$I$30-SUM($E43:BI43),$I$30/$D$32)</f>
        <v>0</v>
      </c>
      <c r="BK43" s="89">
        <f>IF(BK$35-$C43&gt;$D$32,$I$30-SUM($E43:BJ43),$I$30/$D$32)</f>
        <v>0</v>
      </c>
      <c r="BL43" s="89">
        <f>IF(BL$35-$C43&gt;$D$32,$I$30-SUM($E43:BK43),$I$30/$D$32)</f>
        <v>0</v>
      </c>
      <c r="BM43" s="89">
        <f>IF(BM$35-$C43&gt;$D$32,$I$30-SUM($E43:BL43),$I$30/$D$32)</f>
        <v>0</v>
      </c>
      <c r="BN43" s="89">
        <f>IF(BN$35-$C43&gt;$D$32,$I$30-SUM($E43:BM43),$I$30/$D$32)</f>
        <v>0</v>
      </c>
      <c r="BO43" s="89">
        <f>IF(BO$35-$C43&gt;$D$32,$I$30-SUM($E43:BN43),$I$30/$D$32)</f>
        <v>0</v>
      </c>
      <c r="BP43" s="89">
        <f>IF(BP$35-$C43&gt;$D$32,$I$30-SUM($E43:BO43),$I$30/$D$32)</f>
        <v>0</v>
      </c>
      <c r="BQ43" s="89">
        <f>IF(BQ$35-$C43&gt;$D$32,$I$30-SUM($E43:BP43),$I$30/$D$32)</f>
        <v>0</v>
      </c>
      <c r="BR43" s="88">
        <f t="shared" si="3"/>
        <v>437.27231092813582</v>
      </c>
      <c r="BS43" s="89" t="b">
        <f>BR43=I30</f>
        <v>1</v>
      </c>
    </row>
    <row r="45" spans="2:89" x14ac:dyDescent="0.25">
      <c r="B45" s="83" t="s">
        <v>108</v>
      </c>
    </row>
    <row r="47" spans="2:89" x14ac:dyDescent="0.25">
      <c r="B47" s="82" t="s">
        <v>223</v>
      </c>
      <c r="C47" s="82"/>
      <c r="D47" s="90">
        <f t="shared" ref="D47:AI47" si="4">SUM(D37:D45)</f>
        <v>0</v>
      </c>
      <c r="E47" s="90">
        <f t="shared" si="4"/>
        <v>0</v>
      </c>
      <c r="F47" s="90">
        <f t="shared" si="4"/>
        <v>0</v>
      </c>
      <c r="G47" s="90">
        <f t="shared" si="4"/>
        <v>0</v>
      </c>
      <c r="H47" s="90">
        <f t="shared" si="4"/>
        <v>1.3268649106708745</v>
      </c>
      <c r="I47" s="90">
        <f t="shared" si="4"/>
        <v>19.026091547304556</v>
      </c>
      <c r="J47" s="90">
        <f t="shared" si="4"/>
        <v>27.771537765867272</v>
      </c>
      <c r="K47" s="90">
        <f t="shared" si="4"/>
        <v>27.771537765867272</v>
      </c>
      <c r="L47" s="90">
        <f t="shared" si="4"/>
        <v>27.771537765867272</v>
      </c>
      <c r="M47" s="90">
        <f t="shared" si="4"/>
        <v>27.771537765867272</v>
      </c>
      <c r="N47" s="90">
        <f t="shared" si="4"/>
        <v>27.771537765867272</v>
      </c>
      <c r="O47" s="90">
        <f t="shared" si="4"/>
        <v>27.771537765867272</v>
      </c>
      <c r="P47" s="90">
        <f t="shared" si="4"/>
        <v>27.771537765867272</v>
      </c>
      <c r="Q47" s="90">
        <f t="shared" si="4"/>
        <v>27.771537765867272</v>
      </c>
      <c r="R47" s="90">
        <f t="shared" si="4"/>
        <v>27.771537765867272</v>
      </c>
      <c r="S47" s="90">
        <f t="shared" si="4"/>
        <v>27.771537765867272</v>
      </c>
      <c r="T47" s="90">
        <f t="shared" si="4"/>
        <v>27.771537765867272</v>
      </c>
      <c r="U47" s="90">
        <f t="shared" si="4"/>
        <v>27.771537765867272</v>
      </c>
      <c r="V47" s="90">
        <f t="shared" si="4"/>
        <v>27.771537765867272</v>
      </c>
      <c r="W47" s="90">
        <f t="shared" si="4"/>
        <v>27.771537765867272</v>
      </c>
      <c r="X47" s="90">
        <f t="shared" si="4"/>
        <v>27.771537765867272</v>
      </c>
      <c r="Y47" s="90">
        <f t="shared" si="4"/>
        <v>27.771537765867272</v>
      </c>
      <c r="Z47" s="90">
        <f t="shared" si="4"/>
        <v>27.771537765867272</v>
      </c>
      <c r="AA47" s="90">
        <f t="shared" si="4"/>
        <v>27.771537765867272</v>
      </c>
      <c r="AB47" s="90">
        <f t="shared" si="4"/>
        <v>27.771537765867272</v>
      </c>
      <c r="AC47" s="90">
        <f t="shared" si="4"/>
        <v>27.771537765867272</v>
      </c>
      <c r="AD47" s="90">
        <f t="shared" si="4"/>
        <v>27.771537765867272</v>
      </c>
      <c r="AE47" s="90">
        <f t="shared" si="4"/>
        <v>27.771537765867272</v>
      </c>
      <c r="AF47" s="90">
        <f t="shared" si="4"/>
        <v>27.771537765867272</v>
      </c>
      <c r="AG47" s="90">
        <f t="shared" si="4"/>
        <v>27.771537765867272</v>
      </c>
      <c r="AH47" s="90">
        <f t="shared" si="4"/>
        <v>27.771537765867272</v>
      </c>
      <c r="AI47" s="90">
        <f t="shared" si="4"/>
        <v>27.771537765867272</v>
      </c>
      <c r="AJ47" s="90">
        <f t="shared" ref="AJ47:BR47" si="5">SUM(AJ37:AJ45)</f>
        <v>27.771537765867272</v>
      </c>
      <c r="AK47" s="90">
        <f t="shared" si="5"/>
        <v>27.771537765867272</v>
      </c>
      <c r="AL47" s="90">
        <f t="shared" si="5"/>
        <v>27.771537765867272</v>
      </c>
      <c r="AM47" s="90">
        <f t="shared" si="5"/>
        <v>27.771537765867272</v>
      </c>
      <c r="AN47" s="90">
        <f t="shared" si="5"/>
        <v>27.771537765867272</v>
      </c>
      <c r="AO47" s="90">
        <f t="shared" si="5"/>
        <v>27.771537765867272</v>
      </c>
      <c r="AP47" s="90">
        <f t="shared" si="5"/>
        <v>27.771537765867272</v>
      </c>
      <c r="AQ47" s="90">
        <f t="shared" si="5"/>
        <v>27.771537765867272</v>
      </c>
      <c r="AR47" s="90">
        <f t="shared" si="5"/>
        <v>27.771537765867272</v>
      </c>
      <c r="AS47" s="90">
        <f t="shared" si="5"/>
        <v>27.771537765867272</v>
      </c>
      <c r="AT47" s="90">
        <f t="shared" si="5"/>
        <v>27.771537765867272</v>
      </c>
      <c r="AU47" s="90">
        <f t="shared" si="5"/>
        <v>27.771537765867272</v>
      </c>
      <c r="AV47" s="90">
        <f t="shared" si="5"/>
        <v>27.771537765867272</v>
      </c>
      <c r="AW47" s="90">
        <f t="shared" si="5"/>
        <v>27.771537765867272</v>
      </c>
      <c r="AX47" s="90">
        <f t="shared" si="5"/>
        <v>27.771537765867272</v>
      </c>
      <c r="AY47" s="90">
        <f t="shared" si="5"/>
        <v>27.771537765867272</v>
      </c>
      <c r="AZ47" s="90">
        <f t="shared" si="5"/>
        <v>27.771537765867272</v>
      </c>
      <c r="BA47" s="90">
        <f t="shared" si="5"/>
        <v>27.771537765867272</v>
      </c>
      <c r="BB47" s="90">
        <f t="shared" si="5"/>
        <v>27.771537765867272</v>
      </c>
      <c r="BC47" s="90">
        <f t="shared" si="5"/>
        <v>27.771537765867272</v>
      </c>
      <c r="BD47" s="90">
        <f t="shared" si="5"/>
        <v>27.771537765867272</v>
      </c>
      <c r="BE47" s="90">
        <f t="shared" si="5"/>
        <v>27.771537765867272</v>
      </c>
      <c r="BF47" s="90">
        <f t="shared" si="5"/>
        <v>26.444672855196313</v>
      </c>
      <c r="BG47" s="90">
        <f t="shared" si="5"/>
        <v>8.7454462185614652</v>
      </c>
      <c r="BH47" s="90">
        <f t="shared" si="5"/>
        <v>-2.2737367544323206E-13</v>
      </c>
      <c r="BI47" s="90">
        <f t="shared" si="5"/>
        <v>0</v>
      </c>
      <c r="BJ47" s="90">
        <f t="shared" si="5"/>
        <v>0</v>
      </c>
      <c r="BK47" s="90">
        <f t="shared" si="5"/>
        <v>0</v>
      </c>
      <c r="BL47" s="90">
        <f t="shared" si="5"/>
        <v>0</v>
      </c>
      <c r="BM47" s="90">
        <f t="shared" si="5"/>
        <v>0</v>
      </c>
      <c r="BN47" s="90">
        <f t="shared" si="5"/>
        <v>0</v>
      </c>
      <c r="BO47" s="90">
        <f t="shared" si="5"/>
        <v>0</v>
      </c>
      <c r="BP47" s="90">
        <f t="shared" si="5"/>
        <v>0</v>
      </c>
      <c r="BQ47" s="90">
        <f t="shared" si="5"/>
        <v>0</v>
      </c>
      <c r="BR47" s="90">
        <f t="shared" si="5"/>
        <v>1388.5768882933637</v>
      </c>
    </row>
    <row r="50" spans="2:71" x14ac:dyDescent="0.25">
      <c r="B50" s="82" t="s">
        <v>224</v>
      </c>
    </row>
    <row r="51" spans="2:71" x14ac:dyDescent="0.25">
      <c r="B51" s="83" t="s">
        <v>175</v>
      </c>
    </row>
    <row r="52" spans="2:71" x14ac:dyDescent="0.25">
      <c r="B52" s="83" t="s">
        <v>166</v>
      </c>
      <c r="D52" s="84" t="s">
        <v>66</v>
      </c>
      <c r="E52" s="84" t="s">
        <v>66</v>
      </c>
      <c r="F52" s="84" t="s">
        <v>100</v>
      </c>
      <c r="G52" s="84" t="s">
        <v>100</v>
      </c>
      <c r="H52" s="84" t="s">
        <v>100</v>
      </c>
    </row>
    <row r="53" spans="2:71" x14ac:dyDescent="0.25">
      <c r="D53" s="84">
        <v>2016</v>
      </c>
      <c r="E53" s="84">
        <v>2017</v>
      </c>
      <c r="F53" s="84">
        <v>2018</v>
      </c>
      <c r="G53" s="84">
        <v>2019</v>
      </c>
      <c r="H53" s="84">
        <v>2020</v>
      </c>
      <c r="I53" s="83" t="s">
        <v>42</v>
      </c>
    </row>
    <row r="54" spans="2:71" x14ac:dyDescent="0.25">
      <c r="B54" s="100" t="s">
        <v>85</v>
      </c>
      <c r="D54" s="91">
        <f>'Capex by Asset class'!C$43*(1+D$1)^0.5</f>
        <v>0</v>
      </c>
      <c r="E54" s="91">
        <f>'Capex by Asset class'!D$43*(1+E$1)^0.5</f>
        <v>0</v>
      </c>
      <c r="F54" s="91">
        <f>'Capex by Asset class'!E$43*(1+F$1)^0.5</f>
        <v>0</v>
      </c>
      <c r="G54" s="91">
        <f>'Capex by Asset class'!F$43*(1+G$1)^0.5</f>
        <v>54.026483171580644</v>
      </c>
      <c r="H54" s="91">
        <f>'Capex by Asset class'!G$43*(1+H$1)^0.5</f>
        <v>2737.7438997938707</v>
      </c>
      <c r="I54" s="91">
        <f>'Capex by Asset class'!H$43*(1+I$1)^0.5</f>
        <v>1352.7592209192294</v>
      </c>
    </row>
    <row r="56" spans="2:71" x14ac:dyDescent="0.25">
      <c r="B56" s="83" t="s">
        <v>101</v>
      </c>
      <c r="D56" s="85">
        <v>10</v>
      </c>
    </row>
    <row r="58" spans="2:71" x14ac:dyDescent="0.25">
      <c r="B58" s="82" t="s">
        <v>222</v>
      </c>
      <c r="C58" s="82"/>
    </row>
    <row r="59" spans="2:71" x14ac:dyDescent="0.25">
      <c r="D59" s="84">
        <v>1</v>
      </c>
      <c r="E59" s="84">
        <v>2</v>
      </c>
      <c r="F59" s="84">
        <v>3</v>
      </c>
      <c r="G59" s="84">
        <v>4</v>
      </c>
      <c r="H59" s="84">
        <v>5</v>
      </c>
      <c r="I59" s="84">
        <v>6</v>
      </c>
      <c r="J59" s="96">
        <v>7</v>
      </c>
      <c r="K59" s="84">
        <v>8</v>
      </c>
      <c r="L59" s="84">
        <v>9</v>
      </c>
      <c r="M59" s="84">
        <v>10</v>
      </c>
      <c r="N59" s="84">
        <v>11</v>
      </c>
      <c r="O59" s="84">
        <v>12</v>
      </c>
      <c r="P59" s="84">
        <v>13</v>
      </c>
      <c r="Q59" s="84">
        <v>14</v>
      </c>
      <c r="R59" s="84">
        <v>15</v>
      </c>
      <c r="S59" s="84">
        <v>16</v>
      </c>
      <c r="T59" s="84">
        <v>17</v>
      </c>
      <c r="U59" s="84">
        <v>18</v>
      </c>
      <c r="V59" s="84">
        <v>19</v>
      </c>
      <c r="W59" s="84">
        <v>20</v>
      </c>
      <c r="X59" s="84">
        <v>21</v>
      </c>
      <c r="Y59" s="84">
        <v>22</v>
      </c>
      <c r="Z59" s="84">
        <v>23</v>
      </c>
      <c r="AA59" s="84">
        <v>24</v>
      </c>
      <c r="AB59" s="84">
        <v>25</v>
      </c>
      <c r="AC59" s="84">
        <v>26</v>
      </c>
      <c r="AD59" s="84">
        <v>27</v>
      </c>
      <c r="AE59" s="84">
        <v>28</v>
      </c>
      <c r="AF59" s="84">
        <v>29</v>
      </c>
      <c r="AG59" s="84">
        <v>30</v>
      </c>
      <c r="AH59" s="84">
        <v>31</v>
      </c>
      <c r="AI59" s="84">
        <v>32</v>
      </c>
      <c r="AJ59" s="84">
        <v>33</v>
      </c>
      <c r="AK59" s="84">
        <v>34</v>
      </c>
      <c r="AL59" s="84">
        <v>35</v>
      </c>
      <c r="AM59" s="84">
        <v>36</v>
      </c>
      <c r="AN59" s="84">
        <v>37</v>
      </c>
      <c r="AO59" s="84">
        <v>38</v>
      </c>
      <c r="AP59" s="84">
        <v>39</v>
      </c>
      <c r="AQ59" s="84">
        <v>40</v>
      </c>
      <c r="AR59" s="84">
        <v>41</v>
      </c>
      <c r="AS59" s="84">
        <v>42</v>
      </c>
      <c r="AT59" s="84">
        <v>43</v>
      </c>
      <c r="AU59" s="84">
        <v>44</v>
      </c>
      <c r="AV59" s="84">
        <v>45</v>
      </c>
      <c r="AW59" s="84">
        <v>46</v>
      </c>
      <c r="AX59" s="84">
        <v>47</v>
      </c>
      <c r="AY59" s="84">
        <v>48</v>
      </c>
      <c r="AZ59" s="84">
        <v>49</v>
      </c>
      <c r="BA59" s="84">
        <v>50</v>
      </c>
      <c r="BB59" s="84">
        <v>51</v>
      </c>
      <c r="BC59" s="84">
        <v>52</v>
      </c>
      <c r="BD59" s="84">
        <v>53</v>
      </c>
      <c r="BE59" s="84">
        <v>54</v>
      </c>
      <c r="BF59" s="84">
        <v>55</v>
      </c>
      <c r="BG59" s="84">
        <v>56</v>
      </c>
      <c r="BH59" s="84">
        <v>57</v>
      </c>
      <c r="BI59" s="84">
        <v>58</v>
      </c>
      <c r="BJ59" s="84">
        <v>59</v>
      </c>
      <c r="BK59" s="84">
        <v>60</v>
      </c>
      <c r="BL59" s="84">
        <v>61</v>
      </c>
      <c r="BM59" s="84">
        <v>62</v>
      </c>
      <c r="BN59" s="84">
        <v>63</v>
      </c>
      <c r="BO59" s="84">
        <v>64</v>
      </c>
      <c r="BP59" s="84">
        <v>65</v>
      </c>
      <c r="BQ59" s="84">
        <v>66</v>
      </c>
    </row>
    <row r="60" spans="2:71" x14ac:dyDescent="0.25">
      <c r="B60" s="86" t="str">
        <f>B54</f>
        <v>SCADA/Network control</v>
      </c>
      <c r="C60" s="82"/>
      <c r="D60" s="84">
        <v>2016</v>
      </c>
      <c r="E60" s="84">
        <v>2017</v>
      </c>
      <c r="F60" s="84">
        <v>2018</v>
      </c>
      <c r="G60" s="84">
        <v>2019</v>
      </c>
      <c r="H60" s="84">
        <v>2020</v>
      </c>
      <c r="I60" s="84" t="s">
        <v>42</v>
      </c>
      <c r="J60" s="96" t="s">
        <v>63</v>
      </c>
      <c r="K60" s="84" t="s">
        <v>64</v>
      </c>
      <c r="L60" s="84" t="s">
        <v>65</v>
      </c>
      <c r="M60" s="84" t="s">
        <v>46</v>
      </c>
      <c r="N60" s="84" t="s">
        <v>47</v>
      </c>
      <c r="O60" s="84" t="s">
        <v>68</v>
      </c>
      <c r="P60" s="84" t="s">
        <v>156</v>
      </c>
      <c r="Q60" s="84" t="s">
        <v>155</v>
      </c>
      <c r="R60" s="84" t="s">
        <v>154</v>
      </c>
      <c r="S60" s="84" t="s">
        <v>153</v>
      </c>
      <c r="T60" s="84" t="s">
        <v>152</v>
      </c>
      <c r="U60" s="84" t="s">
        <v>151</v>
      </c>
      <c r="V60" s="84" t="s">
        <v>150</v>
      </c>
      <c r="W60" s="84" t="s">
        <v>149</v>
      </c>
      <c r="X60" s="84" t="s">
        <v>148</v>
      </c>
      <c r="Y60" s="84" t="s">
        <v>147</v>
      </c>
      <c r="Z60" s="84" t="s">
        <v>146</v>
      </c>
      <c r="AA60" s="84" t="s">
        <v>145</v>
      </c>
      <c r="AB60" s="84" t="s">
        <v>144</v>
      </c>
      <c r="AC60" s="84" t="s">
        <v>143</v>
      </c>
      <c r="AD60" s="84" t="s">
        <v>142</v>
      </c>
      <c r="AE60" s="84" t="s">
        <v>141</v>
      </c>
      <c r="AF60" s="84" t="s">
        <v>140</v>
      </c>
      <c r="AG60" s="84" t="s">
        <v>139</v>
      </c>
      <c r="AH60" s="84" t="s">
        <v>138</v>
      </c>
      <c r="AI60" s="84" t="s">
        <v>137</v>
      </c>
      <c r="AJ60" s="84" t="s">
        <v>136</v>
      </c>
      <c r="AK60" s="84" t="s">
        <v>135</v>
      </c>
      <c r="AL60" s="84" t="s">
        <v>134</v>
      </c>
      <c r="AM60" s="84" t="s">
        <v>133</v>
      </c>
      <c r="AN60" s="84" t="s">
        <v>132</v>
      </c>
      <c r="AO60" s="84" t="s">
        <v>131</v>
      </c>
      <c r="AP60" s="84" t="s">
        <v>130</v>
      </c>
      <c r="AQ60" s="84" t="s">
        <v>129</v>
      </c>
      <c r="AR60" s="84" t="s">
        <v>128</v>
      </c>
      <c r="AS60" s="84" t="s">
        <v>127</v>
      </c>
      <c r="AT60" s="84" t="s">
        <v>126</v>
      </c>
      <c r="AU60" s="84" t="s">
        <v>125</v>
      </c>
      <c r="AV60" s="84" t="s">
        <v>124</v>
      </c>
      <c r="AW60" s="84" t="s">
        <v>123</v>
      </c>
      <c r="AX60" s="84" t="s">
        <v>122</v>
      </c>
      <c r="AY60" s="84" t="s">
        <v>121</v>
      </c>
      <c r="AZ60" s="84" t="s">
        <v>120</v>
      </c>
      <c r="BA60" s="84" t="s">
        <v>119</v>
      </c>
      <c r="BB60" s="84" t="s">
        <v>118</v>
      </c>
      <c r="BC60" s="84" t="s">
        <v>117</v>
      </c>
      <c r="BD60" s="84" t="s">
        <v>116</v>
      </c>
      <c r="BE60" s="84" t="s">
        <v>115</v>
      </c>
      <c r="BF60" s="84" t="s">
        <v>114</v>
      </c>
      <c r="BG60" s="84" t="s">
        <v>113</v>
      </c>
      <c r="BH60" s="84" t="s">
        <v>112</v>
      </c>
      <c r="BI60" s="84" t="s">
        <v>111</v>
      </c>
      <c r="BJ60" s="84" t="s">
        <v>110</v>
      </c>
      <c r="BK60" s="84" t="s">
        <v>109</v>
      </c>
      <c r="BL60" s="84" t="s">
        <v>102</v>
      </c>
      <c r="BM60" s="84" t="s">
        <v>103</v>
      </c>
      <c r="BN60" s="84" t="s">
        <v>104</v>
      </c>
      <c r="BO60" s="84" t="s">
        <v>105</v>
      </c>
      <c r="BP60" s="84" t="s">
        <v>106</v>
      </c>
      <c r="BQ60" s="84" t="s">
        <v>107</v>
      </c>
      <c r="BR60" s="84" t="s">
        <v>10</v>
      </c>
      <c r="BS60" s="84"/>
    </row>
    <row r="61" spans="2:71" ht="14.4" x14ac:dyDescent="0.3">
      <c r="B61" s="83" t="s">
        <v>158</v>
      </c>
      <c r="D61" s="87"/>
      <c r="E61" s="87"/>
      <c r="F61" s="87"/>
      <c r="G61" s="87"/>
      <c r="H61" s="87"/>
      <c r="I61" s="87"/>
      <c r="J61" s="9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R61" s="88">
        <f t="shared" ref="BR61:BR67" si="6">SUM(D61:BQ61)</f>
        <v>0</v>
      </c>
      <c r="BS61" s="85"/>
    </row>
    <row r="62" spans="2:71" ht="14.4" x14ac:dyDescent="0.3">
      <c r="B62" s="83" t="s">
        <v>160</v>
      </c>
      <c r="C62" s="83">
        <v>1</v>
      </c>
      <c r="E62" s="89">
        <f>IF(E$59-$C62&gt;$D$56,$D$54-SUM(D62:$E62),$D$54/$D$56)</f>
        <v>0</v>
      </c>
      <c r="F62" s="89">
        <f>IF(F$59-$C62&gt;$D$56,$D$54-SUM(E62:$E62),$D$54/$D$56)</f>
        <v>0</v>
      </c>
      <c r="G62" s="89">
        <f>IF(G$59-$C62&gt;$D$56,$D$54-SUM($E62:F62),$D$54/$D$56)</f>
        <v>0</v>
      </c>
      <c r="H62" s="89">
        <f>IF(H$59-$C62&gt;$D$56,$D$54-SUM($E62:G62),$D$54/$D$56)</f>
        <v>0</v>
      </c>
      <c r="I62" s="89">
        <f>IF(I$59-$C62&gt;$D$56,$D$54-SUM($E62:H62),$D$54/$D$56)</f>
        <v>0</v>
      </c>
      <c r="J62" s="98">
        <f>IF(J$59-$C62&gt;$D$56,$D$54-SUM($E62:I62),$D$54/$D$56)</f>
        <v>0</v>
      </c>
      <c r="K62" s="89">
        <f>IF(K$59-$C62&gt;$D$56,$D$54-SUM($E62:J62),$D$54/$D$56)</f>
        <v>0</v>
      </c>
      <c r="L62" s="89">
        <f>IF(L$59-$C62&gt;$D$56,$D$54-SUM($E62:K62),$D$54/$D$56)</f>
        <v>0</v>
      </c>
      <c r="M62" s="89">
        <f>IF(M$59-$C62&gt;$D$56,$D$54-SUM($E62:L62),$D$54/$D$56)</f>
        <v>0</v>
      </c>
      <c r="N62" s="89">
        <f>IF(N$59-$C62&gt;$D$56,$D$54-SUM($E62:M62),$D$54/$D$56)</f>
        <v>0</v>
      </c>
      <c r="O62" s="89">
        <f>IF(O$59-$C62&gt;$D$56,$D$54-SUM($E62:N62),$D$54/$D$56)</f>
        <v>0</v>
      </c>
      <c r="P62" s="89">
        <f>IF(P$59-$C62&gt;$D$56,$D$54-SUM($E62:O62),$D$54/$D$56)</f>
        <v>0</v>
      </c>
      <c r="Q62" s="89">
        <f>IF(Q$59-$C62&gt;$D$56,$D$54-SUM($E62:P62),$D$54/$D$56)</f>
        <v>0</v>
      </c>
      <c r="R62" s="89">
        <f>IF(R$59-$C62&gt;$D$56,$D$54-SUM($E62:Q62),$D$54/$D$56)</f>
        <v>0</v>
      </c>
      <c r="S62" s="89">
        <f>IF(S$59-$C62&gt;$D$56,$D$54-SUM($E62:R62),$D$54/$D$56)</f>
        <v>0</v>
      </c>
      <c r="T62" s="89">
        <f>IF(T$59-$C62&gt;$D$56,$D$54-SUM($E62:S62),$D$54/$D$56)</f>
        <v>0</v>
      </c>
      <c r="U62" s="89">
        <f>IF(U$59-$C62&gt;$D$56,$D$54-SUM($E62:T62),$D$54/$D$56)</f>
        <v>0</v>
      </c>
      <c r="V62" s="89">
        <f>IF(V$59-$C62&gt;$D$56,$D$54-SUM($E62:U62),$D$54/$D$56)</f>
        <v>0</v>
      </c>
      <c r="W62" s="89">
        <f>IF(W$59-$C62&gt;$D$56,$D$54-SUM($E62:V62),$D$54/$D$56)</f>
        <v>0</v>
      </c>
      <c r="X62" s="89">
        <f>IF(X$59-$C62&gt;$D$56,$D$54-SUM($E62:W62),$D$54/$D$56)</f>
        <v>0</v>
      </c>
      <c r="Y62" s="89">
        <f>IF(Y$59-$C62&gt;$D$56,$D$54-SUM($E62:X62),$D$54/$D$56)</f>
        <v>0</v>
      </c>
      <c r="Z62" s="89">
        <f>IF(Z$59-$C62&gt;$D$56,$D$54-SUM($E62:Y62),$D$54/$D$56)</f>
        <v>0</v>
      </c>
      <c r="AA62" s="89">
        <f>IF(AA$59-$C62&gt;$D$56,$D$54-SUM($E62:Z62),$D$54/$D$56)</f>
        <v>0</v>
      </c>
      <c r="AB62" s="89">
        <f>IF(AB$59-$C62&gt;$D$56,$D$54-SUM($E62:AA62),$D$54/$D$56)</f>
        <v>0</v>
      </c>
      <c r="AC62" s="89">
        <f>IF(AC$59-$C62&gt;$D$56,$D$54-SUM($E62:AB62),$D$54/$D$56)</f>
        <v>0</v>
      </c>
      <c r="AD62" s="89">
        <f>IF(AD$59-$C62&gt;$D$56,$D$54-SUM($E62:AC62),$D$54/$D$56)</f>
        <v>0</v>
      </c>
      <c r="AE62" s="89">
        <f>IF(AE$59-$C62&gt;$D$56,$D$54-SUM($E62:AD62),$D$54/$D$56)</f>
        <v>0</v>
      </c>
      <c r="AF62" s="89">
        <f>IF(AF$59-$C62&gt;$D$56,$D$54-SUM($E62:AE62),$D$54/$D$56)</f>
        <v>0</v>
      </c>
      <c r="AG62" s="89">
        <f>IF(AG$59-$C62&gt;$D$56,$D$54-SUM($E62:AF62),$D$54/$D$56)</f>
        <v>0</v>
      </c>
      <c r="AH62" s="89">
        <f>IF(AH$59-$C62&gt;$D$56,$D$54-SUM($E62:AG62),$D$54/$D$56)</f>
        <v>0</v>
      </c>
      <c r="AI62" s="89">
        <f>IF(AI$59-$C62&gt;$D$56,$D$54-SUM($E62:AH62),$D$54/$D$56)</f>
        <v>0</v>
      </c>
      <c r="AJ62" s="89">
        <f>IF(AJ$59-$C62&gt;$D$56,$D$54-SUM($E62:AI62),$D$54/$D$56)</f>
        <v>0</v>
      </c>
      <c r="AK62" s="89">
        <f>IF(AK$59-$C62&gt;$D$56,$D$54-SUM($E62:AJ62),$D$54/$D$56)</f>
        <v>0</v>
      </c>
      <c r="AL62" s="89">
        <f>IF(AL$59-$C62&gt;$D$56,$D$54-SUM($E62:AK62),$D$54/$D$56)</f>
        <v>0</v>
      </c>
      <c r="AM62" s="89">
        <f>IF(AM$59-$C62&gt;$D$56,$D$54-SUM($E62:AL62),$D$54/$D$56)</f>
        <v>0</v>
      </c>
      <c r="AN62" s="89">
        <f>IF(AN$59-$C62&gt;$D$56,$D$54-SUM($E62:AM62),$D$54/$D$56)</f>
        <v>0</v>
      </c>
      <c r="AO62" s="89">
        <f>IF(AO$59-$C62&gt;$D$56,$D$54-SUM($E62:AN62),$D$54/$D$56)</f>
        <v>0</v>
      </c>
      <c r="AP62" s="89">
        <f>IF(AP$59-$C62&gt;$D$56,$D$54-SUM($E62:AO62),$D$54/$D$56)</f>
        <v>0</v>
      </c>
      <c r="AQ62" s="89">
        <f>IF(AQ$59-$C62&gt;$D$56,$D$54-SUM($E62:AP62),$D$54/$D$56)</f>
        <v>0</v>
      </c>
      <c r="AR62" s="89">
        <f>IF(AR$59-$C62&gt;$D$56,$D$54-SUM($E62:AQ62),$D$54/$D$56)</f>
        <v>0</v>
      </c>
      <c r="AS62" s="89">
        <f>IF(AS$59-$C62&gt;$D$56,$D$54-SUM($E62:AR62),$D$54/$D$56)</f>
        <v>0</v>
      </c>
      <c r="AT62" s="89">
        <f>IF(AT$59-$C62&gt;$D$56,$D$54-SUM($E62:AS62),$D$54/$D$56)</f>
        <v>0</v>
      </c>
      <c r="AU62" s="89">
        <f>IF(AU$59-$C62&gt;$D$56,$D$54-SUM($E62:AT62),$D$54/$D$56)</f>
        <v>0</v>
      </c>
      <c r="AV62" s="89">
        <f>IF(AV$59-$C62&gt;$D$56,$D$54-SUM($E62:AU62),$D$54/$D$56)</f>
        <v>0</v>
      </c>
      <c r="AW62" s="89">
        <f>IF(AW$59-$C62&gt;$D$56,$D$54-SUM($E62:AV62),$D$54/$D$56)</f>
        <v>0</v>
      </c>
      <c r="AX62" s="89">
        <f>IF(AX$59-$C62&gt;$D$56,$D$54-SUM($E62:AW62),$D$54/$D$56)</f>
        <v>0</v>
      </c>
      <c r="AY62" s="89">
        <f>IF(AY$59-$C62&gt;$D$56,$D$54-SUM($E62:AX62),$D$54/$D$56)</f>
        <v>0</v>
      </c>
      <c r="AZ62" s="89">
        <f>IF(AZ$59-$C62&gt;$D$56,$D$54-SUM($E62:AY62),$D$54/$D$56)</f>
        <v>0</v>
      </c>
      <c r="BA62" s="89">
        <f>IF(BA$59-$C62&gt;$D$56,$D$54-SUM($E62:AZ62),$D$54/$D$56)</f>
        <v>0</v>
      </c>
      <c r="BB62" s="89">
        <f>IF(BB$59-$C62&gt;$D$56,$D$54-SUM($E62:BA62),$D$54/$D$56)</f>
        <v>0</v>
      </c>
      <c r="BC62" s="89">
        <f>IF(BC$59-$C62&gt;$D$56,$D$54-SUM($E62:BB62),$D$54/$D$56)</f>
        <v>0</v>
      </c>
      <c r="BD62" s="89">
        <f>IF(BD$59-$C62&gt;$D$56,$D$54-SUM($E62:BC62),$D$54/$D$56)</f>
        <v>0</v>
      </c>
      <c r="BE62" s="89">
        <f>IF(BE$59-$C62&gt;$D$56,$D$54-SUM($E62:BD62),$D$54/$D$56)</f>
        <v>0</v>
      </c>
      <c r="BF62" s="89">
        <f>IF(BF$59-$C62&gt;$D$56,$D$54-SUM($E62:BE62),$D$54/$D$56)</f>
        <v>0</v>
      </c>
      <c r="BG62" s="89">
        <f>IF(BG$59-$C62&gt;$D$56,$D$54-SUM($E62:BF62),$D$54/$D$56)</f>
        <v>0</v>
      </c>
      <c r="BH62" s="89">
        <f>IF(BH$59-$C62&gt;$D$56,$D$54-SUM($E62:BG62),$D$54/$D$56)</f>
        <v>0</v>
      </c>
      <c r="BI62" s="89">
        <f>IF(BI$59-$C62&gt;$D$56,$D$54-SUM($E62:BH62),$D$54/$D$56)</f>
        <v>0</v>
      </c>
      <c r="BJ62" s="89">
        <f>IF(BJ$59-$C62&gt;$D$56,$D$54-SUM($E62:BI62),$D$54/$D$56)</f>
        <v>0</v>
      </c>
      <c r="BK62" s="89">
        <f>IF(BK$59-$C62&gt;$D$56,$D$54-SUM($E62:BJ62),$D$54/$D$56)</f>
        <v>0</v>
      </c>
      <c r="BL62" s="89">
        <f>IF(BL$59-$C62&gt;$D$56,$D$54-SUM($E62:BK62),$D$54/$D$56)</f>
        <v>0</v>
      </c>
      <c r="BM62" s="89">
        <f>IF(BM$59-$C62&gt;$D$56,$D$54-SUM($E62:BL62),$D$54/$D$56)</f>
        <v>0</v>
      </c>
      <c r="BN62" s="89">
        <f>IF(BN$59-$C62&gt;$D$56,$D$54-SUM($E62:BM62),$D$54/$D$56)</f>
        <v>0</v>
      </c>
      <c r="BO62" s="89">
        <f>IF(BO$59-$C62&gt;$D$56,$D$54-SUM($E62:BN62),$D$54/$D$56)</f>
        <v>0</v>
      </c>
      <c r="BP62" s="89">
        <f>IF(BP$59-$C62&gt;$D$56,$D$54-SUM($E62:BO62),$D$54/$D$56)</f>
        <v>0</v>
      </c>
      <c r="BR62" s="88">
        <f t="shared" si="6"/>
        <v>0</v>
      </c>
      <c r="BS62" s="83" t="b">
        <f>BR62=D54</f>
        <v>1</v>
      </c>
    </row>
    <row r="63" spans="2:71" ht="14.4" x14ac:dyDescent="0.3">
      <c r="B63" s="83" t="s">
        <v>161</v>
      </c>
      <c r="C63" s="83">
        <v>2</v>
      </c>
      <c r="F63" s="89">
        <f>IF(F$59-$C63&gt;$D$56,$E$54-SUM(E63:$E63),$E$54/$D$56)</f>
        <v>0</v>
      </c>
      <c r="G63" s="89">
        <f>IF(G$59-$C63&gt;$D$56,$E$54-SUM($E63:F63),$E$54/$D$56)</f>
        <v>0</v>
      </c>
      <c r="H63" s="89">
        <f>IF(H$59-$C63&gt;$D$56,$E$54-SUM($E63:G63),$E$54/$D$56)</f>
        <v>0</v>
      </c>
      <c r="I63" s="89">
        <f>IF(I$59-$C63&gt;$D$56,$E$54-SUM($E63:H63),$E$54/$D$56)</f>
        <v>0</v>
      </c>
      <c r="J63" s="98">
        <f>IF(J$59-$C63&gt;$D$56,$E$54-SUM($E63:I63),$E$54/$D$56)</f>
        <v>0</v>
      </c>
      <c r="K63" s="89">
        <f>IF(K$59-$C63&gt;$D$56,$E$54-SUM($E63:J63),$E$54/$D$56)</f>
        <v>0</v>
      </c>
      <c r="L63" s="89">
        <f>IF(L$59-$C63&gt;$D$56,$E$54-SUM($E63:K63),$E$54/$D$56)</f>
        <v>0</v>
      </c>
      <c r="M63" s="89">
        <f>IF(M$59-$C63&gt;$D$56,$E$54-SUM($E63:L63),$E$54/$D$56)</f>
        <v>0</v>
      </c>
      <c r="N63" s="89">
        <f>IF(N$59-$C63&gt;$D$56,$E$54-SUM($E63:M63),$E$54/$D$56)</f>
        <v>0</v>
      </c>
      <c r="O63" s="89">
        <f>IF(O$59-$C63&gt;$D$56,$E$54-SUM($E63:N63),$E$54/$D$56)</f>
        <v>0</v>
      </c>
      <c r="P63" s="89">
        <f>IF(P$59-$C63&gt;$D$56,$E$54-SUM($E63:O63),$E$54/$D$56)</f>
        <v>0</v>
      </c>
      <c r="Q63" s="89">
        <f>IF(Q$59-$C63&gt;$D$56,$E$54-SUM($E63:P63),$E$54/$D$56)</f>
        <v>0</v>
      </c>
      <c r="R63" s="89">
        <f>IF(R$59-$C63&gt;$D$56,$E$54-SUM($E63:Q63),$E$54/$D$56)</f>
        <v>0</v>
      </c>
      <c r="S63" s="89">
        <f>IF(S$59-$C63&gt;$D$56,$E$54-SUM($E63:R63),$E$54/$D$56)</f>
        <v>0</v>
      </c>
      <c r="T63" s="89">
        <f>IF(T$59-$C63&gt;$D$56,$E$54-SUM($E63:S63),$E$54/$D$56)</f>
        <v>0</v>
      </c>
      <c r="U63" s="89">
        <f>IF(U$59-$C63&gt;$D$56,$E$54-SUM($E63:T63),$E$54/$D$56)</f>
        <v>0</v>
      </c>
      <c r="V63" s="89">
        <f>IF(V$59-$C63&gt;$D$56,$E$54-SUM($E63:U63),$E$54/$D$56)</f>
        <v>0</v>
      </c>
      <c r="W63" s="89">
        <f>IF(W$59-$C63&gt;$D$56,$E$54-SUM($E63:V63),$E$54/$D$56)</f>
        <v>0</v>
      </c>
      <c r="X63" s="89">
        <f>IF(X$59-$C63&gt;$D$56,$E$54-SUM($E63:W63),$E$54/$D$56)</f>
        <v>0</v>
      </c>
      <c r="Y63" s="89">
        <f>IF(Y$59-$C63&gt;$D$56,$E$54-SUM($E63:X63),$E$54/$D$56)</f>
        <v>0</v>
      </c>
      <c r="Z63" s="89">
        <f>IF(Z$59-$C63&gt;$D$56,$E$54-SUM($E63:Y63),$E$54/$D$56)</f>
        <v>0</v>
      </c>
      <c r="AA63" s="89">
        <f>IF(AA$59-$C63&gt;$D$56,$E$54-SUM($E63:Z63),$E$54/$D$56)</f>
        <v>0</v>
      </c>
      <c r="AB63" s="89">
        <f>IF(AB$59-$C63&gt;$D$56,$E$54-SUM($E63:AA63),$E$54/$D$56)</f>
        <v>0</v>
      </c>
      <c r="AC63" s="89">
        <f>IF(AC$59-$C63&gt;$D$56,$E$54-SUM($E63:AB63),$E$54/$D$56)</f>
        <v>0</v>
      </c>
      <c r="AD63" s="89">
        <f>IF(AD$59-$C63&gt;$D$56,$E$54-SUM($E63:AC63),$E$54/$D$56)</f>
        <v>0</v>
      </c>
      <c r="AE63" s="89">
        <f>IF(AE$59-$C63&gt;$D$56,$E$54-SUM($E63:AD63),$E$54/$D$56)</f>
        <v>0</v>
      </c>
      <c r="AF63" s="89">
        <f>IF(AF$59-$C63&gt;$D$56,$E$54-SUM($E63:AE63),$E$54/$D$56)</f>
        <v>0</v>
      </c>
      <c r="AG63" s="89">
        <f>IF(AG$59-$C63&gt;$D$56,$E$54-SUM($E63:AF63),$E$54/$D$56)</f>
        <v>0</v>
      </c>
      <c r="AH63" s="89">
        <f>IF(AH$59-$C63&gt;$D$56,$E$54-SUM($E63:AG63),$E$54/$D$56)</f>
        <v>0</v>
      </c>
      <c r="AI63" s="89">
        <f>IF(AI$59-$C63&gt;$D$56,$E$54-SUM($E63:AH63),$E$54/$D$56)</f>
        <v>0</v>
      </c>
      <c r="AJ63" s="89">
        <f>IF(AJ$59-$C63&gt;$D$56,$E$54-SUM($E63:AI63),$E$54/$D$56)</f>
        <v>0</v>
      </c>
      <c r="AK63" s="89">
        <f>IF(AK$59-$C63&gt;$D$56,$E$54-SUM($E63:AJ63),$E$54/$D$56)</f>
        <v>0</v>
      </c>
      <c r="AL63" s="89">
        <f>IF(AL$59-$C63&gt;$D$56,$E$54-SUM($E63:AK63),$E$54/$D$56)</f>
        <v>0</v>
      </c>
      <c r="AM63" s="89">
        <f>IF(AM$59-$C63&gt;$D$56,$E$54-SUM($E63:AL63),$E$54/$D$56)</f>
        <v>0</v>
      </c>
      <c r="AN63" s="89">
        <f>IF(AN$59-$C63&gt;$D$56,$E$54-SUM($E63:AM63),$E$54/$D$56)</f>
        <v>0</v>
      </c>
      <c r="AO63" s="89">
        <f>IF(AO$59-$C63&gt;$D$56,$E$54-SUM($E63:AN63),$E$54/$D$56)</f>
        <v>0</v>
      </c>
      <c r="AP63" s="89">
        <f>IF(AP$59-$C63&gt;$D$56,$E$54-SUM($E63:AO63),$E$54/$D$56)</f>
        <v>0</v>
      </c>
      <c r="AQ63" s="89">
        <f>IF(AQ$59-$C63&gt;$D$56,$E$54-SUM($E63:AP63),$E$54/$D$56)</f>
        <v>0</v>
      </c>
      <c r="AR63" s="89">
        <f>IF(AR$59-$C63&gt;$D$56,$E$54-SUM($E63:AQ63),$E$54/$D$56)</f>
        <v>0</v>
      </c>
      <c r="AS63" s="89">
        <f>IF(AS$59-$C63&gt;$D$56,$E$54-SUM($E63:AR63),$E$54/$D$56)</f>
        <v>0</v>
      </c>
      <c r="AT63" s="89">
        <f>IF(AT$59-$C63&gt;$D$56,$E$54-SUM($E63:AS63),$E$54/$D$56)</f>
        <v>0</v>
      </c>
      <c r="AU63" s="89">
        <f>IF(AU$59-$C63&gt;$D$56,$E$54-SUM($E63:AT63),$E$54/$D$56)</f>
        <v>0</v>
      </c>
      <c r="AV63" s="89">
        <f>IF(AV$59-$C63&gt;$D$56,$E$54-SUM($E63:AU63),$E$54/$D$56)</f>
        <v>0</v>
      </c>
      <c r="AW63" s="89">
        <f>IF(AW$59-$C63&gt;$D$56,$E$54-SUM($E63:AV63),$E$54/$D$56)</f>
        <v>0</v>
      </c>
      <c r="AX63" s="89">
        <f>IF(AX$59-$C63&gt;$D$56,$E$54-SUM($E63:AW63),$E$54/$D$56)</f>
        <v>0</v>
      </c>
      <c r="AY63" s="89">
        <f>IF(AY$59-$C63&gt;$D$56,$E$54-SUM($E63:AX63),$E$54/$D$56)</f>
        <v>0</v>
      </c>
      <c r="AZ63" s="89">
        <f>IF(AZ$59-$C63&gt;$D$56,$E$54-SUM($E63:AY63),$E$54/$D$56)</f>
        <v>0</v>
      </c>
      <c r="BA63" s="89">
        <f>IF(BA$59-$C63&gt;$D$56,$E$54-SUM($E63:AZ63),$E$54/$D$56)</f>
        <v>0</v>
      </c>
      <c r="BB63" s="89">
        <f>IF(BB$59-$C63&gt;$D$56,$E$54-SUM($E63:BA63),$E$54/$D$56)</f>
        <v>0</v>
      </c>
      <c r="BC63" s="89">
        <f>IF(BC$59-$C63&gt;$D$56,$E$54-SUM($E63:BB63),$E$54/$D$56)</f>
        <v>0</v>
      </c>
      <c r="BD63" s="89">
        <f>IF(BD$59-$C63&gt;$D$56,$E$54-SUM($E63:BC63),$E$54/$D$56)</f>
        <v>0</v>
      </c>
      <c r="BE63" s="89">
        <f>IF(BE$59-$C63&gt;$D$56,$E$54-SUM($E63:BD63),$E$54/$D$56)</f>
        <v>0</v>
      </c>
      <c r="BF63" s="89">
        <f>IF(BF$59-$C63&gt;$D$56,$E$54-SUM($E63:BE63),$E$54/$D$56)</f>
        <v>0</v>
      </c>
      <c r="BG63" s="89">
        <f>IF(BG$59-$C63&gt;$D$56,$E$54-SUM($E63:BF63),$E$54/$D$56)</f>
        <v>0</v>
      </c>
      <c r="BH63" s="89">
        <f>IF(BH$59-$C63&gt;$D$56,$E$54-SUM($E63:BG63),$E$54/$D$56)</f>
        <v>0</v>
      </c>
      <c r="BI63" s="89">
        <f>IF(BI$59-$C63&gt;$D$56,$E$54-SUM($E63:BH63),$E$54/$D$56)</f>
        <v>0</v>
      </c>
      <c r="BJ63" s="89">
        <f>IF(BJ$59-$C63&gt;$D$56,$E$54-SUM($E63:BI63),$E$54/$D$56)</f>
        <v>0</v>
      </c>
      <c r="BK63" s="89">
        <f>IF(BK$59-$C63&gt;$D$56,$E$54-SUM($E63:BJ63),$E$54/$D$56)</f>
        <v>0</v>
      </c>
      <c r="BL63" s="89">
        <f>IF(BL$59-$C63&gt;$D$56,$E$54-SUM($E63:BK63),$E$54/$D$56)</f>
        <v>0</v>
      </c>
      <c r="BM63" s="89">
        <f>IF(BM$59-$C63&gt;$D$56,$E$54-SUM($E63:BL63),$E$54/$D$56)</f>
        <v>0</v>
      </c>
      <c r="BN63" s="89">
        <f>IF(BN$59-$C63&gt;$D$56,$E$54-SUM($E63:BM63),$E$54/$D$56)</f>
        <v>0</v>
      </c>
      <c r="BO63" s="89">
        <f>IF(BO$59-$C63&gt;$D$56,$E$54-SUM($E63:BN63),$E$54/$D$56)</f>
        <v>0</v>
      </c>
      <c r="BP63" s="89">
        <f>IF(BP$59-$C63&gt;$D$56,$E$54-SUM($E63:BO63),$E$54/$D$56)</f>
        <v>0</v>
      </c>
      <c r="BR63" s="88">
        <f t="shared" si="6"/>
        <v>0</v>
      </c>
      <c r="BS63" s="83" t="b">
        <f>BR63=E54</f>
        <v>1</v>
      </c>
    </row>
    <row r="64" spans="2:71" ht="14.4" x14ac:dyDescent="0.3">
      <c r="B64" s="83" t="s">
        <v>162</v>
      </c>
      <c r="C64" s="83">
        <v>3</v>
      </c>
      <c r="G64" s="89">
        <f>IF(G$59-$C64&gt;$D$56,$F$54-SUM($E64:F64),$F$54/$D$56)</f>
        <v>0</v>
      </c>
      <c r="H64" s="89">
        <f>IF(H$59-$C64&gt;$D$56,$F$54-SUM($E64:G64),$F$54/$D$56)</f>
        <v>0</v>
      </c>
      <c r="I64" s="89">
        <f>IF(I$59-$C64&gt;$D$56,$F$54-SUM($E64:H64),$F$54/$D$56)</f>
        <v>0</v>
      </c>
      <c r="J64" s="98">
        <f>IF(J$59-$C64&gt;$D$56,$F$54-SUM($E64:I64),$F$54/$D$56)</f>
        <v>0</v>
      </c>
      <c r="K64" s="89">
        <f>IF(K$59-$C64&gt;$D$56,$F$54-SUM($E64:J64),$F$54/$D$56)</f>
        <v>0</v>
      </c>
      <c r="L64" s="89">
        <f>IF(L$59-$C64&gt;$D$56,$F$54-SUM($E64:K64),$F$54/$D$56)</f>
        <v>0</v>
      </c>
      <c r="M64" s="89">
        <f>IF(M$59-$C64&gt;$D$56,$F$54-SUM($E64:L64),$F$54/$D$56)</f>
        <v>0</v>
      </c>
      <c r="N64" s="89">
        <f>IF(N$59-$C64&gt;$D$56,$F$54-SUM($E64:M64),$F$54/$D$56)</f>
        <v>0</v>
      </c>
      <c r="O64" s="89">
        <f>IF(O$59-$C64&gt;$D$56,$F$54-SUM($E64:N64),$F$54/$D$56)</f>
        <v>0</v>
      </c>
      <c r="P64" s="89">
        <f>IF(P$59-$C64&gt;$D$56,$F$54-SUM($E64:O64),$F$54/$D$56)</f>
        <v>0</v>
      </c>
      <c r="Q64" s="89">
        <f>IF(Q$59-$C64&gt;$D$56,$F$54-SUM($E64:P64),$F$54/$D$56)</f>
        <v>0</v>
      </c>
      <c r="R64" s="89">
        <f>IF(R$59-$C64&gt;$D$56,$F$54-SUM($E64:Q64),$F$54/$D$56)</f>
        <v>0</v>
      </c>
      <c r="S64" s="89">
        <f>IF(S$59-$C64&gt;$D$56,$F$54-SUM($E64:R64),$F$54/$D$56)</f>
        <v>0</v>
      </c>
      <c r="T64" s="89">
        <f>IF(T$59-$C64&gt;$D$56,$F$54-SUM($E64:S64),$F$54/$D$56)</f>
        <v>0</v>
      </c>
      <c r="U64" s="89">
        <f>IF(U$59-$C64&gt;$D$56,$F$54-SUM($E64:T64),$F$54/$D$56)</f>
        <v>0</v>
      </c>
      <c r="V64" s="89">
        <f>IF(V$59-$C64&gt;$D$56,$F$54-SUM($E64:U64),$F$54/$D$56)</f>
        <v>0</v>
      </c>
      <c r="W64" s="89">
        <f>IF(W$59-$C64&gt;$D$56,$F$54-SUM($E64:V64),$F$54/$D$56)</f>
        <v>0</v>
      </c>
      <c r="X64" s="89">
        <f>IF(X$59-$C64&gt;$D$56,$F$54-SUM($E64:W64),$F$54/$D$56)</f>
        <v>0</v>
      </c>
      <c r="Y64" s="89">
        <f>IF(Y$59-$C64&gt;$D$56,$F$54-SUM($E64:X64),$F$54/$D$56)</f>
        <v>0</v>
      </c>
      <c r="Z64" s="89">
        <f>IF(Z$59-$C64&gt;$D$56,$F$54-SUM($E64:Y64),$F$54/$D$56)</f>
        <v>0</v>
      </c>
      <c r="AA64" s="89">
        <f>IF(AA$59-$C64&gt;$D$56,$F$54-SUM($E64:Z64),$F$54/$D$56)</f>
        <v>0</v>
      </c>
      <c r="AB64" s="89">
        <f>IF(AB$59-$C64&gt;$D$56,$F$54-SUM($E64:AA64),$F$54/$D$56)</f>
        <v>0</v>
      </c>
      <c r="AC64" s="89">
        <f>IF(AC$59-$C64&gt;$D$56,$F$54-SUM($E64:AB64),$F$54/$D$56)</f>
        <v>0</v>
      </c>
      <c r="AD64" s="89">
        <f>IF(AD$59-$C64&gt;$D$56,$F$54-SUM($E64:AC64),$F$54/$D$56)</f>
        <v>0</v>
      </c>
      <c r="AE64" s="89">
        <f>IF(AE$59-$C64&gt;$D$56,$F$54-SUM($E64:AD64),$F$54/$D$56)</f>
        <v>0</v>
      </c>
      <c r="AF64" s="89">
        <f>IF(AF$59-$C64&gt;$D$56,$F$54-SUM($E64:AE64),$F$54/$D$56)</f>
        <v>0</v>
      </c>
      <c r="AG64" s="89">
        <f>IF(AG$59-$C64&gt;$D$56,$F$54-SUM($E64:AF64),$F$54/$D$56)</f>
        <v>0</v>
      </c>
      <c r="AH64" s="89">
        <f>IF(AH$59-$C64&gt;$D$56,$F$54-SUM($E64:AG64),$F$54/$D$56)</f>
        <v>0</v>
      </c>
      <c r="AI64" s="89">
        <f>IF(AI$59-$C64&gt;$D$56,$F$54-SUM($E64:AH64),$F$54/$D$56)</f>
        <v>0</v>
      </c>
      <c r="AJ64" s="89">
        <f>IF(AJ$59-$C64&gt;$D$56,$F$54-SUM($E64:AI64),$F$54/$D$56)</f>
        <v>0</v>
      </c>
      <c r="AK64" s="89">
        <f>IF(AK$59-$C64&gt;$D$56,$F$54-SUM($E64:AJ64),$F$54/$D$56)</f>
        <v>0</v>
      </c>
      <c r="AL64" s="89">
        <f>IF(AL$59-$C64&gt;$D$56,$F$54-SUM($E64:AK64),$F$54/$D$56)</f>
        <v>0</v>
      </c>
      <c r="AM64" s="89">
        <f>IF(AM$59-$C64&gt;$D$56,$F$54-SUM($E64:AL64),$F$54/$D$56)</f>
        <v>0</v>
      </c>
      <c r="AN64" s="89">
        <f>IF(AN$59-$C64&gt;$D$56,$F$54-SUM($E64:AM64),$F$54/$D$56)</f>
        <v>0</v>
      </c>
      <c r="AO64" s="89">
        <f>IF(AO$59-$C64&gt;$D$56,$F$54-SUM($E64:AN64),$F$54/$D$56)</f>
        <v>0</v>
      </c>
      <c r="AP64" s="89">
        <f>IF(AP$59-$C64&gt;$D$56,$F$54-SUM($E64:AO64),$F$54/$D$56)</f>
        <v>0</v>
      </c>
      <c r="AQ64" s="89">
        <f>IF(AQ$59-$C64&gt;$D$56,$F$54-SUM($E64:AP64),$F$54/$D$56)</f>
        <v>0</v>
      </c>
      <c r="AR64" s="89">
        <f>IF(AR$59-$C64&gt;$D$56,$F$54-SUM($E64:AQ64),$F$54/$D$56)</f>
        <v>0</v>
      </c>
      <c r="AS64" s="89">
        <f>IF(AS$59-$C64&gt;$D$56,$F$54-SUM($E64:AR64),$F$54/$D$56)</f>
        <v>0</v>
      </c>
      <c r="AT64" s="89">
        <f>IF(AT$59-$C64&gt;$D$56,$F$54-SUM($E64:AS64),$F$54/$D$56)</f>
        <v>0</v>
      </c>
      <c r="AU64" s="89">
        <f>IF(AU$59-$C64&gt;$D$56,$F$54-SUM($E64:AT64),$F$54/$D$56)</f>
        <v>0</v>
      </c>
      <c r="AV64" s="89">
        <f>IF(AV$59-$C64&gt;$D$56,$F$54-SUM($E64:AU64),$F$54/$D$56)</f>
        <v>0</v>
      </c>
      <c r="AW64" s="89">
        <f>IF(AW$59-$C64&gt;$D$56,$F$54-SUM($E64:AV64),$F$54/$D$56)</f>
        <v>0</v>
      </c>
      <c r="AX64" s="89">
        <f>IF(AX$59-$C64&gt;$D$56,$F$54-SUM($E64:AW64),$F$54/$D$56)</f>
        <v>0</v>
      </c>
      <c r="AY64" s="89">
        <f>IF(AY$59-$C64&gt;$D$56,$F$54-SUM($E64:AX64),$F$54/$D$56)</f>
        <v>0</v>
      </c>
      <c r="AZ64" s="89">
        <f>IF(AZ$59-$C64&gt;$D$56,$F$54-SUM($E64:AY64),$F$54/$D$56)</f>
        <v>0</v>
      </c>
      <c r="BA64" s="89">
        <f>IF(BA$59-$C64&gt;$D$56,$F$54-SUM($E64:AZ64),$F$54/$D$56)</f>
        <v>0</v>
      </c>
      <c r="BB64" s="89">
        <f>IF(BB$59-$C64&gt;$D$56,$F$54-SUM($E64:BA64),$F$54/$D$56)</f>
        <v>0</v>
      </c>
      <c r="BC64" s="89">
        <f>IF(BC$59-$C64&gt;$D$56,$F$54-SUM($E64:BB64),$F$54/$D$56)</f>
        <v>0</v>
      </c>
      <c r="BD64" s="89">
        <f>IF(BD$59-$C64&gt;$D$56,$F$54-SUM($E64:BC64),$F$54/$D$56)</f>
        <v>0</v>
      </c>
      <c r="BE64" s="89">
        <f>IF(BE$59-$C64&gt;$D$56,$F$54-SUM($E64:BD64),$F$54/$D$56)</f>
        <v>0</v>
      </c>
      <c r="BF64" s="89">
        <f>IF(BF$59-$C64&gt;$D$56,$F$54-SUM($E64:BE64),$F$54/$D$56)</f>
        <v>0</v>
      </c>
      <c r="BG64" s="89">
        <f>IF(BG$59-$C64&gt;$D$56,$F$54-SUM($E64:BF64),$F$54/$D$56)</f>
        <v>0</v>
      </c>
      <c r="BH64" s="89">
        <f>IF(BH$59-$C64&gt;$D$56,$F$54-SUM($E64:BG64),$F$54/$D$56)</f>
        <v>0</v>
      </c>
      <c r="BI64" s="89">
        <f>IF(BI$59-$C64&gt;$D$56,$F$54-SUM($E64:BH64),$F$54/$D$56)</f>
        <v>0</v>
      </c>
      <c r="BJ64" s="89">
        <f>IF(BJ$59-$C64&gt;$D$56,$F$54-SUM($E64:BI64),$F$54/$D$56)</f>
        <v>0</v>
      </c>
      <c r="BK64" s="89">
        <f>IF(BK$59-$C64&gt;$D$56,$F$54-SUM($E64:BJ64),$F$54/$D$56)</f>
        <v>0</v>
      </c>
      <c r="BL64" s="89">
        <f>IF(BL$59-$C64&gt;$D$56,$F$54-SUM($E64:BK64),$F$54/$D$56)</f>
        <v>0</v>
      </c>
      <c r="BM64" s="89">
        <f>IF(BM$59-$C64&gt;$D$56,$F$54-SUM($E64:BL64),$F$54/$D$56)</f>
        <v>0</v>
      </c>
      <c r="BN64" s="89">
        <f>IF(BN$59-$C64&gt;$D$56,$F$54-SUM($E64:BM64),$F$54/$D$56)</f>
        <v>0</v>
      </c>
      <c r="BO64" s="89">
        <f>IF(BO$59-$C64&gt;$D$56,$F$54-SUM($E64:BN64),$F$54/$D$56)</f>
        <v>0</v>
      </c>
      <c r="BP64" s="89">
        <f>IF(BP$59-$C64&gt;$D$56,$F$54-SUM($E64:BO64),$F$54/$D$56)</f>
        <v>0</v>
      </c>
      <c r="BR64" s="88">
        <f t="shared" si="6"/>
        <v>0</v>
      </c>
      <c r="BS64" s="83" t="b">
        <f>BR64=F54</f>
        <v>1</v>
      </c>
    </row>
    <row r="65" spans="2:71" ht="14.4" x14ac:dyDescent="0.3">
      <c r="B65" s="83" t="s">
        <v>163</v>
      </c>
      <c r="C65" s="83">
        <v>4</v>
      </c>
      <c r="H65" s="89">
        <f>IF(H$59-$C65&gt;$D$56,$G$54-SUM($E65:G65),$G$54/$D$56)</f>
        <v>5.4026483171580644</v>
      </c>
      <c r="I65" s="89">
        <f>IF(I$59-$C65&gt;$D$56,$G$54-SUM($E65:H65),$G$54/$D$56)</f>
        <v>5.4026483171580644</v>
      </c>
      <c r="J65" s="98">
        <f>IF(J$59-$C65&gt;$D$56,$G$54-SUM($E65:I65),$G$54/$D$56)</f>
        <v>5.4026483171580644</v>
      </c>
      <c r="K65" s="89">
        <f>IF(K$59-$C65&gt;$D$56,$G$54-SUM($E65:J65),$G$54/$D$56)</f>
        <v>5.4026483171580644</v>
      </c>
      <c r="L65" s="89">
        <f>IF(L$59-$C65&gt;$D$56,$G$54-SUM($E65:K65),$G$54/$D$56)</f>
        <v>5.4026483171580644</v>
      </c>
      <c r="M65" s="89">
        <f>IF(M$59-$C65&gt;$D$56,$G$54-SUM($E65:L65),$G$54/$D$56)</f>
        <v>5.4026483171580644</v>
      </c>
      <c r="N65" s="89">
        <f>IF(N$59-$C65&gt;$D$56,$G$54-SUM($E65:M65),$G$54/$D$56)</f>
        <v>5.4026483171580644</v>
      </c>
      <c r="O65" s="89">
        <f>IF(O$59-$C65&gt;$D$56,$G$54-SUM($E65:N65),$G$54/$D$56)</f>
        <v>5.4026483171580644</v>
      </c>
      <c r="P65" s="89">
        <f>IF(P$59-$C65&gt;$D$56,$G$54-SUM($E65:O65),$G$54/$D$56)</f>
        <v>5.4026483171580644</v>
      </c>
      <c r="Q65" s="89">
        <f>IF(Q$59-$C65&gt;$D$56,$G$54-SUM($E65:P65),$G$54/$D$56)</f>
        <v>5.4026483171580644</v>
      </c>
      <c r="R65" s="89">
        <f>IF(R$59-$C65&gt;$D$56,$G$54-SUM($E65:Q65),$G$54/$D$56)</f>
        <v>-7.1054273576010019E-15</v>
      </c>
      <c r="S65" s="89">
        <f>IF(S$59-$C65&gt;$D$56,$G$54-SUM($E65:R65),$G$54/$D$56)</f>
        <v>0</v>
      </c>
      <c r="T65" s="89">
        <f>IF(T$59-$C65&gt;$D$56,$G$54-SUM($E65:S65),$G$54/$D$56)</f>
        <v>0</v>
      </c>
      <c r="U65" s="89">
        <f>IF(U$59-$C65&gt;$D$56,$G$54-SUM($E65:T65),$G$54/$D$56)</f>
        <v>0</v>
      </c>
      <c r="V65" s="89">
        <f>IF(V$59-$C65&gt;$D$56,$G$54-SUM($E65:U65),$G$54/$D$56)</f>
        <v>0</v>
      </c>
      <c r="W65" s="89">
        <f>IF(W$59-$C65&gt;$D$56,$G$54-SUM($E65:V65),$G$54/$D$56)</f>
        <v>0</v>
      </c>
      <c r="X65" s="89">
        <f>IF(X$59-$C65&gt;$D$56,$G$54-SUM($E65:W65),$G$54/$D$56)</f>
        <v>0</v>
      </c>
      <c r="Y65" s="89">
        <f>IF(Y$59-$C65&gt;$D$56,$G$54-SUM($E65:X65),$G$54/$D$56)</f>
        <v>0</v>
      </c>
      <c r="Z65" s="89">
        <f>IF(Z$59-$C65&gt;$D$56,$G$54-SUM($E65:Y65),$G$54/$D$56)</f>
        <v>0</v>
      </c>
      <c r="AA65" s="89">
        <f>IF(AA$59-$C65&gt;$D$56,$G$54-SUM($E65:Z65),$G$54/$D$56)</f>
        <v>0</v>
      </c>
      <c r="AB65" s="89">
        <f>IF(AB$59-$C65&gt;$D$56,$G$54-SUM($E65:AA65),$G$54/$D$56)</f>
        <v>0</v>
      </c>
      <c r="AC65" s="89">
        <f>IF(AC$59-$C65&gt;$D$56,$G$54-SUM($E65:AB65),$G$54/$D$56)</f>
        <v>0</v>
      </c>
      <c r="AD65" s="89">
        <f>IF(AD$59-$C65&gt;$D$56,$G$54-SUM($E65:AC65),$G$54/$D$56)</f>
        <v>0</v>
      </c>
      <c r="AE65" s="89">
        <f>IF(AE$59-$C65&gt;$D$56,$G$54-SUM($E65:AD65),$G$54/$D$56)</f>
        <v>0</v>
      </c>
      <c r="AF65" s="89">
        <f>IF(AF$59-$C65&gt;$D$56,$G$54-SUM($E65:AE65),$G$54/$D$56)</f>
        <v>0</v>
      </c>
      <c r="AG65" s="89">
        <f>IF(AG$59-$C65&gt;$D$56,$G$54-SUM($E65:AF65),$G$54/$D$56)</f>
        <v>0</v>
      </c>
      <c r="AH65" s="89">
        <f>IF(AH$59-$C65&gt;$D$56,$G$54-SUM($E65:AG65),$G$54/$D$56)</f>
        <v>0</v>
      </c>
      <c r="AI65" s="89">
        <f>IF(AI$59-$C65&gt;$D$56,$G$54-SUM($E65:AH65),$G$54/$D$56)</f>
        <v>0</v>
      </c>
      <c r="AJ65" s="89">
        <f>IF(AJ$59-$C65&gt;$D$56,$G$54-SUM($E65:AI65),$G$54/$D$56)</f>
        <v>0</v>
      </c>
      <c r="AK65" s="89">
        <f>IF(AK$59-$C65&gt;$D$56,$G$54-SUM($E65:AJ65),$G$54/$D$56)</f>
        <v>0</v>
      </c>
      <c r="AL65" s="89">
        <f>IF(AL$59-$C65&gt;$D$56,$G$54-SUM($E65:AK65),$G$54/$D$56)</f>
        <v>0</v>
      </c>
      <c r="AM65" s="89">
        <f>IF(AM$59-$C65&gt;$D$56,$G$54-SUM($E65:AL65),$G$54/$D$56)</f>
        <v>0</v>
      </c>
      <c r="AN65" s="89">
        <f>IF(AN$59-$C65&gt;$D$56,$G$54-SUM($E65:AM65),$G$54/$D$56)</f>
        <v>0</v>
      </c>
      <c r="AO65" s="89">
        <f>IF(AO$59-$C65&gt;$D$56,$G$54-SUM($E65:AN65),$G$54/$D$56)</f>
        <v>0</v>
      </c>
      <c r="AP65" s="89">
        <f>IF(AP$59-$C65&gt;$D$56,$G$54-SUM($E65:AO65),$G$54/$D$56)</f>
        <v>0</v>
      </c>
      <c r="AQ65" s="89">
        <f>IF(AQ$59-$C65&gt;$D$56,$G$54-SUM($E65:AP65),$G$54/$D$56)</f>
        <v>0</v>
      </c>
      <c r="AR65" s="89">
        <f>IF(AR$59-$C65&gt;$D$56,$G$54-SUM($E65:AQ65),$G$54/$D$56)</f>
        <v>0</v>
      </c>
      <c r="AS65" s="89">
        <f>IF(AS$59-$C65&gt;$D$56,$G$54-SUM($E65:AR65),$G$54/$D$56)</f>
        <v>0</v>
      </c>
      <c r="AT65" s="89">
        <f>IF(AT$59-$C65&gt;$D$56,$G$54-SUM($E65:AS65),$G$54/$D$56)</f>
        <v>0</v>
      </c>
      <c r="AU65" s="89">
        <f>IF(AU$59-$C65&gt;$D$56,$G$54-SUM($E65:AT65),$G$54/$D$56)</f>
        <v>0</v>
      </c>
      <c r="AV65" s="89">
        <f>IF(AV$59-$C65&gt;$D$56,$G$54-SUM($E65:AU65),$G$54/$D$56)</f>
        <v>0</v>
      </c>
      <c r="AW65" s="89">
        <f>IF(AW$59-$C65&gt;$D$56,$G$54-SUM($E65:AV65),$G$54/$D$56)</f>
        <v>0</v>
      </c>
      <c r="AX65" s="89">
        <f>IF(AX$59-$C65&gt;$D$56,$G$54-SUM($E65:AW65),$G$54/$D$56)</f>
        <v>0</v>
      </c>
      <c r="AY65" s="89">
        <f>IF(AY$59-$C65&gt;$D$56,$G$54-SUM($E65:AX65),$G$54/$D$56)</f>
        <v>0</v>
      </c>
      <c r="AZ65" s="89">
        <f>IF(AZ$59-$C65&gt;$D$56,$G$54-SUM($E65:AY65),$G$54/$D$56)</f>
        <v>0</v>
      </c>
      <c r="BA65" s="89">
        <f>IF(BA$59-$C65&gt;$D$56,$G$54-SUM($E65:AZ65),$G$54/$D$56)</f>
        <v>0</v>
      </c>
      <c r="BB65" s="89">
        <f>IF(BB$59-$C65&gt;$D$56,$G$54-SUM($E65:BA65),$G$54/$D$56)</f>
        <v>0</v>
      </c>
      <c r="BC65" s="89">
        <f>IF(BC$59-$C65&gt;$D$56,$G$54-SUM($E65:BB65),$G$54/$D$56)</f>
        <v>0</v>
      </c>
      <c r="BD65" s="89">
        <f>IF(BD$59-$C65&gt;$D$56,$G$54-SUM($E65:BC65),$G$54/$D$56)</f>
        <v>0</v>
      </c>
      <c r="BE65" s="89">
        <f>IF(BE$59-$C65&gt;$D$56,$G$54-SUM($E65:BD65),$G$54/$D$56)</f>
        <v>0</v>
      </c>
      <c r="BF65" s="89">
        <f>IF(BF$59-$C65&gt;$D$56,$G$54-SUM($E65:BE65),$G$54/$D$56)</f>
        <v>0</v>
      </c>
      <c r="BG65" s="89">
        <f>IF(BG$59-$C65&gt;$D$56,$G$54-SUM($E65:BF65),$G$54/$D$56)</f>
        <v>0</v>
      </c>
      <c r="BH65" s="89">
        <f>IF(BH$59-$C65&gt;$D$56,$G$54-SUM($E65:BG65),$G$54/$D$56)</f>
        <v>0</v>
      </c>
      <c r="BI65" s="89">
        <f>IF(BI$59-$C65&gt;$D$56,$G$54-SUM($E65:BH65),$G$54/$D$56)</f>
        <v>0</v>
      </c>
      <c r="BJ65" s="89">
        <f>IF(BJ$59-$C65&gt;$D$56,$G$54-SUM($E65:BI65),$G$54/$D$56)</f>
        <v>0</v>
      </c>
      <c r="BK65" s="89">
        <f>IF(BK$59-$C65&gt;$D$56,$G$54-SUM($E65:BJ65),$G$54/$D$56)</f>
        <v>0</v>
      </c>
      <c r="BL65" s="89">
        <f>IF(BL$59-$C65&gt;$D$56,$G$54-SUM($E65:BK65),$G$54/$D$56)</f>
        <v>0</v>
      </c>
      <c r="BM65" s="89">
        <f>IF(BM$59-$C65&gt;$D$56,$G$54-SUM($E65:BL65),$G$54/$D$56)</f>
        <v>0</v>
      </c>
      <c r="BN65" s="89">
        <f>IF(BN$59-$C65&gt;$D$56,$G$54-SUM($E65:BM65),$G$54/$D$56)</f>
        <v>0</v>
      </c>
      <c r="BO65" s="89">
        <f>IF(BO$59-$C65&gt;$D$56,$G$54-SUM($E65:BN65),$G$54/$D$56)</f>
        <v>0</v>
      </c>
      <c r="BP65" s="89">
        <f>IF(BP$59-$C65&gt;$D$56,$G$54-SUM($E65:BO65),$G$54/$D$56)</f>
        <v>0</v>
      </c>
      <c r="BR65" s="88">
        <f t="shared" si="6"/>
        <v>54.026483171580644</v>
      </c>
      <c r="BS65" s="83" t="b">
        <f>BR65=G54</f>
        <v>1</v>
      </c>
    </row>
    <row r="66" spans="2:71" ht="14.4" x14ac:dyDescent="0.3">
      <c r="B66" s="83" t="s">
        <v>164</v>
      </c>
      <c r="C66" s="83">
        <v>5</v>
      </c>
      <c r="I66" s="89">
        <f>IF(I$59-$C66&gt;$D$56,$H$54-SUM($E66:H66),$H$54/$D$56)</f>
        <v>273.77438997938708</v>
      </c>
      <c r="J66" s="98">
        <f>IF(J$59-$C66&gt;$D$56,$H$54-SUM($E66:I66),$H$54/$D$56)</f>
        <v>273.77438997938708</v>
      </c>
      <c r="K66" s="89">
        <f>IF(K$59-$C66&gt;$D$56,$H$54-SUM($E66:J66),$H$54/$D$56)</f>
        <v>273.77438997938708</v>
      </c>
      <c r="L66" s="89">
        <f>IF(L$59-$C66&gt;$D$56,$H$54-SUM($E66:K66),$H$54/$D$56)</f>
        <v>273.77438997938708</v>
      </c>
      <c r="M66" s="89">
        <f>IF(M$59-$C66&gt;$D$56,$H$54-SUM($E66:L66),$H$54/$D$56)</f>
        <v>273.77438997938708</v>
      </c>
      <c r="N66" s="89">
        <f>IF(N$59-$C66&gt;$D$56,$H$54-SUM($E66:M66),$H$54/$D$56)</f>
        <v>273.77438997938708</v>
      </c>
      <c r="O66" s="89">
        <f>IF(O$59-$C66&gt;$D$56,$H$54-SUM($E66:N66),$H$54/$D$56)</f>
        <v>273.77438997938708</v>
      </c>
      <c r="P66" s="89">
        <f>IF(P$59-$C66&gt;$D$56,$H$54-SUM($E66:O66),$H$54/$D$56)</f>
        <v>273.77438997938708</v>
      </c>
      <c r="Q66" s="89">
        <f>IF(Q$59-$C66&gt;$D$56,$H$54-SUM($E66:P66),$H$54/$D$56)</f>
        <v>273.77438997938708</v>
      </c>
      <c r="R66" s="89">
        <f>IF(R$59-$C66&gt;$D$56,$H$54-SUM($E66:Q66),$H$54/$D$56)</f>
        <v>273.77438997938708</v>
      </c>
      <c r="S66" s="89">
        <f>IF(S$59-$C66&gt;$D$56,$H$54-SUM($E66:R66),$H$54/$D$56)</f>
        <v>-4.5474735088646412E-13</v>
      </c>
      <c r="T66" s="89">
        <f>IF(T$59-$C66&gt;$D$56,$H$54-SUM($E66:S66),$H$54/$D$56)</f>
        <v>0</v>
      </c>
      <c r="U66" s="89">
        <f>IF(U$59-$C66&gt;$D$56,$H$54-SUM($E66:T66),$H$54/$D$56)</f>
        <v>0</v>
      </c>
      <c r="V66" s="89">
        <f>IF(V$59-$C66&gt;$D$56,$H$54-SUM($E66:U66),$H$54/$D$56)</f>
        <v>0</v>
      </c>
      <c r="W66" s="89">
        <f>IF(W$59-$C66&gt;$D$56,$H$54-SUM($E66:V66),$H$54/$D$56)</f>
        <v>0</v>
      </c>
      <c r="X66" s="89">
        <f>IF(X$59-$C66&gt;$D$56,$H$54-SUM($E66:W66),$H$54/$D$56)</f>
        <v>0</v>
      </c>
      <c r="Y66" s="89">
        <f>IF(Y$59-$C66&gt;$D$56,$H$54-SUM($E66:X66),$H$54/$D$56)</f>
        <v>0</v>
      </c>
      <c r="Z66" s="89">
        <f>IF(Z$59-$C66&gt;$D$56,$H$54-SUM($E66:Y66),$H$54/$D$56)</f>
        <v>0</v>
      </c>
      <c r="AA66" s="89">
        <f>IF(AA$59-$C66&gt;$D$56,$H$54-SUM($E66:Z66),$H$54/$D$56)</f>
        <v>0</v>
      </c>
      <c r="AB66" s="89">
        <f>IF(AB$59-$C66&gt;$D$56,$H$54-SUM($E66:AA66),$H$54/$D$56)</f>
        <v>0</v>
      </c>
      <c r="AC66" s="89">
        <f>IF(AC$59-$C66&gt;$D$56,$H$54-SUM($E66:AB66),$H$54/$D$56)</f>
        <v>0</v>
      </c>
      <c r="AD66" s="89">
        <f>IF(AD$59-$C66&gt;$D$56,$H$54-SUM($E66:AC66),$H$54/$D$56)</f>
        <v>0</v>
      </c>
      <c r="AE66" s="89">
        <f>IF(AE$59-$C66&gt;$D$56,$H$54-SUM($E66:AD66),$H$54/$D$56)</f>
        <v>0</v>
      </c>
      <c r="AF66" s="89">
        <f>IF(AF$59-$C66&gt;$D$56,$H$54-SUM($E66:AE66),$H$54/$D$56)</f>
        <v>0</v>
      </c>
      <c r="AG66" s="89">
        <f>IF(AG$59-$C66&gt;$D$56,$H$54-SUM($E66:AF66),$H$54/$D$56)</f>
        <v>0</v>
      </c>
      <c r="AH66" s="89">
        <f>IF(AH$59-$C66&gt;$D$56,$H$54-SUM($E66:AG66),$H$54/$D$56)</f>
        <v>0</v>
      </c>
      <c r="AI66" s="89">
        <f>IF(AI$59-$C66&gt;$D$56,$H$54-SUM($E66:AH66),$H$54/$D$56)</f>
        <v>0</v>
      </c>
      <c r="AJ66" s="89">
        <f>IF(AJ$59-$C66&gt;$D$56,$H$54-SUM($E66:AI66),$H$54/$D$56)</f>
        <v>0</v>
      </c>
      <c r="AK66" s="89">
        <f>IF(AK$59-$C66&gt;$D$56,$H$54-SUM($E66:AJ66),$H$54/$D$56)</f>
        <v>0</v>
      </c>
      <c r="AL66" s="89">
        <f>IF(AL$59-$C66&gt;$D$56,$H$54-SUM($E66:AK66),$H$54/$D$56)</f>
        <v>0</v>
      </c>
      <c r="AM66" s="89">
        <f>IF(AM$59-$C66&gt;$D$56,$H$54-SUM($E66:AL66),$H$54/$D$56)</f>
        <v>0</v>
      </c>
      <c r="AN66" s="89">
        <f>IF(AN$59-$C66&gt;$D$56,$H$54-SUM($E66:AM66),$H$54/$D$56)</f>
        <v>0</v>
      </c>
      <c r="AO66" s="89">
        <f>IF(AO$59-$C66&gt;$D$56,$H$54-SUM($E66:AN66),$H$54/$D$56)</f>
        <v>0</v>
      </c>
      <c r="AP66" s="89">
        <f>IF(AP$59-$C66&gt;$D$56,$H$54-SUM($E66:AO66),$H$54/$D$56)</f>
        <v>0</v>
      </c>
      <c r="AQ66" s="89">
        <f>IF(AQ$59-$C66&gt;$D$56,$H$54-SUM($E66:AP66),$H$54/$D$56)</f>
        <v>0</v>
      </c>
      <c r="AR66" s="89">
        <f>IF(AR$59-$C66&gt;$D$56,$H$54-SUM($E66:AQ66),$H$54/$D$56)</f>
        <v>0</v>
      </c>
      <c r="AS66" s="89">
        <f>IF(AS$59-$C66&gt;$D$56,$H$54-SUM($E66:AR66),$H$54/$D$56)</f>
        <v>0</v>
      </c>
      <c r="AT66" s="89">
        <f>IF(AT$59-$C66&gt;$D$56,$H$54-SUM($E66:AS66),$H$54/$D$56)</f>
        <v>0</v>
      </c>
      <c r="AU66" s="89">
        <f>IF(AU$59-$C66&gt;$D$56,$H$54-SUM($E66:AT66),$H$54/$D$56)</f>
        <v>0</v>
      </c>
      <c r="AV66" s="89">
        <f>IF(AV$59-$C66&gt;$D$56,$H$54-SUM($E66:AU66),$H$54/$D$56)</f>
        <v>0</v>
      </c>
      <c r="AW66" s="89">
        <f>IF(AW$59-$C66&gt;$D$56,$H$54-SUM($E66:AV66),$H$54/$D$56)</f>
        <v>0</v>
      </c>
      <c r="AX66" s="89">
        <f>IF(AX$59-$C66&gt;$D$56,$H$54-SUM($E66:AW66),$H$54/$D$56)</f>
        <v>0</v>
      </c>
      <c r="AY66" s="89">
        <f>IF(AY$59-$C66&gt;$D$56,$H$54-SUM($E66:AX66),$H$54/$D$56)</f>
        <v>0</v>
      </c>
      <c r="AZ66" s="89">
        <f>IF(AZ$59-$C66&gt;$D$56,$H$54-SUM($E66:AY66),$H$54/$D$56)</f>
        <v>0</v>
      </c>
      <c r="BA66" s="89">
        <f>IF(BA$59-$C66&gt;$D$56,$H$54-SUM($E66:AZ66),$H$54/$D$56)</f>
        <v>0</v>
      </c>
      <c r="BB66" s="89">
        <f>IF(BB$59-$C66&gt;$D$56,$H$54-SUM($E66:BA66),$H$54/$D$56)</f>
        <v>0</v>
      </c>
      <c r="BC66" s="89">
        <f>IF(BC$59-$C66&gt;$D$56,$H$54-SUM($E66:BB66),$H$54/$D$56)</f>
        <v>0</v>
      </c>
      <c r="BD66" s="89">
        <f>IF(BD$59-$C66&gt;$D$56,$H$54-SUM($E66:BC66),$H$54/$D$56)</f>
        <v>0</v>
      </c>
      <c r="BE66" s="89">
        <f>IF(BE$59-$C66&gt;$D$56,$H$54-SUM($E66:BD66),$H$54/$D$56)</f>
        <v>0</v>
      </c>
      <c r="BF66" s="89">
        <f>IF(BF$59-$C66&gt;$D$56,$H$54-SUM($E66:BE66),$H$54/$D$56)</f>
        <v>0</v>
      </c>
      <c r="BG66" s="89">
        <f>IF(BG$59-$C66&gt;$D$56,$H$54-SUM($E66:BF66),$H$54/$D$56)</f>
        <v>0</v>
      </c>
      <c r="BH66" s="89">
        <f>IF(BH$59-$C66&gt;$D$56,$H$54-SUM($E66:BG66),$H$54/$D$56)</f>
        <v>0</v>
      </c>
      <c r="BI66" s="89">
        <f>IF(BI$59-$C66&gt;$D$56,$H$54-SUM($E66:BH66),$H$54/$D$56)</f>
        <v>0</v>
      </c>
      <c r="BJ66" s="89">
        <f>IF(BJ$59-$C66&gt;$D$56,$H$54-SUM($E66:BI66),$H$54/$D$56)</f>
        <v>0</v>
      </c>
      <c r="BK66" s="89">
        <f>IF(BK$59-$C66&gt;$D$56,$H$54-SUM($E66:BJ66),$H$54/$D$56)</f>
        <v>0</v>
      </c>
      <c r="BL66" s="89">
        <f>IF(BL$59-$C66&gt;$D$56,$H$54-SUM($E66:BK66),$H$54/$D$56)</f>
        <v>0</v>
      </c>
      <c r="BM66" s="89">
        <f>IF(BM$59-$C66&gt;$D$56,$H$54-SUM($E66:BL66),$H$54/$D$56)</f>
        <v>0</v>
      </c>
      <c r="BN66" s="89">
        <f>IF(BN$59-$C66&gt;$D$56,$H$54-SUM($E66:BM66),$H$54/$D$56)</f>
        <v>0</v>
      </c>
      <c r="BO66" s="89">
        <f>IF(BO$59-$C66&gt;$D$56,$H$54-SUM($E66:BN66),$H$54/$D$56)</f>
        <v>0</v>
      </c>
      <c r="BP66" s="89">
        <f>IF(BP$59-$C66&gt;$D$56,$H$54-SUM($E66:BO66),$H$54/$D$56)</f>
        <v>0</v>
      </c>
      <c r="BQ66" s="89">
        <f>IF(BQ$59-$C66&gt;$D$56,$H$54-SUM($E66:BP66),$H$54/$D$56)</f>
        <v>0</v>
      </c>
      <c r="BR66" s="88">
        <f t="shared" si="6"/>
        <v>2737.7438997938707</v>
      </c>
      <c r="BS66" s="89" t="b">
        <f>BR66=H54</f>
        <v>1</v>
      </c>
    </row>
    <row r="67" spans="2:71" ht="14.4" x14ac:dyDescent="0.3">
      <c r="B67" s="83" t="s">
        <v>165</v>
      </c>
      <c r="C67" s="83">
        <v>6</v>
      </c>
      <c r="J67" s="98">
        <f>IF(J$59-$C67&gt;$D$56,$I$54-SUM($E67:I67),$I$54/$D$56)</f>
        <v>135.27592209192295</v>
      </c>
      <c r="K67" s="89">
        <f>IF(K$59-$C67&gt;$D$56,$I$54-SUM($E67:J67),$I$54/$D$56)</f>
        <v>135.27592209192295</v>
      </c>
      <c r="L67" s="89">
        <f>IF(L$59-$C67&gt;$D$56,$I$54-SUM($E67:K67),$I$54/$D$56)</f>
        <v>135.27592209192295</v>
      </c>
      <c r="M67" s="89">
        <f>IF(M$59-$C67&gt;$D$56,$I$54-SUM($E67:L67),$I$54/$D$56)</f>
        <v>135.27592209192295</v>
      </c>
      <c r="N67" s="89">
        <f>IF(N$59-$C67&gt;$D$56,$I$54-SUM($E67:M67),$I$54/$D$56)</f>
        <v>135.27592209192295</v>
      </c>
      <c r="O67" s="89">
        <f>IF(O$59-$C67&gt;$D$56,$I$54-SUM($E67:N67),$I$54/$D$56)</f>
        <v>135.27592209192295</v>
      </c>
      <c r="P67" s="89">
        <f>IF(P$59-$C67&gt;$D$56,$I$54-SUM($E67:O67),$I$54/$D$56)</f>
        <v>135.27592209192295</v>
      </c>
      <c r="Q67" s="89">
        <f>IF(Q$59-$C67&gt;$D$56,$I$54-SUM($E67:P67),$I$54/$D$56)</f>
        <v>135.27592209192295</v>
      </c>
      <c r="R67" s="89">
        <f>IF(R$59-$C67&gt;$D$56,$I$54-SUM($E67:Q67),$I$54/$D$56)</f>
        <v>135.27592209192295</v>
      </c>
      <c r="S67" s="89">
        <f>IF(S$59-$C67&gt;$D$56,$I$54-SUM($E67:R67),$I$54/$D$56)</f>
        <v>135.27592209192295</v>
      </c>
      <c r="T67" s="89">
        <f>IF(T$59-$C67&gt;$D$56,$I$54-SUM($E67:S67),$I$54/$D$56)</f>
        <v>2.2737367544323206E-13</v>
      </c>
      <c r="U67" s="89">
        <f>IF(U$59-$C67&gt;$D$56,$I$54-SUM($E67:T67),$I$54/$D$56)</f>
        <v>0</v>
      </c>
      <c r="V67" s="89">
        <f>IF(V$59-$C67&gt;$D$56,$I$54-SUM($E67:U67),$I$54/$D$56)</f>
        <v>0</v>
      </c>
      <c r="W67" s="89">
        <f>IF(W$59-$C67&gt;$D$56,$I$54-SUM($E67:V67),$I$54/$D$56)</f>
        <v>0</v>
      </c>
      <c r="X67" s="89">
        <f>IF(X$59-$C67&gt;$D$56,$I$54-SUM($E67:W67),$I$54/$D$56)</f>
        <v>0</v>
      </c>
      <c r="Y67" s="89">
        <f>IF(Y$59-$C67&gt;$D$56,$I$54-SUM($E67:X67),$I$54/$D$56)</f>
        <v>0</v>
      </c>
      <c r="Z67" s="89">
        <f>IF(Z$59-$C67&gt;$D$56,$I$54-SUM($E67:Y67),$I$54/$D$56)</f>
        <v>0</v>
      </c>
      <c r="AA67" s="89">
        <f>IF(AA$59-$C67&gt;$D$56,$I$54-SUM($E67:Z67),$I$54/$D$56)</f>
        <v>0</v>
      </c>
      <c r="AB67" s="89">
        <f>IF(AB$59-$C67&gt;$D$56,$I$54-SUM($E67:AA67),$I$54/$D$56)</f>
        <v>0</v>
      </c>
      <c r="AC67" s="89">
        <f>IF(AC$59-$C67&gt;$D$56,$I$54-SUM($E67:AB67),$I$54/$D$56)</f>
        <v>0</v>
      </c>
      <c r="AD67" s="89">
        <f>IF(AD$59-$C67&gt;$D$56,$I$54-SUM($E67:AC67),$I$54/$D$56)</f>
        <v>0</v>
      </c>
      <c r="AE67" s="89">
        <f>IF(AE$59-$C67&gt;$D$56,$I$54-SUM($E67:AD67),$I$54/$D$56)</f>
        <v>0</v>
      </c>
      <c r="AF67" s="89">
        <f>IF(AF$59-$C67&gt;$D$56,$I$54-SUM($E67:AE67),$I$54/$D$56)</f>
        <v>0</v>
      </c>
      <c r="AG67" s="89">
        <f>IF(AG$59-$C67&gt;$D$56,$I$54-SUM($E67:AF67),$I$54/$D$56)</f>
        <v>0</v>
      </c>
      <c r="AH67" s="89">
        <f>IF(AH$59-$C67&gt;$D$56,$I$54-SUM($E67:AG67),$I$54/$D$56)</f>
        <v>0</v>
      </c>
      <c r="AI67" s="89">
        <f>IF(AI$59-$C67&gt;$D$56,$I$54-SUM($E67:AH67),$I$54/$D$56)</f>
        <v>0</v>
      </c>
      <c r="AJ67" s="89">
        <f>IF(AJ$59-$C67&gt;$D$56,$I$54-SUM($E67:AI67),$I$54/$D$56)</f>
        <v>0</v>
      </c>
      <c r="AK67" s="89">
        <f>IF(AK$59-$C67&gt;$D$56,$I$54-SUM($E67:AJ67),$I$54/$D$56)</f>
        <v>0</v>
      </c>
      <c r="AL67" s="89">
        <f>IF(AL$59-$C67&gt;$D$56,$I$54-SUM($E67:AK67),$I$54/$D$56)</f>
        <v>0</v>
      </c>
      <c r="AM67" s="89">
        <f>IF(AM$59-$C67&gt;$D$56,$I$54-SUM($E67:AL67),$I$54/$D$56)</f>
        <v>0</v>
      </c>
      <c r="AN67" s="89">
        <f>IF(AN$59-$C67&gt;$D$56,$I$54-SUM($E67:AM67),$I$54/$D$56)</f>
        <v>0</v>
      </c>
      <c r="AO67" s="89">
        <f>IF(AO$59-$C67&gt;$D$56,$I$54-SUM($E67:AN67),$I$54/$D$56)</f>
        <v>0</v>
      </c>
      <c r="AP67" s="89">
        <f>IF(AP$59-$C67&gt;$D$56,$I$54-SUM($E67:AO67),$I$54/$D$56)</f>
        <v>0</v>
      </c>
      <c r="AQ67" s="89">
        <f>IF(AQ$59-$C67&gt;$D$56,$I$54-SUM($E67:AP67),$I$54/$D$56)</f>
        <v>0</v>
      </c>
      <c r="AR67" s="89">
        <f>IF(AR$59-$C67&gt;$D$56,$I$54-SUM($E67:AQ67),$I$54/$D$56)</f>
        <v>0</v>
      </c>
      <c r="AS67" s="89">
        <f>IF(AS$59-$C67&gt;$D$56,$I$54-SUM($E67:AR67),$I$54/$D$56)</f>
        <v>0</v>
      </c>
      <c r="AT67" s="89">
        <f>IF(AT$59-$C67&gt;$D$56,$I$54-SUM($E67:AS67),$I$54/$D$56)</f>
        <v>0</v>
      </c>
      <c r="AU67" s="89">
        <f>IF(AU$59-$C67&gt;$D$56,$I$54-SUM($E67:AT67),$I$54/$D$56)</f>
        <v>0</v>
      </c>
      <c r="AV67" s="89">
        <f>IF(AV$59-$C67&gt;$D$56,$I$54-SUM($E67:AU67),$I$54/$D$56)</f>
        <v>0</v>
      </c>
      <c r="AW67" s="89">
        <f>IF(AW$59-$C67&gt;$D$56,$I$54-SUM($E67:AV67),$I$54/$D$56)</f>
        <v>0</v>
      </c>
      <c r="AX67" s="89">
        <f>IF(AX$59-$C67&gt;$D$56,$I$54-SUM($E67:AW67),$I$54/$D$56)</f>
        <v>0</v>
      </c>
      <c r="AY67" s="89">
        <f>IF(AY$59-$C67&gt;$D$56,$I$54-SUM($E67:AX67),$I$54/$D$56)</f>
        <v>0</v>
      </c>
      <c r="AZ67" s="89">
        <f>IF(AZ$59-$C67&gt;$D$56,$I$54-SUM($E67:AY67),$I$54/$D$56)</f>
        <v>0</v>
      </c>
      <c r="BA67" s="89">
        <f>IF(BA$59-$C67&gt;$D$56,$I$54-SUM($E67:AZ67),$I$54/$D$56)</f>
        <v>0</v>
      </c>
      <c r="BB67" s="89">
        <f>IF(BB$59-$C67&gt;$D$56,$I$54-SUM($E67:BA67),$I$54/$D$56)</f>
        <v>0</v>
      </c>
      <c r="BC67" s="89">
        <f>IF(BC$59-$C67&gt;$D$56,$I$54-SUM($E67:BB67),$I$54/$D$56)</f>
        <v>0</v>
      </c>
      <c r="BD67" s="89">
        <f>IF(BD$59-$C67&gt;$D$56,$I$54-SUM($E67:BC67),$I$54/$D$56)</f>
        <v>0</v>
      </c>
      <c r="BE67" s="89">
        <f>IF(BE$59-$C67&gt;$D$56,$I$54-SUM($E67:BD67),$I$54/$D$56)</f>
        <v>0</v>
      </c>
      <c r="BF67" s="89">
        <f>IF(BF$59-$C67&gt;$D$56,$I$54-SUM($E67:BE67),$I$54/$D$56)</f>
        <v>0</v>
      </c>
      <c r="BG67" s="89">
        <f>IF(BG$59-$C67&gt;$D$56,$I$54-SUM($E67:BF67),$I$54/$D$56)</f>
        <v>0</v>
      </c>
      <c r="BH67" s="89">
        <f>IF(BH$59-$C67&gt;$D$56,$I$54-SUM($E67:BG67),$I$54/$D$56)</f>
        <v>0</v>
      </c>
      <c r="BI67" s="89">
        <f>IF(BI$59-$C67&gt;$D$56,$I$54-SUM($E67:BH67),$I$54/$D$56)</f>
        <v>0</v>
      </c>
      <c r="BJ67" s="89">
        <f>IF(BJ$59-$C67&gt;$D$56,$I$54-SUM($E67:BI67),$I$54/$D$56)</f>
        <v>0</v>
      </c>
      <c r="BK67" s="89">
        <f>IF(BK$59-$C67&gt;$D$56,$I$54-SUM($E67:BJ67),$I$54/$D$56)</f>
        <v>0</v>
      </c>
      <c r="BL67" s="89">
        <f>IF(BL$59-$C67&gt;$D$56,$I$54-SUM($E67:BK67),$I$54/$D$56)</f>
        <v>0</v>
      </c>
      <c r="BM67" s="89">
        <f>IF(BM$59-$C67&gt;$D$56,$I$54-SUM($E67:BL67),$I$54/$D$56)</f>
        <v>0</v>
      </c>
      <c r="BN67" s="89">
        <f>IF(BN$59-$C67&gt;$D$56,$I$54-SUM($E67:BM67),$I$54/$D$56)</f>
        <v>0</v>
      </c>
      <c r="BO67" s="89">
        <f>IF(BO$59-$C67&gt;$D$56,$I$54-SUM($E67:BN67),$I$54/$D$56)</f>
        <v>0</v>
      </c>
      <c r="BP67" s="89">
        <f>IF(BP$59-$C67&gt;$D$56,$I$54-SUM($E67:BO67),$I$54/$D$56)</f>
        <v>0</v>
      </c>
      <c r="BQ67" s="89">
        <f>IF(BQ$59-$C67&gt;$D$56,$I$54-SUM($E67:BP67),$I$54/$D$56)</f>
        <v>0</v>
      </c>
      <c r="BR67" s="88">
        <f t="shared" si="6"/>
        <v>1352.7592209192294</v>
      </c>
      <c r="BS67" s="89" t="b">
        <f>BR67=I54</f>
        <v>1</v>
      </c>
    </row>
    <row r="69" spans="2:71" x14ac:dyDescent="0.25">
      <c r="B69" s="83" t="s">
        <v>108</v>
      </c>
    </row>
    <row r="71" spans="2:71" x14ac:dyDescent="0.25">
      <c r="B71" s="82" t="s">
        <v>223</v>
      </c>
      <c r="C71" s="82"/>
      <c r="D71" s="90">
        <f t="shared" ref="D71:AI71" si="7">SUM(D61:D69)</f>
        <v>0</v>
      </c>
      <c r="E71" s="90">
        <f t="shared" si="7"/>
        <v>0</v>
      </c>
      <c r="F71" s="90">
        <f t="shared" si="7"/>
        <v>0</v>
      </c>
      <c r="G71" s="90">
        <f t="shared" si="7"/>
        <v>0</v>
      </c>
      <c r="H71" s="90">
        <f t="shared" si="7"/>
        <v>5.4026483171580644</v>
      </c>
      <c r="I71" s="90">
        <f t="shared" si="7"/>
        <v>279.17703829654516</v>
      </c>
      <c r="J71" s="90">
        <f t="shared" si="7"/>
        <v>414.45296038846811</v>
      </c>
      <c r="K71" s="90">
        <f t="shared" si="7"/>
        <v>414.45296038846811</v>
      </c>
      <c r="L71" s="90">
        <f t="shared" si="7"/>
        <v>414.45296038846811</v>
      </c>
      <c r="M71" s="90">
        <f t="shared" si="7"/>
        <v>414.45296038846811</v>
      </c>
      <c r="N71" s="90">
        <f t="shared" si="7"/>
        <v>414.45296038846811</v>
      </c>
      <c r="O71" s="90">
        <f t="shared" si="7"/>
        <v>414.45296038846811</v>
      </c>
      <c r="P71" s="90">
        <f t="shared" si="7"/>
        <v>414.45296038846811</v>
      </c>
      <c r="Q71" s="90">
        <f t="shared" si="7"/>
        <v>414.45296038846811</v>
      </c>
      <c r="R71" s="90">
        <f t="shared" si="7"/>
        <v>409.05031207131003</v>
      </c>
      <c r="S71" s="90">
        <f t="shared" si="7"/>
        <v>135.2759220919225</v>
      </c>
      <c r="T71" s="90">
        <f t="shared" si="7"/>
        <v>2.2737367544323206E-13</v>
      </c>
      <c r="U71" s="90">
        <f t="shared" si="7"/>
        <v>0</v>
      </c>
      <c r="V71" s="90">
        <f t="shared" si="7"/>
        <v>0</v>
      </c>
      <c r="W71" s="90">
        <f t="shared" si="7"/>
        <v>0</v>
      </c>
      <c r="X71" s="90">
        <f t="shared" si="7"/>
        <v>0</v>
      </c>
      <c r="Y71" s="90">
        <f t="shared" si="7"/>
        <v>0</v>
      </c>
      <c r="Z71" s="90">
        <f t="shared" si="7"/>
        <v>0</v>
      </c>
      <c r="AA71" s="90">
        <f t="shared" si="7"/>
        <v>0</v>
      </c>
      <c r="AB71" s="90">
        <f t="shared" si="7"/>
        <v>0</v>
      </c>
      <c r="AC71" s="90">
        <f t="shared" si="7"/>
        <v>0</v>
      </c>
      <c r="AD71" s="90">
        <f t="shared" si="7"/>
        <v>0</v>
      </c>
      <c r="AE71" s="90">
        <f t="shared" si="7"/>
        <v>0</v>
      </c>
      <c r="AF71" s="90">
        <f t="shared" si="7"/>
        <v>0</v>
      </c>
      <c r="AG71" s="90">
        <f t="shared" si="7"/>
        <v>0</v>
      </c>
      <c r="AH71" s="90">
        <f t="shared" si="7"/>
        <v>0</v>
      </c>
      <c r="AI71" s="90">
        <f t="shared" si="7"/>
        <v>0</v>
      </c>
      <c r="AJ71" s="90">
        <f t="shared" ref="AJ71:BR71" si="8">SUM(AJ61:AJ69)</f>
        <v>0</v>
      </c>
      <c r="AK71" s="90">
        <f t="shared" si="8"/>
        <v>0</v>
      </c>
      <c r="AL71" s="90">
        <f t="shared" si="8"/>
        <v>0</v>
      </c>
      <c r="AM71" s="90">
        <f t="shared" si="8"/>
        <v>0</v>
      </c>
      <c r="AN71" s="90">
        <f t="shared" si="8"/>
        <v>0</v>
      </c>
      <c r="AO71" s="90">
        <f t="shared" si="8"/>
        <v>0</v>
      </c>
      <c r="AP71" s="90">
        <f t="shared" si="8"/>
        <v>0</v>
      </c>
      <c r="AQ71" s="90">
        <f t="shared" si="8"/>
        <v>0</v>
      </c>
      <c r="AR71" s="90">
        <f t="shared" si="8"/>
        <v>0</v>
      </c>
      <c r="AS71" s="90">
        <f t="shared" si="8"/>
        <v>0</v>
      </c>
      <c r="AT71" s="90">
        <f t="shared" si="8"/>
        <v>0</v>
      </c>
      <c r="AU71" s="90">
        <f t="shared" si="8"/>
        <v>0</v>
      </c>
      <c r="AV71" s="90">
        <f t="shared" si="8"/>
        <v>0</v>
      </c>
      <c r="AW71" s="90">
        <f t="shared" si="8"/>
        <v>0</v>
      </c>
      <c r="AX71" s="90">
        <f t="shared" si="8"/>
        <v>0</v>
      </c>
      <c r="AY71" s="90">
        <f t="shared" si="8"/>
        <v>0</v>
      </c>
      <c r="AZ71" s="90">
        <f t="shared" si="8"/>
        <v>0</v>
      </c>
      <c r="BA71" s="90">
        <f t="shared" si="8"/>
        <v>0</v>
      </c>
      <c r="BB71" s="90">
        <f t="shared" si="8"/>
        <v>0</v>
      </c>
      <c r="BC71" s="90">
        <f t="shared" si="8"/>
        <v>0</v>
      </c>
      <c r="BD71" s="90">
        <f t="shared" si="8"/>
        <v>0</v>
      </c>
      <c r="BE71" s="90">
        <f t="shared" si="8"/>
        <v>0</v>
      </c>
      <c r="BF71" s="90">
        <f t="shared" si="8"/>
        <v>0</v>
      </c>
      <c r="BG71" s="90">
        <f t="shared" si="8"/>
        <v>0</v>
      </c>
      <c r="BH71" s="90">
        <f t="shared" si="8"/>
        <v>0</v>
      </c>
      <c r="BI71" s="90">
        <f t="shared" si="8"/>
        <v>0</v>
      </c>
      <c r="BJ71" s="90">
        <f t="shared" si="8"/>
        <v>0</v>
      </c>
      <c r="BK71" s="90">
        <f t="shared" si="8"/>
        <v>0</v>
      </c>
      <c r="BL71" s="90">
        <f t="shared" si="8"/>
        <v>0</v>
      </c>
      <c r="BM71" s="90">
        <f t="shared" si="8"/>
        <v>0</v>
      </c>
      <c r="BN71" s="90">
        <f t="shared" si="8"/>
        <v>0</v>
      </c>
      <c r="BO71" s="90">
        <f t="shared" si="8"/>
        <v>0</v>
      </c>
      <c r="BP71" s="90">
        <f t="shared" si="8"/>
        <v>0</v>
      </c>
      <c r="BQ71" s="90">
        <f t="shared" si="8"/>
        <v>0</v>
      </c>
      <c r="BR71" s="90">
        <f t="shared" si="8"/>
        <v>4144.5296038846809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1"/>
  <sheetViews>
    <sheetView zoomScale="85" zoomScaleNormal="85" workbookViewId="0">
      <selection activeCell="G8" sqref="G8"/>
    </sheetView>
  </sheetViews>
  <sheetFormatPr defaultRowHeight="14.4" x14ac:dyDescent="0.3"/>
  <cols>
    <col min="1" max="1" width="4.6640625" customWidth="1"/>
    <col min="2" max="2" width="21.33203125" customWidth="1"/>
    <col min="3" max="3" width="8" bestFit="1" customWidth="1"/>
    <col min="4" max="4" width="9" bestFit="1" customWidth="1"/>
    <col min="5" max="5" width="9.5546875" bestFit="1" customWidth="1"/>
    <col min="6" max="7" width="8" bestFit="1" customWidth="1"/>
    <col min="8" max="8" width="10.44140625" customWidth="1"/>
    <col min="9" max="10" width="9.44140625" bestFit="1" customWidth="1"/>
    <col min="11" max="13" width="8.6640625" customWidth="1"/>
    <col min="14" max="14" width="10.6640625" customWidth="1"/>
    <col min="15" max="15" width="4.5546875" customWidth="1"/>
    <col min="16" max="16" width="9.6640625" customWidth="1"/>
    <col min="17" max="17" width="9" bestFit="1" customWidth="1"/>
    <col min="18" max="18" width="4.88671875" customWidth="1"/>
    <col min="19" max="20" width="9" bestFit="1" customWidth="1"/>
    <col min="21" max="21" width="4.33203125" customWidth="1"/>
    <col min="22" max="23" width="9.5546875" bestFit="1" customWidth="1"/>
    <col min="24" max="24" width="3.6640625" customWidth="1"/>
    <col min="25" max="26" width="9" bestFit="1" customWidth="1"/>
  </cols>
  <sheetData>
    <row r="2" spans="2:16" x14ac:dyDescent="0.3">
      <c r="B2" s="42" t="s">
        <v>39</v>
      </c>
    </row>
    <row r="3" spans="2:16" x14ac:dyDescent="0.3">
      <c r="B3" s="59" t="s">
        <v>40</v>
      </c>
      <c r="C3" s="44">
        <v>2016</v>
      </c>
      <c r="D3" s="44">
        <v>2017</v>
      </c>
      <c r="E3" s="44">
        <v>2018</v>
      </c>
      <c r="F3" s="44">
        <v>2019</v>
      </c>
      <c r="G3" s="44">
        <v>2020</v>
      </c>
      <c r="H3" s="44" t="s">
        <v>42</v>
      </c>
      <c r="I3" s="44" t="s">
        <v>43</v>
      </c>
      <c r="J3" s="44" t="s">
        <v>44</v>
      </c>
      <c r="K3" s="44" t="s">
        <v>45</v>
      </c>
      <c r="L3" s="44" t="s">
        <v>46</v>
      </c>
      <c r="M3" s="44" t="s">
        <v>47</v>
      </c>
      <c r="N3" s="44" t="s">
        <v>10</v>
      </c>
    </row>
    <row r="4" spans="2:16" x14ac:dyDescent="0.3">
      <c r="B4" s="45" t="s">
        <v>3</v>
      </c>
      <c r="C4" s="46">
        <f>'CPA3 - $2015'!C14</f>
        <v>0</v>
      </c>
      <c r="D4" s="46">
        <f>'CPA3 - $2015'!D14</f>
        <v>0</v>
      </c>
      <c r="E4" s="46">
        <f>'CPA3 - $2015'!E14</f>
        <v>0</v>
      </c>
      <c r="F4" s="46">
        <f>'CPA3 - $2015'!F14</f>
        <v>536.31866165528834</v>
      </c>
      <c r="G4" s="46">
        <f>'CPA3 - $2015'!G14</f>
        <v>7861.8691642815602</v>
      </c>
      <c r="H4" s="46">
        <f>G4*0.5</f>
        <v>3930.9345821407801</v>
      </c>
      <c r="I4" s="46">
        <f>0.5*'CPA3 - $2015'!H14+0.5*'CPA3 - $2015'!I14</f>
        <v>5663.9726098837182</v>
      </c>
      <c r="J4" s="46">
        <f>0.5*'CPA3 - $2015'!I14</f>
        <v>1684.2218001888496</v>
      </c>
      <c r="K4" s="46"/>
      <c r="L4" s="46"/>
      <c r="M4" s="46"/>
      <c r="N4" s="47">
        <f>SUM(C4:M4)</f>
        <v>19677.316818150197</v>
      </c>
      <c r="P4" s="131"/>
    </row>
    <row r="5" spans="2:16" x14ac:dyDescent="0.3">
      <c r="B5" s="184" t="s">
        <v>4</v>
      </c>
      <c r="C5" s="172">
        <f>'CPA3 - $2015'!C15</f>
        <v>0</v>
      </c>
      <c r="D5" s="172">
        <f>'CPA3 - $2015'!D15</f>
        <v>0</v>
      </c>
      <c r="E5" s="172">
        <f>'CPA3 - $2015'!E15</f>
        <v>0</v>
      </c>
      <c r="F5" s="172">
        <f>'CPA3 - $2015'!F15</f>
        <v>368.43421920308464</v>
      </c>
      <c r="G5" s="172">
        <f>'CPA3 - $2015'!G15</f>
        <v>13200.528913449874</v>
      </c>
      <c r="H5" s="172">
        <f t="shared" ref="H5:H10" si="0">G5*0.5</f>
        <v>6600.2644567249372</v>
      </c>
      <c r="I5" s="172">
        <f>0.5*'CPA3 - $2015'!H15+0.5*'CPA3 - $2015'!I15</f>
        <v>4615.1012823333404</v>
      </c>
      <c r="J5" s="172">
        <f>0.5*'CPA3 - $2015'!I15</f>
        <v>2630.4985436958159</v>
      </c>
      <c r="K5" s="172"/>
      <c r="L5" s="172"/>
      <c r="M5" s="172"/>
      <c r="N5" s="185">
        <f t="shared" ref="N5:N10" si="1">SUM(C5:M5)</f>
        <v>27414.827415407053</v>
      </c>
      <c r="P5" s="6"/>
    </row>
    <row r="6" spans="2:16" x14ac:dyDescent="0.3">
      <c r="B6" s="45" t="s">
        <v>5</v>
      </c>
      <c r="C6" s="46">
        <f>'CPA3 - $2015'!C16</f>
        <v>0</v>
      </c>
      <c r="D6" s="46">
        <f>'CPA3 - $2015'!D16</f>
        <v>0</v>
      </c>
      <c r="E6" s="46">
        <f>'CPA3 - $2015'!E16</f>
        <v>0</v>
      </c>
      <c r="F6" s="46">
        <f>'CPA3 - $2015'!F16</f>
        <v>366.98971499242049</v>
      </c>
      <c r="G6" s="46">
        <f>'CPA3 - $2015'!G16</f>
        <v>3195.3837566917628</v>
      </c>
      <c r="H6" s="46">
        <f t="shared" si="0"/>
        <v>1597.6918783458814</v>
      </c>
      <c r="I6" s="46">
        <f>0.5*'CPA3 - $2015'!H16+0.5*'CPA3 - $2015'!I16</f>
        <v>4400.9005833778256</v>
      </c>
      <c r="J6" s="46">
        <f>0.5*'CPA3 - $2015'!I16</f>
        <v>904.73686580276103</v>
      </c>
      <c r="K6" s="46"/>
      <c r="L6" s="46"/>
      <c r="M6" s="46"/>
      <c r="N6" s="47">
        <f t="shared" si="1"/>
        <v>10465.70279921065</v>
      </c>
      <c r="P6" s="73"/>
    </row>
    <row r="7" spans="2:16" x14ac:dyDescent="0.3">
      <c r="B7" s="45" t="s">
        <v>6</v>
      </c>
      <c r="C7" s="46">
        <f>'CPA3 - $2015'!C17</f>
        <v>0</v>
      </c>
      <c r="D7" s="46">
        <f>'CPA3 - $2015'!D17</f>
        <v>0</v>
      </c>
      <c r="E7" s="46">
        <f>'CPA3 - $2015'!E17</f>
        <v>227.67084932491159</v>
      </c>
      <c r="F7" s="46">
        <f>'CPA3 - $2015'!F17</f>
        <v>7242.9703849379957</v>
      </c>
      <c r="G7" s="46">
        <f>'CPA3 - $2015'!G17</f>
        <v>4326.8868821724345</v>
      </c>
      <c r="H7" s="46">
        <f t="shared" si="0"/>
        <v>2163.4434410862173</v>
      </c>
      <c r="I7" s="46">
        <f>0.5*'CPA3 - $2015'!H17+0.5*'CPA3 - $2015'!I17</f>
        <v>0</v>
      </c>
      <c r="J7" s="46">
        <f>0.5*'CPA3 - $2015'!I17</f>
        <v>0</v>
      </c>
      <c r="K7" s="46"/>
      <c r="L7" s="46"/>
      <c r="M7" s="46"/>
      <c r="N7" s="47">
        <f t="shared" si="1"/>
        <v>13960.97155752156</v>
      </c>
    </row>
    <row r="8" spans="2:16" x14ac:dyDescent="0.3">
      <c r="B8" s="45" t="s">
        <v>7</v>
      </c>
      <c r="C8" s="46">
        <f>'CPA3 - $2015'!C18</f>
        <v>0</v>
      </c>
      <c r="D8" s="46">
        <f>'CPA3 - $2015'!D18</f>
        <v>0</v>
      </c>
      <c r="E8" s="46">
        <f>'CPA3 - $2015'!E18</f>
        <v>0</v>
      </c>
      <c r="F8" s="46">
        <f>'CPA3 - $2015'!F18</f>
        <v>643.28828996945799</v>
      </c>
      <c r="G8" s="46">
        <f>'CPA3 - $2015'!G18</f>
        <v>5940.101302517498</v>
      </c>
      <c r="H8" s="46">
        <f t="shared" si="0"/>
        <v>2970.050651258749</v>
      </c>
      <c r="I8" s="46">
        <f>0.5*'CPA3 - $2015'!H18+0.5*'CPA3 - $2015'!I18</f>
        <v>4872.5616661710574</v>
      </c>
      <c r="J8" s="46">
        <f>0.5*'CPA3 - $2015'!I18</f>
        <v>1513.8846429002756</v>
      </c>
      <c r="K8" s="46"/>
      <c r="L8" s="46"/>
      <c r="M8" s="46"/>
      <c r="N8" s="47">
        <f t="shared" si="1"/>
        <v>15939.886552817037</v>
      </c>
    </row>
    <row r="9" spans="2:16" x14ac:dyDescent="0.3">
      <c r="B9" s="45" t="s">
        <v>8</v>
      </c>
      <c r="C9" s="46">
        <f>'CPA3 - $2015'!C19</f>
        <v>0</v>
      </c>
      <c r="D9" s="46">
        <f>'CPA3 - $2015'!D19</f>
        <v>0</v>
      </c>
      <c r="E9" s="46">
        <f>'CPA3 - $2015'!E19</f>
        <v>0</v>
      </c>
      <c r="F9" s="46">
        <f>'CPA3 - $2015'!F19</f>
        <v>0</v>
      </c>
      <c r="G9" s="46">
        <f>'CPA3 - $2015'!G19</f>
        <v>0</v>
      </c>
      <c r="H9" s="46">
        <f t="shared" si="0"/>
        <v>0</v>
      </c>
      <c r="I9" s="46">
        <f>0.5*'CPA3 - $2015'!H19+0.5*'CPA3 - $2015'!I19</f>
        <v>0</v>
      </c>
      <c r="J9" s="46">
        <f>0.5*'CPA3 - $2015'!I19</f>
        <v>0</v>
      </c>
      <c r="K9" s="46"/>
      <c r="L9" s="46"/>
      <c r="M9" s="46"/>
      <c r="N9" s="47">
        <f t="shared" si="1"/>
        <v>0</v>
      </c>
    </row>
    <row r="10" spans="2:16" x14ac:dyDescent="0.3">
      <c r="B10" s="45" t="s">
        <v>19</v>
      </c>
      <c r="C10" s="46">
        <f>'CPA3 - $2015'!C20</f>
        <v>0</v>
      </c>
      <c r="D10" s="46">
        <f>'CPA3 - $2015'!D20</f>
        <v>0</v>
      </c>
      <c r="E10" s="46">
        <f>'CPA3 - $2015'!E20</f>
        <v>0</v>
      </c>
      <c r="F10" s="46">
        <f>'CPA3 - $2015'!F20</f>
        <v>220.05979949978499</v>
      </c>
      <c r="G10" s="46">
        <f>'CPA3 - $2015'!G20</f>
        <v>499.07819948818758</v>
      </c>
      <c r="H10" s="46">
        <f t="shared" si="0"/>
        <v>249.53909974409379</v>
      </c>
      <c r="I10" s="46">
        <f>0.5*'CPA3 - $2015'!H20+0.5*'CPA3 - $2015'!I20</f>
        <v>4715.6368734175694</v>
      </c>
      <c r="J10" s="46">
        <f>0.5*'CPA3 - $2015'!I20</f>
        <v>2169.6254021454597</v>
      </c>
      <c r="K10" s="46"/>
      <c r="L10" s="46"/>
      <c r="M10" s="46"/>
      <c r="N10" s="47">
        <f t="shared" si="1"/>
        <v>7853.9393742950951</v>
      </c>
    </row>
    <row r="11" spans="2:16" x14ac:dyDescent="0.3">
      <c r="B11" s="48" t="s">
        <v>21</v>
      </c>
      <c r="C11" s="49">
        <f>SUM(C4:C10)</f>
        <v>0</v>
      </c>
      <c r="D11" s="49">
        <f t="shared" ref="D11:N11" si="2">SUM(D4:D10)</f>
        <v>0</v>
      </c>
      <c r="E11" s="49">
        <f t="shared" si="2"/>
        <v>227.67084932491159</v>
      </c>
      <c r="F11" s="49">
        <f t="shared" si="2"/>
        <v>9378.0610702580307</v>
      </c>
      <c r="G11" s="49">
        <f t="shared" si="2"/>
        <v>35023.848218601321</v>
      </c>
      <c r="H11" s="49">
        <f t="shared" si="2"/>
        <v>17511.92410930066</v>
      </c>
      <c r="I11" s="49">
        <f t="shared" si="2"/>
        <v>24268.173015183515</v>
      </c>
      <c r="J11" s="49">
        <f t="shared" si="2"/>
        <v>8902.9672547331611</v>
      </c>
      <c r="K11" s="49">
        <f t="shared" si="2"/>
        <v>0</v>
      </c>
      <c r="L11" s="49">
        <f t="shared" si="2"/>
        <v>0</v>
      </c>
      <c r="M11" s="49">
        <f t="shared" si="2"/>
        <v>0</v>
      </c>
      <c r="N11" s="49">
        <f t="shared" si="2"/>
        <v>95312.644517401597</v>
      </c>
    </row>
    <row r="12" spans="2:16" x14ac:dyDescent="0.3">
      <c r="C12" t="b">
        <f>C11='1. Allowances (IR004)'!C10/1000</f>
        <v>1</v>
      </c>
      <c r="D12" t="b">
        <f>D11='1. Allowances (IR004)'!D10/1000</f>
        <v>1</v>
      </c>
      <c r="E12" t="b">
        <f>E11='1. Allowances (IR004)'!E10/1000</f>
        <v>1</v>
      </c>
      <c r="F12" t="b">
        <f>F11='1. Allowances (IR004)'!F10/1000</f>
        <v>1</v>
      </c>
      <c r="G12" t="b">
        <f>G11='1. Allowances (IR004)'!G10/1000</f>
        <v>1</v>
      </c>
      <c r="H12" t="b">
        <f>H11='1. Allowances (IR004)'!H10/1000</f>
        <v>1</v>
      </c>
      <c r="I12" t="b">
        <f>I11='1. Allowances (IR004)'!I10/1000</f>
        <v>1</v>
      </c>
      <c r="J12" t="b">
        <f>J11='1. Allowances (IR004)'!J10/1000</f>
        <v>1</v>
      </c>
      <c r="K12" t="b">
        <f>K11='1. Allowances (IR004)'!K10/1000</f>
        <v>1</v>
      </c>
      <c r="L12" t="b">
        <f>L11='1. Allowances (IR004)'!L10/1000</f>
        <v>1</v>
      </c>
      <c r="M12" t="b">
        <f>M11='1. Allowances (IR004)'!M10/1000</f>
        <v>1</v>
      </c>
      <c r="N12" t="b">
        <f>N11='1. Allowances (IR004)'!N10/1000</f>
        <v>1</v>
      </c>
    </row>
    <row r="14" spans="2:16" x14ac:dyDescent="0.3">
      <c r="B14" s="50" t="s">
        <v>51</v>
      </c>
    </row>
    <row r="15" spans="2:16" x14ac:dyDescent="0.3">
      <c r="B15" s="50" t="s">
        <v>52</v>
      </c>
      <c r="I15" s="4"/>
      <c r="J15" s="4"/>
    </row>
    <row r="17" spans="2:14" x14ac:dyDescent="0.3">
      <c r="I17" s="159"/>
      <c r="J17" s="158"/>
    </row>
    <row r="18" spans="2:14" x14ac:dyDescent="0.3">
      <c r="B18" s="42" t="s">
        <v>39</v>
      </c>
    </row>
    <row r="19" spans="2:14" x14ac:dyDescent="0.3">
      <c r="B19" s="60" t="s">
        <v>62</v>
      </c>
      <c r="C19" s="44">
        <v>2016</v>
      </c>
      <c r="D19" s="44">
        <v>2017</v>
      </c>
      <c r="E19" s="44">
        <v>2018</v>
      </c>
      <c r="F19" s="44">
        <v>2019</v>
      </c>
      <c r="G19" s="44">
        <v>2020</v>
      </c>
      <c r="H19" s="44" t="s">
        <v>42</v>
      </c>
      <c r="I19" s="157" t="s">
        <v>63</v>
      </c>
      <c r="J19" s="157" t="s">
        <v>64</v>
      </c>
      <c r="K19" s="44" t="s">
        <v>65</v>
      </c>
      <c r="L19" s="44" t="s">
        <v>46</v>
      </c>
      <c r="M19" s="44" t="s">
        <v>47</v>
      </c>
      <c r="N19" s="44" t="s">
        <v>10</v>
      </c>
    </row>
    <row r="20" spans="2:14" x14ac:dyDescent="0.3">
      <c r="B20" s="45" t="s">
        <v>3</v>
      </c>
      <c r="C20" s="46">
        <f>'CPA3 - $2015'!C24</f>
        <v>0</v>
      </c>
      <c r="D20" s="46">
        <f>'CPA3 - $2015'!D24</f>
        <v>0</v>
      </c>
      <c r="E20" s="46">
        <f>'CPA3 - $2015'!E24</f>
        <v>0</v>
      </c>
      <c r="F20" s="46">
        <f>'CPA3 - $2015'!F24</f>
        <v>550.67442833345353</v>
      </c>
      <c r="G20" s="46">
        <f>'CPA3 - $2015'!G24</f>
        <v>8059.5938532384389</v>
      </c>
      <c r="H20" s="46">
        <f>G20*0.5</f>
        <v>4029.7969266192194</v>
      </c>
      <c r="I20" s="169">
        <f>'CPA3 - $2015'!H24*0.5+'CPA3 - $2015'!I24*0.5</f>
        <v>5949.5946123381555</v>
      </c>
      <c r="J20" s="169">
        <f>'CPA3 - $2015'!I24*0.5</f>
        <v>1772.4391138326785</v>
      </c>
      <c r="K20" s="46"/>
      <c r="L20" s="46"/>
      <c r="M20" s="46"/>
      <c r="N20" s="47">
        <f>SUM(C20:M20)</f>
        <v>20362.098934361948</v>
      </c>
    </row>
    <row r="21" spans="2:14" x14ac:dyDescent="0.3">
      <c r="B21" s="180" t="s">
        <v>4</v>
      </c>
      <c r="C21" s="181">
        <f>'CPA3 - $2015'!C25</f>
        <v>0</v>
      </c>
      <c r="D21" s="181">
        <f>'CPA3 - $2015'!D25</f>
        <v>0</v>
      </c>
      <c r="E21" s="181">
        <f>'CPA3 - $2015'!E25</f>
        <v>0</v>
      </c>
      <c r="F21" s="181">
        <f>'CPA3 - $2015'!F25</f>
        <v>378.26357738630577</v>
      </c>
      <c r="G21" s="181">
        <f>'CPA3 - $2015'!G25</f>
        <v>13557.214730086729</v>
      </c>
      <c r="H21" s="181">
        <f t="shared" ref="H21:H26" si="3">G21*0.5</f>
        <v>6778.6073650433646</v>
      </c>
      <c r="I21" s="182">
        <f>'CPA3 - $2015'!H25*0.5+'CPA3 - $2015'!I25*0.5</f>
        <v>4858.0028833359293</v>
      </c>
      <c r="J21" s="182">
        <f>'CPA3 - $2015'!I25*0.5</f>
        <v>2775.1097403213889</v>
      </c>
      <c r="K21" s="181"/>
      <c r="L21" s="181"/>
      <c r="M21" s="181"/>
      <c r="N21" s="183">
        <f t="shared" ref="N21:N26" si="4">SUM(C21:M21)</f>
        <v>28347.198296173716</v>
      </c>
    </row>
    <row r="22" spans="2:14" x14ac:dyDescent="0.3">
      <c r="B22" s="45" t="s">
        <v>5</v>
      </c>
      <c r="C22" s="46">
        <f>'CPA3 - $2015'!C26</f>
        <v>0</v>
      </c>
      <c r="D22" s="46">
        <f>'CPA3 - $2015'!D26</f>
        <v>0</v>
      </c>
      <c r="E22" s="46">
        <f>'CPA3 - $2015'!E26</f>
        <v>0</v>
      </c>
      <c r="F22" s="46">
        <f>'CPA3 - $2015'!F26</f>
        <v>376.7775447501499</v>
      </c>
      <c r="G22" s="46">
        <f>'CPA3 - $2015'!G26</f>
        <v>3274.9409186643725</v>
      </c>
      <c r="H22" s="46">
        <f t="shared" si="3"/>
        <v>1637.4704593321862</v>
      </c>
      <c r="I22" s="169">
        <f>'CPA3 - $2015'!H26*0.5+'CPA3 - $2015'!I26*0.5</f>
        <v>4613.87392541792</v>
      </c>
      <c r="J22" s="169">
        <f>'CPA3 - $2015'!I26*0.5</f>
        <v>949.20013856352307</v>
      </c>
      <c r="K22" s="46"/>
      <c r="L22" s="46"/>
      <c r="M22" s="46"/>
      <c r="N22" s="47">
        <f t="shared" si="4"/>
        <v>10852.262986728152</v>
      </c>
    </row>
    <row r="23" spans="2:14" x14ac:dyDescent="0.3">
      <c r="B23" s="45" t="s">
        <v>6</v>
      </c>
      <c r="C23" s="46">
        <f>'CPA3 - $2015'!C27</f>
        <v>0</v>
      </c>
      <c r="D23" s="46">
        <f>'CPA3 - $2015'!D27</f>
        <v>0</v>
      </c>
      <c r="E23" s="46">
        <f>'CPA3 - $2015'!E27</f>
        <v>236.21247840936343</v>
      </c>
      <c r="F23" s="46">
        <f>'CPA3 - $2015'!F27</f>
        <v>7463.0129283016986</v>
      </c>
      <c r="G23" s="46">
        <f>'CPA3 - $2015'!G27</f>
        <v>4431.7875248536102</v>
      </c>
      <c r="H23" s="46">
        <f t="shared" si="3"/>
        <v>2215.8937624268051</v>
      </c>
      <c r="I23" s="169">
        <f>'CPA3 - $2015'!H27*0.5+'CPA3 - $2015'!I27*0.5</f>
        <v>0</v>
      </c>
      <c r="J23" s="169">
        <f>'CPA3 - $2015'!I27*0.5</f>
        <v>0</v>
      </c>
      <c r="K23" s="46"/>
      <c r="L23" s="46"/>
      <c r="M23" s="46"/>
      <c r="N23" s="47">
        <f t="shared" si="4"/>
        <v>14346.906693991477</v>
      </c>
    </row>
    <row r="24" spans="2:14" x14ac:dyDescent="0.3">
      <c r="B24" s="45" t="s">
        <v>7</v>
      </c>
      <c r="C24" s="46">
        <f>'CPA3 - $2015'!C28</f>
        <v>0</v>
      </c>
      <c r="D24" s="46">
        <f>'CPA3 - $2015'!D28</f>
        <v>0</v>
      </c>
      <c r="E24" s="46">
        <f>'CPA3 - $2015'!E28</f>
        <v>0</v>
      </c>
      <c r="F24" s="46">
        <f>'CPA3 - $2015'!F28</f>
        <v>662.51272961823815</v>
      </c>
      <c r="G24" s="46">
        <f>'CPA3 - $2015'!G28</f>
        <v>6091.2503401539188</v>
      </c>
      <c r="H24" s="46">
        <f t="shared" si="3"/>
        <v>3045.6251700769594</v>
      </c>
      <c r="I24" s="169">
        <f>'CPA3 - $2015'!H28*0.5+'CPA3 - $2015'!I28*0.5</f>
        <v>5110.4885533667866</v>
      </c>
      <c r="J24" s="169">
        <f>'CPA3 - $2015'!I28*0.5</f>
        <v>1590.7653112332723</v>
      </c>
      <c r="K24" s="46"/>
      <c r="L24" s="46"/>
      <c r="M24" s="46"/>
      <c r="N24" s="47">
        <f t="shared" si="4"/>
        <v>16500.642104449176</v>
      </c>
    </row>
    <row r="25" spans="2:14" x14ac:dyDescent="0.3">
      <c r="B25" s="45" t="s">
        <v>8</v>
      </c>
      <c r="C25" s="46">
        <f>'CPA3 - $2015'!C29</f>
        <v>0</v>
      </c>
      <c r="D25" s="46">
        <f>'CPA3 - $2015'!D29</f>
        <v>0</v>
      </c>
      <c r="E25" s="46">
        <f>'CPA3 - $2015'!E29</f>
        <v>0</v>
      </c>
      <c r="F25" s="46">
        <f>'CPA3 - $2015'!F29</f>
        <v>0</v>
      </c>
      <c r="G25" s="46">
        <f>'CPA3 - $2015'!G29</f>
        <v>0</v>
      </c>
      <c r="H25" s="46">
        <f t="shared" si="3"/>
        <v>0</v>
      </c>
      <c r="I25" s="169">
        <f>'CPA3 - $2015'!H29*0.5+'CPA3 - $2015'!I29*0.5</f>
        <v>0</v>
      </c>
      <c r="J25" s="169">
        <f>'CPA3 - $2015'!I29*0.5</f>
        <v>0</v>
      </c>
      <c r="K25" s="46"/>
      <c r="L25" s="46"/>
      <c r="M25" s="46"/>
      <c r="N25" s="47">
        <f t="shared" si="4"/>
        <v>0</v>
      </c>
    </row>
    <row r="26" spans="2:14" x14ac:dyDescent="0.3">
      <c r="B26" s="45" t="s">
        <v>19</v>
      </c>
      <c r="C26" s="46">
        <f>'CPA3 - $2015'!C30</f>
        <v>0</v>
      </c>
      <c r="D26" s="46">
        <f>'CPA3 - $2015'!D30</f>
        <v>0</v>
      </c>
      <c r="E26" s="46">
        <f>'CPA3 - $2015'!E30</f>
        <v>0</v>
      </c>
      <c r="F26" s="46">
        <f>'CPA3 - $2015'!F30</f>
        <v>226.18935463892777</v>
      </c>
      <c r="G26" s="46">
        <f>'CPA3 - $2015'!G30</f>
        <v>511.49684108970411</v>
      </c>
      <c r="H26" s="46">
        <f t="shared" si="3"/>
        <v>255.74842054485205</v>
      </c>
      <c r="I26" s="169">
        <f>'CPA3 - $2015'!H30*0.5+'CPA3 - $2015'!I30*0.5</f>
        <v>4949.7434731908443</v>
      </c>
      <c r="J26" s="169">
        <f>'CPA3 - $2015'!I30*0.5</f>
        <v>2277.8244910925173</v>
      </c>
      <c r="K26" s="46"/>
      <c r="L26" s="46"/>
      <c r="M26" s="46"/>
      <c r="N26" s="47">
        <f t="shared" si="4"/>
        <v>8221.0025805568457</v>
      </c>
    </row>
    <row r="27" spans="2:14" x14ac:dyDescent="0.3">
      <c r="B27" s="48" t="s">
        <v>21</v>
      </c>
      <c r="C27" s="49">
        <f t="shared" ref="C27:D27" si="5">SUM(C20:C26)</f>
        <v>0</v>
      </c>
      <c r="D27" s="49">
        <f t="shared" si="5"/>
        <v>0</v>
      </c>
      <c r="E27" s="49">
        <f>SUM(E20:E26)</f>
        <v>236.21247840936343</v>
      </c>
      <c r="F27" s="49">
        <f t="shared" ref="F27:N27" si="6">SUM(F20:F26)</f>
        <v>9657.4305630287727</v>
      </c>
      <c r="G27" s="49">
        <f t="shared" si="6"/>
        <v>35926.284208086778</v>
      </c>
      <c r="H27" s="49">
        <f t="shared" si="6"/>
        <v>17963.142104043389</v>
      </c>
      <c r="I27" s="170">
        <f t="shared" si="6"/>
        <v>25481.703447649634</v>
      </c>
      <c r="J27" s="170">
        <f t="shared" si="6"/>
        <v>9365.3387950433789</v>
      </c>
      <c r="K27" s="49">
        <f t="shared" si="6"/>
        <v>0</v>
      </c>
      <c r="L27" s="49">
        <f t="shared" si="6"/>
        <v>0</v>
      </c>
      <c r="M27" s="49">
        <f t="shared" si="6"/>
        <v>0</v>
      </c>
      <c r="N27" s="49">
        <f t="shared" si="6"/>
        <v>98630.111596261311</v>
      </c>
    </row>
    <row r="28" spans="2:14" x14ac:dyDescent="0.3">
      <c r="I28" t="b">
        <f>I27=SUM([5]REFCL!M$23:M$29)</f>
        <v>1</v>
      </c>
      <c r="J28" t="b">
        <f>J27=SUM([5]REFCL!N$23:N$29)</f>
        <v>1</v>
      </c>
    </row>
    <row r="29" spans="2:14" x14ac:dyDescent="0.3">
      <c r="B29" s="174" t="s">
        <v>225</v>
      </c>
    </row>
    <row r="31" spans="2:14" x14ac:dyDescent="0.3">
      <c r="H31" s="75"/>
    </row>
  </sheetData>
  <pageMargins left="0.7" right="0.7" top="0.75" bottom="0.75" header="0.3" footer="0.3"/>
  <pageSetup paperSize="9" orientation="portrait" r:id="rId1"/>
  <ignoredErrors>
    <ignoredError sqref="C11:G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34"/>
  <sheetViews>
    <sheetView zoomScale="85" zoomScaleNormal="85" workbookViewId="0">
      <pane xSplit="2" topLeftCell="C1" activePane="topRight" state="frozen"/>
      <selection activeCell="H8" sqref="H8"/>
      <selection pane="topRight" activeCell="B34" sqref="B34"/>
    </sheetView>
  </sheetViews>
  <sheetFormatPr defaultRowHeight="14.4" x14ac:dyDescent="0.3"/>
  <cols>
    <col min="1" max="1" width="3.5546875" customWidth="1"/>
    <col min="2" max="2" width="49.88671875" customWidth="1"/>
    <col min="6" max="6" width="9" customWidth="1"/>
    <col min="12" max="12" width="10.6640625" customWidth="1"/>
    <col min="22" max="22" width="3.109375" customWidth="1"/>
    <col min="31" max="31" width="4.109375" customWidth="1"/>
    <col min="32" max="34" width="9" bestFit="1" customWidth="1"/>
    <col min="35" max="38" width="9.5546875" bestFit="1" customWidth="1"/>
    <col min="39" max="39" width="9" bestFit="1" customWidth="1"/>
    <col min="40" max="40" width="4.33203125" customWidth="1"/>
  </cols>
  <sheetData>
    <row r="2" spans="2:48" x14ac:dyDescent="0.3">
      <c r="N2" s="195" t="s">
        <v>33</v>
      </c>
      <c r="O2" s="196"/>
      <c r="P2" s="196"/>
      <c r="Q2" s="196"/>
      <c r="R2" s="196"/>
      <c r="S2" s="196"/>
      <c r="T2" s="196"/>
      <c r="U2" s="197"/>
      <c r="W2" s="195" t="s">
        <v>34</v>
      </c>
      <c r="X2" s="196"/>
      <c r="Y2" s="196"/>
      <c r="Z2" s="196"/>
      <c r="AA2" s="196"/>
      <c r="AB2" s="196"/>
      <c r="AC2" s="196"/>
      <c r="AD2" s="197"/>
      <c r="AE2" s="33"/>
      <c r="AF2" s="195" t="s">
        <v>35</v>
      </c>
      <c r="AG2" s="196"/>
      <c r="AH2" s="196"/>
      <c r="AI2" s="196"/>
      <c r="AJ2" s="196"/>
      <c r="AK2" s="196"/>
      <c r="AL2" s="196"/>
      <c r="AM2" s="197"/>
      <c r="AN2" s="33"/>
      <c r="AO2" s="195" t="s">
        <v>36</v>
      </c>
      <c r="AP2" s="196"/>
      <c r="AQ2" s="196"/>
      <c r="AR2" s="196"/>
      <c r="AS2" s="196"/>
      <c r="AT2" s="196"/>
      <c r="AU2" s="196"/>
      <c r="AV2" s="197"/>
    </row>
    <row r="3" spans="2:48" x14ac:dyDescent="0.3">
      <c r="B3" s="7" t="s">
        <v>61</v>
      </c>
      <c r="C3" s="11" t="s">
        <v>92</v>
      </c>
      <c r="D3" s="11" t="s">
        <v>93</v>
      </c>
      <c r="E3" s="11" t="s">
        <v>94</v>
      </c>
      <c r="F3" s="11" t="s">
        <v>95</v>
      </c>
      <c r="G3" s="11" t="s">
        <v>96</v>
      </c>
      <c r="H3" s="11" t="s">
        <v>97</v>
      </c>
      <c r="I3" s="11" t="s">
        <v>98</v>
      </c>
      <c r="J3" s="11" t="s">
        <v>99</v>
      </c>
      <c r="L3" s="3" t="s">
        <v>10</v>
      </c>
      <c r="N3" s="11">
        <v>2016</v>
      </c>
      <c r="O3" s="11">
        <v>2017</v>
      </c>
      <c r="P3" s="11">
        <v>2018</v>
      </c>
      <c r="Q3" s="11">
        <v>2019</v>
      </c>
      <c r="R3" s="11">
        <v>2020</v>
      </c>
      <c r="S3" s="11">
        <v>2021</v>
      </c>
      <c r="T3" s="11">
        <v>2022</v>
      </c>
      <c r="U3" s="11">
        <v>2023</v>
      </c>
      <c r="V3" s="3"/>
      <c r="W3" s="11">
        <v>2016</v>
      </c>
      <c r="X3" s="11">
        <v>2017</v>
      </c>
      <c r="Y3" s="11">
        <v>2018</v>
      </c>
      <c r="Z3" s="11">
        <v>2019</v>
      </c>
      <c r="AA3" s="11">
        <v>2020</v>
      </c>
      <c r="AB3" s="11">
        <v>2021</v>
      </c>
      <c r="AC3" s="11">
        <v>2022</v>
      </c>
      <c r="AD3" s="11">
        <v>2023</v>
      </c>
      <c r="AE3" s="3"/>
      <c r="AF3" s="11">
        <v>2016</v>
      </c>
      <c r="AG3" s="11">
        <v>2017</v>
      </c>
      <c r="AH3" s="11">
        <v>2018</v>
      </c>
      <c r="AI3" s="11">
        <v>2019</v>
      </c>
      <c r="AJ3" s="11">
        <v>2020</v>
      </c>
      <c r="AK3" s="11">
        <v>2021</v>
      </c>
      <c r="AL3" s="11">
        <v>2022</v>
      </c>
      <c r="AM3" s="11">
        <v>2023</v>
      </c>
      <c r="AN3" s="3"/>
      <c r="AO3" s="11" t="s">
        <v>92</v>
      </c>
      <c r="AP3" s="11" t="s">
        <v>93</v>
      </c>
      <c r="AQ3" s="11" t="s">
        <v>94</v>
      </c>
      <c r="AR3" s="11" t="s">
        <v>95</v>
      </c>
      <c r="AS3" s="11" t="s">
        <v>96</v>
      </c>
      <c r="AT3" s="11" t="s">
        <v>97</v>
      </c>
      <c r="AU3" s="11" t="s">
        <v>98</v>
      </c>
      <c r="AV3" s="11" t="s">
        <v>99</v>
      </c>
    </row>
    <row r="4" spans="2:48" x14ac:dyDescent="0.3">
      <c r="B4" s="12" t="s">
        <v>3</v>
      </c>
      <c r="C4" s="4">
        <v>0</v>
      </c>
      <c r="D4" s="4">
        <v>0</v>
      </c>
      <c r="E4" s="4">
        <v>0</v>
      </c>
      <c r="F4" s="4">
        <v>522.01607133793482</v>
      </c>
      <c r="G4" s="4">
        <v>7697.4810241469622</v>
      </c>
      <c r="H4" s="4">
        <v>7959.5016193897382</v>
      </c>
      <c r="I4" s="4">
        <v>3368.4436003776991</v>
      </c>
      <c r="J4" s="4">
        <v>0</v>
      </c>
      <c r="L4" s="6">
        <v>19547.442315252338</v>
      </c>
      <c r="N4" s="4">
        <v>0</v>
      </c>
      <c r="O4" s="4">
        <v>0</v>
      </c>
      <c r="P4" s="4">
        <v>0</v>
      </c>
      <c r="Q4" s="4">
        <v>0</v>
      </c>
      <c r="R4" s="4">
        <v>3466.327352329346</v>
      </c>
      <c r="S4" s="4">
        <v>2345.495278907576</v>
      </c>
      <c r="T4" s="4">
        <v>426.45368707410472</v>
      </c>
      <c r="U4" s="4">
        <v>0</v>
      </c>
      <c r="V4" s="13"/>
      <c r="W4" s="4">
        <v>0</v>
      </c>
      <c r="X4" s="4">
        <v>0</v>
      </c>
      <c r="Y4" s="4">
        <v>0</v>
      </c>
      <c r="Z4" s="4">
        <v>172.86526342033389</v>
      </c>
      <c r="AA4" s="5">
        <v>577.84004651938233</v>
      </c>
      <c r="AB4" s="4">
        <v>696.32855903614336</v>
      </c>
      <c r="AC4" s="4">
        <v>347.44571662568018</v>
      </c>
      <c r="AD4" s="4">
        <v>0</v>
      </c>
      <c r="AE4" s="13"/>
      <c r="AF4" s="4">
        <v>0</v>
      </c>
      <c r="AG4" s="4">
        <v>0</v>
      </c>
      <c r="AH4" s="4">
        <v>0</v>
      </c>
      <c r="AI4" s="4">
        <v>349.15080791760096</v>
      </c>
      <c r="AJ4" s="4">
        <v>3564.1674303633367</v>
      </c>
      <c r="AK4" s="4">
        <v>4731.6363346898934</v>
      </c>
      <c r="AL4" s="4">
        <v>2476.0081508634898</v>
      </c>
      <c r="AM4" s="4">
        <v>0</v>
      </c>
      <c r="AN4" s="13"/>
      <c r="AO4" s="4">
        <v>0</v>
      </c>
      <c r="AP4" s="4">
        <v>0</v>
      </c>
      <c r="AQ4" s="4">
        <v>0</v>
      </c>
      <c r="AR4" s="4">
        <v>0</v>
      </c>
      <c r="AS4" s="4">
        <v>89.146194934897636</v>
      </c>
      <c r="AT4" s="4">
        <v>186.04144675612491</v>
      </c>
      <c r="AU4" s="4">
        <v>118.53604581442424</v>
      </c>
      <c r="AV4" s="4">
        <v>0</v>
      </c>
    </row>
    <row r="5" spans="2:48" s="16" customFormat="1" x14ac:dyDescent="0.3">
      <c r="B5" s="15" t="s">
        <v>4</v>
      </c>
      <c r="C5" s="10">
        <v>0</v>
      </c>
      <c r="D5" s="10">
        <v>0</v>
      </c>
      <c r="E5" s="10">
        <v>0</v>
      </c>
      <c r="F5" s="10">
        <v>358.53978348368321</v>
      </c>
      <c r="G5" s="10">
        <v>12966.491906985664</v>
      </c>
      <c r="H5" s="10">
        <v>3969.2054772750489</v>
      </c>
      <c r="I5" s="10">
        <v>5260.9970873916318</v>
      </c>
      <c r="J5" s="10">
        <v>0</v>
      </c>
      <c r="L5" s="17">
        <v>22555.234255136027</v>
      </c>
      <c r="N5" s="10">
        <v>0</v>
      </c>
      <c r="O5" s="10">
        <v>0</v>
      </c>
      <c r="P5" s="10">
        <v>0</v>
      </c>
      <c r="Q5" s="10">
        <v>0</v>
      </c>
      <c r="R5" s="10">
        <v>7120.0561260348386</v>
      </c>
      <c r="S5" s="10">
        <v>1146.1942120665228</v>
      </c>
      <c r="T5" s="10">
        <v>0</v>
      </c>
      <c r="U5" s="10">
        <v>0</v>
      </c>
      <c r="V5" s="18"/>
      <c r="W5" s="10">
        <v>0</v>
      </c>
      <c r="X5" s="10">
        <v>0</v>
      </c>
      <c r="Y5" s="10">
        <v>0</v>
      </c>
      <c r="Z5" s="10">
        <v>94.691801307937368</v>
      </c>
      <c r="AA5" s="10">
        <v>362.23959201317689</v>
      </c>
      <c r="AB5" s="10">
        <v>540.90059336029606</v>
      </c>
      <c r="AC5" s="10">
        <v>395.73852976576171</v>
      </c>
      <c r="AD5" s="10">
        <v>0</v>
      </c>
      <c r="AE5" s="18"/>
      <c r="AF5" s="10">
        <v>0</v>
      </c>
      <c r="AG5" s="10">
        <v>0</v>
      </c>
      <c r="AH5" s="10">
        <v>0</v>
      </c>
      <c r="AI5" s="10">
        <v>263.84798217574581</v>
      </c>
      <c r="AJ5" s="10">
        <v>5484.1961889376489</v>
      </c>
      <c r="AK5" s="10">
        <v>2167.1682727230409</v>
      </c>
      <c r="AL5" s="10">
        <v>4761.8987710207775</v>
      </c>
      <c r="AM5" s="10">
        <v>0</v>
      </c>
      <c r="AN5" s="18"/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114.94239912518938</v>
      </c>
      <c r="AU5" s="10">
        <v>103.35978660509221</v>
      </c>
      <c r="AV5" s="10">
        <v>0</v>
      </c>
    </row>
    <row r="6" spans="2:48" x14ac:dyDescent="0.3">
      <c r="B6" s="12" t="s">
        <v>5</v>
      </c>
      <c r="C6" s="4">
        <v>0</v>
      </c>
      <c r="D6" s="4">
        <v>0</v>
      </c>
      <c r="E6" s="4">
        <v>0</v>
      </c>
      <c r="F6" s="4">
        <v>357.12774267859203</v>
      </c>
      <c r="G6" s="4">
        <v>3127.1915379649104</v>
      </c>
      <c r="H6" s="4">
        <v>6992.3274351501286</v>
      </c>
      <c r="I6" s="4">
        <v>1809.4737316055221</v>
      </c>
      <c r="J6" s="4">
        <v>0</v>
      </c>
      <c r="L6" s="6">
        <v>12286.120447399153</v>
      </c>
      <c r="N6" s="4">
        <v>0</v>
      </c>
      <c r="O6" s="4">
        <v>0</v>
      </c>
      <c r="P6" s="4">
        <v>0</v>
      </c>
      <c r="Q6" s="4">
        <v>0</v>
      </c>
      <c r="R6" s="4">
        <v>1380.9016610157153</v>
      </c>
      <c r="S6" s="4">
        <v>2618.735970887567</v>
      </c>
      <c r="T6" s="4">
        <v>561.15770804733575</v>
      </c>
      <c r="U6" s="4">
        <v>0</v>
      </c>
      <c r="V6" s="13"/>
      <c r="W6" s="4">
        <v>0</v>
      </c>
      <c r="X6" s="4">
        <v>0</v>
      </c>
      <c r="Y6" s="4">
        <v>0</v>
      </c>
      <c r="Z6" s="4">
        <v>92.113488883797785</v>
      </c>
      <c r="AA6" s="4">
        <v>270.12444109982437</v>
      </c>
      <c r="AB6" s="4">
        <v>754.97443412219718</v>
      </c>
      <c r="AC6" s="4">
        <v>239.04431334197994</v>
      </c>
      <c r="AD6" s="4">
        <v>0</v>
      </c>
      <c r="AE6" s="13"/>
      <c r="AF6" s="4">
        <v>0</v>
      </c>
      <c r="AG6" s="4">
        <v>0</v>
      </c>
      <c r="AH6" s="4">
        <v>0</v>
      </c>
      <c r="AI6" s="4">
        <v>265.01425379479423</v>
      </c>
      <c r="AJ6" s="4">
        <v>1451.4169567048182</v>
      </c>
      <c r="AK6" s="4">
        <v>3479.529809918597</v>
      </c>
      <c r="AL6" s="4">
        <v>956.31226713500973</v>
      </c>
      <c r="AM6" s="4">
        <v>0</v>
      </c>
      <c r="AN6" s="13"/>
      <c r="AO6" s="4">
        <v>0</v>
      </c>
      <c r="AP6" s="4">
        <v>0</v>
      </c>
      <c r="AQ6" s="4">
        <v>0</v>
      </c>
      <c r="AR6" s="4">
        <v>0</v>
      </c>
      <c r="AS6" s="4">
        <v>24.74847914455259</v>
      </c>
      <c r="AT6" s="4">
        <v>139.0872202217675</v>
      </c>
      <c r="AU6" s="4">
        <v>52.959443081196795</v>
      </c>
      <c r="AV6" s="4">
        <v>0</v>
      </c>
    </row>
    <row r="7" spans="2:48" x14ac:dyDescent="0.3">
      <c r="B7" s="12" t="s">
        <v>6</v>
      </c>
      <c r="C7" s="4">
        <v>0</v>
      </c>
      <c r="D7" s="4">
        <v>0</v>
      </c>
      <c r="E7" s="4">
        <v>226.2962962962963</v>
      </c>
      <c r="F7" s="4">
        <v>7115.0407181333931</v>
      </c>
      <c r="G7" s="4">
        <v>4229.7021722286781</v>
      </c>
      <c r="H7" s="4">
        <v>0</v>
      </c>
      <c r="I7" s="4">
        <v>0</v>
      </c>
      <c r="J7" s="4">
        <v>0</v>
      </c>
      <c r="L7" s="6">
        <v>11571.039186658367</v>
      </c>
      <c r="N7" s="4">
        <v>0</v>
      </c>
      <c r="O7" s="4">
        <v>0</v>
      </c>
      <c r="P7" s="4">
        <v>145.69629629629631</v>
      </c>
      <c r="Q7" s="4">
        <v>2384.0699611609607</v>
      </c>
      <c r="R7" s="4">
        <v>1632.990824349321</v>
      </c>
      <c r="S7" s="4">
        <v>0</v>
      </c>
      <c r="T7" s="4">
        <v>0</v>
      </c>
      <c r="U7" s="4">
        <v>0</v>
      </c>
      <c r="V7" s="13"/>
      <c r="W7" s="4">
        <v>0</v>
      </c>
      <c r="X7" s="4">
        <v>0</v>
      </c>
      <c r="Y7" s="4">
        <v>11.65185185185185</v>
      </c>
      <c r="Z7" s="4">
        <v>895.22750517604004</v>
      </c>
      <c r="AA7" s="4">
        <v>510.77428753885027</v>
      </c>
      <c r="AB7" s="4">
        <v>0</v>
      </c>
      <c r="AC7" s="4">
        <v>0</v>
      </c>
      <c r="AD7" s="4">
        <v>0</v>
      </c>
      <c r="AE7" s="13"/>
      <c r="AF7" s="4">
        <v>0</v>
      </c>
      <c r="AG7" s="4">
        <v>0</v>
      </c>
      <c r="AH7" s="4">
        <v>68.948148148148135</v>
      </c>
      <c r="AI7" s="4">
        <v>3706.2939855141244</v>
      </c>
      <c r="AJ7" s="4">
        <v>1956.4877940582387</v>
      </c>
      <c r="AK7" s="4">
        <v>0</v>
      </c>
      <c r="AL7" s="4">
        <v>0</v>
      </c>
      <c r="AM7" s="4">
        <v>0</v>
      </c>
      <c r="AN7" s="13"/>
      <c r="AO7" s="4">
        <v>0</v>
      </c>
      <c r="AP7" s="4">
        <v>0</v>
      </c>
      <c r="AQ7" s="4">
        <v>0</v>
      </c>
      <c r="AR7" s="4">
        <v>129.44926628226759</v>
      </c>
      <c r="AS7" s="4">
        <v>129.44926628226759</v>
      </c>
      <c r="AT7" s="4">
        <v>0</v>
      </c>
      <c r="AU7" s="4">
        <v>0</v>
      </c>
      <c r="AV7" s="4">
        <v>0</v>
      </c>
    </row>
    <row r="8" spans="2:48" x14ac:dyDescent="0.3">
      <c r="B8" s="12" t="s">
        <v>7</v>
      </c>
      <c r="C8" s="4">
        <v>0</v>
      </c>
      <c r="D8" s="4">
        <v>0</v>
      </c>
      <c r="E8" s="4">
        <v>0</v>
      </c>
      <c r="F8" s="4">
        <v>631.09112059131485</v>
      </c>
      <c r="G8" s="4">
        <v>5818.8182977548195</v>
      </c>
      <c r="H8" s="4">
        <v>6717.3540465415635</v>
      </c>
      <c r="I8" s="4">
        <v>3027.7692858005512</v>
      </c>
      <c r="J8" s="4">
        <v>0</v>
      </c>
      <c r="L8" s="6">
        <v>16195.03275068825</v>
      </c>
      <c r="N8" s="4">
        <v>0</v>
      </c>
      <c r="O8" s="4">
        <v>0</v>
      </c>
      <c r="P8" s="4">
        <v>0</v>
      </c>
      <c r="Q8" s="4">
        <v>182.28643631627907</v>
      </c>
      <c r="R8" s="4">
        <v>2681.9177327794446</v>
      </c>
      <c r="S8" s="4">
        <v>2624.7392877557481</v>
      </c>
      <c r="T8" s="4">
        <v>684.71459680584735</v>
      </c>
      <c r="U8" s="4">
        <v>0</v>
      </c>
      <c r="V8" s="13"/>
      <c r="W8" s="4">
        <v>0</v>
      </c>
      <c r="X8" s="4">
        <v>0</v>
      </c>
      <c r="Y8" s="4">
        <v>0</v>
      </c>
      <c r="Z8" s="4">
        <v>182.36706107920489</v>
      </c>
      <c r="AA8" s="4">
        <v>522.23708103133902</v>
      </c>
      <c r="AB8" s="4">
        <v>596.82938765016559</v>
      </c>
      <c r="AC8" s="4">
        <v>273.59605896858369</v>
      </c>
      <c r="AD8" s="4">
        <v>0</v>
      </c>
      <c r="AE8" s="13"/>
      <c r="AF8" s="4">
        <v>0</v>
      </c>
      <c r="AG8" s="4">
        <v>0</v>
      </c>
      <c r="AH8" s="4">
        <v>0</v>
      </c>
      <c r="AI8" s="4">
        <v>266.43762319583084</v>
      </c>
      <c r="AJ8" s="4">
        <v>2544.1874611141247</v>
      </c>
      <c r="AK8" s="4">
        <v>3365.8249452078717</v>
      </c>
      <c r="AL8" s="4">
        <v>1991.4392529097713</v>
      </c>
      <c r="AM8" s="4">
        <v>0</v>
      </c>
      <c r="AN8" s="13"/>
      <c r="AO8" s="4">
        <v>0</v>
      </c>
      <c r="AP8" s="4">
        <v>0</v>
      </c>
      <c r="AQ8" s="4">
        <v>0</v>
      </c>
      <c r="AR8" s="4">
        <v>0</v>
      </c>
      <c r="AS8" s="4">
        <v>70.476022829910917</v>
      </c>
      <c r="AT8" s="4">
        <v>129.96042592777783</v>
      </c>
      <c r="AU8" s="4">
        <v>78.019377116348338</v>
      </c>
      <c r="AV8" s="4">
        <v>0</v>
      </c>
    </row>
    <row r="9" spans="2:48" x14ac:dyDescent="0.3">
      <c r="B9" s="12" t="s">
        <v>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L9" s="6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13"/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13"/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13"/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</row>
    <row r="10" spans="2:48" x14ac:dyDescent="0.3">
      <c r="B10" s="12" t="s">
        <v>19</v>
      </c>
      <c r="C10" s="4">
        <v>0</v>
      </c>
      <c r="D10" s="4">
        <v>0</v>
      </c>
      <c r="E10" s="4">
        <v>0</v>
      </c>
      <c r="F10" s="4">
        <v>214.74724629713407</v>
      </c>
      <c r="G10" s="4">
        <v>488.41001221823922</v>
      </c>
      <c r="H10" s="4">
        <v>5092.0229425442194</v>
      </c>
      <c r="I10" s="4">
        <v>4339.2508042909194</v>
      </c>
      <c r="J10" s="4">
        <v>0</v>
      </c>
      <c r="L10" s="6">
        <v>10134.431005350512</v>
      </c>
      <c r="N10" s="4">
        <v>0</v>
      </c>
      <c r="O10" s="4">
        <v>0</v>
      </c>
      <c r="P10" s="4">
        <v>0</v>
      </c>
      <c r="Q10" s="4">
        <v>12.735398230088494</v>
      </c>
      <c r="R10" s="4">
        <v>205.37748870383621</v>
      </c>
      <c r="S10" s="4">
        <v>1614.833465888406</v>
      </c>
      <c r="T10" s="4">
        <v>1272.5617988143013</v>
      </c>
      <c r="U10" s="4">
        <v>0</v>
      </c>
      <c r="V10" s="13"/>
      <c r="W10" s="4">
        <v>0</v>
      </c>
      <c r="X10" s="4">
        <v>0</v>
      </c>
      <c r="Y10" s="4">
        <v>0</v>
      </c>
      <c r="Z10" s="4">
        <v>142.28125420625562</v>
      </c>
      <c r="AA10" s="4">
        <v>52.896473784346355</v>
      </c>
      <c r="AB10" s="4">
        <v>614.57577291443079</v>
      </c>
      <c r="AC10" s="4">
        <v>502.24726215414012</v>
      </c>
      <c r="AD10" s="4">
        <v>0</v>
      </c>
      <c r="AE10" s="13"/>
      <c r="AF10" s="4">
        <v>0</v>
      </c>
      <c r="AG10" s="4">
        <v>0</v>
      </c>
      <c r="AH10" s="4">
        <v>0</v>
      </c>
      <c r="AI10" s="4">
        <v>59.730593860789959</v>
      </c>
      <c r="AJ10" s="4">
        <v>217.5926967276269</v>
      </c>
      <c r="AK10" s="4">
        <v>2831.2553212353082</v>
      </c>
      <c r="AL10" s="4">
        <v>2533.0833608164044</v>
      </c>
      <c r="AM10" s="4">
        <v>0</v>
      </c>
      <c r="AN10" s="13"/>
      <c r="AO10" s="4">
        <v>0</v>
      </c>
      <c r="AP10" s="4">
        <v>0</v>
      </c>
      <c r="AQ10" s="4">
        <v>0</v>
      </c>
      <c r="AR10" s="4">
        <v>0</v>
      </c>
      <c r="AS10" s="4">
        <v>12.543353002429708</v>
      </c>
      <c r="AT10" s="4">
        <v>31.358382506074271</v>
      </c>
      <c r="AU10" s="4">
        <v>31.358382506074271</v>
      </c>
      <c r="AV10" s="4">
        <v>0</v>
      </c>
    </row>
    <row r="11" spans="2:48" x14ac:dyDescent="0.3">
      <c r="B11" s="7" t="s">
        <v>20</v>
      </c>
      <c r="C11" s="14">
        <v>0</v>
      </c>
      <c r="D11" s="14">
        <v>0</v>
      </c>
      <c r="E11" s="14">
        <v>226.2962962962963</v>
      </c>
      <c r="F11" s="14">
        <v>9198.5626825220515</v>
      </c>
      <c r="G11" s="14">
        <v>34328.094951299274</v>
      </c>
      <c r="H11" s="14">
        <v>30730.4115209007</v>
      </c>
      <c r="I11" s="14">
        <v>17805.934509466322</v>
      </c>
      <c r="J11" s="14">
        <v>0</v>
      </c>
      <c r="L11" s="14">
        <v>92289.299960484655</v>
      </c>
      <c r="N11" s="14">
        <v>0</v>
      </c>
      <c r="O11" s="14">
        <v>0</v>
      </c>
      <c r="P11" s="14">
        <v>145.69629629629631</v>
      </c>
      <c r="Q11" s="14">
        <v>2579.0917957073279</v>
      </c>
      <c r="R11" s="14">
        <v>16487.571185212502</v>
      </c>
      <c r="S11" s="14">
        <v>10349.998215505821</v>
      </c>
      <c r="T11" s="14">
        <v>2944.887790741589</v>
      </c>
      <c r="U11" s="14">
        <v>0</v>
      </c>
      <c r="V11" s="32"/>
      <c r="W11" s="14">
        <v>0</v>
      </c>
      <c r="X11" s="14">
        <v>0</v>
      </c>
      <c r="Y11" s="14">
        <v>11.65185185185185</v>
      </c>
      <c r="Z11" s="14">
        <v>1579.5463740735697</v>
      </c>
      <c r="AA11" s="14">
        <v>2296.1119219869192</v>
      </c>
      <c r="AB11" s="14">
        <v>3203.6087470832331</v>
      </c>
      <c r="AC11" s="14">
        <v>1758.0718808561458</v>
      </c>
      <c r="AD11" s="14">
        <v>0</v>
      </c>
      <c r="AE11" s="32"/>
      <c r="AF11" s="14">
        <v>0</v>
      </c>
      <c r="AG11" s="14">
        <v>0</v>
      </c>
      <c r="AH11" s="14">
        <v>68.948148148148135</v>
      </c>
      <c r="AI11" s="14">
        <v>4910.4752464588855</v>
      </c>
      <c r="AJ11" s="14">
        <v>15218.048527905794</v>
      </c>
      <c r="AK11" s="14">
        <v>16575.41468377471</v>
      </c>
      <c r="AL11" s="14">
        <v>12718.741802745453</v>
      </c>
      <c r="AM11" s="14">
        <v>0</v>
      </c>
      <c r="AN11" s="32"/>
      <c r="AO11" s="14">
        <v>0</v>
      </c>
      <c r="AP11" s="14">
        <v>0</v>
      </c>
      <c r="AQ11" s="14">
        <v>0</v>
      </c>
      <c r="AR11" s="14">
        <v>129.44926628226759</v>
      </c>
      <c r="AS11" s="14">
        <v>326.36331619405843</v>
      </c>
      <c r="AT11" s="14">
        <v>601.38987453693392</v>
      </c>
      <c r="AU11" s="14">
        <v>384.23303512313589</v>
      </c>
      <c r="AV11" s="14">
        <v>0</v>
      </c>
    </row>
    <row r="13" spans="2:48" x14ac:dyDescent="0.3">
      <c r="B13" s="7" t="s">
        <v>61</v>
      </c>
    </row>
    <row r="14" spans="2:48" x14ac:dyDescent="0.3">
      <c r="B14" s="12" t="s">
        <v>3</v>
      </c>
      <c r="C14" s="4">
        <f>N14+W14+AF14+AO14</f>
        <v>0</v>
      </c>
      <c r="D14" s="4">
        <f t="shared" ref="D14:D20" si="0">O14+X14+AG14+AP14</f>
        <v>0</v>
      </c>
      <c r="E14" s="4">
        <f t="shared" ref="E14:E20" si="1">P14+Y14+AH14+AQ14</f>
        <v>0</v>
      </c>
      <c r="F14" s="4">
        <f t="shared" ref="F14:F20" si="2">Q14+Z14+AI14+AR14</f>
        <v>536.31866165528834</v>
      </c>
      <c r="G14" s="4">
        <f t="shared" ref="G14:G20" si="3">R14+AA14+AJ14+AS14</f>
        <v>7861.8691642815602</v>
      </c>
      <c r="H14" s="4">
        <f t="shared" ref="H14:H20" si="4">S14+AB14+AK14+AT14</f>
        <v>7959.5016193897382</v>
      </c>
      <c r="I14" s="4">
        <f t="shared" ref="I14:I20" si="5">T14+AC14+AL14+AU14</f>
        <v>3368.4436003776991</v>
      </c>
      <c r="J14" s="4">
        <f t="shared" ref="J14:J20" si="6">U14+AD14+AM14+AV14</f>
        <v>0</v>
      </c>
      <c r="L14" s="6">
        <f t="shared" ref="L14" si="7">SUM(C14:J14)</f>
        <v>19726.133045704286</v>
      </c>
      <c r="N14" s="6">
        <f t="shared" ref="N14:U14" si="8">N4</f>
        <v>0</v>
      </c>
      <c r="O14" s="6">
        <f t="shared" si="8"/>
        <v>0</v>
      </c>
      <c r="P14" s="6">
        <f t="shared" si="8"/>
        <v>0</v>
      </c>
      <c r="Q14" s="6">
        <f t="shared" si="8"/>
        <v>0</v>
      </c>
      <c r="R14" s="6">
        <f t="shared" si="8"/>
        <v>3466.327352329346</v>
      </c>
      <c r="S14" s="6">
        <f t="shared" si="8"/>
        <v>2345.495278907576</v>
      </c>
      <c r="T14" s="6">
        <f t="shared" si="8"/>
        <v>426.45368707410472</v>
      </c>
      <c r="U14" s="6">
        <f t="shared" si="8"/>
        <v>0</v>
      </c>
      <c r="W14" s="6">
        <f>IF(W$3&gt;2020,W4,W4*'CPA3 labour esc'!D$15)</f>
        <v>0</v>
      </c>
      <c r="X14" s="6">
        <f>IF(X$3&gt;2020,X4,X4*'CPA3 labour esc'!E$15)</f>
        <v>0</v>
      </c>
      <c r="Y14" s="6">
        <f>IF(Y$3&gt;2020,Y4,Y4*'CPA3 labour esc'!F$15)</f>
        <v>0</v>
      </c>
      <c r="Z14" s="6">
        <f>IF(Z$3&gt;2020,Z4,Z4*'CPA3 labour esc'!G$15)</f>
        <v>177.26057607416351</v>
      </c>
      <c r="AA14" s="38">
        <f>IF(AA$3&gt;2020,AA4,AA4*'CPA3 labour esc'!H$15)</f>
        <v>598.5761727056622</v>
      </c>
      <c r="AB14" s="38">
        <f>IF(AB$3&gt;2020,AB4,AB4*'CPA3 labour esc'!I$15)</f>
        <v>696.32855903614336</v>
      </c>
      <c r="AC14" s="38">
        <f>IF(AC$3&gt;2020,AC4,AC4*'CPA3 labour esc'!J$15)</f>
        <v>347.44571662568018</v>
      </c>
      <c r="AD14" s="38">
        <f>IF(AD$3&gt;2020,AD4,AD4*'CPA3 labour esc'!K$15)</f>
        <v>0</v>
      </c>
      <c r="AF14" s="6">
        <f>IF(AF$3&gt;2020,AF4,AF4*'CPA3 labour esc'!D$16)</f>
        <v>0</v>
      </c>
      <c r="AG14" s="6">
        <f>IF(AG$3&gt;2020,AG4,AG4*'CPA3 labour esc'!E$16)</f>
        <v>0</v>
      </c>
      <c r="AH14" s="6">
        <f>IF(AH$3&gt;2020,AH4,AH4*'CPA3 labour esc'!F$16)</f>
        <v>0</v>
      </c>
      <c r="AI14" s="6">
        <f>IF(AI$3&gt;2020,AI4,AI4*'CPA3 labour esc'!G$16)</f>
        <v>359.05808558112483</v>
      </c>
      <c r="AJ14" s="6">
        <f>IF(AJ$3&gt;2020,AJ4,AJ4*'CPA3 labour esc'!H$16)</f>
        <v>3707.8194443116545</v>
      </c>
      <c r="AK14" s="6">
        <f>IF(AK$3&gt;2020,AK4,AK4*'CPA3 labour esc'!I$16)</f>
        <v>4731.6363346898934</v>
      </c>
      <c r="AL14" s="6">
        <f>IF(AL$3&gt;2020,AL4,AL4*'CPA3 labour esc'!J$16)</f>
        <v>2476.0081508634898</v>
      </c>
      <c r="AM14" s="6">
        <f>IF(AM$3&gt;2020,AM4,AM4*'CPA3 labour esc'!K$16)</f>
        <v>0</v>
      </c>
      <c r="AO14" s="6">
        <f t="shared" ref="AO14:AV14" si="9">AO4</f>
        <v>0</v>
      </c>
      <c r="AP14" s="6">
        <f t="shared" si="9"/>
        <v>0</v>
      </c>
      <c r="AQ14" s="6">
        <f t="shared" si="9"/>
        <v>0</v>
      </c>
      <c r="AR14" s="6">
        <f t="shared" si="9"/>
        <v>0</v>
      </c>
      <c r="AS14" s="6">
        <f t="shared" si="9"/>
        <v>89.146194934897636</v>
      </c>
      <c r="AT14" s="6">
        <f t="shared" si="9"/>
        <v>186.04144675612491</v>
      </c>
      <c r="AU14" s="6">
        <f t="shared" si="9"/>
        <v>118.53604581442424</v>
      </c>
      <c r="AV14" s="6">
        <f t="shared" si="9"/>
        <v>0</v>
      </c>
    </row>
    <row r="15" spans="2:48" s="16" customFormat="1" x14ac:dyDescent="0.3">
      <c r="B15" s="15" t="s">
        <v>4</v>
      </c>
      <c r="C15" s="10">
        <f t="shared" ref="C15:C20" si="10">N15+W15+AF15+AO15</f>
        <v>0</v>
      </c>
      <c r="D15" s="10">
        <f t="shared" si="0"/>
        <v>0</v>
      </c>
      <c r="E15" s="10">
        <f t="shared" si="1"/>
        <v>0</v>
      </c>
      <c r="F15" s="10">
        <f t="shared" si="2"/>
        <v>368.43421920308464</v>
      </c>
      <c r="G15" s="10">
        <f t="shared" si="3"/>
        <v>13200.528913449874</v>
      </c>
      <c r="H15" s="10">
        <f t="shared" si="4"/>
        <v>3969.2054772750489</v>
      </c>
      <c r="I15" s="10">
        <f t="shared" si="5"/>
        <v>5260.9970873916318</v>
      </c>
      <c r="J15" s="10">
        <f t="shared" si="6"/>
        <v>0</v>
      </c>
      <c r="L15" s="17">
        <f>SUM(C15:J15)</f>
        <v>22799.16569731964</v>
      </c>
      <c r="N15" s="17">
        <f>N5</f>
        <v>0</v>
      </c>
      <c r="O15" s="17">
        <f t="shared" ref="O15:U15" si="11">O5</f>
        <v>0</v>
      </c>
      <c r="P15" s="17">
        <f t="shared" si="11"/>
        <v>0</v>
      </c>
      <c r="Q15" s="17">
        <f t="shared" si="11"/>
        <v>0</v>
      </c>
      <c r="R15" s="17">
        <f t="shared" si="11"/>
        <v>7120.0561260348386</v>
      </c>
      <c r="S15" s="17">
        <f t="shared" si="11"/>
        <v>1146.1942120665228</v>
      </c>
      <c r="T15" s="17">
        <f t="shared" si="11"/>
        <v>0</v>
      </c>
      <c r="U15" s="17">
        <f t="shared" si="11"/>
        <v>0</v>
      </c>
      <c r="W15" s="17">
        <f>IF(W$3&gt;2020,W5,W5*'CPA3 labour esc'!D$15)</f>
        <v>0</v>
      </c>
      <c r="X15" s="17">
        <f>IF(X$3&gt;2020,X5,X5*'CPA3 labour esc'!E$15)</f>
        <v>0</v>
      </c>
      <c r="Y15" s="17">
        <f>IF(Y$3&gt;2020,Y5,Y5*'CPA3 labour esc'!F$15)</f>
        <v>0</v>
      </c>
      <c r="Z15" s="17">
        <f>IF(Z$3&gt;2020,Z5,Z5*'CPA3 labour esc'!G$15)</f>
        <v>97.099457214437663</v>
      </c>
      <c r="AA15" s="17">
        <f>IF(AA$3&gt;2020,AA5,AA5*'CPA3 labour esc'!H$15)</f>
        <v>375.2387704794271</v>
      </c>
      <c r="AB15" s="17">
        <f>IF(AB$3&gt;2020,AB5,AB5*'CPA3 labour esc'!I$15)</f>
        <v>540.90059336029606</v>
      </c>
      <c r="AC15" s="17">
        <f>IF(AC$3&gt;2020,AC5,AC5*'CPA3 labour esc'!J$15)</f>
        <v>395.73852976576171</v>
      </c>
      <c r="AD15" s="17">
        <f>IF(AD$3&gt;2020,AD5,AD5*'CPA3 labour esc'!K$15)</f>
        <v>0</v>
      </c>
      <c r="AF15" s="17">
        <f>IF(AF$3&gt;2020,AF5,AF5*'CPA3 labour esc'!D$16)</f>
        <v>0</v>
      </c>
      <c r="AG15" s="17">
        <f>IF(AG$3&gt;2020,AG5,AG5*'CPA3 labour esc'!E$16)</f>
        <v>0</v>
      </c>
      <c r="AH15" s="17">
        <f>IF(AH$3&gt;2020,AH5,AH5*'CPA3 labour esc'!F$16)</f>
        <v>0</v>
      </c>
      <c r="AI15" s="17">
        <f>IF(AI$3&gt;2020,AI5,AI5*'CPA3 labour esc'!G$16)</f>
        <v>271.33476198864696</v>
      </c>
      <c r="AJ15" s="17">
        <f>IF(AJ$3&gt;2020,AJ5,AJ5*'CPA3 labour esc'!H$16)</f>
        <v>5705.2340169356085</v>
      </c>
      <c r="AK15" s="17">
        <f>IF(AK$3&gt;2020,AK5,AK5*'CPA3 labour esc'!I$16)</f>
        <v>2167.1682727230409</v>
      </c>
      <c r="AL15" s="17">
        <f>IF(AL$3&gt;2020,AL5,AL5*'CPA3 labour esc'!J$16)</f>
        <v>4761.8987710207775</v>
      </c>
      <c r="AM15" s="17">
        <f>IF(AM$3&gt;2020,AM5,AM5*'CPA3 labour esc'!K$16)</f>
        <v>0</v>
      </c>
      <c r="AO15" s="17">
        <f>AO5</f>
        <v>0</v>
      </c>
      <c r="AP15" s="17">
        <f t="shared" ref="AP15:AV15" si="12">AP5</f>
        <v>0</v>
      </c>
      <c r="AQ15" s="17">
        <f t="shared" si="12"/>
        <v>0</v>
      </c>
      <c r="AR15" s="17">
        <f t="shared" si="12"/>
        <v>0</v>
      </c>
      <c r="AS15" s="17">
        <f t="shared" si="12"/>
        <v>0</v>
      </c>
      <c r="AT15" s="17">
        <f t="shared" si="12"/>
        <v>114.94239912518938</v>
      </c>
      <c r="AU15" s="17">
        <f t="shared" si="12"/>
        <v>103.35978660509221</v>
      </c>
      <c r="AV15" s="17">
        <f t="shared" si="12"/>
        <v>0</v>
      </c>
    </row>
    <row r="16" spans="2:48" x14ac:dyDescent="0.3">
      <c r="B16" s="12" t="s">
        <v>5</v>
      </c>
      <c r="C16" s="4">
        <f t="shared" si="10"/>
        <v>0</v>
      </c>
      <c r="D16" s="4">
        <f t="shared" si="0"/>
        <v>0</v>
      </c>
      <c r="E16" s="4">
        <f t="shared" si="1"/>
        <v>0</v>
      </c>
      <c r="F16" s="4">
        <f t="shared" si="2"/>
        <v>366.98971499242049</v>
      </c>
      <c r="G16" s="4">
        <f t="shared" si="3"/>
        <v>3195.3837566917628</v>
      </c>
      <c r="H16" s="4">
        <f t="shared" si="4"/>
        <v>6992.3274351501286</v>
      </c>
      <c r="I16" s="4">
        <f t="shared" si="5"/>
        <v>1809.4737316055221</v>
      </c>
      <c r="J16" s="4">
        <f t="shared" si="6"/>
        <v>0</v>
      </c>
      <c r="L16" s="6">
        <f t="shared" ref="L16:L20" si="13">SUM(C16:J16)</f>
        <v>12364.174638439834</v>
      </c>
      <c r="N16" s="6">
        <f t="shared" ref="N16:U16" si="14">N6</f>
        <v>0</v>
      </c>
      <c r="O16" s="6">
        <f t="shared" si="14"/>
        <v>0</v>
      </c>
      <c r="P16" s="6">
        <f t="shared" si="14"/>
        <v>0</v>
      </c>
      <c r="Q16" s="6">
        <f t="shared" si="14"/>
        <v>0</v>
      </c>
      <c r="R16" s="6">
        <f t="shared" si="14"/>
        <v>1380.9016610157153</v>
      </c>
      <c r="S16" s="6">
        <f t="shared" si="14"/>
        <v>2618.735970887567</v>
      </c>
      <c r="T16" s="6">
        <f t="shared" si="14"/>
        <v>561.15770804733575</v>
      </c>
      <c r="U16" s="6">
        <f t="shared" si="14"/>
        <v>0</v>
      </c>
      <c r="W16" s="6">
        <f>IF(W$3&gt;2020,W6,W6*'CPA3 labour esc'!D$15)</f>
        <v>0</v>
      </c>
      <c r="X16" s="6">
        <f>IF(X$3&gt;2020,X6,X6*'CPA3 labour esc'!E$15)</f>
        <v>0</v>
      </c>
      <c r="Y16" s="6">
        <f>IF(Y$3&gt;2020,Y6,Y6*'CPA3 labour esc'!F$15)</f>
        <v>0</v>
      </c>
      <c r="Z16" s="6">
        <f>IF(Z$3&gt;2020,Z6,Z6*'CPA3 labour esc'!G$15)</f>
        <v>94.455588015043645</v>
      </c>
      <c r="AA16" s="6">
        <f>IF(AA$3&gt;2020,AA6,AA6*'CPA3 labour esc'!H$15)</f>
        <v>279.81801379417794</v>
      </c>
      <c r="AB16" s="6">
        <f>IF(AB$3&gt;2020,AB6,AB6*'CPA3 labour esc'!I$15)</f>
        <v>754.97443412219718</v>
      </c>
      <c r="AC16" s="6">
        <f>IF(AC$3&gt;2020,AC6,AC6*'CPA3 labour esc'!J$15)</f>
        <v>239.04431334197994</v>
      </c>
      <c r="AD16" s="6">
        <f>IF(AD$3&gt;2020,AD6,AD6*'CPA3 labour esc'!K$15)</f>
        <v>0</v>
      </c>
      <c r="AF16" s="6">
        <f>IF(AF$3&gt;2020,AF6,AF6*'CPA3 labour esc'!D$16)</f>
        <v>0</v>
      </c>
      <c r="AG16" s="6">
        <f>IF(AG$3&gt;2020,AG6,AG6*'CPA3 labour esc'!E$16)</f>
        <v>0</v>
      </c>
      <c r="AH16" s="6">
        <f>IF(AH$3&gt;2020,AH6,AH6*'CPA3 labour esc'!F$16)</f>
        <v>0</v>
      </c>
      <c r="AI16" s="6">
        <f>IF(AI$3&gt;2020,AI6,AI6*'CPA3 labour esc'!G$16)</f>
        <v>272.53412697737684</v>
      </c>
      <c r="AJ16" s="6">
        <f>IF(AJ$3&gt;2020,AJ6,AJ6*'CPA3 labour esc'!H$16)</f>
        <v>1509.9156027373169</v>
      </c>
      <c r="AK16" s="6">
        <f>IF(AK$3&gt;2020,AK6,AK6*'CPA3 labour esc'!I$16)</f>
        <v>3479.529809918597</v>
      </c>
      <c r="AL16" s="6">
        <f>IF(AL$3&gt;2020,AL6,AL6*'CPA3 labour esc'!J$16)</f>
        <v>956.31226713500973</v>
      </c>
      <c r="AM16" s="6">
        <f>IF(AM$3&gt;2020,AM6,AM6*'CPA3 labour esc'!K$16)</f>
        <v>0</v>
      </c>
      <c r="AO16" s="6">
        <f t="shared" ref="AO16:AV16" si="15">AO6</f>
        <v>0</v>
      </c>
      <c r="AP16" s="6">
        <f t="shared" si="15"/>
        <v>0</v>
      </c>
      <c r="AQ16" s="6">
        <f t="shared" si="15"/>
        <v>0</v>
      </c>
      <c r="AR16" s="6">
        <f t="shared" si="15"/>
        <v>0</v>
      </c>
      <c r="AS16" s="6">
        <f t="shared" si="15"/>
        <v>24.74847914455259</v>
      </c>
      <c r="AT16" s="6">
        <f t="shared" si="15"/>
        <v>139.0872202217675</v>
      </c>
      <c r="AU16" s="6">
        <f t="shared" si="15"/>
        <v>52.959443081196795</v>
      </c>
      <c r="AV16" s="6">
        <f t="shared" si="15"/>
        <v>0</v>
      </c>
    </row>
    <row r="17" spans="2:48" x14ac:dyDescent="0.3">
      <c r="B17" s="12" t="s">
        <v>6</v>
      </c>
      <c r="C17" s="4">
        <f t="shared" si="10"/>
        <v>0</v>
      </c>
      <c r="D17" s="4">
        <f t="shared" si="0"/>
        <v>0</v>
      </c>
      <c r="E17" s="4">
        <f t="shared" si="1"/>
        <v>227.67084932491159</v>
      </c>
      <c r="F17" s="4">
        <f t="shared" si="2"/>
        <v>7242.9703849379957</v>
      </c>
      <c r="G17" s="4">
        <f t="shared" si="3"/>
        <v>4326.8868821724345</v>
      </c>
      <c r="H17" s="4">
        <f t="shared" si="4"/>
        <v>0</v>
      </c>
      <c r="I17" s="4">
        <f t="shared" si="5"/>
        <v>0</v>
      </c>
      <c r="J17" s="4">
        <f t="shared" si="6"/>
        <v>0</v>
      </c>
      <c r="L17" s="6">
        <f t="shared" si="13"/>
        <v>11797.528116435342</v>
      </c>
      <c r="N17" s="6">
        <f t="shared" ref="N17:U17" si="16">N7</f>
        <v>0</v>
      </c>
      <c r="O17" s="6">
        <f t="shared" si="16"/>
        <v>0</v>
      </c>
      <c r="P17" s="6">
        <f t="shared" si="16"/>
        <v>145.69629629629631</v>
      </c>
      <c r="Q17" s="6">
        <f t="shared" si="16"/>
        <v>2384.0699611609607</v>
      </c>
      <c r="R17" s="6">
        <f t="shared" si="16"/>
        <v>1632.990824349321</v>
      </c>
      <c r="S17" s="6">
        <f t="shared" si="16"/>
        <v>0</v>
      </c>
      <c r="T17" s="6">
        <f t="shared" si="16"/>
        <v>0</v>
      </c>
      <c r="U17" s="6">
        <f t="shared" si="16"/>
        <v>0</v>
      </c>
      <c r="W17" s="6">
        <f>IF(W$3&gt;2020,W7,W7*'CPA3 labour esc'!D$15)</f>
        <v>0</v>
      </c>
      <c r="X17" s="6">
        <f>IF(X$3&gt;2020,X7,X7*'CPA3 labour esc'!E$15)</f>
        <v>0</v>
      </c>
      <c r="Y17" s="6">
        <f>IF(Y$3&gt;2020,Y7,Y7*'CPA3 labour esc'!F$15)</f>
        <v>11.834503332630813</v>
      </c>
      <c r="Z17" s="6">
        <f>IF(Z$3&gt;2020,Z7,Z7*'CPA3 labour esc'!G$15)</f>
        <v>917.98976928683953</v>
      </c>
      <c r="AA17" s="6">
        <f>IF(AA$3&gt;2020,AA7,AA7*'CPA3 labour esc'!H$15)</f>
        <v>529.10371995342689</v>
      </c>
      <c r="AB17" s="6">
        <f>IF(AB$3&gt;2020,AB7,AB7*'CPA3 labour esc'!I$15)</f>
        <v>0</v>
      </c>
      <c r="AC17" s="6">
        <f>IF(AC$3&gt;2020,AC7,AC7*'CPA3 labour esc'!J$15)</f>
        <v>0</v>
      </c>
      <c r="AD17" s="6">
        <f>IF(AD$3&gt;2020,AD7,AD7*'CPA3 labour esc'!K$15)</f>
        <v>0</v>
      </c>
      <c r="AF17" s="6">
        <f>IF(AF$3&gt;2020,AF7,AF7*'CPA3 labour esc'!D$16)</f>
        <v>0</v>
      </c>
      <c r="AG17" s="6">
        <f>IF(AG$3&gt;2020,AG7,AG7*'CPA3 labour esc'!E$16)</f>
        <v>0</v>
      </c>
      <c r="AH17" s="6">
        <f>IF(AH$3&gt;2020,AH7,AH7*'CPA3 labour esc'!F$16)</f>
        <v>70.140049695984459</v>
      </c>
      <c r="AI17" s="6">
        <f>IF(AI$3&gt;2020,AI7,AI7*'CPA3 labour esc'!G$16)</f>
        <v>3811.4613882079275</v>
      </c>
      <c r="AJ17" s="6">
        <f>IF(AJ$3&gt;2020,AJ7,AJ7*'CPA3 labour esc'!H$16)</f>
        <v>2035.3430715874192</v>
      </c>
      <c r="AK17" s="6">
        <f>IF(AK$3&gt;2020,AK7,AK7*'CPA3 labour esc'!I$16)</f>
        <v>0</v>
      </c>
      <c r="AL17" s="6">
        <f>IF(AL$3&gt;2020,AL7,AL7*'CPA3 labour esc'!J$16)</f>
        <v>0</v>
      </c>
      <c r="AM17" s="6">
        <f>IF(AM$3&gt;2020,AM7,AM7*'CPA3 labour esc'!K$16)</f>
        <v>0</v>
      </c>
      <c r="AO17" s="6">
        <f t="shared" ref="AO17:AV17" si="17">AO7</f>
        <v>0</v>
      </c>
      <c r="AP17" s="6">
        <f t="shared" si="17"/>
        <v>0</v>
      </c>
      <c r="AQ17" s="6">
        <f t="shared" si="17"/>
        <v>0</v>
      </c>
      <c r="AR17" s="6">
        <f t="shared" si="17"/>
        <v>129.44926628226759</v>
      </c>
      <c r="AS17" s="6">
        <f t="shared" si="17"/>
        <v>129.44926628226759</v>
      </c>
      <c r="AT17" s="6">
        <f t="shared" si="17"/>
        <v>0</v>
      </c>
      <c r="AU17" s="6">
        <f t="shared" si="17"/>
        <v>0</v>
      </c>
      <c r="AV17" s="6">
        <f t="shared" si="17"/>
        <v>0</v>
      </c>
    </row>
    <row r="18" spans="2:48" x14ac:dyDescent="0.3">
      <c r="B18" s="12" t="s">
        <v>7</v>
      </c>
      <c r="C18" s="4">
        <f t="shared" si="10"/>
        <v>0</v>
      </c>
      <c r="D18" s="4">
        <f t="shared" si="0"/>
        <v>0</v>
      </c>
      <c r="E18" s="4">
        <f t="shared" si="1"/>
        <v>0</v>
      </c>
      <c r="F18" s="4">
        <f t="shared" si="2"/>
        <v>643.28828996945799</v>
      </c>
      <c r="G18" s="4">
        <f t="shared" si="3"/>
        <v>5940.101302517498</v>
      </c>
      <c r="H18" s="4">
        <f t="shared" si="4"/>
        <v>6717.3540465415635</v>
      </c>
      <c r="I18" s="4">
        <f t="shared" si="5"/>
        <v>3027.7692858005512</v>
      </c>
      <c r="J18" s="4">
        <f t="shared" si="6"/>
        <v>0</v>
      </c>
      <c r="L18" s="6">
        <f t="shared" si="13"/>
        <v>16328.512924829069</v>
      </c>
      <c r="N18" s="6">
        <f t="shared" ref="N18:U18" si="18">N8</f>
        <v>0</v>
      </c>
      <c r="O18" s="6">
        <f t="shared" si="18"/>
        <v>0</v>
      </c>
      <c r="P18" s="6">
        <f t="shared" si="18"/>
        <v>0</v>
      </c>
      <c r="Q18" s="6">
        <f t="shared" si="18"/>
        <v>182.28643631627907</v>
      </c>
      <c r="R18" s="6">
        <f t="shared" si="18"/>
        <v>2681.9177327794446</v>
      </c>
      <c r="S18" s="6">
        <f t="shared" si="18"/>
        <v>2624.7392877557481</v>
      </c>
      <c r="T18" s="6">
        <f t="shared" si="18"/>
        <v>684.71459680584735</v>
      </c>
      <c r="U18" s="6">
        <f t="shared" si="18"/>
        <v>0</v>
      </c>
      <c r="W18" s="6">
        <f>IF(W$3&gt;2020,W8,W8*'CPA3 labour esc'!D$15)</f>
        <v>0</v>
      </c>
      <c r="X18" s="6">
        <f>IF(X$3&gt;2020,X8,X8*'CPA3 labour esc'!E$15)</f>
        <v>0</v>
      </c>
      <c r="Y18" s="6">
        <f>IF(Y$3&gt;2020,Y8,Y8*'CPA3 labour esc'!F$15)</f>
        <v>0</v>
      </c>
      <c r="Z18" s="6">
        <f>IF(Z$3&gt;2020,Z8,Z8*'CPA3 labour esc'!G$15)</f>
        <v>187.00396866458888</v>
      </c>
      <c r="AA18" s="6">
        <f>IF(AA$3&gt;2020,AA8,AA8*'CPA3 labour esc'!H$15)</f>
        <v>540.97786245805014</v>
      </c>
      <c r="AB18" s="6">
        <f>IF(AB$3&gt;2020,AB8,AB8*'CPA3 labour esc'!I$15)</f>
        <v>596.82938765016559</v>
      </c>
      <c r="AC18" s="6">
        <f>IF(AC$3&gt;2020,AC8,AC8*'CPA3 labour esc'!J$15)</f>
        <v>273.59605896858369</v>
      </c>
      <c r="AD18" s="6">
        <f>IF(AD$3&gt;2020,AD8,AD8*'CPA3 labour esc'!K$15)</f>
        <v>0</v>
      </c>
      <c r="AF18" s="6">
        <f>IF(AF$3&gt;2020,AF8,AF8*'CPA3 labour esc'!D$16)</f>
        <v>0</v>
      </c>
      <c r="AG18" s="6">
        <f>IF(AG$3&gt;2020,AG8,AG8*'CPA3 labour esc'!E$16)</f>
        <v>0</v>
      </c>
      <c r="AH18" s="6">
        <f>IF(AH$3&gt;2020,AH8,AH8*'CPA3 labour esc'!F$16)</f>
        <v>0</v>
      </c>
      <c r="AI18" s="6">
        <f>IF(AI$3&gt;2020,AI8,AI8*'CPA3 labour esc'!G$16)</f>
        <v>273.99788498859004</v>
      </c>
      <c r="AJ18" s="6">
        <f>IF(AJ$3&gt;2020,AJ8,AJ8*'CPA3 labour esc'!H$16)</f>
        <v>2646.7296844500929</v>
      </c>
      <c r="AK18" s="6">
        <f>IF(AK$3&gt;2020,AK8,AK8*'CPA3 labour esc'!I$16)</f>
        <v>3365.8249452078717</v>
      </c>
      <c r="AL18" s="6">
        <f>IF(AL$3&gt;2020,AL8,AL8*'CPA3 labour esc'!J$16)</f>
        <v>1991.4392529097713</v>
      </c>
      <c r="AM18" s="6">
        <f>IF(AM$3&gt;2020,AM8,AM8*'CPA3 labour esc'!K$16)</f>
        <v>0</v>
      </c>
      <c r="AO18" s="6">
        <f t="shared" ref="AO18:AV18" si="19">AO8</f>
        <v>0</v>
      </c>
      <c r="AP18" s="6">
        <f t="shared" si="19"/>
        <v>0</v>
      </c>
      <c r="AQ18" s="6">
        <f t="shared" si="19"/>
        <v>0</v>
      </c>
      <c r="AR18" s="6">
        <f t="shared" si="19"/>
        <v>0</v>
      </c>
      <c r="AS18" s="6">
        <f t="shared" si="19"/>
        <v>70.476022829910917</v>
      </c>
      <c r="AT18" s="6">
        <f t="shared" si="19"/>
        <v>129.96042592777783</v>
      </c>
      <c r="AU18" s="6">
        <f t="shared" si="19"/>
        <v>78.019377116348338</v>
      </c>
      <c r="AV18" s="6">
        <f t="shared" si="19"/>
        <v>0</v>
      </c>
    </row>
    <row r="19" spans="2:48" x14ac:dyDescent="0.3">
      <c r="B19" s="12" t="s">
        <v>8</v>
      </c>
      <c r="C19" s="4">
        <f t="shared" si="10"/>
        <v>0</v>
      </c>
      <c r="D19" s="4">
        <f t="shared" si="0"/>
        <v>0</v>
      </c>
      <c r="E19" s="4">
        <f t="shared" si="1"/>
        <v>0</v>
      </c>
      <c r="F19" s="4">
        <f t="shared" si="2"/>
        <v>0</v>
      </c>
      <c r="G19" s="4">
        <f t="shared" si="3"/>
        <v>0</v>
      </c>
      <c r="H19" s="4">
        <f t="shared" si="4"/>
        <v>0</v>
      </c>
      <c r="I19" s="4">
        <f t="shared" si="5"/>
        <v>0</v>
      </c>
      <c r="J19" s="4">
        <f t="shared" si="6"/>
        <v>0</v>
      </c>
      <c r="L19" s="6">
        <f t="shared" si="13"/>
        <v>0</v>
      </c>
      <c r="N19" s="6">
        <f t="shared" ref="N19:U19" si="20">N9</f>
        <v>0</v>
      </c>
      <c r="O19" s="6">
        <f t="shared" si="20"/>
        <v>0</v>
      </c>
      <c r="P19" s="6">
        <f t="shared" si="20"/>
        <v>0</v>
      </c>
      <c r="Q19" s="6">
        <f t="shared" si="20"/>
        <v>0</v>
      </c>
      <c r="R19" s="6">
        <f t="shared" si="20"/>
        <v>0</v>
      </c>
      <c r="S19" s="6">
        <f t="shared" si="20"/>
        <v>0</v>
      </c>
      <c r="T19" s="6">
        <f t="shared" si="20"/>
        <v>0</v>
      </c>
      <c r="U19" s="6">
        <f t="shared" si="20"/>
        <v>0</v>
      </c>
      <c r="W19" s="6">
        <f>IF(W$3&gt;2020,W9,W9*'CPA3 labour esc'!D$15)</f>
        <v>0</v>
      </c>
      <c r="X19" s="6">
        <f>IF(X$3&gt;2020,X9,X9*'CPA3 labour esc'!E$15)</f>
        <v>0</v>
      </c>
      <c r="Y19" s="6">
        <f>IF(Y$3&gt;2020,Y9,Y9*'CPA3 labour esc'!F$15)</f>
        <v>0</v>
      </c>
      <c r="Z19" s="6">
        <f>IF(Z$3&gt;2020,Z9,Z9*'CPA3 labour esc'!G$15)</f>
        <v>0</v>
      </c>
      <c r="AA19" s="6">
        <f>IF(AA$3&gt;2020,AA9,AA9*'CPA3 labour esc'!H$15)</f>
        <v>0</v>
      </c>
      <c r="AB19" s="6">
        <f>IF(AB$3&gt;2020,AB9,AB9*'CPA3 labour esc'!I$15)</f>
        <v>0</v>
      </c>
      <c r="AC19" s="6">
        <f>IF(AC$3&gt;2020,AC9,AC9*'CPA3 labour esc'!J$15)</f>
        <v>0</v>
      </c>
      <c r="AD19" s="6">
        <f>IF(AD$3&gt;2020,AD9,AD9*'CPA3 labour esc'!K$15)</f>
        <v>0</v>
      </c>
      <c r="AF19" s="6">
        <f>IF(AF$3&gt;2020,AF9,AF9*'CPA3 labour esc'!D$16)</f>
        <v>0</v>
      </c>
      <c r="AG19" s="6">
        <f>IF(AG$3&gt;2020,AG9,AG9*'CPA3 labour esc'!E$16)</f>
        <v>0</v>
      </c>
      <c r="AH19" s="6">
        <f>IF(AH$3&gt;2020,AH9,AH9*'CPA3 labour esc'!F$16)</f>
        <v>0</v>
      </c>
      <c r="AI19" s="6">
        <f>IF(AI$3&gt;2020,AI9,AI9*'CPA3 labour esc'!G$16)</f>
        <v>0</v>
      </c>
      <c r="AJ19" s="6">
        <f>IF(AJ$3&gt;2020,AJ9,AJ9*'CPA3 labour esc'!H$16)</f>
        <v>0</v>
      </c>
      <c r="AK19" s="6">
        <f>IF(AK$3&gt;2020,AK9,AK9*'CPA3 labour esc'!I$16)</f>
        <v>0</v>
      </c>
      <c r="AL19" s="6">
        <f>IF(AL$3&gt;2020,AL9,AL9*'CPA3 labour esc'!J$16)</f>
        <v>0</v>
      </c>
      <c r="AM19" s="6">
        <f>IF(AM$3&gt;2020,AM9,AM9*'CPA3 labour esc'!K$16)</f>
        <v>0</v>
      </c>
      <c r="AO19" s="6">
        <f t="shared" ref="AO19:AV19" si="21">AO9</f>
        <v>0</v>
      </c>
      <c r="AP19" s="6">
        <f t="shared" si="21"/>
        <v>0</v>
      </c>
      <c r="AQ19" s="6">
        <f t="shared" si="21"/>
        <v>0</v>
      </c>
      <c r="AR19" s="6">
        <f t="shared" si="21"/>
        <v>0</v>
      </c>
      <c r="AS19" s="6">
        <f t="shared" si="21"/>
        <v>0</v>
      </c>
      <c r="AT19" s="6">
        <f t="shared" si="21"/>
        <v>0</v>
      </c>
      <c r="AU19" s="6">
        <f t="shared" si="21"/>
        <v>0</v>
      </c>
      <c r="AV19" s="6">
        <f t="shared" si="21"/>
        <v>0</v>
      </c>
    </row>
    <row r="20" spans="2:48" x14ac:dyDescent="0.3">
      <c r="B20" s="12" t="s">
        <v>19</v>
      </c>
      <c r="C20" s="4">
        <f t="shared" si="10"/>
        <v>0</v>
      </c>
      <c r="D20" s="4">
        <f t="shared" si="0"/>
        <v>0</v>
      </c>
      <c r="E20" s="4">
        <f t="shared" si="1"/>
        <v>0</v>
      </c>
      <c r="F20" s="4">
        <f t="shared" si="2"/>
        <v>220.05979949978499</v>
      </c>
      <c r="G20" s="4">
        <f t="shared" si="3"/>
        <v>499.07819948818758</v>
      </c>
      <c r="H20" s="4">
        <f t="shared" si="4"/>
        <v>5092.0229425442194</v>
      </c>
      <c r="I20" s="4">
        <f t="shared" si="5"/>
        <v>4339.2508042909194</v>
      </c>
      <c r="J20" s="4">
        <f t="shared" si="6"/>
        <v>0</v>
      </c>
      <c r="L20" s="6">
        <f t="shared" si="13"/>
        <v>10150.411745823112</v>
      </c>
      <c r="N20" s="6">
        <f t="shared" ref="N20:U20" si="22">N10</f>
        <v>0</v>
      </c>
      <c r="O20" s="6">
        <f t="shared" si="22"/>
        <v>0</v>
      </c>
      <c r="P20" s="6">
        <f t="shared" si="22"/>
        <v>0</v>
      </c>
      <c r="Q20" s="6">
        <f t="shared" si="22"/>
        <v>12.735398230088494</v>
      </c>
      <c r="R20" s="6">
        <f t="shared" si="22"/>
        <v>205.37748870383621</v>
      </c>
      <c r="S20" s="6">
        <f t="shared" si="22"/>
        <v>1614.833465888406</v>
      </c>
      <c r="T20" s="6">
        <f t="shared" si="22"/>
        <v>1272.5617988143013</v>
      </c>
      <c r="U20" s="6">
        <f t="shared" si="22"/>
        <v>0</v>
      </c>
      <c r="W20" s="6">
        <f>IF(W$3&gt;2020,W10,W10*'CPA3 labour esc'!D$15)</f>
        <v>0</v>
      </c>
      <c r="X20" s="6">
        <f>IF(X$3&gt;2020,X10,X10*'CPA3 labour esc'!E$15)</f>
        <v>0</v>
      </c>
      <c r="Y20" s="6">
        <f>IF(Y$3&gt;2020,Y10,Y10*'CPA3 labour esc'!F$15)</f>
        <v>0</v>
      </c>
      <c r="Z20" s="6">
        <f>IF(Z$3&gt;2020,Z10,Z10*'CPA3 labour esc'!G$15)</f>
        <v>145.89893068238416</v>
      </c>
      <c r="AA20" s="6">
        <f>IF(AA$3&gt;2020,AA10,AA10*'CPA3 labour esc'!H$15)</f>
        <v>54.794694514820875</v>
      </c>
      <c r="AB20" s="6">
        <f>IF(AB$3&gt;2020,AB10,AB10*'CPA3 labour esc'!I$15)</f>
        <v>614.57577291443079</v>
      </c>
      <c r="AC20" s="6">
        <f>IF(AC$3&gt;2020,AC10,AC10*'CPA3 labour esc'!J$15)</f>
        <v>502.24726215414012</v>
      </c>
      <c r="AD20" s="6">
        <f>IF(AD$3&gt;2020,AD10,AD10*'CPA3 labour esc'!K$15)</f>
        <v>0</v>
      </c>
      <c r="AF20" s="6">
        <f>IF(AF$3&gt;2020,AF10,AF10*'CPA3 labour esc'!D$16)</f>
        <v>0</v>
      </c>
      <c r="AG20" s="6">
        <f>IF(AG$3&gt;2020,AG10,AG10*'CPA3 labour esc'!E$16)</f>
        <v>0</v>
      </c>
      <c r="AH20" s="6">
        <f>IF(AH$3&gt;2020,AH10,AH10*'CPA3 labour esc'!F$16)</f>
        <v>0</v>
      </c>
      <c r="AI20" s="6">
        <f>IF(AI$3&gt;2020,AI10,AI10*'CPA3 labour esc'!G$16)</f>
        <v>61.425470587312326</v>
      </c>
      <c r="AJ20" s="6">
        <f>IF(AJ$3&gt;2020,AJ10,AJ10*'CPA3 labour esc'!H$16)</f>
        <v>226.3626632671008</v>
      </c>
      <c r="AK20" s="6">
        <f>IF(AK$3&gt;2020,AK10,AK10*'CPA3 labour esc'!I$16)</f>
        <v>2831.2553212353082</v>
      </c>
      <c r="AL20" s="6">
        <f>IF(AL$3&gt;2020,AL10,AL10*'CPA3 labour esc'!J$16)</f>
        <v>2533.0833608164044</v>
      </c>
      <c r="AM20" s="6">
        <f>IF(AM$3&gt;2020,AM10,AM10*'CPA3 labour esc'!K$16)</f>
        <v>0</v>
      </c>
      <c r="AO20" s="6">
        <f t="shared" ref="AO20:AV20" si="23">AO10</f>
        <v>0</v>
      </c>
      <c r="AP20" s="6">
        <f t="shared" si="23"/>
        <v>0</v>
      </c>
      <c r="AQ20" s="6">
        <f t="shared" si="23"/>
        <v>0</v>
      </c>
      <c r="AR20" s="6">
        <f t="shared" si="23"/>
        <v>0</v>
      </c>
      <c r="AS20" s="6">
        <f t="shared" si="23"/>
        <v>12.543353002429708</v>
      </c>
      <c r="AT20" s="6">
        <f t="shared" si="23"/>
        <v>31.358382506074271</v>
      </c>
      <c r="AU20" s="6">
        <f t="shared" si="23"/>
        <v>31.358382506074271</v>
      </c>
      <c r="AV20" s="6">
        <f t="shared" si="23"/>
        <v>0</v>
      </c>
    </row>
    <row r="21" spans="2:48" x14ac:dyDescent="0.3">
      <c r="B21" s="7" t="s">
        <v>37</v>
      </c>
      <c r="C21" s="8">
        <f>SUM(C14:C20)</f>
        <v>0</v>
      </c>
      <c r="D21" s="8">
        <f t="shared" ref="D21:L21" si="24">SUM(D14:D20)</f>
        <v>0</v>
      </c>
      <c r="E21" s="37">
        <f t="shared" si="24"/>
        <v>227.67084932491159</v>
      </c>
      <c r="F21" s="37">
        <f t="shared" si="24"/>
        <v>9378.0610702580307</v>
      </c>
      <c r="G21" s="37">
        <f t="shared" si="24"/>
        <v>35023.848218601321</v>
      </c>
      <c r="H21" s="37">
        <f t="shared" si="24"/>
        <v>30730.4115209007</v>
      </c>
      <c r="I21" s="37">
        <f t="shared" si="24"/>
        <v>17805.934509466322</v>
      </c>
      <c r="J21" s="8">
        <f t="shared" si="24"/>
        <v>0</v>
      </c>
      <c r="L21" s="8">
        <f t="shared" si="24"/>
        <v>93165.92616855129</v>
      </c>
      <c r="N21" s="8">
        <f t="shared" ref="N21" si="25">SUM(N14:N20)</f>
        <v>0</v>
      </c>
      <c r="O21" s="8">
        <f t="shared" ref="O21" si="26">SUM(O14:O20)</f>
        <v>0</v>
      </c>
      <c r="P21" s="8">
        <f t="shared" ref="P21" si="27">SUM(P14:P20)</f>
        <v>145.69629629629631</v>
      </c>
      <c r="Q21" s="8">
        <f t="shared" ref="Q21" si="28">SUM(Q14:Q20)</f>
        <v>2579.0917957073279</v>
      </c>
      <c r="R21" s="8">
        <f t="shared" ref="R21" si="29">SUM(R14:R20)</f>
        <v>16487.571185212502</v>
      </c>
      <c r="S21" s="8">
        <f t="shared" ref="S21" si="30">SUM(S14:S20)</f>
        <v>10349.998215505821</v>
      </c>
      <c r="T21" s="8">
        <f t="shared" ref="T21" si="31">SUM(T14:T20)</f>
        <v>2944.887790741589</v>
      </c>
      <c r="U21" s="8">
        <f t="shared" ref="U21" si="32">SUM(U14:U20)</f>
        <v>0</v>
      </c>
      <c r="W21" s="8">
        <f t="shared" ref="W21" si="33">SUM(W14:W20)</f>
        <v>0</v>
      </c>
      <c r="X21" s="8">
        <f t="shared" ref="X21" si="34">SUM(X14:X20)</f>
        <v>0</v>
      </c>
      <c r="Y21" s="8">
        <f t="shared" ref="Y21" si="35">SUM(Y14:Y20)</f>
        <v>11.834503332630813</v>
      </c>
      <c r="Z21" s="8">
        <f t="shared" ref="Z21" si="36">SUM(Z14:Z20)</f>
        <v>1619.7082899374575</v>
      </c>
      <c r="AA21" s="8">
        <f t="shared" ref="AA21" si="37">SUM(AA14:AA20)</f>
        <v>2378.509233905565</v>
      </c>
      <c r="AB21" s="8">
        <f t="shared" ref="AB21" si="38">SUM(AB14:AB20)</f>
        <v>3203.6087470832331</v>
      </c>
      <c r="AC21" s="8">
        <f t="shared" ref="AC21" si="39">SUM(AC14:AC20)</f>
        <v>1758.0718808561458</v>
      </c>
      <c r="AD21" s="8">
        <f t="shared" ref="AD21" si="40">SUM(AD14:AD20)</f>
        <v>0</v>
      </c>
      <c r="AF21" s="8">
        <f t="shared" ref="AF21" si="41">SUM(AF14:AF20)</f>
        <v>0</v>
      </c>
      <c r="AG21" s="8">
        <f t="shared" ref="AG21" si="42">SUM(AG14:AG20)</f>
        <v>0</v>
      </c>
      <c r="AH21" s="8">
        <f t="shared" ref="AH21" si="43">SUM(AH14:AH20)</f>
        <v>70.140049695984459</v>
      </c>
      <c r="AI21" s="8">
        <f t="shared" ref="AI21" si="44">SUM(AI14:AI20)</f>
        <v>5049.8117183309787</v>
      </c>
      <c r="AJ21" s="8">
        <f t="shared" ref="AJ21" si="45">SUM(AJ14:AJ20)</f>
        <v>15831.404483289192</v>
      </c>
      <c r="AK21" s="8">
        <f t="shared" ref="AK21" si="46">SUM(AK14:AK20)</f>
        <v>16575.41468377471</v>
      </c>
      <c r="AL21" s="8">
        <f t="shared" ref="AL21" si="47">SUM(AL14:AL20)</f>
        <v>12718.741802745453</v>
      </c>
      <c r="AM21" s="8">
        <f t="shared" ref="AM21" si="48">SUM(AM14:AM20)</f>
        <v>0</v>
      </c>
      <c r="AO21" s="8">
        <f t="shared" ref="AO21" si="49">SUM(AO14:AO20)</f>
        <v>0</v>
      </c>
      <c r="AP21" s="8">
        <f t="shared" ref="AP21" si="50">SUM(AP14:AP20)</f>
        <v>0</v>
      </c>
      <c r="AQ21" s="8">
        <f t="shared" ref="AQ21" si="51">SUM(AQ14:AQ20)</f>
        <v>0</v>
      </c>
      <c r="AR21" s="8">
        <f t="shared" ref="AR21" si="52">SUM(AR14:AR20)</f>
        <v>129.44926628226759</v>
      </c>
      <c r="AS21" s="8">
        <f t="shared" ref="AS21" si="53">SUM(AS14:AS20)</f>
        <v>326.36331619405843</v>
      </c>
      <c r="AT21" s="8">
        <f t="shared" ref="AT21" si="54">SUM(AT14:AT20)</f>
        <v>601.38987453693392</v>
      </c>
      <c r="AU21" s="8">
        <f t="shared" ref="AU21" si="55">SUM(AU14:AU20)</f>
        <v>384.23303512313589</v>
      </c>
      <c r="AV21" s="8">
        <f t="shared" ref="AV21" si="56">SUM(AV14:AV20)</f>
        <v>0</v>
      </c>
    </row>
    <row r="22" spans="2:48" x14ac:dyDescent="0.3">
      <c r="C22" s="36" t="b">
        <v>1</v>
      </c>
      <c r="D22" s="36" t="b">
        <v>1</v>
      </c>
      <c r="E22" s="36" t="b">
        <v>1</v>
      </c>
      <c r="F22" s="36" t="b">
        <v>1</v>
      </c>
      <c r="G22" s="36" t="b">
        <v>1</v>
      </c>
      <c r="H22" s="36" t="b">
        <v>1</v>
      </c>
      <c r="I22" s="36" t="b">
        <v>1</v>
      </c>
      <c r="J22" s="36" t="b">
        <v>1</v>
      </c>
    </row>
    <row r="23" spans="2:48" x14ac:dyDescent="0.3">
      <c r="B23" s="81" t="s">
        <v>60</v>
      </c>
    </row>
    <row r="24" spans="2:48" x14ac:dyDescent="0.3">
      <c r="B24" s="12" t="s">
        <v>3</v>
      </c>
      <c r="C24" s="4">
        <f>N24+W24+AF24+AO24</f>
        <v>0</v>
      </c>
      <c r="D24" s="4">
        <f t="shared" ref="D24:D30" si="57">O24+X24+AG24+AP24</f>
        <v>0</v>
      </c>
      <c r="E24" s="4">
        <f t="shared" ref="E24:E30" si="58">P24+Y24+AH24+AQ24</f>
        <v>0</v>
      </c>
      <c r="F24" s="4">
        <f t="shared" ref="F24:F30" si="59">Q24+Z24+AI24+AR24</f>
        <v>550.67442833345353</v>
      </c>
      <c r="G24" s="4">
        <f t="shared" ref="G24:G30" si="60">R24+AA24+AJ24+AS24</f>
        <v>8059.5938532384389</v>
      </c>
      <c r="H24" s="4">
        <f t="shared" ref="H24:H30" si="61">S24+AB24+AK24+AT24</f>
        <v>8354.3109970109545</v>
      </c>
      <c r="I24" s="4">
        <f t="shared" ref="I24:I30" si="62">T24+AC24+AL24+AU24</f>
        <v>3544.8782276653569</v>
      </c>
      <c r="J24" s="4">
        <f t="shared" ref="J24:J30" si="63">U24+AD24+AM24+AV24</f>
        <v>0</v>
      </c>
      <c r="L24" s="6">
        <f t="shared" ref="L24" si="64">SUM(C24:J24)</f>
        <v>20509.457506248204</v>
      </c>
      <c r="N24" s="6">
        <f t="shared" ref="N24:U30" si="65">N4*$E$33</f>
        <v>0</v>
      </c>
      <c r="O24" s="6">
        <f t="shared" si="65"/>
        <v>0</v>
      </c>
      <c r="P24" s="6">
        <f t="shared" si="65"/>
        <v>0</v>
      </c>
      <c r="Q24" s="6">
        <f t="shared" si="65"/>
        <v>0</v>
      </c>
      <c r="R24" s="6">
        <f t="shared" si="65"/>
        <v>3596.3751059907436</v>
      </c>
      <c r="S24" s="6">
        <f t="shared" si="65"/>
        <v>2433.492274355905</v>
      </c>
      <c r="T24" s="6">
        <f t="shared" si="65"/>
        <v>442.45314079198272</v>
      </c>
      <c r="U24" s="6">
        <f t="shared" si="65"/>
        <v>0</v>
      </c>
      <c r="W24" s="6">
        <f>IF(W$3&gt;2018,W4*'CPA3 labour esc'!$F$15,W4*'CPA3 labour esc'!D$15)*$E$33</f>
        <v>0</v>
      </c>
      <c r="X24" s="6">
        <f>IF(X$3&gt;2018,X4*'CPA3 labour esc'!$F$15,X4*'CPA3 labour esc'!E$15)*$E$33</f>
        <v>0</v>
      </c>
      <c r="Y24" s="6">
        <f>IF(Y$3&gt;2018,Y4*'CPA3 labour esc'!$F$15,Y4*'CPA3 labour esc'!F$15)*$E$33</f>
        <v>0</v>
      </c>
      <c r="Z24" s="6">
        <f>IF(Z$3&gt;2018,Z4*'CPA3 labour esc'!$F$15,Z4*'CPA3 labour esc'!G$15)*$E$33</f>
        <v>182.16218342914686</v>
      </c>
      <c r="AA24" s="6">
        <f>IF(AA$3&gt;2018,AA4*'CPA3 labour esc'!$F$15,AA4*'CPA3 labour esc'!H$15)*$E$33</f>
        <v>608.91704015064033</v>
      </c>
      <c r="AB24" s="6">
        <f>IF(AB$3&gt;2018,AB4*'CPA3 labour esc'!$F$15,AB4*'CPA3 labour esc'!I$15)*$E$33</f>
        <v>733.77801987703981</v>
      </c>
      <c r="AC24" s="6">
        <f>IF(AC$3&gt;2018,AC4*'CPA3 labour esc'!$F$15,AC4*'CPA3 labour esc'!J$15)*$E$33</f>
        <v>366.13180179375274</v>
      </c>
      <c r="AD24" s="6">
        <f>IF(AD$3&gt;2018,AD4*'CPA3 labour esc'!$F$15,AD4*'CPA3 labour esc'!K$15)*$E$33</f>
        <v>0</v>
      </c>
      <c r="AF24" s="4">
        <f>IF(AF$3&gt;2018,AF4*'CPA3 labour esc'!$F$16,AF4*'CPA3 labour esc'!D$16)*$E$33</f>
        <v>0</v>
      </c>
      <c r="AG24" s="4">
        <f>IF(AG$3&gt;2018,AG4*'CPA3 labour esc'!$F$16,AG4*'CPA3 labour esc'!E$16)*$E$33</f>
        <v>0</v>
      </c>
      <c r="AH24" s="4">
        <f>IF(AH$3&gt;2018,AH4*'CPA3 labour esc'!$F$16,AH4*'CPA3 labour esc'!F$16)*$E$33</f>
        <v>0</v>
      </c>
      <c r="AI24" s="4">
        <f>IF(AI$3&gt;2018,AI4*'CPA3 labour esc'!$F$16,AI4*'CPA3 labour esc'!G$16)*$E$33</f>
        <v>368.51224490430661</v>
      </c>
      <c r="AJ24" s="4">
        <f>IF(AJ$3&gt;2018,AJ4*'CPA3 labour esc'!$F$16,AJ4*'CPA3 labour esc'!H$16)*$E$33</f>
        <v>3761.8109744943699</v>
      </c>
      <c r="AK24" s="4">
        <f>IF(AK$3&gt;2018,AK4*'CPA3 labour esc'!$F$16,AK4*'CPA3 labour esc'!I$16)*$E$33</f>
        <v>4994.0194558531857</v>
      </c>
      <c r="AL24" s="4">
        <f>IF(AL$3&gt;2018,AL4*'CPA3 labour esc'!$F$16,AL4*'CPA3 labour esc'!J$16)*$E$33</f>
        <v>2613.3100694167665</v>
      </c>
      <c r="AM24" s="4">
        <f>IF(AM$3&gt;2018,AM4*'CPA3 labour esc'!$F$16,AM4*'CPA3 labour esc'!K$16)*$E$33</f>
        <v>0</v>
      </c>
      <c r="AO24" s="6">
        <f t="shared" ref="AO24:AV30" si="66">AO4*$E$33</f>
        <v>0</v>
      </c>
      <c r="AP24" s="6">
        <f t="shared" si="66"/>
        <v>0</v>
      </c>
      <c r="AQ24" s="6">
        <f t="shared" si="66"/>
        <v>0</v>
      </c>
      <c r="AR24" s="6">
        <f t="shared" si="66"/>
        <v>0</v>
      </c>
      <c r="AS24" s="6">
        <f t="shared" si="66"/>
        <v>92.490732602684247</v>
      </c>
      <c r="AT24" s="6">
        <f t="shared" si="66"/>
        <v>193.02124692482283</v>
      </c>
      <c r="AU24" s="6">
        <f t="shared" si="66"/>
        <v>122.98321566285514</v>
      </c>
      <c r="AV24" s="6">
        <f t="shared" si="66"/>
        <v>0</v>
      </c>
    </row>
    <row r="25" spans="2:48" x14ac:dyDescent="0.3">
      <c r="B25" s="15" t="s">
        <v>4</v>
      </c>
      <c r="C25" s="10">
        <f t="shared" ref="C25:C30" si="67">N25+W25+AF25+AO25</f>
        <v>0</v>
      </c>
      <c r="D25" s="10">
        <f t="shared" si="57"/>
        <v>0</v>
      </c>
      <c r="E25" s="10">
        <f t="shared" si="58"/>
        <v>0</v>
      </c>
      <c r="F25" s="10">
        <f t="shared" si="59"/>
        <v>378.26357738630577</v>
      </c>
      <c r="G25" s="10">
        <f t="shared" si="60"/>
        <v>13557.214730086729</v>
      </c>
      <c r="H25" s="10">
        <f t="shared" si="61"/>
        <v>4165.7862860290807</v>
      </c>
      <c r="I25" s="10">
        <f t="shared" si="62"/>
        <v>5550.2194806427779</v>
      </c>
      <c r="J25" s="10">
        <f t="shared" si="63"/>
        <v>0</v>
      </c>
      <c r="L25" s="17">
        <f>SUM(C25:J25)</f>
        <v>23651.484074144893</v>
      </c>
      <c r="N25" s="6">
        <f t="shared" si="65"/>
        <v>0</v>
      </c>
      <c r="O25" s="6">
        <f t="shared" si="65"/>
        <v>0</v>
      </c>
      <c r="P25" s="6">
        <f t="shared" si="65"/>
        <v>0</v>
      </c>
      <c r="Q25" s="6">
        <f t="shared" si="65"/>
        <v>0</v>
      </c>
      <c r="R25" s="6">
        <f t="shared" si="65"/>
        <v>7387.1824563024275</v>
      </c>
      <c r="S25" s="6">
        <f t="shared" si="65"/>
        <v>1189.1964929788492</v>
      </c>
      <c r="T25" s="6">
        <f t="shared" si="65"/>
        <v>0</v>
      </c>
      <c r="U25" s="6">
        <f t="shared" si="65"/>
        <v>0</v>
      </c>
      <c r="W25" s="6">
        <f>IF(W$3&gt;2018,W5*'CPA3 labour esc'!$F$15,W5*'CPA3 labour esc'!D$15)*$E$33</f>
        <v>0</v>
      </c>
      <c r="X25" s="6">
        <f>IF(X$3&gt;2018,X5*'CPA3 labour esc'!$F$15,X5*'CPA3 labour esc'!E$15)*$E$33</f>
        <v>0</v>
      </c>
      <c r="Y25" s="6">
        <f>IF(Y$3&gt;2018,Y5*'CPA3 labour esc'!$F$15,Y5*'CPA3 labour esc'!F$15)*$E$33</f>
        <v>0</v>
      </c>
      <c r="Z25" s="6">
        <f>IF(Z$3&gt;2018,Z5*'CPA3 labour esc'!$F$15,Z5*'CPA3 labour esc'!G$15)*$E$33</f>
        <v>99.784450257944712</v>
      </c>
      <c r="AA25" s="6">
        <f>IF(AA$3&gt;2018,AA5*'CPA3 labour esc'!$F$15,AA5*'CPA3 labour esc'!H$15)*$E$33</f>
        <v>381.72131115291359</v>
      </c>
      <c r="AB25" s="6">
        <f>IF(AB$3&gt;2018,AB5*'CPA3 labour esc'!$F$15,AB5*'CPA3 labour esc'!I$15)*$E$33</f>
        <v>569.99093487652351</v>
      </c>
      <c r="AC25" s="6">
        <f>IF(AC$3&gt;2018,AC5*'CPA3 labour esc'!$F$15,AC5*'CPA3 labour esc'!J$15)*$E$33</f>
        <v>417.0218656010905</v>
      </c>
      <c r="AD25" s="6">
        <f>IF(AD$3&gt;2018,AD5*'CPA3 labour esc'!$F$15,AD5*'CPA3 labour esc'!K$15)*$E$33</f>
        <v>0</v>
      </c>
      <c r="AF25" s="4">
        <f>IF(AF$3&gt;2018,AF5*'CPA3 labour esc'!$F$16,AF5*'CPA3 labour esc'!D$16)*$E$33</f>
        <v>0</v>
      </c>
      <c r="AG25" s="4">
        <f>IF(AG$3&gt;2018,AG5*'CPA3 labour esc'!$F$16,AG5*'CPA3 labour esc'!E$16)*$E$33</f>
        <v>0</v>
      </c>
      <c r="AH25" s="4">
        <f>IF(AH$3&gt;2018,AH5*'CPA3 labour esc'!$F$16,AH5*'CPA3 labour esc'!F$16)*$E$33</f>
        <v>0</v>
      </c>
      <c r="AI25" s="4">
        <f>IF(AI$3&gt;2018,AI5*'CPA3 labour esc'!$F$16,AI5*'CPA3 labour esc'!G$16)*$E$33</f>
        <v>278.47912712836109</v>
      </c>
      <c r="AJ25" s="4">
        <f>IF(AJ$3&gt;2018,AJ5*'CPA3 labour esc'!$F$16,AJ5*'CPA3 labour esc'!H$16)*$E$33</f>
        <v>5788.310962631389</v>
      </c>
      <c r="AK25" s="4">
        <f>IF(AK$3&gt;2018,AK5*'CPA3 labour esc'!$F$16,AK5*'CPA3 labour esc'!I$16)*$E$33</f>
        <v>2287.3441136502579</v>
      </c>
      <c r="AL25" s="4">
        <f>IF(AL$3&gt;2018,AL5*'CPA3 labour esc'!$F$16,AL5*'CPA3 labour esc'!J$16)*$E$33</f>
        <v>5025.960033092806</v>
      </c>
      <c r="AM25" s="4">
        <f>IF(AM$3&gt;2018,AM5*'CPA3 labour esc'!$F$16,AM5*'CPA3 labour esc'!K$16)*$E$33</f>
        <v>0</v>
      </c>
      <c r="AO25" s="6">
        <f t="shared" si="66"/>
        <v>0</v>
      </c>
      <c r="AP25" s="6">
        <f t="shared" si="66"/>
        <v>0</v>
      </c>
      <c r="AQ25" s="6">
        <f t="shared" si="66"/>
        <v>0</v>
      </c>
      <c r="AR25" s="6">
        <f t="shared" si="66"/>
        <v>0</v>
      </c>
      <c r="AS25" s="6">
        <f t="shared" si="66"/>
        <v>0</v>
      </c>
      <c r="AT25" s="6">
        <f t="shared" si="66"/>
        <v>119.2547445234501</v>
      </c>
      <c r="AU25" s="6">
        <f t="shared" si="66"/>
        <v>107.23758194888192</v>
      </c>
      <c r="AV25" s="6">
        <f t="shared" si="66"/>
        <v>0</v>
      </c>
    </row>
    <row r="26" spans="2:48" x14ac:dyDescent="0.3">
      <c r="B26" s="12" t="s">
        <v>5</v>
      </c>
      <c r="C26" s="4">
        <f t="shared" si="67"/>
        <v>0</v>
      </c>
      <c r="D26" s="4">
        <f t="shared" si="57"/>
        <v>0</v>
      </c>
      <c r="E26" s="4">
        <f t="shared" si="58"/>
        <v>0</v>
      </c>
      <c r="F26" s="4">
        <f t="shared" si="59"/>
        <v>376.7775447501499</v>
      </c>
      <c r="G26" s="4">
        <f t="shared" si="60"/>
        <v>3274.9409186643725</v>
      </c>
      <c r="H26" s="4">
        <f t="shared" si="61"/>
        <v>7329.3475737087938</v>
      </c>
      <c r="I26" s="4">
        <f t="shared" si="62"/>
        <v>1898.4002771270461</v>
      </c>
      <c r="J26" s="4">
        <f t="shared" si="63"/>
        <v>0</v>
      </c>
      <c r="L26" s="6">
        <f t="shared" ref="L26:L30" si="68">SUM(C26:J26)</f>
        <v>12879.466314250363</v>
      </c>
      <c r="N26" s="6">
        <f t="shared" si="65"/>
        <v>0</v>
      </c>
      <c r="O26" s="6">
        <f t="shared" si="65"/>
        <v>0</v>
      </c>
      <c r="P26" s="6">
        <f t="shared" si="65"/>
        <v>0</v>
      </c>
      <c r="Q26" s="6">
        <f t="shared" si="65"/>
        <v>0</v>
      </c>
      <c r="R26" s="6">
        <f t="shared" si="65"/>
        <v>1432.7095662678571</v>
      </c>
      <c r="S26" s="6">
        <f t="shared" si="65"/>
        <v>2716.9842595892596</v>
      </c>
      <c r="T26" s="6">
        <f t="shared" si="65"/>
        <v>582.21091276912705</v>
      </c>
      <c r="U26" s="6">
        <f t="shared" si="65"/>
        <v>0</v>
      </c>
      <c r="W26" s="6">
        <f>IF(W$3&gt;2018,W6*'CPA3 labour esc'!$F$15,W6*'CPA3 labour esc'!D$15)*$E$33</f>
        <v>0</v>
      </c>
      <c r="X26" s="6">
        <f>IF(X$3&gt;2018,X6*'CPA3 labour esc'!$F$15,X6*'CPA3 labour esc'!E$15)*$E$33</f>
        <v>0</v>
      </c>
      <c r="Y26" s="6">
        <f>IF(Y$3&gt;2018,Y6*'CPA3 labour esc'!$F$15,Y6*'CPA3 labour esc'!F$15)*$E$33</f>
        <v>0</v>
      </c>
      <c r="Z26" s="6">
        <f>IF(Z$3&gt;2018,Z6*'CPA3 labour esc'!$F$15,Z6*'CPA3 labour esc'!G$15)*$E$33</f>
        <v>97.067472818690618</v>
      </c>
      <c r="AA26" s="6">
        <f>IF(AA$3&gt;2018,AA6*'CPA3 labour esc'!$F$15,AA6*'CPA3 labour esc'!H$15)*$E$33</f>
        <v>284.65208691854457</v>
      </c>
      <c r="AB26" s="6">
        <f>IF(AB$3&gt;2018,AB6*'CPA3 labour esc'!$F$15,AB6*'CPA3 labour esc'!I$15)*$E$33</f>
        <v>795.57794684566363</v>
      </c>
      <c r="AC26" s="6">
        <f>IF(AC$3&gt;2018,AC6*'CPA3 labour esc'!$F$15,AC6*'CPA3 labour esc'!J$15)*$E$33</f>
        <v>251.90042923090871</v>
      </c>
      <c r="AD26" s="6">
        <f>IF(AD$3&gt;2018,AD6*'CPA3 labour esc'!$F$15,AD6*'CPA3 labour esc'!K$15)*$E$33</f>
        <v>0</v>
      </c>
      <c r="AF26" s="4">
        <f>IF(AF$3&gt;2018,AF6*'CPA3 labour esc'!$F$16,AF6*'CPA3 labour esc'!D$16)*$E$33</f>
        <v>0</v>
      </c>
      <c r="AG26" s="4">
        <f>IF(AG$3&gt;2018,AG6*'CPA3 labour esc'!$F$16,AG6*'CPA3 labour esc'!E$16)*$E$33</f>
        <v>0</v>
      </c>
      <c r="AH26" s="4">
        <f>IF(AH$3&gt;2018,AH6*'CPA3 labour esc'!$F$16,AH6*'CPA3 labour esc'!F$16)*$E$33</f>
        <v>0</v>
      </c>
      <c r="AI26" s="4">
        <f>IF(AI$3&gt;2018,AI6*'CPA3 labour esc'!$F$16,AI6*'CPA3 labour esc'!G$16)*$E$33</f>
        <v>279.71007193145925</v>
      </c>
      <c r="AJ26" s="4">
        <f>IF(AJ$3&gt;2018,AJ6*'CPA3 labour esc'!$F$16,AJ6*'CPA3 labour esc'!H$16)*$E$33</f>
        <v>1531.902286572101</v>
      </c>
      <c r="AK26" s="4">
        <f>IF(AK$3&gt;2018,AK6*'CPA3 labour esc'!$F$16,AK6*'CPA3 labour esc'!I$16)*$E$33</f>
        <v>3672.4799496015094</v>
      </c>
      <c r="AL26" s="4">
        <f>IF(AL$3&gt;2018,AL6*'CPA3 labour esc'!$F$16,AL6*'CPA3 labour esc'!J$16)*$E$33</f>
        <v>1009.3425889325688</v>
      </c>
      <c r="AM26" s="4">
        <f>IF(AM$3&gt;2018,AM6*'CPA3 labour esc'!$F$16,AM6*'CPA3 labour esc'!K$16)*$E$33</f>
        <v>0</v>
      </c>
      <c r="AO26" s="6">
        <f t="shared" si="66"/>
        <v>0</v>
      </c>
      <c r="AP26" s="6">
        <f t="shared" si="66"/>
        <v>0</v>
      </c>
      <c r="AQ26" s="6">
        <f t="shared" si="66"/>
        <v>0</v>
      </c>
      <c r="AR26" s="6">
        <f t="shared" si="66"/>
        <v>0</v>
      </c>
      <c r="AS26" s="6">
        <f t="shared" si="66"/>
        <v>25.67697890586977</v>
      </c>
      <c r="AT26" s="6">
        <f t="shared" si="66"/>
        <v>144.30541767236141</v>
      </c>
      <c r="AU26" s="6">
        <f t="shared" si="66"/>
        <v>54.946346194441453</v>
      </c>
      <c r="AV26" s="6">
        <f t="shared" si="66"/>
        <v>0</v>
      </c>
    </row>
    <row r="27" spans="2:48" x14ac:dyDescent="0.3">
      <c r="B27" s="12" t="s">
        <v>6</v>
      </c>
      <c r="C27" s="4">
        <f t="shared" si="67"/>
        <v>0</v>
      </c>
      <c r="D27" s="4">
        <f t="shared" si="57"/>
        <v>0</v>
      </c>
      <c r="E27" s="4">
        <f t="shared" si="58"/>
        <v>236.21247840936343</v>
      </c>
      <c r="F27" s="4">
        <f t="shared" si="59"/>
        <v>7463.0129283016986</v>
      </c>
      <c r="G27" s="4">
        <f t="shared" si="60"/>
        <v>4431.7875248536102</v>
      </c>
      <c r="H27" s="4">
        <f t="shared" si="61"/>
        <v>0</v>
      </c>
      <c r="I27" s="4">
        <f t="shared" si="62"/>
        <v>0</v>
      </c>
      <c r="J27" s="4">
        <f t="shared" si="63"/>
        <v>0</v>
      </c>
      <c r="L27" s="6">
        <f t="shared" si="68"/>
        <v>12131.012931564672</v>
      </c>
      <c r="N27" s="6">
        <f t="shared" si="65"/>
        <v>0</v>
      </c>
      <c r="O27" s="6">
        <f t="shared" si="65"/>
        <v>0</v>
      </c>
      <c r="P27" s="6">
        <f t="shared" si="65"/>
        <v>151.16244941001946</v>
      </c>
      <c r="Q27" s="6">
        <f t="shared" si="65"/>
        <v>2473.5141802166863</v>
      </c>
      <c r="R27" s="6">
        <f t="shared" si="65"/>
        <v>1694.256471494157</v>
      </c>
      <c r="S27" s="6">
        <f t="shared" si="65"/>
        <v>0</v>
      </c>
      <c r="T27" s="6">
        <f t="shared" si="65"/>
        <v>0</v>
      </c>
      <c r="U27" s="6">
        <f t="shared" si="65"/>
        <v>0</v>
      </c>
      <c r="W27" s="6">
        <f>IF(W$3&gt;2018,W7*'CPA3 labour esc'!$F$15,W7*'CPA3 labour esc'!D$15)*$E$33</f>
        <v>0</v>
      </c>
      <c r="X27" s="6">
        <f>IF(X$3&gt;2018,X7*'CPA3 labour esc'!$F$15,X7*'CPA3 labour esc'!E$15)*$E$33</f>
        <v>0</v>
      </c>
      <c r="Y27" s="6">
        <f>IF(Y$3&gt;2018,Y7*'CPA3 labour esc'!$F$15,Y7*'CPA3 labour esc'!F$15)*$E$33</f>
        <v>12.278503687378825</v>
      </c>
      <c r="Z27" s="6">
        <f>IF(Z$3&gt;2018,Z7*'CPA3 labour esc'!$F$15,Z7*'CPA3 labour esc'!G$15)*$E$33</f>
        <v>943.3740115396306</v>
      </c>
      <c r="AA27" s="6">
        <f>IF(AA$3&gt;2018,AA7*'CPA3 labour esc'!$F$15,AA7*'CPA3 labour esc'!H$15)*$E$33</f>
        <v>538.24439691681425</v>
      </c>
      <c r="AB27" s="6">
        <f>IF(AB$3&gt;2018,AB7*'CPA3 labour esc'!$F$15,AB7*'CPA3 labour esc'!I$15)*$E$33</f>
        <v>0</v>
      </c>
      <c r="AC27" s="6">
        <f>IF(AC$3&gt;2018,AC7*'CPA3 labour esc'!$F$15,AC7*'CPA3 labour esc'!J$15)*$E$33</f>
        <v>0</v>
      </c>
      <c r="AD27" s="6">
        <f>IF(AD$3&gt;2018,AD7*'CPA3 labour esc'!$F$15,AD7*'CPA3 labour esc'!K$15)*$E$33</f>
        <v>0</v>
      </c>
      <c r="AF27" s="4">
        <f>IF(AF$3&gt;2018,AF7*'CPA3 labour esc'!$F$16,AF7*'CPA3 labour esc'!D$16)*$E$33</f>
        <v>0</v>
      </c>
      <c r="AG27" s="4">
        <f>IF(AG$3&gt;2018,AG7*'CPA3 labour esc'!$F$16,AG7*'CPA3 labour esc'!E$16)*$E$33</f>
        <v>0</v>
      </c>
      <c r="AH27" s="4">
        <f>IF(AH$3&gt;2018,AH7*'CPA3 labour esc'!$F$16,AH7*'CPA3 labour esc'!F$16)*$E$33</f>
        <v>72.771525311965149</v>
      </c>
      <c r="AI27" s="4">
        <f>IF(AI$3&gt;2018,AI7*'CPA3 labour esc'!$F$16,AI7*'CPA3 labour esc'!G$16)*$E$33</f>
        <v>3911.8188642412356</v>
      </c>
      <c r="AJ27" s="4">
        <f>IF(AJ$3&gt;2018,AJ7*'CPA3 labour esc'!$F$16,AJ7*'CPA3 labour esc'!H$16)*$E$33</f>
        <v>2064.9807841384936</v>
      </c>
      <c r="AK27" s="4">
        <f>IF(AK$3&gt;2018,AK7*'CPA3 labour esc'!$F$16,AK7*'CPA3 labour esc'!I$16)*$E$33</f>
        <v>0</v>
      </c>
      <c r="AL27" s="4">
        <f>IF(AL$3&gt;2018,AL7*'CPA3 labour esc'!$F$16,AL7*'CPA3 labour esc'!J$16)*$E$33</f>
        <v>0</v>
      </c>
      <c r="AM27" s="4">
        <f>IF(AM$3&gt;2018,AM7*'CPA3 labour esc'!$F$16,AM7*'CPA3 labour esc'!K$16)*$E$33</f>
        <v>0</v>
      </c>
      <c r="AO27" s="6">
        <f t="shared" si="66"/>
        <v>0</v>
      </c>
      <c r="AP27" s="6">
        <f t="shared" si="66"/>
        <v>0</v>
      </c>
      <c r="AQ27" s="6">
        <f t="shared" si="66"/>
        <v>0</v>
      </c>
      <c r="AR27" s="6">
        <f t="shared" si="66"/>
        <v>134.30587230414613</v>
      </c>
      <c r="AS27" s="6">
        <f t="shared" si="66"/>
        <v>134.30587230414613</v>
      </c>
      <c r="AT27" s="6">
        <f t="shared" si="66"/>
        <v>0</v>
      </c>
      <c r="AU27" s="6">
        <f t="shared" si="66"/>
        <v>0</v>
      </c>
      <c r="AV27" s="6">
        <f t="shared" si="66"/>
        <v>0</v>
      </c>
    </row>
    <row r="28" spans="2:48" x14ac:dyDescent="0.3">
      <c r="B28" s="12" t="s">
        <v>7</v>
      </c>
      <c r="C28" s="4">
        <f t="shared" si="67"/>
        <v>0</v>
      </c>
      <c r="D28" s="4">
        <f t="shared" si="57"/>
        <v>0</v>
      </c>
      <c r="E28" s="4">
        <f t="shared" si="58"/>
        <v>0</v>
      </c>
      <c r="F28" s="4">
        <f t="shared" si="59"/>
        <v>662.51272961823815</v>
      </c>
      <c r="G28" s="4">
        <f t="shared" si="60"/>
        <v>6091.2503401539188</v>
      </c>
      <c r="H28" s="4">
        <f t="shared" si="61"/>
        <v>7039.4464842670286</v>
      </c>
      <c r="I28" s="4">
        <f t="shared" si="62"/>
        <v>3181.5306224665446</v>
      </c>
      <c r="J28" s="4">
        <f t="shared" si="63"/>
        <v>0</v>
      </c>
      <c r="L28" s="6">
        <f t="shared" si="68"/>
        <v>16974.740176505729</v>
      </c>
      <c r="N28" s="6">
        <f t="shared" si="65"/>
        <v>0</v>
      </c>
      <c r="O28" s="6">
        <f t="shared" si="65"/>
        <v>0</v>
      </c>
      <c r="P28" s="6">
        <f t="shared" si="65"/>
        <v>0</v>
      </c>
      <c r="Q28" s="6">
        <f t="shared" si="65"/>
        <v>189.12535807880195</v>
      </c>
      <c r="R28" s="6">
        <f t="shared" si="65"/>
        <v>2782.5364399013383</v>
      </c>
      <c r="S28" s="6">
        <f t="shared" si="65"/>
        <v>2723.2128055814874</v>
      </c>
      <c r="T28" s="6">
        <f t="shared" si="65"/>
        <v>710.403340586475</v>
      </c>
      <c r="U28" s="6">
        <f t="shared" si="65"/>
        <v>0</v>
      </c>
      <c r="W28" s="6">
        <f>IF(W$3&gt;2018,W8*'CPA3 labour esc'!$F$15,W8*'CPA3 labour esc'!D$15)*$E$33</f>
        <v>0</v>
      </c>
      <c r="X28" s="6">
        <f>IF(X$3&gt;2018,X8*'CPA3 labour esc'!$F$15,X8*'CPA3 labour esc'!E$15)*$E$33</f>
        <v>0</v>
      </c>
      <c r="Y28" s="6">
        <f>IF(Y$3&gt;2018,Y8*'CPA3 labour esc'!$F$15,Y8*'CPA3 labour esc'!F$15)*$E$33</f>
        <v>0</v>
      </c>
      <c r="Z28" s="6">
        <f>IF(Z$3&gt;2018,Z8*'CPA3 labour esc'!$F$15,Z8*'CPA3 labour esc'!G$15)*$E$33</f>
        <v>192.1750001963488</v>
      </c>
      <c r="AA28" s="6">
        <f>IF(AA$3&gt;2018,AA8*'CPA3 labour esc'!$F$15,AA8*'CPA3 labour esc'!H$15)*$E$33</f>
        <v>550.32367443893759</v>
      </c>
      <c r="AB28" s="6">
        <f>IF(AB$3&gt;2018,AB8*'CPA3 labour esc'!$F$15,AB8*'CPA3 labour esc'!I$15)*$E$33</f>
        <v>628.92765288926353</v>
      </c>
      <c r="AC28" s="6">
        <f>IF(AC$3&gt;2018,AC8*'CPA3 labour esc'!$F$15,AC8*'CPA3 labour esc'!J$15)*$E$33</f>
        <v>288.3104129378508</v>
      </c>
      <c r="AD28" s="6">
        <f>IF(AD$3&gt;2018,AD8*'CPA3 labour esc'!$F$15,AD8*'CPA3 labour esc'!K$15)*$E$33</f>
        <v>0</v>
      </c>
      <c r="AF28" s="4">
        <f>IF(AF$3&gt;2018,AF8*'CPA3 labour esc'!$F$16,AF8*'CPA3 labour esc'!D$16)*$E$33</f>
        <v>0</v>
      </c>
      <c r="AG28" s="4">
        <f>IF(AG$3&gt;2018,AG8*'CPA3 labour esc'!$F$16,AG8*'CPA3 labour esc'!E$16)*$E$33</f>
        <v>0</v>
      </c>
      <c r="AH28" s="4">
        <f>IF(AH$3&gt;2018,AH8*'CPA3 labour esc'!$F$16,AH8*'CPA3 labour esc'!F$16)*$E$33</f>
        <v>0</v>
      </c>
      <c r="AI28" s="4">
        <f>IF(AI$3&gt;2018,AI8*'CPA3 labour esc'!$F$16,AI8*'CPA3 labour esc'!G$16)*$E$33</f>
        <v>281.2123713430874</v>
      </c>
      <c r="AJ28" s="4">
        <f>IF(AJ$3&gt;2018,AJ8*'CPA3 labour esc'!$F$16,AJ8*'CPA3 labour esc'!H$16)*$E$33</f>
        <v>2685.2701225134156</v>
      </c>
      <c r="AK28" s="4">
        <f>IF(AK$3&gt;2018,AK8*'CPA3 labour esc'!$F$16,AK8*'CPA3 labour esc'!I$16)*$E$33</f>
        <v>3552.4698164415754</v>
      </c>
      <c r="AL28" s="4">
        <f>IF(AL$3&gt;2018,AL8*'CPA3 labour esc'!$F$16,AL8*'CPA3 labour esc'!J$16)*$E$33</f>
        <v>2101.8704039588738</v>
      </c>
      <c r="AM28" s="4">
        <f>IF(AM$3&gt;2018,AM8*'CPA3 labour esc'!$F$16,AM8*'CPA3 labour esc'!K$16)*$E$33</f>
        <v>0</v>
      </c>
      <c r="AO28" s="6">
        <f t="shared" si="66"/>
        <v>0</v>
      </c>
      <c r="AP28" s="6">
        <f t="shared" si="66"/>
        <v>0</v>
      </c>
      <c r="AQ28" s="6">
        <f t="shared" si="66"/>
        <v>0</v>
      </c>
      <c r="AR28" s="6">
        <f t="shared" si="66"/>
        <v>0</v>
      </c>
      <c r="AS28" s="6">
        <f t="shared" si="66"/>
        <v>73.120103300227811</v>
      </c>
      <c r="AT28" s="6">
        <f t="shared" si="66"/>
        <v>134.83620935470333</v>
      </c>
      <c r="AU28" s="6">
        <f t="shared" si="66"/>
        <v>80.946464983345194</v>
      </c>
      <c r="AV28" s="6">
        <f t="shared" si="66"/>
        <v>0</v>
      </c>
    </row>
    <row r="29" spans="2:48" x14ac:dyDescent="0.3">
      <c r="B29" s="12" t="s">
        <v>8</v>
      </c>
      <c r="C29" s="4">
        <f t="shared" si="67"/>
        <v>0</v>
      </c>
      <c r="D29" s="4">
        <f t="shared" si="57"/>
        <v>0</v>
      </c>
      <c r="E29" s="4">
        <f t="shared" si="58"/>
        <v>0</v>
      </c>
      <c r="F29" s="4">
        <f t="shared" si="59"/>
        <v>0</v>
      </c>
      <c r="G29" s="4">
        <f t="shared" si="60"/>
        <v>0</v>
      </c>
      <c r="H29" s="4">
        <f t="shared" si="61"/>
        <v>0</v>
      </c>
      <c r="I29" s="4">
        <f t="shared" si="62"/>
        <v>0</v>
      </c>
      <c r="J29" s="4">
        <f t="shared" si="63"/>
        <v>0</v>
      </c>
      <c r="L29" s="6">
        <f t="shared" si="68"/>
        <v>0</v>
      </c>
      <c r="N29" s="6">
        <f t="shared" si="65"/>
        <v>0</v>
      </c>
      <c r="O29" s="6">
        <f t="shared" si="65"/>
        <v>0</v>
      </c>
      <c r="P29" s="6">
        <f t="shared" si="65"/>
        <v>0</v>
      </c>
      <c r="Q29" s="6">
        <f t="shared" si="65"/>
        <v>0</v>
      </c>
      <c r="R29" s="6">
        <f t="shared" si="65"/>
        <v>0</v>
      </c>
      <c r="S29" s="6">
        <f t="shared" si="65"/>
        <v>0</v>
      </c>
      <c r="T29" s="6">
        <f t="shared" si="65"/>
        <v>0</v>
      </c>
      <c r="U29" s="6">
        <f t="shared" si="65"/>
        <v>0</v>
      </c>
      <c r="W29" s="6">
        <f>IF(W$3&gt;2018,W9*'CPA3 labour esc'!$F$15,W9*'CPA3 labour esc'!D$15)*$E$33</f>
        <v>0</v>
      </c>
      <c r="X29" s="6">
        <f>IF(X$3&gt;2018,X9*'CPA3 labour esc'!$F$15,X9*'CPA3 labour esc'!E$15)*$E$33</f>
        <v>0</v>
      </c>
      <c r="Y29" s="6">
        <f>IF(Y$3&gt;2018,Y9*'CPA3 labour esc'!$F$15,Y9*'CPA3 labour esc'!F$15)*$E$33</f>
        <v>0</v>
      </c>
      <c r="Z29" s="6">
        <f>IF(Z$3&gt;2018,Z9*'CPA3 labour esc'!$F$15,Z9*'CPA3 labour esc'!G$15)*$E$33</f>
        <v>0</v>
      </c>
      <c r="AA29" s="6">
        <f>IF(AA$3&gt;2018,AA9*'CPA3 labour esc'!$F$15,AA9*'CPA3 labour esc'!H$15)*$E$33</f>
        <v>0</v>
      </c>
      <c r="AB29" s="6">
        <f>IF(AB$3&gt;2018,AB9*'CPA3 labour esc'!$F$15,AB9*'CPA3 labour esc'!I$15)*$E$33</f>
        <v>0</v>
      </c>
      <c r="AC29" s="6">
        <f>IF(AC$3&gt;2018,AC9*'CPA3 labour esc'!$F$15,AC9*'CPA3 labour esc'!J$15)*$E$33</f>
        <v>0</v>
      </c>
      <c r="AD29" s="6">
        <f>IF(AD$3&gt;2018,AD9*'CPA3 labour esc'!$F$15,AD9*'CPA3 labour esc'!K$15)*$E$33</f>
        <v>0</v>
      </c>
      <c r="AF29" s="4">
        <f>IF(AF$3&gt;2018,AF9*'CPA3 labour esc'!$F$16,AF9*'CPA3 labour esc'!D$16)*$E$33</f>
        <v>0</v>
      </c>
      <c r="AG29" s="4">
        <f>IF(AG$3&gt;2018,AG9*'CPA3 labour esc'!$F$16,AG9*'CPA3 labour esc'!E$16)*$E$33</f>
        <v>0</v>
      </c>
      <c r="AH29" s="4">
        <f>IF(AH$3&gt;2018,AH9*'CPA3 labour esc'!$F$16,AH9*'CPA3 labour esc'!F$16)*$E$33</f>
        <v>0</v>
      </c>
      <c r="AI29" s="4">
        <f>IF(AI$3&gt;2018,AI9*'CPA3 labour esc'!$F$16,AI9*'CPA3 labour esc'!G$16)*$E$33</f>
        <v>0</v>
      </c>
      <c r="AJ29" s="4">
        <f>IF(AJ$3&gt;2018,AJ9*'CPA3 labour esc'!$F$16,AJ9*'CPA3 labour esc'!H$16)*$E$33</f>
        <v>0</v>
      </c>
      <c r="AK29" s="4">
        <f>IF(AK$3&gt;2018,AK9*'CPA3 labour esc'!$F$16,AK9*'CPA3 labour esc'!I$16)*$E$33</f>
        <v>0</v>
      </c>
      <c r="AL29" s="4">
        <f>IF(AL$3&gt;2018,AL9*'CPA3 labour esc'!$F$16,AL9*'CPA3 labour esc'!J$16)*$E$33</f>
        <v>0</v>
      </c>
      <c r="AM29" s="4">
        <f>IF(AM$3&gt;2018,AM9*'CPA3 labour esc'!$F$16,AM9*'CPA3 labour esc'!K$16)*$E$33</f>
        <v>0</v>
      </c>
      <c r="AO29" s="6">
        <f t="shared" si="66"/>
        <v>0</v>
      </c>
      <c r="AP29" s="6">
        <f t="shared" si="66"/>
        <v>0</v>
      </c>
      <c r="AQ29" s="6">
        <f t="shared" si="66"/>
        <v>0</v>
      </c>
      <c r="AR29" s="6">
        <f t="shared" si="66"/>
        <v>0</v>
      </c>
      <c r="AS29" s="6">
        <f t="shared" si="66"/>
        <v>0</v>
      </c>
      <c r="AT29" s="6">
        <f t="shared" si="66"/>
        <v>0</v>
      </c>
      <c r="AU29" s="6">
        <f t="shared" si="66"/>
        <v>0</v>
      </c>
      <c r="AV29" s="6">
        <f t="shared" si="66"/>
        <v>0</v>
      </c>
    </row>
    <row r="30" spans="2:48" x14ac:dyDescent="0.3">
      <c r="B30" s="12" t="s">
        <v>19</v>
      </c>
      <c r="C30" s="4">
        <f t="shared" si="67"/>
        <v>0</v>
      </c>
      <c r="D30" s="4">
        <f t="shared" si="57"/>
        <v>0</v>
      </c>
      <c r="E30" s="4">
        <f t="shared" si="58"/>
        <v>0</v>
      </c>
      <c r="F30" s="4">
        <f t="shared" si="59"/>
        <v>226.18935463892777</v>
      </c>
      <c r="G30" s="4">
        <f t="shared" si="60"/>
        <v>511.49684108970411</v>
      </c>
      <c r="H30" s="4">
        <f t="shared" si="61"/>
        <v>5343.837964196654</v>
      </c>
      <c r="I30" s="4">
        <f t="shared" si="62"/>
        <v>4555.6489821850346</v>
      </c>
      <c r="J30" s="4">
        <f t="shared" si="63"/>
        <v>0</v>
      </c>
      <c r="L30" s="6">
        <f t="shared" si="68"/>
        <v>10637.173142110321</v>
      </c>
      <c r="N30" s="6">
        <f t="shared" si="65"/>
        <v>0</v>
      </c>
      <c r="O30" s="6">
        <f t="shared" si="65"/>
        <v>0</v>
      </c>
      <c r="P30" s="6">
        <f t="shared" si="65"/>
        <v>0</v>
      </c>
      <c r="Q30" s="6">
        <f t="shared" si="65"/>
        <v>13.21319786164764</v>
      </c>
      <c r="R30" s="6">
        <f t="shared" si="65"/>
        <v>213.08272780671689</v>
      </c>
      <c r="S30" s="6">
        <f t="shared" si="65"/>
        <v>1675.4178952946231</v>
      </c>
      <c r="T30" s="6">
        <f t="shared" si="65"/>
        <v>1320.305068999068</v>
      </c>
      <c r="U30" s="6">
        <f t="shared" si="65"/>
        <v>0</v>
      </c>
      <c r="W30" s="6">
        <f>IF(W$3&gt;2018,W10*'CPA3 labour esc'!$F$15,W10*'CPA3 labour esc'!D$15)*$E$33</f>
        <v>0</v>
      </c>
      <c r="X30" s="6">
        <f>IF(X$3&gt;2018,X10*'CPA3 labour esc'!$F$15,X10*'CPA3 labour esc'!E$15)*$E$33</f>
        <v>0</v>
      </c>
      <c r="Y30" s="6">
        <f>IF(Y$3&gt;2018,Y10*'CPA3 labour esc'!$F$15,Y10*'CPA3 labour esc'!F$15)*$E$33</f>
        <v>0</v>
      </c>
      <c r="Z30" s="6">
        <f>IF(Z$3&gt;2018,Z10*'CPA3 labour esc'!$F$15,Z10*'CPA3 labour esc'!G$15)*$E$33</f>
        <v>149.9333261895824</v>
      </c>
      <c r="AA30" s="6">
        <f>IF(AA$3&gt;2018,AA10*'CPA3 labour esc'!$F$15,AA10*'CPA3 labour esc'!H$15)*$E$33</f>
        <v>55.741315343552834</v>
      </c>
      <c r="AB30" s="6">
        <f>IF(AB$3&gt;2018,AB10*'CPA3 labour esc'!$F$15,AB10*'CPA3 labour esc'!I$15)*$E$33</f>
        <v>647.62846196883447</v>
      </c>
      <c r="AC30" s="6">
        <f>IF(AC$3&gt;2018,AC10*'CPA3 labour esc'!$F$15,AC10*'CPA3 labour esc'!J$15)*$E$33</f>
        <v>529.25877695187307</v>
      </c>
      <c r="AD30" s="6">
        <f>IF(AD$3&gt;2018,AD10*'CPA3 labour esc'!$F$15,AD10*'CPA3 labour esc'!K$15)*$E$33</f>
        <v>0</v>
      </c>
      <c r="AF30" s="4">
        <f>IF(AF$3&gt;2018,AF10*'CPA3 labour esc'!$F$16,AF10*'CPA3 labour esc'!D$16)*$E$33</f>
        <v>0</v>
      </c>
      <c r="AG30" s="4">
        <f>IF(AG$3&gt;2018,AG10*'CPA3 labour esc'!$F$16,AG10*'CPA3 labour esc'!E$16)*$E$33</f>
        <v>0</v>
      </c>
      <c r="AH30" s="4">
        <f>IF(AH$3&gt;2018,AH10*'CPA3 labour esc'!$F$16,AH10*'CPA3 labour esc'!F$16)*$E$33</f>
        <v>0</v>
      </c>
      <c r="AI30" s="4">
        <f>IF(AI$3&gt;2018,AI10*'CPA3 labour esc'!$F$16,AI10*'CPA3 labour esc'!G$16)*$E$33</f>
        <v>63.042830587697715</v>
      </c>
      <c r="AJ30" s="4">
        <f>IF(AJ$3&gt;2018,AJ10*'CPA3 labour esc'!$F$16,AJ10*'CPA3 labour esc'!H$16)*$E$33</f>
        <v>229.65885035214762</v>
      </c>
      <c r="AK30" s="4">
        <f>IF(AK$3&gt;2018,AK10*'CPA3 labour esc'!$F$16,AK10*'CPA3 labour esc'!I$16)*$E$33</f>
        <v>2988.256737964979</v>
      </c>
      <c r="AL30" s="4">
        <f>IF(AL$3&gt;2018,AL10*'CPA3 labour esc'!$F$16,AL10*'CPA3 labour esc'!J$16)*$E$33</f>
        <v>2673.5502672658772</v>
      </c>
      <c r="AM30" s="4">
        <f>IF(AM$3&gt;2018,AM10*'CPA3 labour esc'!$F$16,AM10*'CPA3 labour esc'!K$16)*$E$33</f>
        <v>0</v>
      </c>
      <c r="AO30" s="6">
        <f t="shared" si="66"/>
        <v>0</v>
      </c>
      <c r="AP30" s="6">
        <f t="shared" si="66"/>
        <v>0</v>
      </c>
      <c r="AQ30" s="6">
        <f t="shared" si="66"/>
        <v>0</v>
      </c>
      <c r="AR30" s="6">
        <f t="shared" si="66"/>
        <v>0</v>
      </c>
      <c r="AS30" s="6">
        <f t="shared" si="66"/>
        <v>13.013947587286719</v>
      </c>
      <c r="AT30" s="6">
        <f t="shared" si="66"/>
        <v>32.534868968216799</v>
      </c>
      <c r="AU30" s="6">
        <f t="shared" si="66"/>
        <v>32.534868968216799</v>
      </c>
      <c r="AV30" s="6">
        <f t="shared" si="66"/>
        <v>0</v>
      </c>
    </row>
    <row r="31" spans="2:48" x14ac:dyDescent="0.3">
      <c r="B31" s="7" t="s">
        <v>37</v>
      </c>
      <c r="C31" s="8">
        <f>SUM(C24:C30)</f>
        <v>0</v>
      </c>
      <c r="D31" s="8">
        <f t="shared" ref="D31" si="69">SUM(D24:D30)</f>
        <v>0</v>
      </c>
      <c r="E31" s="37">
        <f t="shared" ref="E31" si="70">SUM(E24:E30)</f>
        <v>236.21247840936343</v>
      </c>
      <c r="F31" s="37">
        <f t="shared" ref="F31" si="71">SUM(F24:F30)</f>
        <v>9657.4305630287727</v>
      </c>
      <c r="G31" s="37">
        <f t="shared" ref="G31" si="72">SUM(G24:G30)</f>
        <v>35926.284208086778</v>
      </c>
      <c r="H31" s="37">
        <f t="shared" ref="H31" si="73">SUM(H24:H30)</f>
        <v>32232.72930521251</v>
      </c>
      <c r="I31" s="37">
        <f t="shared" ref="I31" si="74">SUM(I24:I30)</f>
        <v>18730.677590086758</v>
      </c>
      <c r="J31" s="8">
        <f t="shared" ref="J31" si="75">SUM(J24:J30)</f>
        <v>0</v>
      </c>
      <c r="L31" s="8">
        <f t="shared" ref="L31" si="76">SUM(L24:L30)</f>
        <v>96783.334144824184</v>
      </c>
      <c r="N31" s="8">
        <f t="shared" ref="N31" si="77">SUM(N24:N30)</f>
        <v>0</v>
      </c>
      <c r="O31" s="8">
        <f t="shared" ref="O31" si="78">SUM(O24:O30)</f>
        <v>0</v>
      </c>
      <c r="P31" s="8">
        <f t="shared" ref="P31" si="79">SUM(P24:P30)</f>
        <v>151.16244941001946</v>
      </c>
      <c r="Q31" s="8">
        <f t="shared" ref="Q31" si="80">SUM(Q24:Q30)</f>
        <v>2675.852736157136</v>
      </c>
      <c r="R31" s="8">
        <f t="shared" ref="R31" si="81">SUM(R24:R30)</f>
        <v>17106.142767763238</v>
      </c>
      <c r="S31" s="8">
        <f t="shared" ref="S31" si="82">SUM(S24:S30)</f>
        <v>10738.303727800125</v>
      </c>
      <c r="T31" s="8">
        <f t="shared" ref="T31" si="83">SUM(T24:T30)</f>
        <v>3055.372463146653</v>
      </c>
      <c r="U31" s="8">
        <f t="shared" ref="U31" si="84">SUM(U24:U30)</f>
        <v>0</v>
      </c>
      <c r="W31" s="8">
        <f t="shared" ref="W31" si="85">SUM(W24:W30)</f>
        <v>0</v>
      </c>
      <c r="X31" s="8">
        <f t="shared" ref="X31" si="86">SUM(X24:X30)</f>
        <v>0</v>
      </c>
      <c r="Y31" s="8">
        <f t="shared" ref="Y31" si="87">SUM(Y24:Y30)</f>
        <v>12.278503687378825</v>
      </c>
      <c r="Z31" s="8">
        <f t="shared" ref="Z31" si="88">SUM(Z24:Z30)</f>
        <v>1664.4964444313439</v>
      </c>
      <c r="AA31" s="8">
        <f t="shared" ref="AA31" si="89">SUM(AA24:AA30)</f>
        <v>2419.5998249214035</v>
      </c>
      <c r="AB31" s="8">
        <f t="shared" ref="AB31" si="90">SUM(AB24:AB30)</f>
        <v>3375.9030164573246</v>
      </c>
      <c r="AC31" s="8">
        <f t="shared" ref="AC31" si="91">SUM(AC24:AC30)</f>
        <v>1852.6232865154757</v>
      </c>
      <c r="AD31" s="8">
        <f t="shared" ref="AD31" si="92">SUM(AD24:AD30)</f>
        <v>0</v>
      </c>
      <c r="AF31" s="8">
        <f t="shared" ref="AF31" si="93">SUM(AF24:AF30)</f>
        <v>0</v>
      </c>
      <c r="AG31" s="8">
        <f t="shared" ref="AG31" si="94">SUM(AG24:AG30)</f>
        <v>0</v>
      </c>
      <c r="AH31" s="8">
        <f t="shared" ref="AH31" si="95">SUM(AH24:AH30)</f>
        <v>72.771525311965149</v>
      </c>
      <c r="AI31" s="8">
        <f t="shared" ref="AI31" si="96">SUM(AI24:AI30)</f>
        <v>5182.7755101361472</v>
      </c>
      <c r="AJ31" s="8">
        <f t="shared" ref="AJ31" si="97">SUM(AJ24:AJ30)</f>
        <v>16061.933980701917</v>
      </c>
      <c r="AK31" s="8">
        <f t="shared" ref="AK31" si="98">SUM(AK24:AK30)</f>
        <v>17494.57007351151</v>
      </c>
      <c r="AL31" s="8">
        <f t="shared" ref="AL31" si="99">SUM(AL24:AL30)</f>
        <v>13424.033362666891</v>
      </c>
      <c r="AM31" s="8">
        <f t="shared" ref="AM31" si="100">SUM(AM24:AM30)</f>
        <v>0</v>
      </c>
      <c r="AO31" s="8">
        <f t="shared" ref="AO31" si="101">SUM(AO24:AO30)</f>
        <v>0</v>
      </c>
      <c r="AP31" s="8">
        <f t="shared" ref="AP31" si="102">SUM(AP24:AP30)</f>
        <v>0</v>
      </c>
      <c r="AQ31" s="8">
        <f t="shared" ref="AQ31" si="103">SUM(AQ24:AQ30)</f>
        <v>0</v>
      </c>
      <c r="AR31" s="8">
        <f t="shared" ref="AR31" si="104">SUM(AR24:AR30)</f>
        <v>134.30587230414613</v>
      </c>
      <c r="AS31" s="8">
        <f t="shared" ref="AS31" si="105">SUM(AS24:AS30)</f>
        <v>338.6076347002147</v>
      </c>
      <c r="AT31" s="8">
        <f t="shared" ref="AT31" si="106">SUM(AT24:AT30)</f>
        <v>623.95248744355445</v>
      </c>
      <c r="AU31" s="8">
        <f t="shared" ref="AU31" si="107">SUM(AU24:AU30)</f>
        <v>398.64847775774052</v>
      </c>
      <c r="AV31" s="8">
        <f t="shared" ref="AV31" si="108">SUM(AV24:AV30)</f>
        <v>0</v>
      </c>
    </row>
    <row r="33" spans="2:5" x14ac:dyDescent="0.3">
      <c r="B33" t="s">
        <v>169</v>
      </c>
      <c r="E33" s="94">
        <f>[1]Escalators!$J$21</f>
        <v>1.0375174472699489</v>
      </c>
    </row>
    <row r="34" spans="2:5" x14ac:dyDescent="0.3">
      <c r="B34" s="95" t="s">
        <v>229</v>
      </c>
    </row>
  </sheetData>
  <mergeCells count="4">
    <mergeCell ref="N2:U2"/>
    <mergeCell ref="W2:AD2"/>
    <mergeCell ref="AF2:AM2"/>
    <mergeCell ref="AO2:AV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6"/>
  <sheetViews>
    <sheetView zoomScale="85" zoomScaleNormal="85" workbookViewId="0">
      <selection activeCell="H8" sqref="H8"/>
    </sheetView>
  </sheetViews>
  <sheetFormatPr defaultRowHeight="14.4" x14ac:dyDescent="0.3"/>
  <cols>
    <col min="1" max="1" width="4.33203125" customWidth="1"/>
    <col min="2" max="2" width="46.44140625" customWidth="1"/>
    <col min="6" max="6" width="9" bestFit="1" customWidth="1"/>
    <col min="7" max="7" width="10.5546875" bestFit="1" customWidth="1"/>
    <col min="8" max="8" width="9.5546875" bestFit="1" customWidth="1"/>
  </cols>
  <sheetData>
    <row r="2" spans="2:12" x14ac:dyDescent="0.3">
      <c r="B2" s="1" t="s">
        <v>0</v>
      </c>
      <c r="E2" s="2"/>
      <c r="F2" s="2"/>
      <c r="G2" s="2"/>
      <c r="I2" s="2"/>
      <c r="J2" s="2"/>
    </row>
    <row r="3" spans="2:12" x14ac:dyDescent="0.3">
      <c r="B3" t="s">
        <v>1</v>
      </c>
      <c r="E3" s="2"/>
      <c r="F3" s="2"/>
      <c r="G3" s="2"/>
    </row>
    <row r="4" spans="2:12" x14ac:dyDescent="0.3">
      <c r="E4" s="2"/>
      <c r="F4" s="2"/>
      <c r="G4" s="2"/>
    </row>
    <row r="5" spans="2:12" x14ac:dyDescent="0.3">
      <c r="B5" t="s">
        <v>2</v>
      </c>
      <c r="C5" s="3" t="s">
        <v>3</v>
      </c>
      <c r="D5" s="9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9</v>
      </c>
      <c r="K5" s="3" t="s">
        <v>9</v>
      </c>
      <c r="L5" s="3" t="s">
        <v>10</v>
      </c>
    </row>
    <row r="6" spans="2:12" x14ac:dyDescent="0.3">
      <c r="B6" t="s">
        <v>11</v>
      </c>
      <c r="C6" s="4">
        <v>8462.3457318309775</v>
      </c>
      <c r="D6" s="10">
        <v>14798.505384999489</v>
      </c>
      <c r="E6" s="4">
        <v>6455.541963012256</v>
      </c>
      <c r="F6" s="4">
        <v>5694.8445618285878</v>
      </c>
      <c r="G6" s="4">
        <v>6361.2626531672122</v>
      </c>
      <c r="H6" s="4">
        <v>0</v>
      </c>
      <c r="I6" s="5">
        <v>0</v>
      </c>
      <c r="J6" s="5">
        <v>0</v>
      </c>
      <c r="K6" s="4">
        <v>0</v>
      </c>
      <c r="L6" s="6">
        <v>41772.500294838523</v>
      </c>
    </row>
    <row r="7" spans="2:12" x14ac:dyDescent="0.3">
      <c r="B7" t="s">
        <v>12</v>
      </c>
      <c r="C7" s="4">
        <v>0</v>
      </c>
      <c r="D7" s="10">
        <v>0</v>
      </c>
      <c r="E7" s="4">
        <v>0</v>
      </c>
      <c r="F7" s="4">
        <v>0</v>
      </c>
      <c r="G7" s="4">
        <v>0</v>
      </c>
      <c r="H7" s="4">
        <v>0</v>
      </c>
      <c r="I7" s="5">
        <v>0</v>
      </c>
      <c r="J7" s="5">
        <v>0</v>
      </c>
      <c r="K7" s="4">
        <v>0</v>
      </c>
      <c r="L7" s="6">
        <v>0</v>
      </c>
    </row>
    <row r="8" spans="2:12" x14ac:dyDescent="0.3">
      <c r="B8" t="s">
        <v>13</v>
      </c>
      <c r="C8" s="4">
        <v>3970.5813373445799</v>
      </c>
      <c r="D8" s="10">
        <v>1690.4476844971614</v>
      </c>
      <c r="E8" s="4">
        <v>1998.203915649337</v>
      </c>
      <c r="F8" s="4">
        <v>1769.1881500526792</v>
      </c>
      <c r="G8" s="4">
        <v>2597.5193656504543</v>
      </c>
      <c r="H8" s="4">
        <v>0</v>
      </c>
      <c r="I8" s="5">
        <v>0</v>
      </c>
      <c r="J8" s="5">
        <v>0</v>
      </c>
      <c r="K8" s="4">
        <v>0</v>
      </c>
      <c r="L8" s="6">
        <v>12025.940453194213</v>
      </c>
    </row>
    <row r="9" spans="2:12" x14ac:dyDescent="0.3">
      <c r="B9" t="s">
        <v>14</v>
      </c>
      <c r="C9" s="4">
        <v>4166.5846009226816</v>
      </c>
      <c r="D9" s="10">
        <v>854.60111799943013</v>
      </c>
      <c r="E9" s="4">
        <v>1277.1573419640717</v>
      </c>
      <c r="F9" s="4">
        <v>1546.196154238349</v>
      </c>
      <c r="G9" s="4">
        <v>4181.1277285811047</v>
      </c>
      <c r="H9" s="4">
        <v>0</v>
      </c>
      <c r="I9" s="5">
        <v>0</v>
      </c>
      <c r="J9" s="5">
        <v>0</v>
      </c>
      <c r="K9" s="4">
        <v>0</v>
      </c>
      <c r="L9" s="6">
        <v>12025.666943705637</v>
      </c>
    </row>
    <row r="10" spans="2:12" x14ac:dyDescent="0.3">
      <c r="B10" t="s">
        <v>15</v>
      </c>
      <c r="C10" s="4">
        <v>2947.9306451540956</v>
      </c>
      <c r="D10" s="10">
        <v>3617.4865672331157</v>
      </c>
      <c r="E10" s="4">
        <v>2555.2172267734895</v>
      </c>
      <c r="F10" s="4">
        <v>2560.8103205387515</v>
      </c>
      <c r="G10" s="4">
        <v>3055.1230032894796</v>
      </c>
      <c r="H10" s="4">
        <v>0</v>
      </c>
      <c r="I10" s="5">
        <v>0</v>
      </c>
      <c r="J10" s="5">
        <v>0</v>
      </c>
      <c r="K10" s="4">
        <v>0</v>
      </c>
      <c r="L10" s="6">
        <v>14736.567762988934</v>
      </c>
    </row>
    <row r="11" spans="2:12" x14ac:dyDescent="0.3">
      <c r="B11" t="s">
        <v>16</v>
      </c>
      <c r="C11" s="4">
        <v>0</v>
      </c>
      <c r="D11" s="10">
        <v>0</v>
      </c>
      <c r="E11" s="4">
        <v>0</v>
      </c>
      <c r="F11" s="4">
        <v>0</v>
      </c>
      <c r="G11" s="4">
        <v>0</v>
      </c>
      <c r="H11" s="4">
        <v>0</v>
      </c>
      <c r="I11" s="5">
        <v>0</v>
      </c>
      <c r="J11" s="5">
        <v>0</v>
      </c>
      <c r="K11" s="4">
        <v>0</v>
      </c>
      <c r="L11" s="6">
        <v>0</v>
      </c>
    </row>
    <row r="12" spans="2:12" x14ac:dyDescent="0.3">
      <c r="B12" t="s">
        <v>17</v>
      </c>
      <c r="C12" s="4">
        <v>0</v>
      </c>
      <c r="D12" s="10">
        <v>1594.1935004068289</v>
      </c>
      <c r="E12" s="4">
        <v>0</v>
      </c>
      <c r="F12" s="4">
        <v>0</v>
      </c>
      <c r="G12" s="4">
        <v>0</v>
      </c>
      <c r="H12" s="4">
        <v>0</v>
      </c>
      <c r="I12" s="5">
        <v>0</v>
      </c>
      <c r="J12" s="5">
        <v>0</v>
      </c>
      <c r="K12" s="4">
        <v>0</v>
      </c>
      <c r="L12" s="6">
        <v>1594.1935004068289</v>
      </c>
    </row>
    <row r="13" spans="2:12" x14ac:dyDescent="0.3">
      <c r="B13" s="7" t="s">
        <v>18</v>
      </c>
      <c r="C13" s="34">
        <v>19547.442315252334</v>
      </c>
      <c r="D13" s="35">
        <v>22555.234255136027</v>
      </c>
      <c r="E13" s="34">
        <v>12286.120447399155</v>
      </c>
      <c r="F13" s="34">
        <v>11571.039186658367</v>
      </c>
      <c r="G13" s="34">
        <v>16195.032750688251</v>
      </c>
      <c r="H13" s="34">
        <v>0</v>
      </c>
      <c r="I13" s="34">
        <v>0</v>
      </c>
      <c r="J13" s="34">
        <v>0</v>
      </c>
      <c r="K13" s="34">
        <v>0</v>
      </c>
      <c r="L13" s="34">
        <v>82154.868955134138</v>
      </c>
    </row>
    <row r="14" spans="2:12" x14ac:dyDescent="0.3">
      <c r="B14" s="80" t="s">
        <v>89</v>
      </c>
      <c r="C14" s="77"/>
      <c r="D14" s="79"/>
      <c r="E14" s="77"/>
      <c r="F14" s="77"/>
      <c r="G14" s="77"/>
      <c r="H14" s="77"/>
      <c r="I14" s="77"/>
      <c r="J14" s="77"/>
      <c r="K14" s="77"/>
      <c r="L14" s="77"/>
    </row>
    <row r="16" spans="2:12" x14ac:dyDescent="0.3">
      <c r="B16" s="7" t="s">
        <v>81</v>
      </c>
    </row>
    <row r="17" spans="2:12" x14ac:dyDescent="0.3">
      <c r="B17" t="s">
        <v>82</v>
      </c>
      <c r="C17" s="11" t="s">
        <v>92</v>
      </c>
      <c r="D17" s="11" t="s">
        <v>93</v>
      </c>
      <c r="E17" s="11" t="s">
        <v>94</v>
      </c>
      <c r="F17" s="11" t="s">
        <v>95</v>
      </c>
      <c r="G17" s="11" t="s">
        <v>96</v>
      </c>
      <c r="H17" s="11" t="s">
        <v>97</v>
      </c>
      <c r="I17" s="11" t="s">
        <v>98</v>
      </c>
      <c r="J17" s="11" t="s">
        <v>99</v>
      </c>
      <c r="K17" s="3" t="s">
        <v>10</v>
      </c>
    </row>
    <row r="18" spans="2:12" x14ac:dyDescent="0.3">
      <c r="B18" t="s">
        <v>2</v>
      </c>
    </row>
    <row r="19" spans="2:12" x14ac:dyDescent="0.3">
      <c r="B19" s="75" t="s">
        <v>11</v>
      </c>
      <c r="C19" s="5">
        <v>0</v>
      </c>
      <c r="D19" s="5">
        <v>0</v>
      </c>
      <c r="E19" s="5">
        <v>0</v>
      </c>
      <c r="F19" s="5">
        <v>216.98723477935869</v>
      </c>
      <c r="G19" s="5">
        <v>7898.294970540137</v>
      </c>
      <c r="H19" s="5">
        <v>2518.9178300762796</v>
      </c>
      <c r="I19" s="5">
        <v>4164.3053496037137</v>
      </c>
      <c r="J19" s="5">
        <v>0</v>
      </c>
      <c r="K19" s="6">
        <f>SUM(D19:J19)</f>
        <v>14798.505384999489</v>
      </c>
      <c r="L19" s="6" t="b">
        <f t="shared" ref="L19:L25" si="0">K19=$D6</f>
        <v>1</v>
      </c>
    </row>
    <row r="20" spans="2:12" x14ac:dyDescent="0.3">
      <c r="B20" t="s">
        <v>12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f t="shared" ref="K20:K25" si="1">SUM(D20:J20)</f>
        <v>0</v>
      </c>
      <c r="L20" s="6" t="b">
        <f t="shared" si="0"/>
        <v>1</v>
      </c>
    </row>
    <row r="21" spans="2:12" x14ac:dyDescent="0.3">
      <c r="B21" t="s">
        <v>13</v>
      </c>
      <c r="C21" s="5">
        <v>0</v>
      </c>
      <c r="D21" s="5">
        <v>0</v>
      </c>
      <c r="E21" s="5">
        <v>0</v>
      </c>
      <c r="F21" s="5">
        <v>40.466718119322877</v>
      </c>
      <c r="G21" s="5">
        <v>609.59617836010796</v>
      </c>
      <c r="H21" s="5">
        <v>525.22246354626532</v>
      </c>
      <c r="I21" s="5">
        <v>515.16232447146524</v>
      </c>
      <c r="J21" s="5">
        <v>0</v>
      </c>
      <c r="K21" s="6">
        <f t="shared" si="1"/>
        <v>1690.4476844971614</v>
      </c>
      <c r="L21" s="6" t="b">
        <f t="shared" si="0"/>
        <v>1</v>
      </c>
    </row>
    <row r="22" spans="2:12" x14ac:dyDescent="0.3">
      <c r="B22" t="s">
        <v>14</v>
      </c>
      <c r="C22" s="5">
        <v>0</v>
      </c>
      <c r="D22" s="5">
        <v>0</v>
      </c>
      <c r="E22" s="5">
        <v>0</v>
      </c>
      <c r="F22" s="5">
        <v>24.668110213172902</v>
      </c>
      <c r="G22" s="5">
        <v>259.74494042551572</v>
      </c>
      <c r="H22" s="5">
        <v>312.25322981661134</v>
      </c>
      <c r="I22" s="5">
        <v>257.93483754413012</v>
      </c>
      <c r="J22" s="5">
        <v>0</v>
      </c>
      <c r="K22" s="6">
        <f t="shared" si="1"/>
        <v>854.60111799943013</v>
      </c>
      <c r="L22" s="6" t="b">
        <f t="shared" si="0"/>
        <v>1</v>
      </c>
    </row>
    <row r="23" spans="2:12" x14ac:dyDescent="0.3">
      <c r="B23" t="s">
        <v>15</v>
      </c>
      <c r="C23" s="5">
        <v>0</v>
      </c>
      <c r="D23" s="5">
        <v>0</v>
      </c>
      <c r="E23" s="5">
        <v>0</v>
      </c>
      <c r="F23" s="5">
        <v>53.042411152618953</v>
      </c>
      <c r="G23" s="5">
        <v>2689.4207229022659</v>
      </c>
      <c r="H23" s="5">
        <v>576.33794001517856</v>
      </c>
      <c r="I23" s="5">
        <v>298.68549316305229</v>
      </c>
      <c r="J23" s="5">
        <v>0</v>
      </c>
      <c r="K23" s="6">
        <f t="shared" si="1"/>
        <v>3617.4865672331157</v>
      </c>
      <c r="L23" s="6" t="b">
        <f t="shared" si="0"/>
        <v>1</v>
      </c>
    </row>
    <row r="24" spans="2:12" x14ac:dyDescent="0.3">
      <c r="B24" t="s">
        <v>16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6">
        <f t="shared" si="1"/>
        <v>0</v>
      </c>
      <c r="L24" s="6" t="b">
        <f t="shared" si="0"/>
        <v>1</v>
      </c>
    </row>
    <row r="25" spans="2:12" x14ac:dyDescent="0.3">
      <c r="B25" t="s">
        <v>17</v>
      </c>
      <c r="C25" s="5">
        <v>0</v>
      </c>
      <c r="D25" s="5">
        <v>0</v>
      </c>
      <c r="E25" s="5">
        <v>0</v>
      </c>
      <c r="F25" s="5">
        <v>23.375309219209782</v>
      </c>
      <c r="G25" s="5">
        <v>1509.4350947576372</v>
      </c>
      <c r="H25" s="5">
        <v>36.474013820713829</v>
      </c>
      <c r="I25" s="5">
        <v>24.909082609267983</v>
      </c>
      <c r="J25" s="5">
        <v>0</v>
      </c>
      <c r="K25" s="6">
        <f t="shared" si="1"/>
        <v>1594.1935004068289</v>
      </c>
      <c r="L25" s="6" t="b">
        <f t="shared" si="0"/>
        <v>1</v>
      </c>
    </row>
    <row r="26" spans="2:12" x14ac:dyDescent="0.3">
      <c r="B26" s="7" t="s">
        <v>18</v>
      </c>
      <c r="C26" s="8">
        <f t="shared" ref="C26:E26" si="2">SUM(C19:C25)</f>
        <v>0</v>
      </c>
      <c r="D26" s="8">
        <f t="shared" si="2"/>
        <v>0</v>
      </c>
      <c r="E26" s="8">
        <f t="shared" si="2"/>
        <v>0</v>
      </c>
      <c r="F26" s="8">
        <f>SUM(F19:F25)</f>
        <v>358.53978348368321</v>
      </c>
      <c r="G26" s="8">
        <f t="shared" ref="G26:K26" si="3">SUM(G19:G25)</f>
        <v>12966.491906985664</v>
      </c>
      <c r="H26" s="8">
        <f t="shared" si="3"/>
        <v>3969.2054772750489</v>
      </c>
      <c r="I26" s="8">
        <f t="shared" si="3"/>
        <v>5260.99708739163</v>
      </c>
      <c r="J26" s="8">
        <f t="shared" si="3"/>
        <v>0</v>
      </c>
      <c r="K26" s="34">
        <f t="shared" si="3"/>
        <v>22555.234255136027</v>
      </c>
    </row>
    <row r="27" spans="2:12" x14ac:dyDescent="0.3">
      <c r="K27" s="36" t="b">
        <f>K26=D13</f>
        <v>1</v>
      </c>
    </row>
    <row r="28" spans="2:12" x14ac:dyDescent="0.3">
      <c r="B28" s="7" t="s">
        <v>90</v>
      </c>
      <c r="K28" s="36"/>
    </row>
    <row r="29" spans="2:12" x14ac:dyDescent="0.3">
      <c r="B29" t="s">
        <v>82</v>
      </c>
      <c r="C29" s="11" t="s">
        <v>92</v>
      </c>
      <c r="D29" s="11" t="s">
        <v>93</v>
      </c>
      <c r="E29" s="11" t="s">
        <v>94</v>
      </c>
      <c r="F29" s="11" t="s">
        <v>95</v>
      </c>
      <c r="G29" s="11" t="s">
        <v>96</v>
      </c>
      <c r="H29" s="11" t="s">
        <v>97</v>
      </c>
      <c r="I29" s="11" t="s">
        <v>98</v>
      </c>
      <c r="J29" s="11" t="s">
        <v>99</v>
      </c>
      <c r="K29" s="3" t="s">
        <v>10</v>
      </c>
    </row>
    <row r="30" spans="2:12" x14ac:dyDescent="0.3">
      <c r="B30" t="s">
        <v>83</v>
      </c>
      <c r="C30" s="6">
        <f>SUM(C19:C20)</f>
        <v>0</v>
      </c>
      <c r="D30" s="6">
        <f t="shared" ref="D30:J30" si="4">SUM(D19:D20)</f>
        <v>0</v>
      </c>
      <c r="E30" s="6">
        <f t="shared" si="4"/>
        <v>0</v>
      </c>
      <c r="F30" s="6">
        <f t="shared" si="4"/>
        <v>216.98723477935869</v>
      </c>
      <c r="G30" s="6">
        <f t="shared" si="4"/>
        <v>7898.294970540137</v>
      </c>
      <c r="H30" s="6">
        <f t="shared" si="4"/>
        <v>2518.9178300762796</v>
      </c>
      <c r="I30" s="6">
        <f t="shared" si="4"/>
        <v>4164.3053496037137</v>
      </c>
      <c r="J30" s="6">
        <f t="shared" si="4"/>
        <v>0</v>
      </c>
      <c r="K30" s="6">
        <f>SUM(C30:J30)</f>
        <v>14798.505384999489</v>
      </c>
    </row>
    <row r="31" spans="2:12" x14ac:dyDescent="0.3">
      <c r="B31" t="s">
        <v>84</v>
      </c>
      <c r="C31" s="6">
        <f>SUM(C21:C22)</f>
        <v>0</v>
      </c>
      <c r="D31" s="6">
        <f t="shared" ref="D31:J31" si="5">SUM(D21:D22)</f>
        <v>0</v>
      </c>
      <c r="E31" s="6">
        <f t="shared" si="5"/>
        <v>0</v>
      </c>
      <c r="F31" s="6">
        <f t="shared" si="5"/>
        <v>65.134828332495772</v>
      </c>
      <c r="G31" s="6">
        <f t="shared" si="5"/>
        <v>869.34111878562362</v>
      </c>
      <c r="H31" s="6">
        <f t="shared" si="5"/>
        <v>837.47569336287665</v>
      </c>
      <c r="I31" s="6">
        <f t="shared" si="5"/>
        <v>773.09716201559536</v>
      </c>
      <c r="J31" s="6">
        <f t="shared" si="5"/>
        <v>0</v>
      </c>
      <c r="K31" s="6">
        <f t="shared" ref="K31:K35" si="6">SUM(C31:J31)</f>
        <v>2545.0488024965916</v>
      </c>
    </row>
    <row r="32" spans="2:12" x14ac:dyDescent="0.3">
      <c r="B32" t="s">
        <v>85</v>
      </c>
      <c r="C32" s="6">
        <f>SUM(C23:C24)</f>
        <v>0</v>
      </c>
      <c r="D32" s="6">
        <f t="shared" ref="D32:J32" si="7">SUM(D23:D24)</f>
        <v>0</v>
      </c>
      <c r="E32" s="6">
        <f t="shared" si="7"/>
        <v>0</v>
      </c>
      <c r="F32" s="6">
        <f t="shared" si="7"/>
        <v>53.042411152618953</v>
      </c>
      <c r="G32" s="6">
        <f t="shared" si="7"/>
        <v>2689.4207229022659</v>
      </c>
      <c r="H32" s="6">
        <f t="shared" si="7"/>
        <v>576.33794001517856</v>
      </c>
      <c r="I32" s="6">
        <f t="shared" si="7"/>
        <v>298.68549316305229</v>
      </c>
      <c r="J32" s="6">
        <f t="shared" si="7"/>
        <v>0</v>
      </c>
      <c r="K32" s="6">
        <f t="shared" si="6"/>
        <v>3617.4865672331157</v>
      </c>
    </row>
    <row r="33" spans="2:11" x14ac:dyDescent="0.3">
      <c r="B33" t="s">
        <v>86</v>
      </c>
      <c r="K33" s="6">
        <f t="shared" si="6"/>
        <v>0</v>
      </c>
    </row>
    <row r="34" spans="2:11" x14ac:dyDescent="0.3">
      <c r="B34" t="s">
        <v>87</v>
      </c>
      <c r="K34" s="6">
        <f t="shared" si="6"/>
        <v>0</v>
      </c>
    </row>
    <row r="35" spans="2:11" x14ac:dyDescent="0.3">
      <c r="B35" t="s">
        <v>88</v>
      </c>
      <c r="C35" s="6">
        <f>C25</f>
        <v>0</v>
      </c>
      <c r="D35" s="6">
        <f t="shared" ref="D35:J35" si="8">D25</f>
        <v>0</v>
      </c>
      <c r="E35" s="6">
        <f t="shared" si="8"/>
        <v>0</v>
      </c>
      <c r="F35" s="6">
        <f t="shared" si="8"/>
        <v>23.375309219209782</v>
      </c>
      <c r="G35" s="6">
        <f t="shared" si="8"/>
        <v>1509.4350947576372</v>
      </c>
      <c r="H35" s="6">
        <f t="shared" si="8"/>
        <v>36.474013820713829</v>
      </c>
      <c r="I35" s="6">
        <f t="shared" si="8"/>
        <v>24.909082609267983</v>
      </c>
      <c r="J35" s="6">
        <f t="shared" si="8"/>
        <v>0</v>
      </c>
      <c r="K35" s="6">
        <f t="shared" si="6"/>
        <v>1594.1935004068289</v>
      </c>
    </row>
    <row r="36" spans="2:11" x14ac:dyDescent="0.3">
      <c r="B36" s="7" t="s">
        <v>18</v>
      </c>
      <c r="C36" s="8">
        <f t="shared" ref="C36:F36" si="9">SUM(C30:C35)</f>
        <v>0</v>
      </c>
      <c r="D36" s="8">
        <f t="shared" si="9"/>
        <v>0</v>
      </c>
      <c r="E36" s="8">
        <f t="shared" si="9"/>
        <v>0</v>
      </c>
      <c r="F36" s="8">
        <f t="shared" si="9"/>
        <v>358.53978348368321</v>
      </c>
      <c r="G36" s="8">
        <f>SUM(G30:G35)</f>
        <v>12966.491906985664</v>
      </c>
      <c r="H36" s="8">
        <f t="shared" ref="H36:K36" si="10">SUM(H30:H35)</f>
        <v>3969.2054772750489</v>
      </c>
      <c r="I36" s="8">
        <f t="shared" si="10"/>
        <v>5260.9970873916291</v>
      </c>
      <c r="J36" s="8">
        <f t="shared" si="10"/>
        <v>0</v>
      </c>
      <c r="K36" s="8">
        <f t="shared" si="10"/>
        <v>22555.234255136023</v>
      </c>
    </row>
    <row r="37" spans="2:11" x14ac:dyDescent="0.3">
      <c r="B37" t="s">
        <v>91</v>
      </c>
      <c r="C37" s="6">
        <f t="shared" ref="C37:E37" si="11">C36-C26</f>
        <v>0</v>
      </c>
      <c r="D37" s="6">
        <f t="shared" si="11"/>
        <v>0</v>
      </c>
      <c r="E37" s="6">
        <f t="shared" si="11"/>
        <v>0</v>
      </c>
      <c r="F37" s="6">
        <f>F36-F26</f>
        <v>0</v>
      </c>
      <c r="G37" s="6">
        <f t="shared" ref="G37:K37" si="12">G36-G26</f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</row>
    <row r="39" spans="2:11" x14ac:dyDescent="0.3">
      <c r="B39" s="7" t="s">
        <v>90</v>
      </c>
    </row>
    <row r="40" spans="2:11" x14ac:dyDescent="0.3">
      <c r="B40" t="s">
        <v>82</v>
      </c>
      <c r="C40" s="11" t="s">
        <v>92</v>
      </c>
      <c r="D40" s="11" t="s">
        <v>93</v>
      </c>
      <c r="E40" s="11" t="s">
        <v>94</v>
      </c>
      <c r="F40" s="11" t="s">
        <v>95</v>
      </c>
      <c r="G40" s="11" t="s">
        <v>96</v>
      </c>
      <c r="H40" s="11" t="s">
        <v>168</v>
      </c>
    </row>
    <row r="41" spans="2:11" x14ac:dyDescent="0.3">
      <c r="B41" t="s">
        <v>83</v>
      </c>
      <c r="C41" s="6">
        <f>C30</f>
        <v>0</v>
      </c>
      <c r="D41" s="6">
        <f t="shared" ref="D41:G41" si="13">D30</f>
        <v>0</v>
      </c>
      <c r="E41" s="6">
        <f t="shared" si="13"/>
        <v>0</v>
      </c>
      <c r="F41" s="6">
        <f t="shared" si="13"/>
        <v>216.98723477935869</v>
      </c>
      <c r="G41" s="6">
        <f t="shared" si="13"/>
        <v>7898.294970540137</v>
      </c>
      <c r="H41" s="6">
        <f>G41*0.5</f>
        <v>3949.1474852700685</v>
      </c>
    </row>
    <row r="42" spans="2:11" x14ac:dyDescent="0.3">
      <c r="B42" t="s">
        <v>84</v>
      </c>
      <c r="C42" s="6">
        <f t="shared" ref="C42:G42" si="14">C31</f>
        <v>0</v>
      </c>
      <c r="D42" s="6">
        <f t="shared" si="14"/>
        <v>0</v>
      </c>
      <c r="E42" s="6">
        <f t="shared" si="14"/>
        <v>0</v>
      </c>
      <c r="F42" s="6">
        <f t="shared" si="14"/>
        <v>65.134828332495772</v>
      </c>
      <c r="G42" s="6">
        <f t="shared" si="14"/>
        <v>869.34111878562362</v>
      </c>
      <c r="H42" s="6">
        <f t="shared" ref="H42:H46" si="15">G42*0.5</f>
        <v>434.67055939281181</v>
      </c>
    </row>
    <row r="43" spans="2:11" x14ac:dyDescent="0.3">
      <c r="B43" t="s">
        <v>85</v>
      </c>
      <c r="C43" s="6">
        <f t="shared" ref="C43:G43" si="16">C32</f>
        <v>0</v>
      </c>
      <c r="D43" s="6">
        <f t="shared" si="16"/>
        <v>0</v>
      </c>
      <c r="E43" s="6">
        <f t="shared" si="16"/>
        <v>0</v>
      </c>
      <c r="F43" s="6">
        <f t="shared" si="16"/>
        <v>53.042411152618953</v>
      </c>
      <c r="G43" s="6">
        <f t="shared" si="16"/>
        <v>2689.4207229022659</v>
      </c>
      <c r="H43" s="6">
        <f t="shared" si="15"/>
        <v>1344.7103614511329</v>
      </c>
    </row>
    <row r="44" spans="2:11" x14ac:dyDescent="0.3">
      <c r="B44" t="s">
        <v>86</v>
      </c>
      <c r="C44" s="6">
        <f t="shared" ref="C44:G44" si="17">C33</f>
        <v>0</v>
      </c>
      <c r="D44" s="6">
        <f t="shared" si="17"/>
        <v>0</v>
      </c>
      <c r="E44" s="6">
        <f t="shared" si="17"/>
        <v>0</v>
      </c>
      <c r="F44" s="6">
        <f t="shared" si="17"/>
        <v>0</v>
      </c>
      <c r="G44" s="6">
        <f t="shared" si="17"/>
        <v>0</v>
      </c>
      <c r="H44" s="6">
        <f t="shared" si="15"/>
        <v>0</v>
      </c>
    </row>
    <row r="45" spans="2:11" x14ac:dyDescent="0.3">
      <c r="B45" t="s">
        <v>87</v>
      </c>
      <c r="C45" s="6">
        <f t="shared" ref="C45:G45" si="18">C34</f>
        <v>0</v>
      </c>
      <c r="D45" s="6">
        <f t="shared" si="18"/>
        <v>0</v>
      </c>
      <c r="E45" s="6">
        <f t="shared" si="18"/>
        <v>0</v>
      </c>
      <c r="F45" s="6">
        <f t="shared" si="18"/>
        <v>0</v>
      </c>
      <c r="G45" s="6">
        <f t="shared" si="18"/>
        <v>0</v>
      </c>
      <c r="H45" s="6">
        <f t="shared" si="15"/>
        <v>0</v>
      </c>
    </row>
    <row r="46" spans="2:11" x14ac:dyDescent="0.3">
      <c r="B46" t="s">
        <v>88</v>
      </c>
      <c r="C46" s="6">
        <f t="shared" ref="C46:G46" si="19">C35</f>
        <v>0</v>
      </c>
      <c r="D46" s="6">
        <f t="shared" si="19"/>
        <v>0</v>
      </c>
      <c r="E46" s="6">
        <f t="shared" si="19"/>
        <v>0</v>
      </c>
      <c r="F46" s="6">
        <f t="shared" si="19"/>
        <v>23.375309219209782</v>
      </c>
      <c r="G46" s="6">
        <f t="shared" si="19"/>
        <v>1509.4350947576372</v>
      </c>
      <c r="H46" s="6">
        <f t="shared" si="15"/>
        <v>754.71754737881861</v>
      </c>
    </row>
    <row r="47" spans="2:11" x14ac:dyDescent="0.3">
      <c r="B47" s="7" t="s">
        <v>18</v>
      </c>
      <c r="C47" s="8">
        <f t="shared" ref="C47:G47" si="20">SUM(C41:C46)</f>
        <v>0</v>
      </c>
      <c r="D47" s="8">
        <f t="shared" si="20"/>
        <v>0</v>
      </c>
      <c r="E47" s="8">
        <f t="shared" si="20"/>
        <v>0</v>
      </c>
      <c r="F47" s="8">
        <f t="shared" si="20"/>
        <v>358.53978348368321</v>
      </c>
      <c r="G47" s="8">
        <f t="shared" si="20"/>
        <v>12966.491906985664</v>
      </c>
      <c r="H47" s="8">
        <f>SUM(H41:H46)</f>
        <v>6483.2459534928321</v>
      </c>
    </row>
    <row r="48" spans="2:11" x14ac:dyDescent="0.3">
      <c r="F48" s="4"/>
      <c r="G48" s="4"/>
      <c r="H48" s="4"/>
    </row>
    <row r="49" spans="2:9" x14ac:dyDescent="0.3">
      <c r="F49" s="93"/>
      <c r="G49" s="93"/>
      <c r="H49" s="93"/>
    </row>
    <row r="55" spans="2:9" x14ac:dyDescent="0.3">
      <c r="B55" s="152"/>
      <c r="C55" s="153"/>
      <c r="D55" s="153"/>
      <c r="E55" s="153"/>
      <c r="F55" s="153"/>
      <c r="G55" s="153"/>
      <c r="H55" s="153"/>
      <c r="I55" s="153"/>
    </row>
    <row r="56" spans="2:9" x14ac:dyDescent="0.3">
      <c r="B56" s="154"/>
      <c r="C56" s="155"/>
      <c r="D56" s="155"/>
      <c r="E56" s="155"/>
      <c r="F56" s="155"/>
      <c r="G56" s="155"/>
      <c r="H56" s="155"/>
      <c r="I56" s="153"/>
    </row>
    <row r="57" spans="2:9" x14ac:dyDescent="0.3">
      <c r="B57" s="153"/>
      <c r="C57" s="36"/>
      <c r="D57" s="36"/>
      <c r="E57" s="36"/>
      <c r="F57" s="36"/>
      <c r="G57" s="36"/>
      <c r="H57" s="36"/>
      <c r="I57" s="153"/>
    </row>
    <row r="58" spans="2:9" x14ac:dyDescent="0.3">
      <c r="B58" s="153"/>
      <c r="C58" s="36"/>
      <c r="D58" s="36"/>
      <c r="E58" s="36"/>
      <c r="F58" s="36"/>
      <c r="G58" s="36"/>
      <c r="H58" s="36"/>
      <c r="I58" s="153"/>
    </row>
    <row r="59" spans="2:9" x14ac:dyDescent="0.3">
      <c r="B59" s="153"/>
      <c r="C59" s="36"/>
      <c r="D59" s="36"/>
      <c r="E59" s="36"/>
      <c r="F59" s="36"/>
      <c r="G59" s="36"/>
      <c r="H59" s="36"/>
      <c r="I59" s="153"/>
    </row>
    <row r="60" spans="2:9" x14ac:dyDescent="0.3">
      <c r="B60" s="153"/>
      <c r="C60" s="36"/>
      <c r="D60" s="36"/>
      <c r="E60" s="36"/>
      <c r="F60" s="36"/>
      <c r="G60" s="36"/>
      <c r="H60" s="36"/>
      <c r="I60" s="153"/>
    </row>
    <row r="61" spans="2:9" x14ac:dyDescent="0.3">
      <c r="B61" s="153"/>
      <c r="C61" s="36"/>
      <c r="D61" s="36"/>
      <c r="E61" s="36"/>
      <c r="F61" s="36"/>
      <c r="G61" s="36"/>
      <c r="H61" s="36"/>
      <c r="I61" s="153"/>
    </row>
    <row r="62" spans="2:9" x14ac:dyDescent="0.3">
      <c r="B62" s="153"/>
      <c r="C62" s="36"/>
      <c r="D62" s="36"/>
      <c r="E62" s="36"/>
      <c r="F62" s="36"/>
      <c r="G62" s="36"/>
      <c r="H62" s="36"/>
      <c r="I62" s="153"/>
    </row>
    <row r="63" spans="2:9" x14ac:dyDescent="0.3">
      <c r="B63" s="152"/>
      <c r="C63" s="36"/>
      <c r="D63" s="36"/>
      <c r="E63" s="36"/>
      <c r="F63" s="36"/>
      <c r="G63" s="36"/>
      <c r="H63" s="36"/>
      <c r="I63" s="153"/>
    </row>
    <row r="64" spans="2:9" x14ac:dyDescent="0.3">
      <c r="B64" s="153"/>
      <c r="C64" s="153"/>
      <c r="D64" s="153"/>
      <c r="E64" s="153"/>
      <c r="F64" s="36"/>
      <c r="G64" s="36"/>
      <c r="H64" s="36"/>
      <c r="I64" s="153"/>
    </row>
    <row r="65" spans="2:9" x14ac:dyDescent="0.3">
      <c r="B65" s="156"/>
      <c r="C65" s="153"/>
      <c r="D65" s="153"/>
      <c r="E65" s="153"/>
      <c r="F65" s="153"/>
      <c r="G65" s="153"/>
      <c r="H65" s="153"/>
      <c r="I65" s="153"/>
    </row>
    <row r="66" spans="2:9" x14ac:dyDescent="0.3">
      <c r="B66" s="152"/>
      <c r="C66" s="153"/>
      <c r="D66" s="153"/>
      <c r="E66" s="153"/>
      <c r="F66" s="153"/>
      <c r="G66" s="153"/>
      <c r="H66" s="153"/>
      <c r="I66" s="153"/>
    </row>
    <row r="67" spans="2:9" x14ac:dyDescent="0.3">
      <c r="B67" s="154"/>
      <c r="C67" s="155"/>
      <c r="D67" s="155"/>
      <c r="E67" s="155"/>
      <c r="F67" s="155"/>
      <c r="G67" s="155"/>
      <c r="H67" s="155"/>
      <c r="I67" s="153"/>
    </row>
    <row r="68" spans="2:9" x14ac:dyDescent="0.3">
      <c r="B68" s="153"/>
      <c r="C68" s="36"/>
      <c r="D68" s="36"/>
      <c r="E68" s="36"/>
      <c r="F68" s="36"/>
      <c r="G68" s="36"/>
      <c r="H68" s="36"/>
      <c r="I68" s="153"/>
    </row>
    <row r="69" spans="2:9" x14ac:dyDescent="0.3">
      <c r="B69" s="153"/>
      <c r="C69" s="36"/>
      <c r="D69" s="36"/>
      <c r="E69" s="36"/>
      <c r="F69" s="36"/>
      <c r="G69" s="36"/>
      <c r="H69" s="36"/>
      <c r="I69" s="153"/>
    </row>
    <row r="70" spans="2:9" x14ac:dyDescent="0.3">
      <c r="B70" s="153"/>
      <c r="C70" s="36"/>
      <c r="D70" s="36"/>
      <c r="E70" s="36"/>
      <c r="F70" s="36"/>
      <c r="G70" s="36"/>
      <c r="H70" s="36"/>
      <c r="I70" s="153"/>
    </row>
    <row r="71" spans="2:9" x14ac:dyDescent="0.3">
      <c r="B71" s="153"/>
      <c r="C71" s="36"/>
      <c r="D71" s="36"/>
      <c r="E71" s="36"/>
      <c r="F71" s="36"/>
      <c r="G71" s="36"/>
      <c r="H71" s="36"/>
      <c r="I71" s="153"/>
    </row>
    <row r="72" spans="2:9" x14ac:dyDescent="0.3">
      <c r="B72" s="153"/>
      <c r="C72" s="36"/>
      <c r="D72" s="36"/>
      <c r="E72" s="36"/>
      <c r="F72" s="36"/>
      <c r="G72" s="36"/>
      <c r="H72" s="36"/>
      <c r="I72" s="153"/>
    </row>
    <row r="73" spans="2:9" x14ac:dyDescent="0.3">
      <c r="B73" s="153"/>
      <c r="C73" s="36"/>
      <c r="D73" s="36"/>
      <c r="E73" s="36"/>
      <c r="F73" s="36"/>
      <c r="G73" s="36"/>
      <c r="H73" s="36"/>
      <c r="I73" s="153"/>
    </row>
    <row r="74" spans="2:9" x14ac:dyDescent="0.3">
      <c r="B74" s="152"/>
      <c r="C74" s="36"/>
      <c r="D74" s="36"/>
      <c r="E74" s="36"/>
      <c r="F74" s="36"/>
      <c r="G74" s="36"/>
      <c r="H74" s="36"/>
      <c r="I74" s="153"/>
    </row>
    <row r="75" spans="2:9" x14ac:dyDescent="0.3">
      <c r="B75" s="153"/>
      <c r="C75" s="153"/>
      <c r="D75" s="153"/>
      <c r="E75" s="153"/>
      <c r="F75" s="153"/>
      <c r="G75" s="153"/>
      <c r="H75" s="153"/>
      <c r="I75" s="153"/>
    </row>
    <row r="76" spans="2:9" x14ac:dyDescent="0.3">
      <c r="B76" s="153"/>
      <c r="C76" s="153"/>
      <c r="D76" s="153"/>
      <c r="E76" s="153"/>
      <c r="F76" s="153"/>
      <c r="G76" s="153"/>
      <c r="H76" s="153"/>
      <c r="I76" s="153"/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zoomScale="85" zoomScaleNormal="85" workbookViewId="0"/>
  </sheetViews>
  <sheetFormatPr defaultColWidth="8.88671875" defaultRowHeight="14.4" x14ac:dyDescent="0.3"/>
  <cols>
    <col min="1" max="1" width="3.5546875" style="40" customWidth="1"/>
    <col min="2" max="2" width="25.33203125" style="40" customWidth="1"/>
    <col min="3" max="3" width="10.5546875" style="40" bestFit="1" customWidth="1"/>
    <col min="4" max="10" width="11.6640625" style="40" bestFit="1" customWidth="1"/>
    <col min="11" max="11" width="10.33203125" style="40" customWidth="1"/>
    <col min="12" max="13" width="10.6640625" style="40" customWidth="1"/>
    <col min="14" max="14" width="15.44140625" style="40" bestFit="1" customWidth="1"/>
    <col min="15" max="15" width="8.44140625" style="40" customWidth="1"/>
    <col min="16" max="16384" width="8.88671875" style="40"/>
  </cols>
  <sheetData>
    <row r="1" spans="2:14" x14ac:dyDescent="0.3">
      <c r="B1" s="39" t="s">
        <v>38</v>
      </c>
    </row>
    <row r="2" spans="2:14" x14ac:dyDescent="0.3">
      <c r="B2" s="39"/>
    </row>
    <row r="3" spans="2:14" x14ac:dyDescent="0.3">
      <c r="B3" s="39" t="s">
        <v>78</v>
      </c>
    </row>
    <row r="4" spans="2:14" x14ac:dyDescent="0.3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4" x14ac:dyDescent="0.3">
      <c r="B5" s="42" t="s">
        <v>39</v>
      </c>
    </row>
    <row r="6" spans="2:14" x14ac:dyDescent="0.3">
      <c r="B6" s="43" t="s">
        <v>40</v>
      </c>
    </row>
    <row r="7" spans="2:14" x14ac:dyDescent="0.3">
      <c r="B7" s="40" t="s">
        <v>41</v>
      </c>
      <c r="C7" s="44">
        <v>2016</v>
      </c>
      <c r="D7" s="44">
        <v>2017</v>
      </c>
      <c r="E7" s="44">
        <v>2018</v>
      </c>
      <c r="F7" s="44">
        <v>2019</v>
      </c>
      <c r="G7" s="44">
        <v>2020</v>
      </c>
      <c r="H7" s="44" t="s">
        <v>42</v>
      </c>
      <c r="I7" s="44" t="s">
        <v>43</v>
      </c>
      <c r="J7" s="44" t="s">
        <v>44</v>
      </c>
      <c r="K7" s="44" t="s">
        <v>45</v>
      </c>
      <c r="L7" s="44" t="s">
        <v>46</v>
      </c>
      <c r="M7" s="44" t="s">
        <v>47</v>
      </c>
      <c r="N7" s="44" t="s">
        <v>10</v>
      </c>
    </row>
    <row r="8" spans="2:14" x14ac:dyDescent="0.3">
      <c r="B8" s="45" t="s">
        <v>48</v>
      </c>
      <c r="C8" s="46">
        <v>6755406.5414516414</v>
      </c>
      <c r="D8" s="46">
        <v>51875700.826517448</v>
      </c>
      <c r="E8" s="46">
        <v>38466750.023880437</v>
      </c>
      <c r="F8" s="46">
        <v>115439.87696068111</v>
      </c>
      <c r="G8" s="46">
        <v>0</v>
      </c>
      <c r="H8" s="46">
        <f>G8*0.5</f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7">
        <f>SUM(C8:M8)</f>
        <v>97213297.268810198</v>
      </c>
    </row>
    <row r="9" spans="2:14" x14ac:dyDescent="0.3">
      <c r="B9" s="45" t="s">
        <v>49</v>
      </c>
      <c r="C9" s="46">
        <v>0</v>
      </c>
      <c r="D9" s="46">
        <v>0</v>
      </c>
      <c r="E9" s="46">
        <v>15838401.458923588</v>
      </c>
      <c r="F9" s="46">
        <v>68806829.409199029</v>
      </c>
      <c r="G9" s="46">
        <v>40869980.967568107</v>
      </c>
      <c r="H9" s="46">
        <f>G9*0.5</f>
        <v>20434990.483784053</v>
      </c>
      <c r="I9" s="46">
        <v>1901417.354665553</v>
      </c>
      <c r="J9" s="46">
        <v>1709202.3487200737</v>
      </c>
      <c r="K9" s="46">
        <v>854601.17436003685</v>
      </c>
      <c r="L9" s="46">
        <v>0</v>
      </c>
      <c r="M9" s="46">
        <v>0</v>
      </c>
      <c r="N9" s="47">
        <f t="shared" ref="N9:N10" si="0">SUM(C9:M9)</f>
        <v>150415423.19722044</v>
      </c>
    </row>
    <row r="10" spans="2:14" x14ac:dyDescent="0.3">
      <c r="B10" s="45" t="s">
        <v>50</v>
      </c>
      <c r="C10" s="46">
        <v>0</v>
      </c>
      <c r="D10" s="46">
        <v>0</v>
      </c>
      <c r="E10" s="46">
        <v>227670.84932491157</v>
      </c>
      <c r="F10" s="46">
        <v>9378061.0702580325</v>
      </c>
      <c r="G10" s="46">
        <v>35023848.218601316</v>
      </c>
      <c r="H10" s="46">
        <f>G10*0.5</f>
        <v>17511924.109300658</v>
      </c>
      <c r="I10" s="46">
        <v>24268173.015183516</v>
      </c>
      <c r="J10" s="46">
        <v>8902967.254733162</v>
      </c>
      <c r="K10" s="46">
        <v>0</v>
      </c>
      <c r="L10" s="46">
        <v>0</v>
      </c>
      <c r="M10" s="46">
        <v>0</v>
      </c>
      <c r="N10" s="47">
        <f t="shared" si="0"/>
        <v>95312644.517401591</v>
      </c>
    </row>
    <row r="11" spans="2:14" x14ac:dyDescent="0.3">
      <c r="B11" s="48" t="s">
        <v>21</v>
      </c>
      <c r="C11" s="49">
        <f>SUM(C8:C10)</f>
        <v>6755406.5414516414</v>
      </c>
      <c r="D11" s="49">
        <f t="shared" ref="D11:N11" si="1">SUM(D8:D10)</f>
        <v>51875700.826517448</v>
      </c>
      <c r="E11" s="49">
        <f t="shared" si="1"/>
        <v>54532822.332128935</v>
      </c>
      <c r="F11" s="49">
        <f t="shared" si="1"/>
        <v>78300330.356417745</v>
      </c>
      <c r="G11" s="49">
        <f t="shared" si="1"/>
        <v>75893829.186169416</v>
      </c>
      <c r="H11" s="49">
        <f t="shared" si="1"/>
        <v>37946914.593084708</v>
      </c>
      <c r="I11" s="49">
        <f t="shared" si="1"/>
        <v>26169590.369849067</v>
      </c>
      <c r="J11" s="49">
        <f t="shared" si="1"/>
        <v>10612169.603453236</v>
      </c>
      <c r="K11" s="49">
        <f t="shared" si="1"/>
        <v>854601.17436003685</v>
      </c>
      <c r="L11" s="49">
        <f t="shared" si="1"/>
        <v>0</v>
      </c>
      <c r="M11" s="49">
        <f t="shared" si="1"/>
        <v>0</v>
      </c>
      <c r="N11" s="49">
        <f t="shared" si="1"/>
        <v>342941364.98343223</v>
      </c>
    </row>
    <row r="12" spans="2:14" x14ac:dyDescent="0.3">
      <c r="B12" s="50" t="s">
        <v>51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2:14" x14ac:dyDescent="0.3">
      <c r="B13" s="50" t="s">
        <v>52</v>
      </c>
      <c r="J13" s="52"/>
    </row>
    <row r="14" spans="2:14" x14ac:dyDescent="0.3">
      <c r="B14" s="50"/>
      <c r="J14" s="52"/>
    </row>
    <row r="15" spans="2:14" x14ac:dyDescent="0.3">
      <c r="B15" s="42" t="s">
        <v>53</v>
      </c>
      <c r="J15" s="52"/>
    </row>
    <row r="16" spans="2:14" x14ac:dyDescent="0.3">
      <c r="B16" s="43" t="s">
        <v>40</v>
      </c>
      <c r="J16" s="52"/>
    </row>
    <row r="17" spans="2:14" ht="15" x14ac:dyDescent="0.3">
      <c r="B17" s="40" t="s">
        <v>41</v>
      </c>
      <c r="C17" s="44">
        <v>2016</v>
      </c>
      <c r="D17" s="44">
        <v>2017</v>
      </c>
      <c r="E17" s="44">
        <v>2018</v>
      </c>
      <c r="F17" s="44">
        <v>2019</v>
      </c>
      <c r="G17" s="44">
        <v>2020</v>
      </c>
      <c r="H17" s="44" t="s">
        <v>42</v>
      </c>
      <c r="I17" s="44" t="s">
        <v>54</v>
      </c>
      <c r="J17" s="44" t="s">
        <v>55</v>
      </c>
      <c r="K17" s="44" t="s">
        <v>56</v>
      </c>
      <c r="L17" s="44" t="s">
        <v>46</v>
      </c>
      <c r="M17" s="44" t="s">
        <v>47</v>
      </c>
      <c r="N17" s="44" t="s">
        <v>10</v>
      </c>
    </row>
    <row r="18" spans="2:14" x14ac:dyDescent="0.3">
      <c r="B18" s="45" t="s">
        <v>48</v>
      </c>
      <c r="C18" s="46">
        <v>181994.60940477505</v>
      </c>
      <c r="D18" s="46">
        <v>1362278.4971516554</v>
      </c>
      <c r="E18" s="46">
        <v>1034727.1222709458</v>
      </c>
      <c r="F18" s="46">
        <v>3168.2383502583921</v>
      </c>
      <c r="G18" s="46">
        <v>0</v>
      </c>
      <c r="H18" s="46">
        <f t="shared" ref="H18:H19" si="2">G18*0.5</f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7">
        <f>SUM(C18:M18)</f>
        <v>2582168.4671776346</v>
      </c>
    </row>
    <row r="19" spans="2:14" x14ac:dyDescent="0.3">
      <c r="B19" s="45" t="s">
        <v>49</v>
      </c>
      <c r="C19" s="46">
        <v>0</v>
      </c>
      <c r="D19" s="46">
        <v>0</v>
      </c>
      <c r="E19" s="46">
        <v>431378.66353423294</v>
      </c>
      <c r="F19" s="46">
        <v>1874380.3180085332</v>
      </c>
      <c r="G19" s="46">
        <v>1113503.4980092379</v>
      </c>
      <c r="H19" s="46">
        <f t="shared" si="2"/>
        <v>556751.74900461896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7">
        <f t="shared" ref="N19:N20" si="3">SUM(C19:M19)</f>
        <v>3976014.2285566228</v>
      </c>
    </row>
    <row r="20" spans="2:14" x14ac:dyDescent="0.3">
      <c r="B20" s="45" t="s">
        <v>50</v>
      </c>
      <c r="C20" s="46">
        <v>0</v>
      </c>
      <c r="D20" s="46">
        <v>0</v>
      </c>
      <c r="E20" s="46">
        <v>6305.3860425994153</v>
      </c>
      <c r="F20" s="46">
        <v>256690.02039847177</v>
      </c>
      <c r="G20" s="46">
        <v>946948.50535518478</v>
      </c>
      <c r="H20" s="46">
        <f>G20*0.5</f>
        <v>473474.25267759239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7">
        <f t="shared" si="3"/>
        <v>1683418.1644738484</v>
      </c>
    </row>
    <row r="21" spans="2:14" x14ac:dyDescent="0.3">
      <c r="B21" s="48" t="s">
        <v>21</v>
      </c>
      <c r="C21" s="49">
        <f>SUM(C18:C20)</f>
        <v>181994.60940477505</v>
      </c>
      <c r="D21" s="49">
        <f t="shared" ref="D21:N21" si="4">SUM(D18:D20)</f>
        <v>1362278.4971516554</v>
      </c>
      <c r="E21" s="49">
        <f t="shared" si="4"/>
        <v>1472411.1718477781</v>
      </c>
      <c r="F21" s="49">
        <f t="shared" si="4"/>
        <v>2134238.5767572634</v>
      </c>
      <c r="G21" s="49">
        <f t="shared" si="4"/>
        <v>2060452.0033644228</v>
      </c>
      <c r="H21" s="49">
        <f t="shared" si="4"/>
        <v>1030226.0016822114</v>
      </c>
      <c r="I21" s="49">
        <f t="shared" si="4"/>
        <v>0</v>
      </c>
      <c r="J21" s="49">
        <f t="shared" si="4"/>
        <v>0</v>
      </c>
      <c r="K21" s="49">
        <f t="shared" si="4"/>
        <v>0</v>
      </c>
      <c r="L21" s="49">
        <f t="shared" si="4"/>
        <v>0</v>
      </c>
      <c r="M21" s="49">
        <f t="shared" si="4"/>
        <v>0</v>
      </c>
      <c r="N21" s="49">
        <f t="shared" si="4"/>
        <v>8241600.8602081053</v>
      </c>
    </row>
    <row r="22" spans="2:14" x14ac:dyDescent="0.3">
      <c r="B22" s="50" t="s">
        <v>51</v>
      </c>
      <c r="J22" s="52"/>
    </row>
    <row r="23" spans="2:14" x14ac:dyDescent="0.3">
      <c r="B23" s="50" t="s">
        <v>57</v>
      </c>
      <c r="J23" s="52"/>
    </row>
    <row r="24" spans="2:14" x14ac:dyDescent="0.3">
      <c r="B24" s="50"/>
      <c r="J24" s="52"/>
    </row>
    <row r="25" spans="2:14" x14ac:dyDescent="0.3">
      <c r="B25" s="42" t="s">
        <v>58</v>
      </c>
      <c r="J25" s="52"/>
    </row>
    <row r="26" spans="2:14" x14ac:dyDescent="0.3">
      <c r="B26" s="43" t="s">
        <v>40</v>
      </c>
      <c r="J26" s="52"/>
    </row>
    <row r="27" spans="2:14" ht="15" x14ac:dyDescent="0.3">
      <c r="B27" s="40" t="s">
        <v>41</v>
      </c>
      <c r="C27" s="44">
        <v>2016</v>
      </c>
      <c r="D27" s="44">
        <v>2017</v>
      </c>
      <c r="E27" s="44">
        <v>2018</v>
      </c>
      <c r="F27" s="44">
        <v>2019</v>
      </c>
      <c r="G27" s="44">
        <v>2020</v>
      </c>
      <c r="H27" s="44" t="s">
        <v>42</v>
      </c>
      <c r="I27" s="44" t="s">
        <v>54</v>
      </c>
      <c r="J27" s="44" t="s">
        <v>55</v>
      </c>
      <c r="K27" s="44" t="s">
        <v>56</v>
      </c>
      <c r="L27" s="44" t="s">
        <v>46</v>
      </c>
      <c r="M27" s="44" t="s">
        <v>47</v>
      </c>
      <c r="N27" s="44" t="s">
        <v>10</v>
      </c>
    </row>
    <row r="28" spans="2:14" x14ac:dyDescent="0.3">
      <c r="B28" s="45" t="s">
        <v>48</v>
      </c>
      <c r="C28" s="46">
        <f>C8+C18</f>
        <v>6937401.1508564167</v>
      </c>
      <c r="D28" s="46">
        <f t="shared" ref="D28:M28" si="5">D8+D18</f>
        <v>53237979.323669106</v>
      </c>
      <c r="E28" s="46">
        <f t="shared" si="5"/>
        <v>39501477.146151386</v>
      </c>
      <c r="F28" s="46">
        <f t="shared" si="5"/>
        <v>118608.11531093951</v>
      </c>
      <c r="G28" s="46">
        <f t="shared" si="5"/>
        <v>0</v>
      </c>
      <c r="H28" s="46">
        <f t="shared" si="5"/>
        <v>0</v>
      </c>
      <c r="I28" s="46">
        <f t="shared" si="5"/>
        <v>0</v>
      </c>
      <c r="J28" s="46">
        <f t="shared" si="5"/>
        <v>0</v>
      </c>
      <c r="K28" s="46">
        <f t="shared" si="5"/>
        <v>0</v>
      </c>
      <c r="L28" s="46">
        <f t="shared" si="5"/>
        <v>0</v>
      </c>
      <c r="M28" s="46">
        <f t="shared" si="5"/>
        <v>0</v>
      </c>
      <c r="N28" s="47">
        <f>SUM(C28:M28)</f>
        <v>99795465.735987842</v>
      </c>
    </row>
    <row r="29" spans="2:14" x14ac:dyDescent="0.3">
      <c r="B29" s="45" t="s">
        <v>49</v>
      </c>
      <c r="C29" s="46">
        <f t="shared" ref="C29:M30" si="6">C9+C19</f>
        <v>0</v>
      </c>
      <c r="D29" s="46">
        <f t="shared" si="6"/>
        <v>0</v>
      </c>
      <c r="E29" s="46">
        <f t="shared" si="6"/>
        <v>16269780.122457821</v>
      </c>
      <c r="F29" s="46">
        <f t="shared" si="6"/>
        <v>70681209.727207556</v>
      </c>
      <c r="G29" s="46">
        <f t="shared" si="6"/>
        <v>41983484.465577342</v>
      </c>
      <c r="H29" s="46">
        <f t="shared" si="6"/>
        <v>20991742.232788671</v>
      </c>
      <c r="I29" s="46">
        <f t="shared" si="6"/>
        <v>1901417.354665553</v>
      </c>
      <c r="J29" s="46">
        <f t="shared" si="6"/>
        <v>1709202.3487200737</v>
      </c>
      <c r="K29" s="46">
        <f t="shared" si="6"/>
        <v>854601.17436003685</v>
      </c>
      <c r="L29" s="46">
        <f t="shared" si="6"/>
        <v>0</v>
      </c>
      <c r="M29" s="46">
        <f t="shared" si="6"/>
        <v>0</v>
      </c>
      <c r="N29" s="47">
        <f t="shared" ref="N29:N30" si="7">SUM(C29:M29)</f>
        <v>154391437.42577705</v>
      </c>
    </row>
    <row r="30" spans="2:14" x14ac:dyDescent="0.3">
      <c r="B30" s="45" t="s">
        <v>50</v>
      </c>
      <c r="C30" s="46">
        <f t="shared" si="6"/>
        <v>0</v>
      </c>
      <c r="D30" s="46">
        <f t="shared" si="6"/>
        <v>0</v>
      </c>
      <c r="E30" s="46">
        <f t="shared" si="6"/>
        <v>233976.23536751099</v>
      </c>
      <c r="F30" s="46">
        <f t="shared" si="6"/>
        <v>9634751.090656504</v>
      </c>
      <c r="G30" s="46">
        <f t="shared" si="6"/>
        <v>35970796.723956503</v>
      </c>
      <c r="H30" s="46">
        <f t="shared" si="6"/>
        <v>17985398.361978251</v>
      </c>
      <c r="I30" s="46">
        <f t="shared" si="6"/>
        <v>24268173.015183516</v>
      </c>
      <c r="J30" s="46">
        <f t="shared" si="6"/>
        <v>8902967.254733162</v>
      </c>
      <c r="K30" s="46">
        <f t="shared" si="6"/>
        <v>0</v>
      </c>
      <c r="L30" s="46">
        <f t="shared" si="6"/>
        <v>0</v>
      </c>
      <c r="M30" s="46">
        <f t="shared" si="6"/>
        <v>0</v>
      </c>
      <c r="N30" s="47">
        <f t="shared" si="7"/>
        <v>96996062.681875452</v>
      </c>
    </row>
    <row r="31" spans="2:14" x14ac:dyDescent="0.3">
      <c r="B31" s="48" t="s">
        <v>21</v>
      </c>
      <c r="C31" s="49">
        <f>SUM(C28:C30)</f>
        <v>6937401.1508564167</v>
      </c>
      <c r="D31" s="49">
        <f t="shared" ref="D31:N31" si="8">SUM(D28:D30)</f>
        <v>53237979.323669106</v>
      </c>
      <c r="E31" s="49">
        <f t="shared" si="8"/>
        <v>56005233.503976725</v>
      </c>
      <c r="F31" s="49">
        <f t="shared" si="8"/>
        <v>80434568.933174998</v>
      </c>
      <c r="G31" s="49">
        <f t="shared" si="8"/>
        <v>77954281.189533845</v>
      </c>
      <c r="H31" s="49">
        <f t="shared" si="8"/>
        <v>38977140.594766922</v>
      </c>
      <c r="I31" s="49">
        <f t="shared" si="8"/>
        <v>26169590.369849067</v>
      </c>
      <c r="J31" s="49">
        <f t="shared" si="8"/>
        <v>10612169.603453236</v>
      </c>
      <c r="K31" s="49">
        <f t="shared" si="8"/>
        <v>854601.17436003685</v>
      </c>
      <c r="L31" s="49">
        <f t="shared" si="8"/>
        <v>0</v>
      </c>
      <c r="M31" s="49">
        <f t="shared" si="8"/>
        <v>0</v>
      </c>
      <c r="N31" s="49">
        <f t="shared" si="8"/>
        <v>351182965.84364033</v>
      </c>
    </row>
    <row r="32" spans="2:14" x14ac:dyDescent="0.3">
      <c r="B32" s="50" t="s">
        <v>51</v>
      </c>
      <c r="J32" s="52"/>
      <c r="N32" s="40" t="b">
        <f>N31=N11+N21</f>
        <v>1</v>
      </c>
    </row>
    <row r="33" spans="2:14" x14ac:dyDescent="0.3">
      <c r="B33" s="50" t="s">
        <v>59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5" spans="2:14" x14ac:dyDescent="0.3">
      <c r="B35" s="186" t="s">
        <v>228</v>
      </c>
      <c r="C35" s="54"/>
      <c r="D35" s="54"/>
      <c r="E35" s="54"/>
      <c r="F35" s="54"/>
      <c r="G35" s="54"/>
      <c r="H35" s="55"/>
      <c r="I35" s="55"/>
      <c r="J35" s="55"/>
      <c r="K35" s="55"/>
      <c r="L35" s="55"/>
      <c r="M35" s="55"/>
    </row>
    <row r="36" spans="2:14" x14ac:dyDescent="0.3">
      <c r="B36" s="50" t="s">
        <v>226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2:14" x14ac:dyDescent="0.3">
      <c r="B37" s="50" t="s">
        <v>227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2:14" x14ac:dyDescent="0.3">
      <c r="H38" s="57"/>
      <c r="N38" s="5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zoomScale="85" zoomScaleNormal="85" workbookViewId="0">
      <selection activeCell="H8" sqref="H8"/>
    </sheetView>
  </sheetViews>
  <sheetFormatPr defaultRowHeight="14.4" x14ac:dyDescent="0.3"/>
  <cols>
    <col min="1" max="1" width="4.109375" customWidth="1"/>
    <col min="2" max="2" width="41.109375" customWidth="1"/>
  </cols>
  <sheetData>
    <row r="2" spans="2:8" x14ac:dyDescent="0.3">
      <c r="B2" s="7" t="s">
        <v>67</v>
      </c>
    </row>
    <row r="4" spans="2:8" x14ac:dyDescent="0.3">
      <c r="B4" s="7" t="s">
        <v>23</v>
      </c>
      <c r="C4" s="7"/>
    </row>
    <row r="6" spans="2:8" x14ac:dyDescent="0.3">
      <c r="B6" s="19"/>
      <c r="C6" s="19"/>
      <c r="D6" s="198" t="s">
        <v>24</v>
      </c>
      <c r="E6" s="198"/>
      <c r="F6" s="198"/>
      <c r="G6" s="198"/>
      <c r="H6" s="199"/>
    </row>
    <row r="7" spans="2:8" x14ac:dyDescent="0.3">
      <c r="B7" s="19" t="s">
        <v>25</v>
      </c>
      <c r="C7" s="19"/>
      <c r="D7" s="20">
        <v>2016</v>
      </c>
      <c r="E7" s="20">
        <v>2017</v>
      </c>
      <c r="F7" s="20">
        <v>2018</v>
      </c>
      <c r="G7" s="20">
        <v>2019</v>
      </c>
      <c r="H7" s="20">
        <v>2020</v>
      </c>
    </row>
    <row r="8" spans="2:8" ht="15" thickBot="1" x14ac:dyDescent="0.35">
      <c r="B8" s="21" t="s">
        <v>26</v>
      </c>
      <c r="C8" s="22"/>
      <c r="D8" s="23"/>
      <c r="E8" s="23"/>
      <c r="F8" s="23"/>
      <c r="G8" s="23"/>
      <c r="H8" s="23"/>
    </row>
    <row r="9" spans="2:8" ht="29.4" thickBot="1" x14ac:dyDescent="0.35">
      <c r="B9" s="24" t="s">
        <v>27</v>
      </c>
      <c r="C9" s="25"/>
      <c r="D9" s="26">
        <v>0.4</v>
      </c>
      <c r="E9" s="26">
        <v>0.37</v>
      </c>
      <c r="F9" s="26">
        <v>0.79</v>
      </c>
      <c r="G9" s="26">
        <v>0.96</v>
      </c>
      <c r="H9" s="26">
        <v>1.02</v>
      </c>
    </row>
    <row r="10" spans="2:8" ht="15" thickBot="1" x14ac:dyDescent="0.35">
      <c r="B10" s="27" t="s">
        <v>28</v>
      </c>
      <c r="C10" s="28"/>
      <c r="D10" s="26">
        <v>0.36</v>
      </c>
      <c r="E10" s="26">
        <v>0.39</v>
      </c>
      <c r="F10" s="26">
        <v>0.97</v>
      </c>
      <c r="G10" s="26">
        <v>1.0900000000000001</v>
      </c>
      <c r="H10" s="26">
        <v>1.1599999999999999</v>
      </c>
    </row>
    <row r="11" spans="2:8" x14ac:dyDescent="0.3">
      <c r="B11" s="29" t="s">
        <v>29</v>
      </c>
      <c r="C11" s="29"/>
    </row>
    <row r="13" spans="2:8" x14ac:dyDescent="0.3">
      <c r="B13" s="30" t="s">
        <v>30</v>
      </c>
    </row>
    <row r="14" spans="2:8" x14ac:dyDescent="0.3">
      <c r="C14" s="3">
        <v>2015</v>
      </c>
      <c r="D14" s="3">
        <v>2016</v>
      </c>
      <c r="E14" s="3">
        <v>2017</v>
      </c>
      <c r="F14" s="3">
        <v>2018</v>
      </c>
      <c r="G14" s="3">
        <v>2019</v>
      </c>
      <c r="H14" s="3">
        <v>2020</v>
      </c>
    </row>
    <row r="15" spans="2:8" x14ac:dyDescent="0.3">
      <c r="B15" t="s">
        <v>31</v>
      </c>
      <c r="C15" s="31">
        <v>1</v>
      </c>
      <c r="D15" s="31">
        <f>C15*1+(D9/100)</f>
        <v>1.004</v>
      </c>
      <c r="E15" s="31">
        <f t="shared" ref="E15:H16" si="0">D15*(1+E9/100)</f>
        <v>1.0077148</v>
      </c>
      <c r="F15" s="31">
        <f t="shared" si="0"/>
        <v>1.01567574692</v>
      </c>
      <c r="G15" s="31">
        <f t="shared" si="0"/>
        <v>1.0254262340904321</v>
      </c>
      <c r="H15" s="31">
        <f t="shared" si="0"/>
        <v>1.0358855816781545</v>
      </c>
    </row>
    <row r="16" spans="2:8" x14ac:dyDescent="0.3">
      <c r="B16" t="s">
        <v>32</v>
      </c>
      <c r="C16" s="31">
        <v>1</v>
      </c>
      <c r="D16" s="31">
        <f>C16*1+(D10/100)</f>
        <v>1.0036</v>
      </c>
      <c r="E16" s="31">
        <f t="shared" si="0"/>
        <v>1.00751404</v>
      </c>
      <c r="F16" s="31">
        <f t="shared" si="0"/>
        <v>1.017286926188</v>
      </c>
      <c r="G16" s="31">
        <f t="shared" si="0"/>
        <v>1.028375353683449</v>
      </c>
      <c r="H16" s="31">
        <f t="shared" si="0"/>
        <v>1.040304507786177</v>
      </c>
    </row>
  </sheetData>
  <mergeCells count="1">
    <mergeCell ref="D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Actual KLO RAB</vt:lpstr>
      <vt:lpstr>SL Depn_Act_Capex</vt:lpstr>
      <vt:lpstr>KLO - Direct_(IR004A)</vt:lpstr>
      <vt:lpstr>KLO - Total_(IR004A)</vt:lpstr>
      <vt:lpstr>Forecast KLO RAB</vt:lpstr>
      <vt:lpstr>SL Depn_Fcst_Capex</vt:lpstr>
      <vt:lpstr>Capex_Allowance</vt:lpstr>
      <vt:lpstr>CPA3 - $2015</vt:lpstr>
      <vt:lpstr>Capex by Asset class</vt:lpstr>
      <vt:lpstr>1. Allowances (IR004)</vt:lpstr>
      <vt:lpstr>CPA3 labour esc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2020-12-09T22:51:08Z</dcterms:created>
  <dcterms:modified xsi:type="dcterms:W3CDTF">2020-12-09T22:51:11Z</dcterms:modified>
</cp:coreProperties>
</file>