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100" tabRatio="933" firstSheet="5" activeTab="11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&gt;&gt;Supporting inputs&gt;&gt;" sheetId="66" r:id="rId8"/>
    <sheet name="ESV Levy" sheetId="60" r:id="rId9"/>
    <sheet name="GSLs" sheetId="62" r:id="rId10"/>
    <sheet name="Bushfire insurance" sheetId="61" r:id="rId11"/>
    <sheet name="Output|Models" sheetId="44" r:id="rId12"/>
    <sheet name="Lookup|Tables" sheetId="4" r:id="rId13"/>
    <sheet name="Check|List" sheetId="16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1" l="1"/>
  <c r="B5" i="61" l="1"/>
  <c r="D6" i="61"/>
  <c r="G4" i="62"/>
  <c r="F4" i="62"/>
  <c r="E4" i="62"/>
  <c r="D4" i="62"/>
  <c r="C4" i="62"/>
  <c r="H4" i="62" s="1"/>
  <c r="H3" i="62"/>
  <c r="G3" i="62"/>
  <c r="F3" i="62"/>
  <c r="E3" i="62"/>
  <c r="D3" i="62"/>
  <c r="C3" i="62"/>
  <c r="E6" i="61" l="1"/>
  <c r="O43" i="42" l="1"/>
  <c r="H5" i="62" l="1"/>
  <c r="G5" i="62"/>
  <c r="T28" i="53" s="1"/>
  <c r="F5" i="62"/>
  <c r="S28" i="53" s="1"/>
  <c r="E5" i="62"/>
  <c r="R28" i="53" s="1"/>
  <c r="D5" i="62"/>
  <c r="Q28" i="53" s="1"/>
  <c r="C5" i="62"/>
  <c r="P28" i="53" s="1"/>
  <c r="T12" i="53" l="1"/>
  <c r="S12" i="53"/>
  <c r="R12" i="53"/>
  <c r="Q12" i="53"/>
  <c r="P12" i="53"/>
  <c r="O42" i="42" l="1"/>
  <c r="C11" i="60" l="1"/>
  <c r="K16" i="60" l="1"/>
  <c r="G16" i="60"/>
  <c r="C16" i="60"/>
  <c r="H17" i="60"/>
  <c r="H16" i="60" s="1"/>
  <c r="I17" i="60"/>
  <c r="I16" i="60" s="1"/>
  <c r="J17" i="60"/>
  <c r="J16" i="60" s="1"/>
  <c r="K17" i="60"/>
  <c r="G17" i="60"/>
  <c r="I6" i="60"/>
  <c r="I11" i="60" s="1"/>
  <c r="H6" i="60"/>
  <c r="H11" i="60" s="1"/>
  <c r="H12" i="60" s="1"/>
  <c r="G6" i="60"/>
  <c r="G11" i="60" s="1"/>
  <c r="F6" i="60"/>
  <c r="F11" i="60" s="1"/>
  <c r="E6" i="60"/>
  <c r="E11" i="60" s="1"/>
  <c r="D6" i="60"/>
  <c r="D11" i="60" s="1"/>
  <c r="C6" i="60"/>
  <c r="L16" i="60" l="1"/>
  <c r="D12" i="60"/>
  <c r="E12" i="60"/>
  <c r="I12" i="60"/>
  <c r="J12" i="60" s="1"/>
  <c r="K12" i="60" s="1"/>
  <c r="G12" i="60"/>
  <c r="F12" i="60"/>
  <c r="J11" i="60"/>
  <c r="K11" i="60" s="1"/>
  <c r="L11" i="60" l="1"/>
  <c r="N16" i="60" s="1"/>
  <c r="E5" i="61" l="1"/>
  <c r="E7" i="61" l="1"/>
  <c r="C80" i="42" l="1"/>
  <c r="C81" i="42"/>
  <c r="C82" i="42"/>
  <c r="C83" i="42"/>
  <c r="C84" i="42"/>
  <c r="C77" i="42"/>
  <c r="C78" i="42"/>
  <c r="C79" i="42"/>
  <c r="C76" i="42"/>
  <c r="F66" i="55" l="1"/>
  <c r="G66" i="55" s="1"/>
  <c r="F64" i="55"/>
  <c r="F68" i="55" s="1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63" i="55" l="1"/>
  <c r="G64" i="55"/>
  <c r="F65" i="55"/>
  <c r="G65" i="55" s="1"/>
  <c r="G68" i="55"/>
  <c r="F67" i="55"/>
  <c r="G67" i="55" l="1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O39" i="42" l="1"/>
  <c r="Q107" i="2"/>
  <c r="T107" i="2"/>
  <c r="U107" i="2"/>
  <c r="S107" i="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H65" i="4"/>
  <c r="T36" i="53"/>
  <c r="T40" i="53" s="1"/>
  <c r="P36" i="53"/>
  <c r="Q10" i="53"/>
  <c r="R10" i="53"/>
  <c r="S36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P12" i="2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D22" i="2"/>
  <c r="C31" i="2"/>
  <c r="C32" i="2"/>
  <c r="E32" i="2" s="1"/>
  <c r="C27" i="2"/>
  <c r="C28" i="2"/>
  <c r="C29" i="2"/>
  <c r="D32" i="2"/>
  <c r="C30" i="2"/>
  <c r="U78" i="2"/>
  <c r="U80" i="2"/>
  <c r="U79" i="2"/>
  <c r="P32" i="2"/>
  <c r="U101" i="2" l="1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l="1"/>
  <c r="F70" i="58"/>
  <c r="F65" i="58"/>
  <c r="F66" i="58"/>
  <c r="F67" i="58"/>
  <c r="F68" i="58"/>
  <c r="F64" i="58"/>
  <c r="J10" i="61" l="1"/>
  <c r="C80" i="4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 s="1"/>
  <c r="I53" i="4"/>
  <c r="G73" i="4" s="1"/>
  <c r="I54" i="4"/>
  <c r="G74" i="4" s="1"/>
  <c r="I55" i="4"/>
  <c r="G75" i="4" s="1"/>
  <c r="I56" i="4"/>
  <c r="G76" i="4" s="1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K12" i="2"/>
  <c r="J12" i="2"/>
  <c r="M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6" i="44"/>
  <c r="N13" i="44"/>
  <c r="N14" i="44"/>
  <c r="N15" i="44"/>
  <c r="K15" i="44"/>
  <c r="K13" i="44"/>
  <c r="K16" i="44"/>
  <c r="K14" i="44"/>
  <c r="O15" i="44"/>
  <c r="O16" i="44"/>
  <c r="O14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N12" i="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W60" i="2"/>
  <c r="W109" i="2"/>
  <c r="N21" i="42" l="1"/>
  <c r="M22" i="2"/>
  <c r="N32" i="2"/>
  <c r="P47" i="2"/>
  <c r="S47" i="2"/>
  <c r="Q47" i="2"/>
  <c r="R47" i="2"/>
  <c r="T47" i="2"/>
  <c r="L22" i="2" l="1"/>
  <c r="M32" i="2"/>
  <c r="M21" i="42"/>
  <c r="W47" i="2"/>
  <c r="L21" i="42" l="1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K32" i="2"/>
  <c r="K21" i="42"/>
  <c r="E86" i="42"/>
  <c r="J21" i="42" l="1"/>
  <c r="E104" i="42" l="1"/>
  <c r="F15" i="42" l="1"/>
  <c r="F56" i="42"/>
  <c r="F54" i="42"/>
  <c r="C92" i="42" l="1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Q77" i="42" l="1"/>
  <c r="P77" i="42"/>
  <c r="S77" i="42"/>
  <c r="T77" i="42"/>
  <c r="R77" i="42"/>
  <c r="Q84" i="42"/>
  <c r="R84" i="42"/>
  <c r="P84" i="42"/>
  <c r="S84" i="42"/>
  <c r="T84" i="42"/>
  <c r="P76" i="42"/>
  <c r="T76" i="42"/>
  <c r="R76" i="42"/>
  <c r="S76" i="42"/>
  <c r="Q76" i="42"/>
  <c r="S83" i="42"/>
  <c r="T83" i="42"/>
  <c r="Q83" i="42"/>
  <c r="P83" i="42"/>
  <c r="R83" i="42"/>
  <c r="Q79" i="42"/>
  <c r="S79" i="42"/>
  <c r="P79" i="42"/>
  <c r="T79" i="42"/>
  <c r="R79" i="42"/>
  <c r="Q82" i="42"/>
  <c r="R82" i="42"/>
  <c r="P82" i="42"/>
  <c r="S82" i="42"/>
  <c r="T82" i="42"/>
  <c r="Q78" i="42"/>
  <c r="R78" i="42"/>
  <c r="P78" i="42"/>
  <c r="S78" i="42"/>
  <c r="T78" i="42"/>
  <c r="R13" i="42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H10" i="61" s="1"/>
  <c r="T1" i="2"/>
  <c r="G13" i="16" s="1"/>
  <c r="S1" i="54"/>
  <c r="G10" i="16" s="1"/>
  <c r="N69" i="42"/>
  <c r="J69" i="42"/>
  <c r="M70" i="42" l="1" a="1"/>
  <c r="M70" i="42" s="1"/>
  <c r="N70" i="42" a="1"/>
  <c r="N70" i="42" s="1"/>
  <c r="P69" i="42"/>
  <c r="O69" i="42"/>
  <c r="S69" i="42"/>
  <c r="Q69" i="42"/>
  <c r="G10" i="61" s="1"/>
  <c r="I10" i="61" l="1"/>
  <c r="F10" i="61"/>
  <c r="T70" i="42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F6" i="61" l="1"/>
  <c r="G6" i="61" s="1"/>
  <c r="H6" i="61" s="1"/>
  <c r="F5" i="61"/>
  <c r="G5" i="61" s="1"/>
  <c r="P21" i="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N92" i="42"/>
  <c r="L92" i="42"/>
  <c r="K77" i="42"/>
  <c r="N77" i="42"/>
  <c r="K84" i="42"/>
  <c r="O84" i="42"/>
  <c r="M80" i="42"/>
  <c r="J80" i="42"/>
  <c r="J76" i="42"/>
  <c r="K76" i="42"/>
  <c r="L82" i="42"/>
  <c r="K82" i="42"/>
  <c r="J94" i="42"/>
  <c r="T94" i="42"/>
  <c r="T16" i="44" s="1"/>
  <c r="K83" i="42"/>
  <c r="L83" i="42"/>
  <c r="K79" i="42"/>
  <c r="J79" i="42"/>
  <c r="J92" i="42"/>
  <c r="L77" i="42"/>
  <c r="L80" i="42"/>
  <c r="R94" i="42"/>
  <c r="R16" i="44" s="1"/>
  <c r="N79" i="42"/>
  <c r="J93" i="42"/>
  <c r="P93" i="42"/>
  <c r="R93" i="42"/>
  <c r="K78" i="42"/>
  <c r="O92" i="42"/>
  <c r="J77" i="42"/>
  <c r="M84" i="42"/>
  <c r="J84" i="42"/>
  <c r="K80" i="42"/>
  <c r="J82" i="42"/>
  <c r="N94" i="42"/>
  <c r="O94" i="42"/>
  <c r="K94" i="42"/>
  <c r="N83" i="42"/>
  <c r="M79" i="42"/>
  <c r="Q93" i="42"/>
  <c r="K93" i="42"/>
  <c r="L78" i="42"/>
  <c r="O77" i="42"/>
  <c r="L84" i="42"/>
  <c r="N80" i="42"/>
  <c r="P94" i="42"/>
  <c r="P16" i="44" s="1"/>
  <c r="L79" i="42"/>
  <c r="T93" i="42"/>
  <c r="L93" i="42"/>
  <c r="S93" i="42"/>
  <c r="O78" i="42"/>
  <c r="M78" i="42"/>
  <c r="K92" i="42"/>
  <c r="M92" i="42"/>
  <c r="M77" i="42"/>
  <c r="N84" i="42"/>
  <c r="O80" i="42"/>
  <c r="M76" i="42"/>
  <c r="N76" i="42"/>
  <c r="O76" i="42"/>
  <c r="N82" i="42"/>
  <c r="M82" i="42"/>
  <c r="M94" i="42"/>
  <c r="L94" i="42"/>
  <c r="S94" i="42"/>
  <c r="S16" i="44" s="1"/>
  <c r="O83" i="42"/>
  <c r="J83" i="42"/>
  <c r="O79" i="42"/>
  <c r="L76" i="42"/>
  <c r="O82" i="42"/>
  <c r="Q94" i="42"/>
  <c r="Q16" i="44" s="1"/>
  <c r="M83" i="42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F7" i="61" l="1"/>
  <c r="P16" i="53" s="1"/>
  <c r="H5" i="61"/>
  <c r="I6" i="61"/>
  <c r="S15" i="44"/>
  <c r="R15" i="44"/>
  <c r="P15" i="44"/>
  <c r="T15" i="44"/>
  <c r="Q15" i="44"/>
  <c r="O17" i="42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P22" i="53" l="1"/>
  <c r="P80" i="42"/>
  <c r="G7" i="61"/>
  <c r="Q16" i="53" s="1"/>
  <c r="J6" i="61"/>
  <c r="N29" i="2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Q22" i="53" l="1"/>
  <c r="Q80" i="42"/>
  <c r="I5" i="61"/>
  <c r="H7" i="61"/>
  <c r="R16" i="53" s="1"/>
  <c r="N28" i="2"/>
  <c r="P18" i="2"/>
  <c r="P28" i="2" s="1"/>
  <c r="O29" i="2"/>
  <c r="P19" i="2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R22" i="53" l="1"/>
  <c r="R80" i="42"/>
  <c r="J5" i="61"/>
  <c r="J7" i="61" s="1"/>
  <c r="T16" i="53" s="1"/>
  <c r="I7" i="61"/>
  <c r="P81" i="42"/>
  <c r="R81" i="42"/>
  <c r="S81" i="42"/>
  <c r="T81" i="42"/>
  <c r="Q81" i="42"/>
  <c r="L81" i="42"/>
  <c r="J81" i="42"/>
  <c r="K81" i="42"/>
  <c r="N81" i="42"/>
  <c r="O81" i="42"/>
  <c r="M81" i="42"/>
  <c r="P29" i="2"/>
  <c r="S31" i="42"/>
  <c r="L31" i="42"/>
  <c r="Q31" i="42"/>
  <c r="N31" i="42"/>
  <c r="O31" i="42"/>
  <c r="K31" i="42"/>
  <c r="P31" i="42"/>
  <c r="M31" i="42"/>
  <c r="R31" i="42"/>
  <c r="J31" i="42"/>
  <c r="K28" i="42"/>
  <c r="J21" i="2"/>
  <c r="J31" i="2" s="1"/>
  <c r="J20" i="2"/>
  <c r="J30" i="2" s="1"/>
  <c r="P17" i="2"/>
  <c r="P27" i="2" s="1"/>
  <c r="N27" i="2"/>
  <c r="O28" i="2"/>
  <c r="K31" i="2"/>
  <c r="S16" i="53" l="1"/>
  <c r="L7" i="61"/>
  <c r="T22" i="53"/>
  <c r="T80" i="42"/>
  <c r="T86" i="42" s="1"/>
  <c r="J96" i="42"/>
  <c r="K54" i="42"/>
  <c r="K56" i="42" s="1"/>
  <c r="L86" i="42"/>
  <c r="S54" i="42"/>
  <c r="S56" i="42" s="1"/>
  <c r="P86" i="42"/>
  <c r="J86" i="42"/>
  <c r="P54" i="42"/>
  <c r="P56" i="42" s="1"/>
  <c r="K86" i="42"/>
  <c r="Q86" i="42"/>
  <c r="L96" i="42"/>
  <c r="Q54" i="42"/>
  <c r="Q56" i="42" s="1"/>
  <c r="N86" i="42"/>
  <c r="K96" i="42"/>
  <c r="R86" i="42"/>
  <c r="R54" i="42"/>
  <c r="R56" i="42" s="1"/>
  <c r="O86" i="42"/>
  <c r="N96" i="42"/>
  <c r="M86" i="42"/>
  <c r="J54" i="42"/>
  <c r="O96" i="42"/>
  <c r="M96" i="42"/>
  <c r="J28" i="42"/>
  <c r="O27" i="2"/>
  <c r="S80" i="42" l="1"/>
  <c r="S22" i="53"/>
  <c r="X22" i="53" s="1"/>
  <c r="J56" i="42"/>
  <c r="L54" i="42"/>
  <c r="S86" i="42" l="1"/>
  <c r="K16" i="2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N54" i="42" l="1"/>
  <c r="N56" i="42" s="1"/>
  <c r="Q32" i="53" l="1"/>
  <c r="P32" i="53"/>
  <c r="P92" i="42"/>
  <c r="Q92" i="42" l="1"/>
  <c r="P14" i="44"/>
  <c r="P96" i="42"/>
  <c r="R32" i="53"/>
  <c r="R92" i="42"/>
  <c r="Q14" i="44" l="1"/>
  <c r="Q96" i="42"/>
  <c r="S32" i="53"/>
  <c r="S92" i="42"/>
  <c r="R14" i="44"/>
  <c r="R96" i="42"/>
  <c r="S14" i="44" l="1"/>
  <c r="S96" i="42"/>
  <c r="T32" i="53"/>
  <c r="X32" i="53" s="1"/>
  <c r="S1" i="53" s="1"/>
  <c r="G14" i="16" s="1"/>
  <c r="S1" i="16" s="1"/>
  <c r="T92" i="42"/>
  <c r="W1" i="44" l="1"/>
  <c r="V1" i="54"/>
  <c r="W1" i="58"/>
  <c r="W1" i="53"/>
  <c r="W1" i="42"/>
  <c r="W1" i="55"/>
  <c r="W1" i="2"/>
  <c r="V1" i="4"/>
  <c r="T14" i="44"/>
  <c r="T96" i="42"/>
  <c r="O54" i="42" l="1"/>
  <c r="O56" i="42" l="1"/>
  <c r="S103" i="42" l="1"/>
  <c r="S104" i="42" s="1"/>
  <c r="T103" i="42"/>
  <c r="P102" i="42"/>
  <c r="T102" i="42"/>
  <c r="R103" i="42"/>
  <c r="Q103" i="42"/>
  <c r="P103" i="42"/>
  <c r="S102" i="42"/>
  <c r="Q102" i="42"/>
  <c r="R102" i="42"/>
  <c r="T13" i="44" l="1"/>
  <c r="Q13" i="44"/>
  <c r="S13" i="44"/>
  <c r="P13" i="44"/>
  <c r="Q104" i="42"/>
  <c r="R104" i="42"/>
  <c r="T104" i="42"/>
  <c r="P104" i="42"/>
  <c r="R13" i="44"/>
</calcChain>
</file>

<file path=xl/sharedStrings.xml><?xml version="1.0" encoding="utf-8"?>
<sst xmlns="http://schemas.openxmlformats.org/spreadsheetml/2006/main" count="823" uniqueCount="261">
  <si>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</si>
  <si>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</si>
  <si>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</si>
  <si>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</si>
  <si>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</si>
  <si>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</si>
  <si>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</si>
  <si>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</si>
  <si>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</si>
  <si>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</si>
  <si>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</si>
  <si>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</si>
  <si>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</si>
  <si>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</si>
  <si>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</si>
  <si>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</si>
  <si>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</si>
  <si>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</si>
  <si>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</si>
  <si>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</si>
  <si>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</si>
  <si>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</si>
  <si>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</si>
  <si>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</si>
  <si>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</si>
  <si>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</si>
  <si>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</si>
  <si>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</si>
  <si>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</si>
  <si>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</si>
  <si>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</si>
  <si>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</si>
  <si>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</si>
  <si>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</si>
  <si>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</si>
  <si>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</si>
  <si>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</si>
  <si>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</si>
  <si>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</si>
  <si>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</si>
  <si>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</si>
  <si>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</si>
  <si>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</si>
  <si>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</si>
  <si>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</si>
  <si>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</si>
  <si>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</si>
  <si>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</si>
  <si>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</si>
  <si>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</si>
  <si>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</si>
  <si>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</si>
  <si>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</si>
  <si>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</si>
  <si>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</si>
  <si>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</si>
  <si>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</si>
  <si>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</si>
  <si>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</si>
  <si>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</si>
  <si>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</si>
  <si>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</si>
  <si>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</si>
  <si>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</si>
  <si>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</si>
  <si>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</si>
  <si>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</si>
  <si>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</si>
  <si>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</si>
  <si>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</si>
  <si>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</si>
  <si>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</si>
  <si>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</si>
  <si>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</si>
  <si>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</si>
  <si>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</si>
  <si>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</si>
  <si>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</si>
  <si>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</si>
  <si>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</si>
  <si>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</si>
  <si>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</si>
  <si>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</si>
  <si>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</si>
  <si>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</si>
  <si>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</si>
  <si>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</si>
  <si>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</si>
  <si>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</si>
  <si>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</si>
  <si>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</si>
  <si>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</si>
  <si>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</si>
  <si>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</si>
  <si>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</si>
  <si>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</si>
  <si>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</si>
  <si>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</si>
  <si>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</si>
  <si>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</si>
  <si>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</si>
  <si>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</si>
  <si>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</si>
  <si>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</si>
  <si>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</si>
  <si>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</si>
  <si>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</si>
  <si>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</si>
  <si>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</si>
  <si>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</si>
  <si>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</si>
  <si>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</si>
  <si>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</si>
  <si>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</si>
  <si>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</si>
  <si>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</si>
  <si>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</si>
  <si>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</si>
  <si>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</si>
  <si>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</si>
  <si>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</si>
  <si>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</si>
  <si>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</si>
  <si>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</si>
  <si>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</si>
  <si>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</si>
  <si>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</si>
  <si>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</si>
  <si>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</si>
  <si>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</si>
  <si>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</si>
  <si>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</si>
  <si>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</si>
  <si>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</si>
  <si>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</si>
  <si>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</si>
  <si>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</si>
  <si>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</si>
  <si>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</si>
  <si>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</si>
  <si>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</si>
  <si>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</si>
  <si>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</si>
  <si>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</si>
  <si>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</si>
  <si>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</si>
  <si>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</si>
  <si>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</si>
  <si>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</si>
  <si>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</si>
  <si>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</si>
  <si>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</si>
  <si>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</si>
  <si>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</si>
  <si>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</si>
  <si>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</si>
  <si>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</si>
  <si>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</si>
  <si>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</si>
  <si>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</si>
  <si>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</si>
  <si>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</si>
  <si>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</si>
  <si>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</si>
  <si>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</si>
  <si>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</si>
  <si>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</si>
  <si>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</si>
  <si>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</si>
  <si>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</si>
  <si>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</si>
  <si>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</si>
  <si>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</si>
  <si>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</si>
  <si>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</si>
  <si>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</si>
  <si>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</si>
  <si>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</si>
  <si>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</si>
  <si>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</si>
  <si>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</si>
  <si>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</si>
  <si>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</si>
  <si>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</si>
  <si>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</si>
  <si>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</si>
  <si>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</si>
  <si>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</si>
  <si>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</si>
  <si>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</si>
  <si>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</si>
  <si>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</si>
  <si>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</si>
  <si>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</si>
  <si>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</si>
  <si>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</si>
  <si>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</si>
  <si>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</si>
  <si>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</si>
  <si>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</si>
  <si>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</si>
  <si>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</si>
  <si>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</si>
  <si>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</si>
  <si>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</si>
  <si>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</si>
  <si>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</si>
  <si>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Ausnet</t>
  </si>
  <si>
    <t>GSL</t>
  </si>
  <si>
    <t>Security</t>
  </si>
  <si>
    <t>REFCL</t>
  </si>
  <si>
    <t>IT Opex</t>
  </si>
  <si>
    <t>5 minute meter data</t>
  </si>
  <si>
    <t>Innovation</t>
  </si>
  <si>
    <t>WPI - DAE and BIS</t>
  </si>
  <si>
    <t>FY19</t>
  </si>
  <si>
    <t>FY20</t>
  </si>
  <si>
    <t>FY21</t>
  </si>
  <si>
    <t>FY22</t>
  </si>
  <si>
    <t>FY23</t>
  </si>
  <si>
    <t>FY24</t>
  </si>
  <si>
    <t>ESV levy</t>
  </si>
  <si>
    <t>Insurance</t>
  </si>
  <si>
    <t>Stub anualised</t>
  </si>
  <si>
    <t>2021-22</t>
  </si>
  <si>
    <t>2022-23</t>
  </si>
  <si>
    <t>2023-24</t>
  </si>
  <si>
    <t>2024-25</t>
  </si>
  <si>
    <t>2025-26</t>
  </si>
  <si>
    <t>Summary (Incl. GST)</t>
  </si>
  <si>
    <t>Renewal $10m excess</t>
  </si>
  <si>
    <t>AusNet Electricity Services Pty Ltd</t>
  </si>
  <si>
    <t>Total</t>
  </si>
  <si>
    <t>Renewal $25m excess</t>
  </si>
  <si>
    <t>convert $'18 to $'20</t>
  </si>
  <si>
    <t>New premiums ($'20)</t>
  </si>
  <si>
    <t>Bushfire Insurance</t>
  </si>
  <si>
    <t>Covert to $'21</t>
  </si>
  <si>
    <t>ESV Levy $'21</t>
  </si>
  <si>
    <t>forecast</t>
  </si>
  <si>
    <t>actual</t>
  </si>
  <si>
    <t>estimated</t>
  </si>
  <si>
    <t>Note: estimates of FY25 and FY26 are conservative, assuming the same growth rate as FY23 and FY24 of 0.9%</t>
  </si>
  <si>
    <t>FY25</t>
  </si>
  <si>
    <t>FY26</t>
  </si>
  <si>
    <t>Step change FY22-26</t>
  </si>
  <si>
    <t>Proposed Approach</t>
  </si>
  <si>
    <t>AER draft decision</t>
  </si>
  <si>
    <t>rate of change</t>
  </si>
  <si>
    <t>NA</t>
  </si>
  <si>
    <t>Metering - reallocation adjustment</t>
  </si>
  <si>
    <t>Metering</t>
  </si>
  <si>
    <t>Bushfire pass through</t>
  </si>
  <si>
    <t>GSL allowance</t>
  </si>
  <si>
    <t>GSL transitional amount</t>
  </si>
  <si>
    <t>Difference in proposed approach vs Draft Decision approach</t>
  </si>
  <si>
    <t>All  Policies FC2021</t>
  </si>
  <si>
    <t>All  Policies CL2019</t>
  </si>
  <si>
    <t>All  Policies CL2018</t>
  </si>
  <si>
    <t>CY18</t>
  </si>
  <si>
    <t>$ 2020-21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</si>
</sst>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0.00000%"/>
    <numFmt numFmtId="207" formatCode="_(* #,##0_);_(* \(#,##0\);_(* &quot;-&quot;??_);_(@_)"/>
    <numFmt numFmtId="208" formatCode="&quot;$&quot;#,##0"/>
    <numFmt numFmtId="209" formatCode="_-* #,##0.000000_-;\-* #,##0.000000_-;_-* &quot;-&quot;??_-;_-@_-"/>
  </numFmts>
  <fonts count="9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1"/>
      <color rgb="FF1F497D"/>
      <name val="HelveticaNeueLT Std Lt"/>
    </font>
    <font>
      <sz val="11"/>
      <color theme="1"/>
      <name val="Arial"/>
      <family val="2"/>
    </font>
    <font>
      <b/>
      <u/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2F2F2"/>
      <name val="Arial"/>
      <family val="2"/>
    </font>
    <font>
      <u/>
      <sz val="11"/>
      <color theme="1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7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4" fontId="13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7" fontId="15" fillId="0" borderId="0"/>
    <xf numFmtId="177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7" fontId="22" fillId="4" borderId="0" applyNumberFormat="0" applyFont="0" applyBorder="0" applyAlignment="0">
      <alignment horizontal="right"/>
    </xf>
    <xf numFmtId="167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7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9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1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7" fontId="22" fillId="36" borderId="0" applyFont="0" applyBorder="0" applyAlignment="0">
      <alignment horizontal="right"/>
      <protection locked="0"/>
    </xf>
    <xf numFmtId="167" fontId="22" fillId="36" borderId="0" applyFont="0" applyBorder="0" applyAlignment="0">
      <alignment horizontal="right"/>
      <protection locked="0"/>
    </xf>
    <xf numFmtId="182" fontId="22" fillId="6" borderId="0" applyFont="0" applyBorder="0">
      <alignment horizontal="right"/>
      <protection locked="0"/>
    </xf>
    <xf numFmtId="182" fontId="22" fillId="6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3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4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5" fontId="22" fillId="0" borderId="0" applyFill="0" applyBorder="0"/>
    <xf numFmtId="185" fontId="22" fillId="0" borderId="0" applyFill="0" applyBorder="0"/>
    <xf numFmtId="185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6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7" fontId="22" fillId="0" borderId="0"/>
    <xf numFmtId="187" fontId="22" fillId="0" borderId="0"/>
    <xf numFmtId="187" fontId="22" fillId="0" borderId="0"/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3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1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164" fontId="13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4" borderId="0" applyNumberFormat="0" applyFont="0" applyBorder="0" applyAlignment="0">
      <alignment horizontal="right"/>
    </xf>
    <xf numFmtId="41" fontId="22" fillId="4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2" fillId="36" borderId="0" applyFont="0" applyBorder="0" applyAlignment="0">
      <alignment horizontal="right"/>
      <protection locked="0"/>
    </xf>
    <xf numFmtId="41" fontId="22" fillId="36" borderId="0" applyFont="0" applyBorder="0" applyAlignment="0">
      <alignment horizontal="right"/>
      <protection locked="0"/>
    </xf>
    <xf numFmtId="41" fontId="22" fillId="10" borderId="0" applyFont="0" applyBorder="0">
      <alignment horizontal="right"/>
      <protection locked="0"/>
    </xf>
    <xf numFmtId="41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4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72" fontId="15" fillId="0" borderId="0" xfId="5" applyNumberFormat="1" applyFont="1" applyFill="1" applyBorder="1" applyAlignment="1" applyProtection="1">
      <alignment horizontal="center" vertical="center"/>
    </xf>
    <xf numFmtId="173" fontId="12" fillId="0" borderId="0" xfId="5" applyNumberFormat="1" applyFont="1" applyFill="1" applyBorder="1" applyAlignment="1" applyProtection="1">
      <alignment horizontal="center" vertical="center"/>
    </xf>
    <xf numFmtId="173" fontId="20" fillId="0" borderId="0" xfId="5" applyNumberFormat="1" applyFont="1" applyFill="1" applyBorder="1" applyAlignment="1" applyProtection="1">
      <alignment horizontal="center" vertical="center"/>
    </xf>
    <xf numFmtId="174" fontId="6" fillId="0" borderId="0" xfId="0" applyNumberFormat="1" applyFont="1"/>
    <xf numFmtId="176" fontId="15" fillId="0" borderId="0" xfId="5" applyNumberFormat="1" applyFont="1" applyFill="1" applyBorder="1" applyAlignment="1" applyProtection="1">
      <alignment horizontal="center" vertical="center"/>
    </xf>
    <xf numFmtId="168" fontId="6" fillId="3" borderId="0" xfId="0" applyNumberFormat="1" applyFont="1" applyFill="1" applyProtection="1"/>
    <xf numFmtId="168" fontId="7" fillId="3" borderId="0" xfId="0" applyNumberFormat="1" applyFont="1" applyFill="1" applyAlignment="1" applyProtection="1">
      <alignment horizontal="center"/>
    </xf>
    <xf numFmtId="168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/>
    </xf>
    <xf numFmtId="168" fontId="12" fillId="0" borderId="0" xfId="0" applyNumberFormat="1" applyFont="1" applyProtection="1"/>
    <xf numFmtId="168" fontId="18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 applyProtection="1">
      <alignment horizontal="center" wrapText="1"/>
    </xf>
    <xf numFmtId="192" fontId="6" fillId="41" borderId="3" xfId="0" applyNumberFormat="1" applyFont="1" applyFill="1" applyBorder="1" applyAlignment="1" applyProtection="1">
      <alignment horizontal="center"/>
      <protection locked="0"/>
    </xf>
    <xf numFmtId="196" fontId="6" fillId="0" borderId="0" xfId="0" applyNumberFormat="1" applyFont="1" applyAlignment="1" applyProtection="1">
      <alignment horizontal="left"/>
    </xf>
    <xf numFmtId="194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 wrapText="1"/>
    </xf>
    <xf numFmtId="168" fontId="8" fillId="0" borderId="0" xfId="0" applyNumberFormat="1" applyFont="1" applyProtection="1"/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164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165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8" fillId="0" borderId="0" xfId="0" applyNumberFormat="1" applyFont="1" applyFill="1" applyBorder="1" applyProtection="1"/>
    <xf numFmtId="168" fontId="7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Alignment="1" applyProtection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left" indent="1"/>
    </xf>
    <xf numFmtId="168" fontId="7" fillId="0" borderId="7" xfId="0" applyNumberFormat="1" applyFont="1" applyBorder="1" applyAlignment="1" applyProtection="1">
      <alignment horizontal="center"/>
    </xf>
    <xf numFmtId="168" fontId="8" fillId="0" borderId="8" xfId="0" applyNumberFormat="1" applyFont="1" applyBorder="1" applyAlignment="1" applyProtection="1">
      <alignment horizontal="left" indent="1"/>
    </xf>
    <xf numFmtId="168" fontId="7" fillId="0" borderId="8" xfId="0" applyNumberFormat="1" applyFont="1" applyBorder="1" applyAlignment="1" applyProtection="1">
      <alignment horizontal="center"/>
    </xf>
    <xf numFmtId="197" fontId="8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 applyProtection="1"/>
    <xf numFmtId="175" fontId="6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Fill="1" applyAlignment="1" applyProtection="1">
      <alignment horizontal="left" indent="2"/>
    </xf>
    <xf numFmtId="168" fontId="18" fillId="0" borderId="8" xfId="0" applyNumberFormat="1" applyFont="1" applyBorder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Border="1" applyProtection="1"/>
    <xf numFmtId="194" fontId="8" fillId="0" borderId="0" xfId="0" applyNumberFormat="1" applyFont="1" applyBorder="1" applyAlignment="1" applyProtection="1">
      <alignment horizontal="center"/>
    </xf>
    <xf numFmtId="168" fontId="18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200" fontId="8" fillId="0" borderId="0" xfId="0" applyNumberFormat="1" applyFont="1" applyAlignment="1" applyProtection="1">
      <alignment horizontal="center"/>
    </xf>
    <xf numFmtId="198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164" fontId="12" fillId="0" borderId="3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8" fontId="8" fillId="0" borderId="7" xfId="0" applyNumberFormat="1" applyFont="1" applyBorder="1" applyProtection="1"/>
    <xf numFmtId="168" fontId="6" fillId="0" borderId="7" xfId="0" applyNumberFormat="1" applyFont="1" applyBorder="1" applyProtection="1"/>
    <xf numFmtId="168" fontId="8" fillId="0" borderId="4" xfId="0" applyNumberFormat="1" applyFont="1" applyBorder="1" applyAlignment="1" applyProtection="1">
      <alignment horizontal="left"/>
    </xf>
    <xf numFmtId="168" fontId="7" fillId="0" borderId="4" xfId="0" applyNumberFormat="1" applyFont="1" applyBorder="1" applyAlignment="1" applyProtection="1">
      <alignment horizontal="center"/>
    </xf>
    <xf numFmtId="164" fontId="6" fillId="0" borderId="0" xfId="0" applyNumberFormat="1" applyFont="1" applyProtection="1"/>
    <xf numFmtId="168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5" fontId="6" fillId="0" borderId="0" xfId="0" applyNumberFormat="1" applyFont="1" applyProtection="1"/>
    <xf numFmtId="193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5" fontId="7" fillId="41" borderId="3" xfId="2" applyNumberFormat="1" applyFont="1" applyFill="1" applyBorder="1" applyAlignment="1" applyProtection="1">
      <alignment horizontal="center"/>
      <protection locked="0"/>
    </xf>
    <xf numFmtId="199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Protection="1">
      <protection locked="0"/>
    </xf>
    <xf numFmtId="20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3" fontId="74" fillId="39" borderId="4" xfId="0" applyNumberFormat="1" applyFont="1" applyFill="1" applyBorder="1" applyAlignment="1" applyProtection="1">
      <alignment horizontal="center" wrapText="1"/>
    </xf>
    <xf numFmtId="203" fontId="91" fillId="38" borderId="2" xfId="0" applyNumberFormat="1" applyFont="1" applyFill="1" applyBorder="1" applyAlignment="1" applyProtection="1">
      <alignment horizontal="center"/>
    </xf>
    <xf numFmtId="203" fontId="74" fillId="38" borderId="2" xfId="0" applyNumberFormat="1" applyFont="1" applyFill="1" applyBorder="1" applyAlignment="1" applyProtection="1">
      <alignment horizontal="left"/>
    </xf>
    <xf numFmtId="203" fontId="8" fillId="0" borderId="7" xfId="0" applyNumberFormat="1" applyFont="1" applyBorder="1" applyAlignment="1" applyProtection="1">
      <alignment horizontal="center"/>
    </xf>
    <xf numFmtId="203" fontId="6" fillId="0" borderId="0" xfId="0" applyNumberFormat="1" applyFont="1" applyAlignment="1">
      <alignment horizontal="left" indent="1"/>
    </xf>
    <xf numFmtId="203" fontId="7" fillId="0" borderId="0" xfId="0" applyNumberFormat="1" applyFont="1" applyAlignment="1" applyProtection="1">
      <alignment horizontal="center"/>
    </xf>
    <xf numFmtId="203" fontId="7" fillId="41" borderId="22" xfId="0" applyNumberFormat="1" applyFont="1" applyFill="1" applyBorder="1" applyAlignment="1" applyProtection="1">
      <alignment horizontal="center"/>
      <protection locked="0"/>
    </xf>
    <xf numFmtId="203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Protection="1"/>
    <xf numFmtId="203" fontId="6" fillId="0" borderId="0" xfId="0" applyNumberFormat="1" applyFont="1" applyAlignment="1" applyProtection="1">
      <alignment horizontal="left" indent="1"/>
    </xf>
    <xf numFmtId="168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5" fontId="6" fillId="0" borderId="0" xfId="2" applyNumberFormat="1" applyFont="1" applyFill="1" applyBorder="1" applyAlignment="1" applyProtection="1">
      <alignment horizontal="center"/>
      <protection locked="0"/>
    </xf>
    <xf numFmtId="203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NumberFormat="1" applyFont="1" applyFill="1" applyBorder="1" applyAlignment="1" applyProtection="1"/>
    <xf numFmtId="168" fontId="6" fillId="0" borderId="0" xfId="0" applyNumberFormat="1" applyFont="1" applyBorder="1" applyAlignment="1" applyProtection="1">
      <alignment horizontal="center"/>
    </xf>
    <xf numFmtId="203" fontId="18" fillId="0" borderId="0" xfId="0" applyNumberFormat="1" applyFont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200" fontId="8" fillId="0" borderId="0" xfId="0" applyNumberFormat="1" applyFont="1" applyBorder="1" applyAlignment="1" applyProtection="1">
      <alignment horizontal="center"/>
    </xf>
    <xf numFmtId="197" fontId="8" fillId="0" borderId="0" xfId="0" applyNumberFormat="1" applyFont="1" applyBorder="1" applyAlignment="1" applyProtection="1">
      <alignment horizontal="center"/>
    </xf>
    <xf numFmtId="168" fontId="8" fillId="0" borderId="7" xfId="0" applyNumberFormat="1" applyFont="1" applyBorder="1" applyAlignment="1" applyProtection="1">
      <alignment horizontal="left" indent="1"/>
    </xf>
    <xf numFmtId="203" fontId="7" fillId="0" borderId="7" xfId="0" applyNumberFormat="1" applyFont="1" applyBorder="1" applyAlignment="1" applyProtection="1">
      <alignment horizontal="center"/>
    </xf>
    <xf numFmtId="204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3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4" fontId="6" fillId="0" borderId="0" xfId="0" applyNumberFormat="1" applyFont="1" applyProtection="1">
      <protection locked="0"/>
    </xf>
    <xf numFmtId="194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3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1" fontId="6" fillId="0" borderId="0" xfId="2" applyNumberFormat="1" applyFont="1" applyAlignment="1" applyProtection="1">
      <alignment horizontal="center"/>
      <protection locked="0"/>
    </xf>
    <xf numFmtId="173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15" fillId="0" borderId="0" xfId="5" applyNumberFormat="1" applyFont="1" applyFill="1" applyBorder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3" fontId="6" fillId="0" borderId="0" xfId="2" applyNumberFormat="1" applyFont="1" applyFill="1" applyBorder="1" applyAlignment="1" applyProtection="1">
      <alignment horizontal="center"/>
      <protection locked="0"/>
    </xf>
    <xf numFmtId="168" fontId="18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181" fontId="6" fillId="0" borderId="0" xfId="2" applyNumberFormat="1" applyFont="1" applyFill="1" applyBorder="1" applyAlignment="1" applyProtection="1">
      <alignment horizontal="center"/>
      <protection locked="0"/>
    </xf>
    <xf numFmtId="203" fontId="7" fillId="0" borderId="22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203" fontId="19" fillId="8" borderId="9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3" fontId="15" fillId="8" borderId="9" xfId="0" applyNumberFormat="1" applyFont="1" applyFill="1" applyBorder="1" applyAlignment="1" applyProtection="1">
      <alignment horizontal="center"/>
      <protection locked="0"/>
    </xf>
    <xf numFmtId="193" fontId="8" fillId="8" borderId="28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Border="1" applyAlignment="1">
      <alignment horizontal="center"/>
    </xf>
    <xf numFmtId="168" fontId="7" fillId="41" borderId="3" xfId="0" applyNumberFormat="1" applyFont="1" applyFill="1" applyBorder="1" applyAlignment="1" applyProtection="1">
      <alignment horizontal="center"/>
    </xf>
    <xf numFmtId="203" fontId="7" fillId="41" borderId="3" xfId="0" applyNumberFormat="1" applyFont="1" applyFill="1" applyBorder="1" applyAlignment="1" applyProtection="1">
      <alignment horizontal="center"/>
    </xf>
    <xf numFmtId="0" fontId="72" fillId="38" borderId="0" xfId="3" applyFont="1" applyFill="1" applyBorder="1" applyAlignment="1" applyProtection="1"/>
    <xf numFmtId="10" fontId="6" fillId="41" borderId="3" xfId="2" applyNumberFormat="1" applyFont="1" applyFill="1" applyBorder="1" applyAlignment="1" applyProtection="1">
      <alignment horizontal="center"/>
    </xf>
    <xf numFmtId="0" fontId="74" fillId="38" borderId="2" xfId="0" applyNumberFormat="1" applyFont="1" applyFill="1" applyBorder="1" applyAlignment="1" applyProtection="1">
      <alignment horizontal="center"/>
    </xf>
    <xf numFmtId="203" fontId="74" fillId="39" borderId="4" xfId="0" applyNumberFormat="1" applyFont="1" applyFill="1" applyBorder="1" applyAlignment="1" applyProtection="1">
      <alignment horizontal="center" vertical="center" wrapText="1"/>
    </xf>
    <xf numFmtId="192" fontId="6" fillId="41" borderId="29" xfId="0" applyNumberFormat="1" applyFont="1" applyFill="1" applyBorder="1" applyAlignment="1" applyProtection="1">
      <alignment horizontal="center"/>
      <protection locked="0"/>
    </xf>
    <xf numFmtId="10" fontId="6" fillId="0" borderId="30" xfId="2" applyNumberFormat="1" applyFont="1" applyBorder="1" applyAlignment="1" applyProtection="1">
      <alignment horizontal="center"/>
    </xf>
    <xf numFmtId="193" fontId="6" fillId="8" borderId="0" xfId="0" applyNumberFormat="1" applyFont="1" applyFill="1" applyBorder="1" applyAlignment="1" applyProtection="1">
      <alignment horizontal="left" indent="1"/>
    </xf>
    <xf numFmtId="164" fontId="6" fillId="0" borderId="0" xfId="0" applyNumberFormat="1" applyFont="1" applyProtection="1"/>
    <xf numFmtId="10" fontId="6" fillId="0" borderId="0" xfId="2" applyNumberFormat="1" applyFont="1" applyProtection="1"/>
    <xf numFmtId="164" fontId="6" fillId="0" borderId="0" xfId="0" applyNumberFormat="1" applyFont="1" applyProtection="1"/>
    <xf numFmtId="206" fontId="6" fillId="0" borderId="0" xfId="2" applyNumberFormat="1" applyFont="1" applyProtection="1"/>
    <xf numFmtId="0" fontId="92" fillId="0" borderId="31" xfId="0" applyFont="1" applyBorder="1" applyAlignment="1">
      <alignment horizontal="center" vertical="center" wrapText="1"/>
    </xf>
    <xf numFmtId="0" fontId="92" fillId="0" borderId="32" xfId="0" applyFont="1" applyBorder="1" applyAlignment="1">
      <alignment horizontal="center" vertical="center" wrapText="1"/>
    </xf>
    <xf numFmtId="3" fontId="92" fillId="0" borderId="33" xfId="0" applyNumberFormat="1" applyFont="1" applyBorder="1" applyAlignment="1">
      <alignment horizontal="right" vertical="center" wrapText="1"/>
    </xf>
    <xf numFmtId="3" fontId="92" fillId="0" borderId="34" xfId="0" applyNumberFormat="1" applyFont="1" applyBorder="1" applyAlignment="1">
      <alignment horizontal="right" vertical="center" wrapText="1"/>
    </xf>
    <xf numFmtId="0" fontId="93" fillId="0" borderId="0" xfId="0" applyFont="1"/>
    <xf numFmtId="168" fontId="93" fillId="0" borderId="0" xfId="0" applyNumberFormat="1" applyFont="1"/>
    <xf numFmtId="10" fontId="93" fillId="0" borderId="0" xfId="2" applyNumberFormat="1" applyFont="1" applyFill="1" applyBorder="1"/>
    <xf numFmtId="195" fontId="6" fillId="51" borderId="0" xfId="2" applyNumberFormat="1" applyFont="1" applyFill="1" applyBorder="1" applyAlignment="1" applyProtection="1">
      <alignment horizontal="center"/>
      <protection locked="0"/>
    </xf>
    <xf numFmtId="181" fontId="0" fillId="0" borderId="0" xfId="2" applyNumberFormat="1" applyFont="1"/>
    <xf numFmtId="0" fontId="0" fillId="0" borderId="0" xfId="0" applyFont="1"/>
    <xf numFmtId="44" fontId="0" fillId="0" borderId="0" xfId="266" applyFont="1"/>
    <xf numFmtId="0" fontId="94" fillId="0" borderId="0" xfId="0" applyFont="1"/>
    <xf numFmtId="10" fontId="0" fillId="0" borderId="0" xfId="0" applyNumberFormat="1"/>
    <xf numFmtId="3" fontId="0" fillId="0" borderId="0" xfId="0" applyNumberFormat="1"/>
    <xf numFmtId="181" fontId="6" fillId="0" borderId="0" xfId="2" applyNumberFormat="1" applyFont="1" applyProtection="1"/>
    <xf numFmtId="9" fontId="8" fillId="0" borderId="0" xfId="2" applyFont="1" applyBorder="1" applyAlignment="1" applyProtection="1">
      <alignment horizontal="center"/>
    </xf>
    <xf numFmtId="181" fontId="8" fillId="0" borderId="0" xfId="2" applyNumberFormat="1" applyFont="1" applyBorder="1" applyAlignment="1" applyProtection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/>
    <xf numFmtId="195" fontId="6" fillId="0" borderId="0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0" fontId="0" fillId="0" borderId="37" xfId="0" applyBorder="1"/>
    <xf numFmtId="0" fontId="0" fillId="0" borderId="0" xfId="0" applyFill="1" applyBorder="1"/>
    <xf numFmtId="208" fontId="0" fillId="0" borderId="0" xfId="0" applyNumberFormat="1"/>
    <xf numFmtId="0" fontId="97" fillId="50" borderId="0" xfId="0" applyFont="1" applyFill="1" applyAlignment="1">
      <alignment horizontal="center"/>
    </xf>
    <xf numFmtId="168" fontId="95" fillId="0" borderId="0" xfId="6" applyNumberFormat="1" applyFont="1" applyFill="1" applyBorder="1"/>
    <xf numFmtId="207" fontId="95" fillId="0" borderId="0" xfId="6" applyNumberFormat="1" applyFont="1" applyFill="1" applyBorder="1"/>
    <xf numFmtId="209" fontId="95" fillId="0" borderId="0" xfId="6" applyNumberFormat="1" applyFont="1" applyFill="1" applyBorder="1"/>
    <xf numFmtId="0" fontId="96" fillId="0" borderId="0" xfId="0" applyFont="1" applyAlignment="1">
      <alignment vertical="center" wrapText="1"/>
    </xf>
    <xf numFmtId="0" fontId="96" fillId="0" borderId="0" xfId="0" applyFont="1" applyAlignment="1">
      <alignment horizontal="center" vertical="center" wrapText="1"/>
    </xf>
    <xf numFmtId="0" fontId="95" fillId="0" borderId="0" xfId="0" applyFont="1" applyAlignment="1">
      <alignment horizontal="right" vertical="center" wrapText="1"/>
    </xf>
    <xf numFmtId="0" fontId="96" fillId="52" borderId="38" xfId="0" applyFont="1" applyFill="1" applyBorder="1" applyAlignment="1">
      <alignment horizontal="center" vertical="center"/>
    </xf>
    <xf numFmtId="0" fontId="96" fillId="52" borderId="32" xfId="0" applyFont="1" applyFill="1" applyBorder="1" applyAlignment="1">
      <alignment horizontal="center" vertical="center"/>
    </xf>
    <xf numFmtId="0" fontId="95" fillId="53" borderId="31" xfId="0" applyFont="1" applyFill="1" applyBorder="1" applyAlignment="1">
      <alignment vertical="center"/>
    </xf>
    <xf numFmtId="0" fontId="96" fillId="54" borderId="35" xfId="0" applyFont="1" applyFill="1" applyBorder="1" applyAlignment="1">
      <alignment horizontal="center" vertical="center" wrapText="1"/>
    </xf>
    <xf numFmtId="0" fontId="96" fillId="54" borderId="36" xfId="0" applyFont="1" applyFill="1" applyBorder="1" applyAlignment="1">
      <alignment horizontal="center" vertical="center" wrapText="1"/>
    </xf>
    <xf numFmtId="207" fontId="95" fillId="53" borderId="34" xfId="6" applyNumberFormat="1" applyFont="1" applyFill="1" applyBorder="1" applyAlignment="1">
      <alignment vertical="center"/>
    </xf>
    <xf numFmtId="207" fontId="93" fillId="0" borderId="0" xfId="0" applyNumberFormat="1" applyFont="1"/>
    <xf numFmtId="17" fontId="93" fillId="0" borderId="0" xfId="0" applyNumberFormat="1" applyFont="1"/>
    <xf numFmtId="0" fontId="0" fillId="0" borderId="6" xfId="0" applyFill="1" applyBorder="1"/>
    <xf numFmtId="208" fontId="0" fillId="0" borderId="6" xfId="0" applyNumberFormat="1" applyFill="1" applyBorder="1"/>
    <xf numFmtId="0" fontId="74" fillId="38" borderId="2" xfId="0" applyNumberFormat="1" applyFont="1" applyFill="1" applyBorder="1" applyAlignment="1" applyProtection="1">
      <alignment horizontal="center"/>
    </xf>
  </cellXfs>
  <cellStyles count="30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ockout 2 2" xfId="270"/>
    <cellStyle name="Blockout 3" xfId="269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7"/>
    <cellStyle name="Comma 2" xfId="8"/>
    <cellStyle name="Comma 2 2" xfId="73"/>
    <cellStyle name="Comma 2 2 2" xfId="271"/>
    <cellStyle name="Comma 2 3" xfId="74"/>
    <cellStyle name="Comma 2 3 2" xfId="75"/>
    <cellStyle name="Comma 2 3 2 2" xfId="273"/>
    <cellStyle name="Comma 2 3 3" xfId="272"/>
    <cellStyle name="Comma 2 4" xfId="76"/>
    <cellStyle name="Comma 2 4 2" xfId="274"/>
    <cellStyle name="Comma 2 5" xfId="77"/>
    <cellStyle name="Comma 2 5 2" xfId="275"/>
    <cellStyle name="Comma 2 6" xfId="268"/>
    <cellStyle name="Comma 3" xfId="78"/>
    <cellStyle name="Comma 3 2" xfId="79"/>
    <cellStyle name="Comma 3 3" xfId="80"/>
    <cellStyle name="Comma 3 3 2" xfId="276"/>
    <cellStyle name="Comma 4" xfId="81"/>
    <cellStyle name="Comma 4 2" xfId="277"/>
    <cellStyle name="Comma 5" xfId="82"/>
    <cellStyle name="Comma 5 2" xfId="278"/>
    <cellStyle name="Comma 6" xfId="83"/>
    <cellStyle name="Comma 6 2" xfId="279"/>
    <cellStyle name="Comma 7" xfId="84"/>
    <cellStyle name="Comma 7 2" xfId="280"/>
    <cellStyle name="Comma 8" xfId="85"/>
    <cellStyle name="Comma 8 2" xfId="281"/>
    <cellStyle name="Comma 9" xfId="264"/>
    <cellStyle name="Comma0" xfId="86"/>
    <cellStyle name="Currency" xfId="266" builtinId="4"/>
    <cellStyle name="Currency 11" xfId="87"/>
    <cellStyle name="Currency 11 2" xfId="88"/>
    <cellStyle name="Currency 11 2 2" xfId="283"/>
    <cellStyle name="Currency 11 3" xfId="282"/>
    <cellStyle name="Currency 2" xfId="89"/>
    <cellStyle name="Currency 2 2" xfId="90"/>
    <cellStyle name="Currency 2 2 2" xfId="285"/>
    <cellStyle name="Currency 2 3" xfId="284"/>
    <cellStyle name="Currency 3" xfId="91"/>
    <cellStyle name="Currency 3 2" xfId="92"/>
    <cellStyle name="Currency 3 2 2" xfId="287"/>
    <cellStyle name="Currency 3 3" xfId="286"/>
    <cellStyle name="Currency 4" xfId="93"/>
    <cellStyle name="Currency 4 2" xfId="94"/>
    <cellStyle name="Currency 4 2 2" xfId="289"/>
    <cellStyle name="Currency 4 3" xfId="288"/>
    <cellStyle name="Currency 5" xfId="243"/>
    <cellStyle name="Currency 5 2" xfId="298"/>
    <cellStyle name="Currency 6" xfId="300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3" xfId="302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1 2 2" xfId="291"/>
    <cellStyle name="Input1 3" xfId="290"/>
    <cellStyle name="Input2" xfId="127"/>
    <cellStyle name="Input2 2" xfId="128"/>
    <cellStyle name="Input3" xfId="129"/>
    <cellStyle name="Input3 2" xfId="130"/>
    <cellStyle name="Input3 2 2" xfId="293"/>
    <cellStyle name="Input3 3" xfId="292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96"/>
    <cellStyle name="Normal 11" xfId="265"/>
    <cellStyle name="Normal 12" xfId="299"/>
    <cellStyle name="Normal 13" xfId="137"/>
    <cellStyle name="Normal 13 2" xfId="7"/>
    <cellStyle name="Normal 13_29(d) - Gas extensions -tariffs" xfId="138"/>
    <cellStyle name="Normal 14" xfId="303"/>
    <cellStyle name="Normal 15" xfId="139"/>
    <cellStyle name="Normal 16" xfId="140"/>
    <cellStyle name="Normal 17" xfId="305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 3 2" xfId="294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7 2 2" xfId="295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" xfId="297"/>
    <cellStyle name="Percent 6" xfId="301"/>
    <cellStyle name="Percent 7" xfId="179"/>
    <cellStyle name="Percent 8" xfId="304"/>
    <cellStyle name="Percent 9" xfId="306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gulation\Price%20Review\2021-25%20EDPR\13.0%202021%20EDPR%20-%20Revised%20Proposal%20Preparation\C4%20Opex\Attachments%20to%20submit\ASD%20-%20Revised%20Proposal%20-%202021-2026%20-%20Opex%20Model%20-%20031220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%20Review\2023-27%20TRR\7.0%20TRR%202023%20-%20Modelling\Opex\TRR%20Draft%20Proposal%20Opex%20Model\TRR%20-%20AusNet%20Services%202023-27%20-%20Draft%20Proposal%20Opex%20Model%20-%20vd%20edit%20October,%20post%20aud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draudin\AppData\Local\Microsoft\Windows\INetCache\Content.Outlook\NY24B0PP\GSL%20forecast%202020_11_20%204pm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L Revised Step Change"/>
      <sheetName val="REFCL CPAs"/>
    </sheetNames>
    <sheetDataSet>
      <sheetData sheetId="0">
        <row r="39">
          <cell r="I39">
            <v>1293.660213218147</v>
          </cell>
          <cell r="J39">
            <v>483.29168009945943</v>
          </cell>
          <cell r="K39">
            <v>1162.8051262577951</v>
          </cell>
          <cell r="L39">
            <v>772.68951444088589</v>
          </cell>
          <cell r="M39">
            <v>773.84097588797613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  <sheetName val="TO DELETE &gt;&gt;"/>
      <sheetName val="Charts"/>
      <sheetName val="Change log"/>
    </sheetNames>
    <sheetDataSet>
      <sheetData sheetId="0" refreshError="1"/>
      <sheetData sheetId="1" refreshError="1"/>
      <sheetData sheetId="2" refreshError="1">
        <row r="70">
          <cell r="F70">
            <v>119.3049</v>
          </cell>
        </row>
        <row r="74">
          <cell r="F74">
            <v>121.98926025</v>
          </cell>
        </row>
        <row r="78">
          <cell r="F78">
            <v>124.734018605625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ors"/>
      <sheetName val="GSL allowance"/>
      <sheetName val="Transitional GSLs (updated)"/>
      <sheetName val="Old GSLs"/>
      <sheetName val="To adopt for EDPR"/>
    </sheetNames>
    <sheetDataSet>
      <sheetData sheetId="0" refreshError="1"/>
      <sheetData sheetId="1" refreshError="1">
        <row r="4">
          <cell r="C4">
            <v>6239134.760715642</v>
          </cell>
          <cell r="D4">
            <v>6094434.0833442984</v>
          </cell>
          <cell r="E4">
            <v>5953089.3658671947</v>
          </cell>
          <cell r="F4">
            <v>5815022.7754295291</v>
          </cell>
          <cell r="G4">
            <v>5680158.2843093006</v>
          </cell>
          <cell r="H4">
            <v>29781839.269665964</v>
          </cell>
        </row>
      </sheetData>
      <sheetData sheetId="2" refreshError="1">
        <row r="29">
          <cell r="N29">
            <v>3217973.6545113809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1"/>
  <sheetViews>
    <sheetView showGridLines="0" workbookViewId="0">
      <selection activeCell="E17" sqref="E17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206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196</v>
      </c>
      <c r="D10" s="7" t="s">
        <v>183</v>
      </c>
    </row>
    <row r="11" spans="1:47">
      <c r="C11" s="19" t="s">
        <v>59</v>
      </c>
      <c r="D11" s="7" t="s">
        <v>50</v>
      </c>
    </row>
    <row r="12" spans="1:47">
      <c r="C12" s="19" t="s">
        <v>197</v>
      </c>
      <c r="D12" s="7" t="s">
        <v>184</v>
      </c>
    </row>
    <row r="13" spans="1:47">
      <c r="C13" s="19" t="s">
        <v>198</v>
      </c>
      <c r="D13" s="7" t="s">
        <v>185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8"/>
  <sheetViews>
    <sheetView showGridLines="0" topLeftCell="A14" zoomScaleNormal="100" workbookViewId="0">
      <selection activeCell="D12" sqref="D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 ca="1"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207</v>
      </c>
      <c r="H7" s="29"/>
      <c r="I7" s="29"/>
      <c r="S7" s="131" t="str">
        <f>IF(COUNTBLANK($G7),"Check","Ok")</f>
        <v>Ok</v>
      </c>
    </row>
    <row r="8" spans="1:47">
      <c r="C8" s="29" t="s">
        <v>135</v>
      </c>
      <c r="D8" s="30" t="s">
        <v>68</v>
      </c>
      <c r="E8" s="29"/>
      <c r="F8" s="29"/>
      <c r="G8" s="52" t="s">
        <v>136</v>
      </c>
      <c r="H8" s="29"/>
      <c r="I8" s="29"/>
      <c r="S8" s="131" t="str">
        <f>IF(COUNTBLANK($G8),"Check","Ok")</f>
        <v>Ok</v>
      </c>
    </row>
    <row r="9" spans="1:47">
      <c r="C9" s="29" t="s">
        <v>192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193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194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150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195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</sheetData>
  <dataConsolidate/>
  <conditionalFormatting sqref="W16:W17">
    <cfRule type="cellIs" dxfId="253" priority="13" operator="equal">
      <formula>"Check"</formula>
    </cfRule>
    <cfRule type="cellIs" dxfId="252" priority="14" operator="equal">
      <formula>"Ok"</formula>
    </cfRule>
  </conditionalFormatting>
  <conditionalFormatting sqref="V1">
    <cfRule type="cellIs" dxfId="251" priority="3" operator="equal">
      <formula>"Check"</formula>
    </cfRule>
    <cfRule type="cellIs" dxfId="250" priority="4" operator="equal">
      <formula>"Ok"</formula>
    </cfRule>
  </conditionalFormatting>
  <conditionalFormatting sqref="S7:S16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S1">
    <cfRule type="cellIs" dxfId="247" priority="1" operator="equal">
      <formula>"Check"</formula>
    </cfRule>
    <cfRule type="cellIs" dxfId="246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96"/>
  <sheetViews>
    <sheetView showGridLines="0" topLeftCell="A50" workbookViewId="0">
      <selection activeCell="F62" sqref="F62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133</v>
      </c>
      <c r="F6" s="62" t="s">
        <v>96</v>
      </c>
      <c r="G6" s="62" t="s">
        <v>133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8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1.8334875215146207E-2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ref="G69:G84" si="2">IF(ISBLANK(F69),"",F69/F65-1)</f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2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2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2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2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2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2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2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2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2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2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2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2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2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2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2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45" priority="11" operator="equal">
      <formula>"Check"</formula>
    </cfRule>
    <cfRule type="cellIs" dxfId="244" priority="12" operator="equal">
      <formula>"Ok"</formula>
    </cfRule>
  </conditionalFormatting>
  <conditionalFormatting sqref="W1">
    <cfRule type="cellIs" dxfId="243" priority="7" operator="equal">
      <formula>"Check"</formula>
    </cfRule>
    <cfRule type="cellIs" dxfId="242" priority="8" operator="equal">
      <formula>"Ok"</formula>
    </cfRule>
  </conditionalFormatting>
  <conditionalFormatting sqref="T1">
    <cfRule type="cellIs" dxfId="241" priority="5" operator="equal">
      <formula>"Check"</formula>
    </cfRule>
    <cfRule type="cellIs" dxfId="240" priority="6" operator="equal">
      <formula>"Ok"</formula>
    </cfRule>
  </conditionalFormatting>
  <conditionalFormatting sqref="X51:X57">
    <cfRule type="cellIs" dxfId="239" priority="3" operator="equal">
      <formula>"Check"</formula>
    </cfRule>
    <cfRule type="cellIs" dxfId="238" priority="4" operator="equal">
      <formula>"Ok"</formula>
    </cfRule>
  </conditionalFormatting>
  <conditionalFormatting sqref="X58:X62 T9:T84">
    <cfRule type="cellIs" dxfId="237" priority="1" operator="equal">
      <formula>"Check"</formula>
    </cfRule>
    <cfRule type="cellIs" dxfId="236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topLeftCell="A61" zoomScale="70" zoomScaleNormal="70" workbookViewId="0">
      <selection activeCell="O91" sqref="O9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 ca="1"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119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202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225.08547496799454</v>
      </c>
      <c r="K13" s="161">
        <v>229.27205179208548</v>
      </c>
      <c r="L13" s="161">
        <v>234.81195269310936</v>
      </c>
      <c r="M13" s="161">
        <v>239.39972553975127</v>
      </c>
      <c r="N13" s="161">
        <v>244.94778767791999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225.08547496799454</v>
      </c>
      <c r="K15" s="129">
        <f t="shared" ref="K15:T15" si="1">K13</f>
        <v>229.27205179208548</v>
      </c>
      <c r="L15" s="129">
        <f t="shared" si="1"/>
        <v>234.81195269310936</v>
      </c>
      <c r="M15" s="129">
        <f t="shared" si="1"/>
        <v>239.39972553975127</v>
      </c>
      <c r="N15" s="129">
        <f t="shared" si="1"/>
        <v>244.94778767791999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1.7456371682521112</v>
      </c>
      <c r="K19" s="161">
        <v>1.8263681574112083</v>
      </c>
      <c r="L19" s="161">
        <v>1.9490550282039449</v>
      </c>
      <c r="M19" s="161">
        <v>2.0522074583479255</v>
      </c>
      <c r="N19" s="161">
        <v>2.1657096335281971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208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8.3000000000000007</v>
      </c>
      <c r="K20" s="161">
        <v>8.3000000000000007</v>
      </c>
      <c r="L20" s="161">
        <v>8.3000000000000007</v>
      </c>
      <c r="M20" s="161">
        <v>8.3000000000000007</v>
      </c>
      <c r="N20" s="161">
        <v>8.3000000000000007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157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10.045637168252112</v>
      </c>
      <c r="K29" s="129">
        <f t="shared" ref="K29:S29" si="4">SUM(K19:K27)</f>
        <v>10.126368157411209</v>
      </c>
      <c r="L29" s="129">
        <f t="shared" si="4"/>
        <v>10.249055028203946</v>
      </c>
      <c r="M29" s="129">
        <f t="shared" si="4"/>
        <v>10.352207458347927</v>
      </c>
      <c r="N29" s="129">
        <f t="shared" si="4"/>
        <v>10.465709633528197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203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134.92569340710057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134.92569340710057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159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1.1510319909904236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208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4.5042239391143921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157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5.6552559301048158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240.51147599755791</v>
      </c>
      <c r="K60" s="161">
        <v>216.72910674238398</v>
      </c>
      <c r="L60" s="161">
        <v>205.57865474835609</v>
      </c>
      <c r="M60" s="161">
        <v>211.75328101467809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61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179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61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61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-0.42218142367227329</v>
      </c>
      <c r="K64" s="161">
        <v>0.58126924664361124</v>
      </c>
      <c r="L64" s="161">
        <v>-1.9837386090981766</v>
      </c>
      <c r="M64" s="161">
        <v>6.9823342347697031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187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7.7478299999999958E-2</v>
      </c>
      <c r="K65" s="161">
        <v>0.26055693000000002</v>
      </c>
      <c r="L65" s="161">
        <v>0.22754147999999996</v>
      </c>
      <c r="M65" s="161">
        <v>0.2849562499999998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189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240.85617912123018</v>
      </c>
      <c r="K70" s="129">
        <f t="shared" ref="K70:S70" si="12">K60-SUM(K64:K68)</f>
        <v>215.88728056574035</v>
      </c>
      <c r="L70" s="129">
        <f t="shared" si="12"/>
        <v>207.33485187745427</v>
      </c>
      <c r="M70" s="129">
        <f t="shared" si="12"/>
        <v>204.48599052990841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188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17.667649999999998</v>
      </c>
      <c r="K75" s="161">
        <v>3.4766400000000002</v>
      </c>
      <c r="L75" s="161">
        <v>6.5871000000000004</v>
      </c>
      <c r="M75" s="161">
        <v>11.65239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157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17.667649999999998</v>
      </c>
      <c r="K79" s="184">
        <f t="shared" ref="K79:S79" si="14">SUM(K74:K77)</f>
        <v>3.4766400000000002</v>
      </c>
      <c r="L79" s="184">
        <f t="shared" si="14"/>
        <v>6.5871000000000004</v>
      </c>
      <c r="M79" s="184">
        <f t="shared" si="14"/>
        <v>11.65239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250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243"/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221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-2.2329835260298001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113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114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115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178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>
        <v>-4.3578307413102673</v>
      </c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5" priority="54" operator="equal">
      <formula>"Check"</formula>
    </cfRule>
    <cfRule type="cellIs" dxfId="234" priority="55" operator="equal">
      <formula>"Ok"</formula>
    </cfRule>
  </conditionalFormatting>
  <conditionalFormatting sqref="X79">
    <cfRule type="cellIs" dxfId="233" priority="52" operator="equal">
      <formula>"Check"</formula>
    </cfRule>
    <cfRule type="cellIs" dxfId="232" priority="53" operator="equal">
      <formula>"Ok"</formula>
    </cfRule>
  </conditionalFormatting>
  <conditionalFormatting sqref="X15">
    <cfRule type="cellIs" dxfId="231" priority="50" operator="equal">
      <formula>"Check"</formula>
    </cfRule>
    <cfRule type="cellIs" dxfId="230" priority="51" operator="equal">
      <formula>"Ok"</formula>
    </cfRule>
  </conditionalFormatting>
  <conditionalFormatting sqref="W1">
    <cfRule type="cellIs" dxfId="229" priority="48" operator="equal">
      <formula>"Check"</formula>
    </cfRule>
    <cfRule type="cellIs" dxfId="228" priority="49" operator="equal">
      <formula>"Ok"</formula>
    </cfRule>
  </conditionalFormatting>
  <conditionalFormatting sqref="S1:T1">
    <cfRule type="cellIs" dxfId="227" priority="46" operator="equal">
      <formula>"Check"</formula>
    </cfRule>
    <cfRule type="cellIs" dxfId="226" priority="47" operator="equal">
      <formula>"Ok"</formula>
    </cfRule>
  </conditionalFormatting>
  <conditionalFormatting sqref="J15:T15">
    <cfRule type="cellIs" dxfId="225" priority="45" operator="equal">
      <formula>0</formula>
    </cfRule>
  </conditionalFormatting>
  <conditionalFormatting sqref="J79:S79">
    <cfRule type="cellIs" dxfId="224" priority="44" operator="equal">
      <formula>0</formula>
    </cfRule>
  </conditionalFormatting>
  <conditionalFormatting sqref="X71:X73">
    <cfRule type="cellIs" dxfId="223" priority="42" operator="equal">
      <formula>"Check"</formula>
    </cfRule>
    <cfRule type="cellIs" dxfId="222" priority="43" operator="equal">
      <formula>"Ok"</formula>
    </cfRule>
  </conditionalFormatting>
  <conditionalFormatting sqref="J56:T56 N60:T60 J74:S77 J64:T68">
    <cfRule type="expression" dxfId="221" priority="40">
      <formula>J$57=J$4</formula>
    </cfRule>
  </conditionalFormatting>
  <conditionalFormatting sqref="P13:T13 J19:T27">
    <cfRule type="expression" dxfId="220" priority="39">
      <formula>J$10=J$4</formula>
    </cfRule>
  </conditionalFormatting>
  <conditionalFormatting sqref="J60:O60">
    <cfRule type="expression" dxfId="219" priority="36">
      <formula>J$10=J$4</formula>
    </cfRule>
  </conditionalFormatting>
  <conditionalFormatting sqref="X70">
    <cfRule type="cellIs" dxfId="218" priority="34" operator="equal">
      <formula>"Check"</formula>
    </cfRule>
    <cfRule type="cellIs" dxfId="217" priority="35" operator="equal">
      <formula>"Ok"</formula>
    </cfRule>
  </conditionalFormatting>
  <conditionalFormatting sqref="J70:S70">
    <cfRule type="cellIs" dxfId="216" priority="32" operator="equal">
      <formula>0</formula>
    </cfRule>
  </conditionalFormatting>
  <conditionalFormatting sqref="J91:T91 J93:T93 J86:T89 J85:N85 P85:T85">
    <cfRule type="expression" dxfId="215" priority="31">
      <formula>J$83=J$4</formula>
    </cfRule>
  </conditionalFormatting>
  <conditionalFormatting sqref="X29">
    <cfRule type="cellIs" dxfId="214" priority="27" operator="equal">
      <formula>"Check"</formula>
    </cfRule>
    <cfRule type="cellIs" dxfId="213" priority="28" operator="equal">
      <formula>"Ok"</formula>
    </cfRule>
  </conditionalFormatting>
  <conditionalFormatting sqref="J29:T29">
    <cfRule type="cellIs" dxfId="212" priority="26" operator="equal">
      <formula>0</formula>
    </cfRule>
  </conditionalFormatting>
  <conditionalFormatting sqref="N13">
    <cfRule type="expression" dxfId="211" priority="23">
      <formula>N$57=N$4</formula>
    </cfRule>
  </conditionalFormatting>
  <conditionalFormatting sqref="J13:N13">
    <cfRule type="expression" dxfId="210" priority="22">
      <formula>J$10=J$4</formula>
    </cfRule>
  </conditionalFormatting>
  <conditionalFormatting sqref="O60">
    <cfRule type="expression" dxfId="209" priority="20">
      <formula>O$10=O$4</formula>
    </cfRule>
  </conditionalFormatting>
  <conditionalFormatting sqref="T79">
    <cfRule type="cellIs" dxfId="208" priority="19" operator="equal">
      <formula>0</formula>
    </cfRule>
  </conditionalFormatting>
  <conditionalFormatting sqref="T74:T77">
    <cfRule type="expression" dxfId="207" priority="18">
      <formula>T$57=T$4</formula>
    </cfRule>
  </conditionalFormatting>
  <conditionalFormatting sqref="T70">
    <cfRule type="cellIs" dxfId="206" priority="17" operator="equal">
      <formula>0</formula>
    </cfRule>
  </conditionalFormatting>
  <conditionalFormatting sqref="O12:O13">
    <cfRule type="expression" dxfId="205" priority="15">
      <formula>O$10=O$4</formula>
    </cfRule>
  </conditionalFormatting>
  <conditionalFormatting sqref="X38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J38:T38">
    <cfRule type="cellIs" dxfId="202" priority="12" operator="equal">
      <formula>0</formula>
    </cfRule>
  </conditionalFormatting>
  <conditionalFormatting sqref="J42:N50 P42:T50">
    <cfRule type="expression" dxfId="201" priority="11">
      <formula>J$33=J$4</formula>
    </cfRule>
  </conditionalFormatting>
  <conditionalFormatting sqref="X52">
    <cfRule type="cellIs" dxfId="200" priority="9" operator="equal">
      <formula>"Check"</formula>
    </cfRule>
    <cfRule type="cellIs" dxfId="199" priority="10" operator="equal">
      <formula>"Ok"</formula>
    </cfRule>
  </conditionalFormatting>
  <conditionalFormatting sqref="J52:T52">
    <cfRule type="cellIs" dxfId="198" priority="8" operator="equal">
      <formula>0</formula>
    </cfRule>
  </conditionalFormatting>
  <conditionalFormatting sqref="J36">
    <cfRule type="expression" dxfId="197" priority="6">
      <formula>J$33=J$4</formula>
    </cfRule>
  </conditionalFormatting>
  <conditionalFormatting sqref="O35">
    <cfRule type="expression" dxfId="196" priority="5">
      <formula>O$10=O$4</formula>
    </cfRule>
  </conditionalFormatting>
  <conditionalFormatting sqref="K36:T36">
    <cfRule type="expression" dxfId="195" priority="3">
      <formula>K$33=K$4</formula>
    </cfRule>
  </conditionalFormatting>
  <conditionalFormatting sqref="O42:O50">
    <cfRule type="expression" dxfId="194" priority="2">
      <formula>O$33=O$4</formula>
    </cfRule>
  </conditionalFormatting>
  <conditionalFormatting sqref="O85">
    <cfRule type="expression" dxfId="193" priority="1">
      <formula>O$83=O$4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11"/>
  <sheetViews>
    <sheetView showGridLines="0" topLeftCell="A54" zoomScale="70" zoomScaleNormal="70" workbookViewId="0">
      <selection activeCell="U66" sqref="U66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 ca="1"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119</v>
      </c>
      <c r="K3" s="267"/>
      <c r="L3" s="267"/>
      <c r="M3" s="267"/>
      <c r="N3" s="180"/>
      <c r="O3" s="267"/>
      <c r="P3" s="267"/>
      <c r="Q3" s="267"/>
      <c r="R3" s="267"/>
      <c r="S3" s="267"/>
      <c r="T3" s="267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214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7.7999999999999996E-3</v>
      </c>
      <c r="R38" s="165">
        <v>5.0000000000000001E-3</v>
      </c>
      <c r="S38" s="165">
        <v>6.4999999999999997E-3</v>
      </c>
      <c r="T38" s="165">
        <v>9.9000000000000008E-3</v>
      </c>
      <c r="U38" s="165">
        <v>1.3100000000000001E-2</v>
      </c>
    </row>
    <row r="39" spans="1:50" ht="11.25" customHeight="1" outlineLevel="1">
      <c r="C39" s="61"/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/>
      <c r="R39" s="165"/>
      <c r="S39" s="165"/>
      <c r="T39" s="165"/>
      <c r="U39" s="165"/>
    </row>
    <row r="40" spans="1:50" ht="11.25" customHeight="1" outlineLevel="1">
      <c r="C40" s="61"/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60"/>
      <c r="R40" s="60"/>
      <c r="S40" s="60"/>
      <c r="T40" s="60"/>
      <c r="U40" s="60"/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DAE and BIS</v>
      </c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0.59199999999999997</v>
      </c>
      <c r="R51" s="60">
        <v>0.59199999999999997</v>
      </c>
      <c r="S51" s="60">
        <v>0.59199999999999997</v>
      </c>
      <c r="T51" s="60">
        <v>0.59199999999999997</v>
      </c>
      <c r="U51" s="60">
        <v>0.59199999999999997</v>
      </c>
    </row>
    <row r="52" spans="1:50" ht="11.25" customHeight="1" outlineLevel="1">
      <c r="C52" s="146">
        <f t="shared" si="37"/>
        <v>0</v>
      </c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>
        <f t="shared" si="37"/>
        <v>0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>
        <f t="shared" si="37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7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7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166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46">
        <v>779753.673803502</v>
      </c>
      <c r="Q66" s="246">
        <v>785431.69870634796</v>
      </c>
      <c r="R66" s="246">
        <v>795703.17249661847</v>
      </c>
      <c r="S66" s="246">
        <v>809126.74842840328</v>
      </c>
      <c r="T66" s="246">
        <v>822666.34620915505</v>
      </c>
      <c r="U66" s="246">
        <v>836299.16678558337</v>
      </c>
    </row>
    <row r="67" spans="3:23" outlineLevel="1">
      <c r="C67" s="61" t="s">
        <v>167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46831.393613865628</v>
      </c>
      <c r="Q67" s="194">
        <v>47111.625443487501</v>
      </c>
      <c r="R67" s="194">
        <v>47485.225304858337</v>
      </c>
      <c r="S67" s="194">
        <v>47858.82936544792</v>
      </c>
      <c r="T67" s="194">
        <v>48232.492874279698</v>
      </c>
      <c r="U67" s="194">
        <v>48606.165141656384</v>
      </c>
    </row>
    <row r="68" spans="3:23" outlineLevel="1">
      <c r="C68" s="61" t="s">
        <v>168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2011.9385040000006</v>
      </c>
      <c r="Q68" s="194">
        <v>2011.9385040000006</v>
      </c>
      <c r="R68" s="194">
        <v>2011.9385040000006</v>
      </c>
      <c r="S68" s="194">
        <v>2011.9385040000006</v>
      </c>
      <c r="T68" s="194">
        <v>2011.9385040000006</v>
      </c>
      <c r="U68" s="194">
        <v>2011.9385040000006</v>
      </c>
    </row>
    <row r="69" spans="3:23" outlineLevel="1">
      <c r="C69" s="61" t="s">
        <v>169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7326.8903436925921</v>
      </c>
      <c r="Q69" s="194">
        <v>7299.5705394237357</v>
      </c>
      <c r="R69" s="194">
        <v>7258.5272577754013</v>
      </c>
      <c r="S69" s="194">
        <v>7229.0193338192121</v>
      </c>
      <c r="T69" s="194">
        <v>7204.0959514521455</v>
      </c>
      <c r="U69" s="194">
        <v>7182.9739766410821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7.2554342901245406E-3</v>
      </c>
      <c r="R77" s="117">
        <f t="shared" si="44"/>
        <v>1.2992716145186378E-2</v>
      </c>
      <c r="S77" s="117">
        <f t="shared" si="44"/>
        <v>1.6729360324502451E-2</v>
      </c>
      <c r="T77" s="117">
        <f t="shared" si="44"/>
        <v>1.6595129070813286E-2</v>
      </c>
      <c r="U77" s="117">
        <f t="shared" si="44"/>
        <v>1.6435697254518544E-2</v>
      </c>
    </row>
    <row r="78" spans="3:23" outlineLevel="1">
      <c r="C78" s="146" t="str">
        <f t="shared" ref="C78:C82" si="45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5.9660135182291185E-3</v>
      </c>
      <c r="R78" s="117">
        <f t="shared" si="46"/>
        <v>7.8988211735193659E-3</v>
      </c>
      <c r="S78" s="117">
        <f t="shared" si="46"/>
        <v>7.8370061786880996E-3</v>
      </c>
      <c r="T78" s="117">
        <f t="shared" si="46"/>
        <v>7.7772973372063348E-3</v>
      </c>
      <c r="U78" s="117">
        <f t="shared" si="46"/>
        <v>7.7174576695799857E-3</v>
      </c>
    </row>
    <row r="79" spans="3:23" outlineLevel="1">
      <c r="C79" s="146" t="str">
        <f t="shared" si="45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 t="str">
        <f t="shared" si="45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>
        <f t="shared" si="48"/>
        <v>-3.7356727999195982E-3</v>
      </c>
      <c r="R80" s="117">
        <f t="shared" si="48"/>
        <v>-5.6385650051549163E-3</v>
      </c>
      <c r="S80" s="117">
        <f t="shared" si="48"/>
        <v>-4.0735627076600167E-3</v>
      </c>
      <c r="T80" s="117">
        <f t="shared" si="48"/>
        <v>-3.4536420790036715E-3</v>
      </c>
      <c r="U80" s="117">
        <f t="shared" si="48"/>
        <v>-2.9362462394306732E-3</v>
      </c>
    </row>
    <row r="81" spans="3:23" outlineLevel="1">
      <c r="C81" s="146">
        <f t="shared" si="45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170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171</v>
      </c>
      <c r="K84" s="209" t="s">
        <v>172</v>
      </c>
      <c r="L84" s="209" t="s">
        <v>173</v>
      </c>
      <c r="M84" s="209" t="s">
        <v>199</v>
      </c>
      <c r="N84" s="209" t="s">
        <v>174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1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175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5.7920141803799287E-3</v>
      </c>
      <c r="R97" s="117">
        <f t="shared" si="53"/>
        <v>9.9521307296658954E-3</v>
      </c>
      <c r="S97" s="117">
        <f t="shared" si="53"/>
        <v>1.2462428198558168E-2</v>
      </c>
      <c r="T97" s="117">
        <f>IF(T$95=T$4,SUMPRODUCT(T$77:T$82,$J$86:$J$91),"")</f>
        <v>1.2362911970900115E-2</v>
      </c>
      <c r="U97" s="117">
        <f>IF(U$95=U$4,SUMPRODUCT(U$77:U$82,$J$86:$J$91),"")</f>
        <v>1.2246383275294516E-2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5.9309336464773215E-3</v>
      </c>
      <c r="R98" s="117">
        <f t="shared" si="54"/>
        <v>1.0187534356705621E-2</v>
      </c>
      <c r="S98" s="117">
        <f t="shared" si="54"/>
        <v>1.2754332105148307E-2</v>
      </c>
      <c r="T98" s="117">
        <f>IF(T$95=T$4,SUMPRODUCT(T$77:T$82,$K$86:$K$91),"")</f>
        <v>1.2652488959995066E-2</v>
      </c>
      <c r="U98" s="117">
        <f>IF(U$95=U$4,SUMPRODUCT(U$77:U$82,$K$86:$K$91),"")</f>
        <v>1.2533249670377182E-2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4.0158457735595451E-3</v>
      </c>
      <c r="R99" s="117">
        <f t="shared" si="55"/>
        <v>6.6021263374149283E-3</v>
      </c>
      <c r="S99" s="117">
        <f t="shared" si="55"/>
        <v>8.0071027505590822E-3</v>
      </c>
      <c r="T99" s="117">
        <f>IF(T$95=T$4,SUMPRODUCT(T$77:T$82,$L$86:$L$91),"")</f>
        <v>7.9435275989265027E-3</v>
      </c>
      <c r="U99" s="117">
        <f>IF(U$95=U$4,SUMPRODUCT(U$77:U$82,$L$86:$L$91),"")</f>
        <v>7.8703611509729123E-3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5.7972102027087843E-3</v>
      </c>
      <c r="R100" s="117">
        <f t="shared" si="56"/>
        <v>1.0036905147202808E-2</v>
      </c>
      <c r="S100" s="117">
        <f t="shared" si="56"/>
        <v>1.2634820618579278E-2</v>
      </c>
      <c r="T100" s="117">
        <f>IF(T$95=T$4,SUMPRODUCT(T$77:T$82,$M$86:$M$91),"")</f>
        <v>1.2533835181690529E-2</v>
      </c>
      <c r="U100" s="117">
        <f>IF(U$95=U$4,SUMPRODUCT(U$77:U$82,$M$86:$M$91),"")</f>
        <v>1.2415261209302825E-2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3.3582833953328408E-3</v>
      </c>
      <c r="R101" s="117">
        <f t="shared" ref="R101:U101" si="57">IF(R$95=R$4,SUMPRODUCT(R$77:R$82,$N$86:$N$91),"")</f>
        <v>5.0140607599617054E-3</v>
      </c>
      <c r="S101" s="117">
        <f t="shared" si="57"/>
        <v>5.8161700701191473E-3</v>
      </c>
      <c r="T101" s="117">
        <f t="shared" si="57"/>
        <v>5.8211295913186654E-3</v>
      </c>
      <c r="U101" s="117">
        <f t="shared" si="57"/>
        <v>5.8125741360672894E-3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59">$R$107</f>
        <v>5.0000000000000001E-3</v>
      </c>
      <c r="U107" s="167">
        <f t="shared" si="59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0">IF(J105=J$4,IF(ISBLANK(J107),"Check","Ok"),"")</f>
        <v/>
      </c>
      <c r="K109" s="132" t="str">
        <f t="shared" si="60"/>
        <v/>
      </c>
      <c r="L109" s="132" t="str">
        <f t="shared" si="60"/>
        <v/>
      </c>
      <c r="M109" s="132" t="str">
        <f t="shared" si="60"/>
        <v/>
      </c>
      <c r="N109" s="132" t="str">
        <f t="shared" si="60"/>
        <v/>
      </c>
      <c r="O109" s="132" t="str">
        <f t="shared" si="60"/>
        <v/>
      </c>
      <c r="P109" s="132" t="str">
        <f t="shared" si="60"/>
        <v/>
      </c>
      <c r="Q109" s="132" t="str">
        <f t="shared" si="60"/>
        <v>Ok</v>
      </c>
      <c r="R109" s="132" t="str">
        <f t="shared" si="60"/>
        <v>Ok</v>
      </c>
      <c r="S109" s="132" t="str">
        <f t="shared" si="60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</sheetData>
  <mergeCells count="2">
    <mergeCell ref="K3:M3"/>
    <mergeCell ref="O3:T3"/>
  </mergeCells>
  <conditionalFormatting sqref="W1">
    <cfRule type="cellIs" dxfId="192" priority="131" operator="equal">
      <formula>"Check"</formula>
    </cfRule>
    <cfRule type="cellIs" dxfId="191" priority="132" operator="equal">
      <formula>"Ok"</formula>
    </cfRule>
  </conditionalFormatting>
  <conditionalFormatting sqref="T1">
    <cfRule type="cellIs" dxfId="190" priority="95" operator="equal">
      <formula>"Check"</formula>
    </cfRule>
    <cfRule type="cellIs" dxfId="189" priority="96" operator="equal">
      <formula>"Ok"</formula>
    </cfRule>
  </conditionalFormatting>
  <conditionalFormatting sqref="W60">
    <cfRule type="cellIs" dxfId="188" priority="83" operator="equal">
      <formula>"Check"</formula>
    </cfRule>
    <cfRule type="cellIs" dxfId="187" priority="84" operator="equal">
      <formula>"Ok"</formula>
    </cfRule>
  </conditionalFormatting>
  <conditionalFormatting sqref="J60:T60">
    <cfRule type="cellIs" dxfId="186" priority="75" operator="equal">
      <formula>"Check"</formula>
    </cfRule>
    <cfRule type="cellIs" dxfId="185" priority="76" operator="equal">
      <formula>"Ok"</formula>
    </cfRule>
  </conditionalFormatting>
  <conditionalFormatting sqref="J36:U36">
    <cfRule type="expression" dxfId="184" priority="66">
      <formula>J$36=J$4</formula>
    </cfRule>
  </conditionalFormatting>
  <conditionalFormatting sqref="J38:T45 Q38:U38">
    <cfRule type="expression" dxfId="183" priority="64">
      <formula>J$36=J$4</formula>
    </cfRule>
  </conditionalFormatting>
  <conditionalFormatting sqref="J51:U58">
    <cfRule type="expression" dxfId="182" priority="63">
      <formula>J$49=J$4</formula>
    </cfRule>
  </conditionalFormatting>
  <conditionalFormatting sqref="W109">
    <cfRule type="cellIs" dxfId="181" priority="57" operator="equal">
      <formula>"Check"</formula>
    </cfRule>
    <cfRule type="cellIs" dxfId="180" priority="58" operator="equal">
      <formula>"Ok"</formula>
    </cfRule>
  </conditionalFormatting>
  <conditionalFormatting sqref="J109:T109">
    <cfRule type="cellIs" dxfId="179" priority="55" operator="equal">
      <formula>"Check"</formula>
    </cfRule>
    <cfRule type="cellIs" dxfId="178" priority="56" operator="equal">
      <formula>"Ok"</formula>
    </cfRule>
  </conditionalFormatting>
  <conditionalFormatting sqref="W47">
    <cfRule type="cellIs" dxfId="177" priority="53" operator="equal">
      <formula>"Check"</formula>
    </cfRule>
    <cfRule type="cellIs" dxfId="176" priority="54" operator="equal">
      <formula>"Ok"</formula>
    </cfRule>
  </conditionalFormatting>
  <conditionalFormatting sqref="J47:T47">
    <cfRule type="cellIs" dxfId="175" priority="51" operator="equal">
      <formula>"Check"</formula>
    </cfRule>
    <cfRule type="cellIs" dxfId="174" priority="52" operator="equal">
      <formula>"Ok"</formula>
    </cfRule>
  </conditionalFormatting>
  <conditionalFormatting sqref="W73">
    <cfRule type="cellIs" dxfId="173" priority="49" operator="equal">
      <formula>"Check"</formula>
    </cfRule>
    <cfRule type="cellIs" dxfId="172" priority="50" operator="equal">
      <formula>"Ok"</formula>
    </cfRule>
  </conditionalFormatting>
  <conditionalFormatting sqref="J73:T73">
    <cfRule type="cellIs" dxfId="171" priority="47" operator="equal">
      <formula>"Check"</formula>
    </cfRule>
    <cfRule type="cellIs" dxfId="170" priority="48" operator="equal">
      <formula>"Ok"</formula>
    </cfRule>
  </conditionalFormatting>
  <conditionalFormatting sqref="J64:U64">
    <cfRule type="expression" dxfId="169" priority="41">
      <formula>J$64=J$4</formula>
    </cfRule>
  </conditionalFormatting>
  <conditionalFormatting sqref="J70:T71 J67:U69 J66:O66">
    <cfRule type="expression" dxfId="168" priority="39">
      <formula>J$64=J$4</formula>
    </cfRule>
  </conditionalFormatting>
  <conditionalFormatting sqref="J49:U49">
    <cfRule type="expression" dxfId="167" priority="36">
      <formula>J$36=J$4</formula>
    </cfRule>
  </conditionalFormatting>
  <conditionalFormatting sqref="J75:U75">
    <cfRule type="expression" dxfId="166" priority="35">
      <formula>J$36=J$4</formula>
    </cfRule>
  </conditionalFormatting>
  <conditionalFormatting sqref="J105:U105">
    <cfRule type="expression" dxfId="165" priority="34">
      <formula>J$36=J$4</formula>
    </cfRule>
  </conditionalFormatting>
  <conditionalFormatting sqref="J26:T32">
    <cfRule type="cellIs" dxfId="164" priority="32" operator="equal">
      <formula>0</formula>
    </cfRule>
  </conditionalFormatting>
  <conditionalFormatting sqref="J16:T22">
    <cfRule type="cellIs" dxfId="163" priority="31" operator="equal">
      <formula>0</formula>
    </cfRule>
  </conditionalFormatting>
  <conditionalFormatting sqref="W93:W101">
    <cfRule type="cellIs" dxfId="162" priority="27" operator="equal">
      <formula>"Check"</formula>
    </cfRule>
    <cfRule type="cellIs" dxfId="161" priority="28" operator="equal">
      <formula>"Ok"</formula>
    </cfRule>
  </conditionalFormatting>
  <conditionalFormatting sqref="K90:M91">
    <cfRule type="expression" dxfId="160" priority="26">
      <formula>K$84=K$4</formula>
    </cfRule>
  </conditionalFormatting>
  <conditionalFormatting sqref="J96:T96 J93:T94">
    <cfRule type="cellIs" dxfId="159" priority="24" operator="equal">
      <formula>"Check"</formula>
    </cfRule>
    <cfRule type="cellIs" dxfId="158" priority="25" operator="equal">
      <formula>"Ok"</formula>
    </cfRule>
  </conditionalFormatting>
  <conditionalFormatting sqref="J95:U95">
    <cfRule type="expression" dxfId="157" priority="23">
      <formula>J$95=J$4</formula>
    </cfRule>
  </conditionalFormatting>
  <conditionalFormatting sqref="J107:U107">
    <cfRule type="expression" dxfId="156" priority="136">
      <formula>J$105=J$4</formula>
    </cfRule>
  </conditionalFormatting>
  <conditionalFormatting sqref="K86:M89">
    <cfRule type="expression" dxfId="155" priority="22">
      <formula>K$84=K$4</formula>
    </cfRule>
  </conditionalFormatting>
  <conditionalFormatting sqref="U26:U32">
    <cfRule type="cellIs" dxfId="154" priority="21" operator="equal">
      <formula>0</formula>
    </cfRule>
  </conditionalFormatting>
  <conditionalFormatting sqref="U16:U22">
    <cfRule type="cellIs" dxfId="153" priority="20" operator="equal">
      <formula>0</formula>
    </cfRule>
  </conditionalFormatting>
  <conditionalFormatting sqref="U109">
    <cfRule type="cellIs" dxfId="152" priority="2" operator="equal">
      <formula>"Check"</formula>
    </cfRule>
    <cfRule type="cellIs" dxfId="151" priority="3" operator="equal">
      <formula>"Ok"</formula>
    </cfRule>
  </conditionalFormatting>
  <conditionalFormatting sqref="U47">
    <cfRule type="cellIs" dxfId="150" priority="15" operator="equal">
      <formula>"Check"</formula>
    </cfRule>
    <cfRule type="cellIs" dxfId="149" priority="16" operator="equal">
      <formula>"Ok"</formula>
    </cfRule>
  </conditionalFormatting>
  <conditionalFormatting sqref="U38:U45">
    <cfRule type="expression" dxfId="148" priority="14">
      <formula>U$36=U$4</formula>
    </cfRule>
  </conditionalFormatting>
  <conditionalFormatting sqref="U51:U58">
    <cfRule type="expression" dxfId="147" priority="11">
      <formula>U$49=U$4</formula>
    </cfRule>
  </conditionalFormatting>
  <conditionalFormatting sqref="U60">
    <cfRule type="cellIs" dxfId="146" priority="9" operator="equal">
      <formula>"Check"</formula>
    </cfRule>
    <cfRule type="cellIs" dxfId="145" priority="10" operator="equal">
      <formula>"Ok"</formula>
    </cfRule>
  </conditionalFormatting>
  <conditionalFormatting sqref="U73">
    <cfRule type="cellIs" dxfId="144" priority="6" operator="equal">
      <formula>"Check"</formula>
    </cfRule>
    <cfRule type="cellIs" dxfId="143" priority="7" operator="equal">
      <formula>"Ok"</formula>
    </cfRule>
  </conditionalFormatting>
  <conditionalFormatting sqref="U70:U71">
    <cfRule type="expression" dxfId="142" priority="5">
      <formula>U$64=U$4</formula>
    </cfRule>
  </conditionalFormatting>
  <conditionalFormatting sqref="U107">
    <cfRule type="expression" dxfId="141" priority="4">
      <formula>U$105=U$4</formula>
    </cfRule>
  </conditionalFormatting>
  <conditionalFormatting sqref="P66:U66">
    <cfRule type="expression" dxfId="140" priority="1">
      <formula>P$64=P$4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zoomScale="70" zoomScaleNormal="70" workbookViewId="0">
      <selection activeCell="P18" sqref="P18:T1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 ca="1">IF(COUNTA($X$8:$X$235)=COUNTIF($X$8:$X$235,"OK"),"OK","Check")</f>
        <v>OK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119</v>
      </c>
      <c r="K3" s="170"/>
      <c r="L3" s="170"/>
      <c r="M3" s="180"/>
      <c r="N3" s="267"/>
      <c r="O3" s="267"/>
      <c r="P3" s="267"/>
      <c r="Q3" s="267"/>
      <c r="R3" s="267"/>
      <c r="S3" s="26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210</v>
      </c>
      <c r="D12" s="30" t="s">
        <v>68</v>
      </c>
      <c r="E12" s="148" t="s">
        <v>15</v>
      </c>
      <c r="F12" s="169">
        <v>44166</v>
      </c>
      <c r="G12" s="32"/>
      <c r="H12" s="32"/>
      <c r="J12" s="150"/>
      <c r="K12" s="150"/>
      <c r="L12" s="150"/>
      <c r="M12" s="150"/>
      <c r="N12" s="150"/>
      <c r="O12" s="168"/>
      <c r="P12" s="168">
        <f>'[1]REFCL Revised Step Change'!I39/1000</f>
        <v>1.2936602132181469</v>
      </c>
      <c r="Q12" s="245">
        <f>'[1]REFCL Revised Step Change'!J39/1000</f>
        <v>0.48329168009945944</v>
      </c>
      <c r="R12" s="245">
        <f>'[1]REFCL Revised Step Change'!K39/1000</f>
        <v>1.1628051262577952</v>
      </c>
      <c r="S12" s="245">
        <f>'[1]REFCL Revised Step Change'!L39/1000</f>
        <v>0.77268951444088585</v>
      </c>
      <c r="T12" s="245">
        <f>'[1]REFCL Revised Step Change'!M39/1000</f>
        <v>0.77384097588797618</v>
      </c>
    </row>
    <row r="13" spans="1:48" outlineLevel="1">
      <c r="C13" s="61" t="s">
        <v>211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168">
        <v>0.52393857271906052</v>
      </c>
      <c r="Q13" s="168">
        <v>0.52393857271906052</v>
      </c>
      <c r="R13" s="168">
        <v>0.52393857271906052</v>
      </c>
      <c r="S13" s="168">
        <v>0.52393857271906052</v>
      </c>
      <c r="T13" s="168">
        <v>0.52393857271906052</v>
      </c>
      <c r="U13" s="224"/>
    </row>
    <row r="14" spans="1:48" outlineLevel="1">
      <c r="C14" s="61" t="s">
        <v>209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224"/>
      <c r="V14" s="223"/>
    </row>
    <row r="15" spans="1:48" outlineLevel="1">
      <c r="C15" s="61" t="s">
        <v>212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168">
        <v>0.52093990318985917</v>
      </c>
      <c r="Q15" s="168">
        <v>1.3544437482936338</v>
      </c>
      <c r="R15" s="168">
        <v>0.38549552836049578</v>
      </c>
      <c r="S15" s="168">
        <v>0.57303389350884515</v>
      </c>
      <c r="T15" s="168">
        <v>0.70847826833820848</v>
      </c>
      <c r="U15" s="224"/>
    </row>
    <row r="16" spans="1:48" outlineLevel="1">
      <c r="C16" s="61" t="s">
        <v>236</v>
      </c>
      <c r="D16" s="30" t="s">
        <v>68</v>
      </c>
      <c r="E16" s="148" t="s">
        <v>15</v>
      </c>
      <c r="F16" s="169">
        <v>44166</v>
      </c>
      <c r="G16" s="32"/>
      <c r="H16" s="32"/>
      <c r="J16" s="150"/>
      <c r="K16" s="150"/>
      <c r="L16" s="150"/>
      <c r="M16" s="150"/>
      <c r="N16" s="150"/>
      <c r="O16" s="168"/>
      <c r="P16" s="168">
        <f ca="1">-'Bushfire insurance'!F7/1000000</f>
        <v>2.0565914974900448</v>
      </c>
      <c r="Q16" s="168">
        <f ca="1">-'Bushfire insurance'!G7/1000000</f>
        <v>2.0695204168870505</v>
      </c>
      <c r="R16" s="168">
        <f ca="1">-'Bushfire insurance'!H7/1000000</f>
        <v>2.0884598937778844</v>
      </c>
      <c r="S16" s="168">
        <f ca="1">-'Bushfire insurance'!I7/1000000</f>
        <v>2.1116476632447561</v>
      </c>
      <c r="T16" s="168">
        <f ca="1">-'Bushfire insurance'!J7/1000000</f>
        <v>2.1389293719399238</v>
      </c>
      <c r="U16" s="224"/>
    </row>
    <row r="17" spans="1:48" outlineLevel="1">
      <c r="C17" s="61" t="s">
        <v>251</v>
      </c>
      <c r="D17" s="30" t="s">
        <v>68</v>
      </c>
      <c r="E17" s="148" t="s">
        <v>15</v>
      </c>
      <c r="F17" s="169">
        <v>43435</v>
      </c>
      <c r="G17" s="32"/>
      <c r="H17" s="32"/>
      <c r="J17" s="150"/>
      <c r="K17" s="150"/>
      <c r="L17" s="150"/>
      <c r="M17" s="150"/>
      <c r="N17" s="150"/>
      <c r="O17" s="168"/>
      <c r="P17" s="245">
        <v>2.3830761450631361</v>
      </c>
      <c r="Q17" s="245">
        <v>2.3830761450631361</v>
      </c>
      <c r="R17" s="245">
        <v>2.3830761450631357</v>
      </c>
      <c r="S17" s="245">
        <v>2.3830761450631357</v>
      </c>
      <c r="T17" s="245">
        <v>2.3830761450631357</v>
      </c>
      <c r="U17" s="224"/>
    </row>
    <row r="18" spans="1:48" outlineLevel="1">
      <c r="C18" s="61" t="s">
        <v>252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45">
        <v>-0.10547123</v>
      </c>
      <c r="Q18" s="245">
        <v>-0.10744191</v>
      </c>
      <c r="R18" s="245">
        <v>-0.10002593</v>
      </c>
      <c r="S18" s="245">
        <v>-0.1</v>
      </c>
      <c r="T18" s="245">
        <v>-8.3923399999999995E-2</v>
      </c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168"/>
      <c r="Q19" s="168"/>
      <c r="R19" s="168"/>
      <c r="S19" s="168"/>
      <c r="T19" s="168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ca="1" si="2"/>
        <v>Ok</v>
      </c>
      <c r="Q22" s="132" t="str">
        <f t="shared" ca="1" si="2"/>
        <v>Ok</v>
      </c>
      <c r="R22" s="132" t="str">
        <f t="shared" ca="1" si="2"/>
        <v>Ok</v>
      </c>
      <c r="S22" s="132" t="str">
        <f t="shared" ca="1" si="2"/>
        <v>Ok</v>
      </c>
      <c r="T22" s="132" t="str">
        <f t="shared" ca="1" si="2"/>
        <v>Ok</v>
      </c>
      <c r="U22" s="132"/>
      <c r="V22" s="24"/>
      <c r="X22" s="131" t="str">
        <f ca="1"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188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33">
        <f>GSLs!C5/1000000</f>
        <v>9.4571084152270224</v>
      </c>
      <c r="Q28" s="233">
        <f>GSLs!D5/1000000</f>
        <v>9.3124077378556809</v>
      </c>
      <c r="R28" s="233">
        <f>GSLs!E5/1000000</f>
        <v>9.1710630203785755</v>
      </c>
      <c r="S28" s="233">
        <f>GSLs!F5/1000000</f>
        <v>9.0329964299409085</v>
      </c>
      <c r="T28" s="233">
        <f>GSLs!G5/1000000</f>
        <v>8.8981319388206828</v>
      </c>
    </row>
    <row r="29" spans="1:48" outlineLevel="1">
      <c r="C29" s="61" t="s">
        <v>213</v>
      </c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>
        <v>0.24036616306495823</v>
      </c>
      <c r="Q29" s="168">
        <v>0.24036616306495823</v>
      </c>
      <c r="R29" s="168">
        <v>0.24036616306495823</v>
      </c>
      <c r="S29" s="168">
        <v>0.24036616306495823</v>
      </c>
      <c r="T29" s="168">
        <v>0.24036616306495823</v>
      </c>
      <c r="U29" s="222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  <c r="U30" s="222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 t="shared" si="5"/>
        <v>Ok</v>
      </c>
      <c r="T32" s="132" t="str">
        <f t="shared" si="5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44166</v>
      </c>
      <c r="G38" s="32"/>
      <c r="H38" s="32"/>
      <c r="J38" s="168"/>
      <c r="K38" s="168"/>
      <c r="L38" s="168"/>
      <c r="M38" s="168"/>
      <c r="N38" s="168"/>
      <c r="O38" s="168"/>
      <c r="P38" s="168">
        <v>2.2396236909966021</v>
      </c>
      <c r="Q38" s="168">
        <v>2.2484230272253738</v>
      </c>
      <c r="R38" s="168">
        <v>2.2672496371725135</v>
      </c>
      <c r="S38" s="168">
        <v>2.2871067452664136</v>
      </c>
      <c r="T38" s="168">
        <v>2.2980772577930324</v>
      </c>
      <c r="U38" s="225"/>
    </row>
    <row r="39" spans="1:48" outlineLevel="1">
      <c r="G39" s="32"/>
      <c r="H39" s="32"/>
      <c r="U39" s="225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39" priority="32" operator="equal">
      <formula>"Check"</formula>
    </cfRule>
    <cfRule type="cellIs" dxfId="138" priority="33" operator="equal">
      <formula>"Ok"</formula>
    </cfRule>
  </conditionalFormatting>
  <conditionalFormatting sqref="W1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J10:T10">
    <cfRule type="expression" dxfId="135" priority="30">
      <formula>J$10=J$4</formula>
    </cfRule>
  </conditionalFormatting>
  <conditionalFormatting sqref="J17:O17 J18:T20 J12:T16">
    <cfRule type="expression" dxfId="134" priority="29">
      <formula>J$10=J$4</formula>
    </cfRule>
  </conditionalFormatting>
  <conditionalFormatting sqref="X22">
    <cfRule type="cellIs" dxfId="133" priority="25" operator="equal">
      <formula>"Check"</formula>
    </cfRule>
    <cfRule type="cellIs" dxfId="132" priority="26" operator="equal">
      <formula>"Ok"</formula>
    </cfRule>
  </conditionalFormatting>
  <conditionalFormatting sqref="J22:U22">
    <cfRule type="cellIs" dxfId="131" priority="23" operator="equal">
      <formula>"Check"</formula>
    </cfRule>
    <cfRule type="cellIs" dxfId="130" priority="24" operator="equal">
      <formula>"Ok"</formula>
    </cfRule>
  </conditionalFormatting>
  <conditionalFormatting sqref="X32">
    <cfRule type="cellIs" dxfId="129" priority="21" operator="equal">
      <formula>"Check"</formula>
    </cfRule>
    <cfRule type="cellIs" dxfId="128" priority="22" operator="equal">
      <formula>"Ok"</formula>
    </cfRule>
  </conditionalFormatting>
  <conditionalFormatting sqref="J32:U32">
    <cfRule type="cellIs" dxfId="127" priority="19" operator="equal">
      <formula>"Check"</formula>
    </cfRule>
    <cfRule type="cellIs" dxfId="126" priority="20" operator="equal">
      <formula>"Ok"</formula>
    </cfRule>
  </conditionalFormatting>
  <conditionalFormatting sqref="J28:M30 O29:T30">
    <cfRule type="expression" dxfId="125" priority="18">
      <formula>J$26=J$4</formula>
    </cfRule>
  </conditionalFormatting>
  <conditionalFormatting sqref="X40">
    <cfRule type="cellIs" dxfId="124" priority="16" operator="equal">
      <formula>"Check"</formula>
    </cfRule>
    <cfRule type="cellIs" dxfId="123" priority="17" operator="equal">
      <formula>"Ok"</formula>
    </cfRule>
  </conditionalFormatting>
  <conditionalFormatting sqref="J40:U40">
    <cfRule type="cellIs" dxfId="122" priority="14" operator="equal">
      <formula>"Check"</formula>
    </cfRule>
    <cfRule type="cellIs" dxfId="121" priority="15" operator="equal">
      <formula>"Ok"</formula>
    </cfRule>
  </conditionalFormatting>
  <conditionalFormatting sqref="O28:T28">
    <cfRule type="expression" dxfId="120" priority="13">
      <formula>O$10=O$4</formula>
    </cfRule>
  </conditionalFormatting>
  <conditionalFormatting sqref="N28:N30">
    <cfRule type="expression" dxfId="119" priority="12">
      <formula>N$10=N$4</formula>
    </cfRule>
  </conditionalFormatting>
  <conditionalFormatting sqref="J38:T38">
    <cfRule type="expression" dxfId="118" priority="9">
      <formula>J$36=J$4</formula>
    </cfRule>
  </conditionalFormatting>
  <conditionalFormatting sqref="J26:N26">
    <cfRule type="expression" dxfId="117" priority="8">
      <formula>J$10=J$4</formula>
    </cfRule>
  </conditionalFormatting>
  <conditionalFormatting sqref="J36:N36">
    <cfRule type="expression" dxfId="116" priority="7">
      <formula>J$10=J$4</formula>
    </cfRule>
  </conditionalFormatting>
  <conditionalFormatting sqref="O26">
    <cfRule type="expression" dxfId="115" priority="6">
      <formula>O$10=O$4</formula>
    </cfRule>
  </conditionalFormatting>
  <conditionalFormatting sqref="O36">
    <cfRule type="expression" dxfId="114" priority="5">
      <formula>O$10=O$4</formula>
    </cfRule>
  </conditionalFormatting>
  <conditionalFormatting sqref="P26:T26">
    <cfRule type="expression" dxfId="113" priority="4">
      <formula>P$10=P$4</formula>
    </cfRule>
  </conditionalFormatting>
  <conditionalFormatting sqref="P36:T36">
    <cfRule type="expression" dxfId="112" priority="3">
      <formula>P$10=P$4</formula>
    </cfRule>
  </conditionalFormatting>
  <conditionalFormatting sqref="P17:T17">
    <cfRule type="expression" dxfId="111" priority="1">
      <formula>P$10=P$4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I41 I28:I31 V33 I33 V41 V12:V13 V15:V2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1"/>
  <sheetViews>
    <sheetView showGridLines="0" topLeftCell="D87" zoomScale="70" zoomScaleNormal="70" workbookViewId="0">
      <selection activeCell="W33" sqref="W33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119</v>
      </c>
      <c r="K3" s="170"/>
      <c r="L3" s="170"/>
      <c r="M3" s="180"/>
      <c r="N3" s="267"/>
      <c r="O3" s="267"/>
      <c r="P3" s="267"/>
      <c r="Q3" s="267"/>
      <c r="R3" s="267"/>
      <c r="S3" s="26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160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207.33485187745427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160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216.01799532984964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161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234.81195269310936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161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255.24319197172017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200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134.92569340710057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200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135.13154676309873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201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270.26309352619745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162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6.5871000000000004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162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6.8629664726038433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163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10.249055028203946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163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11.140836273831434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204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5.6552559301048158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204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5.6638840377901927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205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11.327768075580385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137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216.01799532984964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158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-4.3578307413102673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-4.3578307413102682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156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15.019901554477286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226.68006614301666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164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-7.0498982743527945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Metering - reallocation adjustment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Metering - reallocation adjustment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ESV levy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-2.2329835260298001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ESV levy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-2.2329835260298001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165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>SUM(O35,O37,O40,O43,O46,O49,O52,O54)</f>
        <v>217.39718434263406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4.9788574396916838E-3</v>
      </c>
      <c r="Q63" s="117">
        <f ca="1">IF(Q60=Q4,AVERAGE(OFFSET('Input|Rate of change'!R97,0,0,COUNTA('Input|Rate of change'!$J$84:$N$84),1)),0)</f>
        <v>8.3585514661901929E-3</v>
      </c>
      <c r="R63" s="117">
        <f ca="1">IF(R60=R4,AVERAGE(OFFSET('Input|Rate of change'!S97,0,0,COUNTA('Input|Rate of change'!$J$84:$N$84),1)),0)</f>
        <v>1.0334970748592796E-2</v>
      </c>
      <c r="S63" s="117">
        <f ca="1">IF(S60=S4,AVERAGE(OFFSET('Input|Rate of change'!T97,0,0,COUNTA('Input|Rate of change'!$J$84:$N$84),1)),0)</f>
        <v>1.0262778660566177E-2</v>
      </c>
      <c r="T63" s="117">
        <f ca="1">IF(T60=T4,AVERAGE(OFFSET('Input|Rate of change'!U97,0,0,COUNTA('Input|Rate of change'!$J$84:$N$84),1)),0)</f>
        <v>1.0175565888402944E-2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4.6175999999999995E-3</v>
      </c>
      <c r="Q65" s="117">
        <f>SUMPRODUCT('Input|Rate of change'!R38:R45,'Input|Rate of change'!R51:R58)</f>
        <v>2.96E-3</v>
      </c>
      <c r="R65" s="117">
        <f>SUMPRODUCT('Input|Rate of change'!S38:S45,'Input|Rate of change'!S51:S58)</f>
        <v>3.8479999999999994E-3</v>
      </c>
      <c r="S65" s="117">
        <f>SUMPRODUCT('Input|Rate of change'!T38:T45,'Input|Rate of change'!T51:T58)</f>
        <v>5.8608000000000002E-3</v>
      </c>
      <c r="T65" s="117">
        <f>SUMPRODUCT('Input|Rate of change'!U38:U45,'Input|Rate of change'!U51:U58)</f>
        <v>7.7552000000000003E-3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138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5.8357362621295206E-3</v>
      </c>
      <c r="Q69" s="143">
        <f t="shared" ca="1" si="9"/>
        <v>6.2865763146375819E-3</v>
      </c>
      <c r="R69" s="143">
        <f t="shared" ca="1" si="9"/>
        <v>9.1516260174531183E-3</v>
      </c>
      <c r="S69" s="143">
        <f t="shared" ca="1" si="9"/>
        <v>1.110280811997133E-2</v>
      </c>
      <c r="T69" s="143">
        <f t="shared" ref="T69" ca="1" si="10">(1+T63)*(1+T65)*(1-T67)-1</f>
        <v>1.2919631039795654E-2</v>
      </c>
    </row>
    <row r="70" spans="1:48" outlineLevel="1">
      <c r="C70" s="124" t="s">
        <v>139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5.8357362621295206E-3</v>
      </c>
      <c r="Q70" s="117">
        <f t="array" aca="1" ref="Q70" ca="1">IF(Q$60=Q$4,PRODUCT(1+$J69:Q69)-1,"")</f>
        <v>1.215899937813103E-2</v>
      </c>
      <c r="R70" s="117">
        <f t="array" aca="1" ref="R70" ca="1">IF(R$60=R$4,PRODUCT(1+$J69:R69)-1,"")</f>
        <v>2.1421900010639261E-2</v>
      </c>
      <c r="S70" s="117">
        <f t="array" aca="1" ref="S70" ca="1">IF(S$60=S$4,PRODUCT(1+$J69:S69)-1,"")</f>
        <v>3.2762551375993931E-2</v>
      </c>
      <c r="T70" s="117">
        <f t="array" aca="1" ref="T70" ca="1">IF(T$60=T$4,PRODUCT(1+$J69:T69)-1,"")</f>
        <v>4.6105462491489835E-2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REFCL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1.2956339240043406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0.48402902827801791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1.1645791941285439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0.77386839094450566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0.77502160915264873</v>
      </c>
    </row>
    <row r="77" spans="1:48" outlineLevel="1">
      <c r="C77" s="121" t="str">
        <f>'Input|Step changes'!C13</f>
        <v>IT Opex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</row>
    <row r="78" spans="1:48" outlineLevel="1">
      <c r="C78" s="121" t="str">
        <f>'Input|Step changes'!C14</f>
        <v>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 t="str">
        <f>'Input|Step changes'!C15</f>
        <v>5 minute meter data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0.52093990318985917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1.3544437482936338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0.38549552836049578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0.57303389350884515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0.70847826833820848</v>
      </c>
    </row>
    <row r="80" spans="1:48" outlineLevel="1">
      <c r="C80" s="121" t="str">
        <f>'Input|Step changes'!C16</f>
        <v>Bushfire Insurance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 ca="1"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2.0597291968487448</v>
      </c>
      <c r="Q80" s="127">
        <f ca="1"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2.0726778416322214</v>
      </c>
      <c r="R80" s="127">
        <f ca="1"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2.0916462140935015</v>
      </c>
      <c r="S80" s="127">
        <f ca="1"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2.1148693606634459</v>
      </c>
      <c r="T80" s="127">
        <f ca="1"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2.142192692500585</v>
      </c>
      <c r="V80" s="240"/>
    </row>
    <row r="81" spans="1:48" outlineLevel="1">
      <c r="C81" s="121" t="str">
        <f>'Input|Step changes'!C17</f>
        <v>Metering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2.4610221588525811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2.4610221588525811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2.4610221588525807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2.4610221588525807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2.4610221588525807</v>
      </c>
      <c r="V81" s="240"/>
    </row>
    <row r="82" spans="1:48" outlineLevel="1">
      <c r="C82" s="121" t="str">
        <f>'Input|Step changes'!C18</f>
        <v>Bushfire pass through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-0.10547123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-0.10744191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-0.10002593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-0.1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-8.3923399999999995E-2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ca="1" si="14"/>
        <v>6.7557925256145852</v>
      </c>
      <c r="Q86" s="174">
        <f t="shared" ca="1" si="14"/>
        <v>6.7886694397755143</v>
      </c>
      <c r="R86" s="174">
        <f t="shared" ca="1" si="14"/>
        <v>6.5266557381541821</v>
      </c>
      <c r="S86" s="174">
        <f t="shared" ca="1" si="14"/>
        <v>6.346732376688438</v>
      </c>
      <c r="T86" s="174">
        <f t="shared" ref="T86" ca="1" si="15">SUM(T75:T85)</f>
        <v>6.5267299015630833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117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9.4571084152270224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9.3124077378556809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9.1710630203785755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9.0329964299409085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8.8981319388206828</v>
      </c>
    </row>
    <row r="93" spans="1:48" outlineLevel="1">
      <c r="C93" s="121" t="str">
        <f>'Input|Step changes'!C29</f>
        <v>Innovation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0.24036616306495823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118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9.6974745782919811</v>
      </c>
      <c r="Q96" s="128">
        <f t="shared" si="19"/>
        <v>9.5527739009206396</v>
      </c>
      <c r="R96" s="128">
        <f t="shared" si="19"/>
        <v>9.4114291834435342</v>
      </c>
      <c r="S96" s="128">
        <f t="shared" si="19"/>
        <v>9.2733625930058672</v>
      </c>
      <c r="T96" s="128">
        <f t="shared" ref="T96" si="20">SUM(T91:T95)</f>
        <v>9.1384981018856415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  <c r="U100" s="65"/>
      <c r="X100" s="65"/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W101" s="67"/>
      <c r="X101" s="65"/>
    </row>
    <row r="102" spans="1:48" outlineLevel="1">
      <c r="C102" s="123" t="s">
        <v>134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225.42164950020182</v>
      </c>
      <c r="Q102" s="149">
        <f t="shared" ref="Q102:T102" ca="1" si="23">(1+Q70)*SUM($J56:$S56)+Q86</f>
        <v>226.82918601163908</v>
      </c>
      <c r="R102" s="149">
        <f t="shared" ca="1" si="23"/>
        <v>228.58090082637065</v>
      </c>
      <c r="S102" s="149">
        <f t="shared" ca="1" si="23"/>
        <v>230.86640314034446</v>
      </c>
      <c r="T102" s="149">
        <f t="shared" ca="1" si="23"/>
        <v>233.94711197266196</v>
      </c>
      <c r="X102" s="65"/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242"/>
      <c r="O103" s="149"/>
      <c r="P103" s="149">
        <f ca="1">(1+P70)*SUM($J56:$S56)+P86+P96</f>
        <v>235.1191240784938</v>
      </c>
      <c r="Q103" s="149">
        <f t="shared" ref="Q103:T103" ca="1" si="24">(1+Q70)*SUM($J56:$S56)+Q86+Q96</f>
        <v>236.38195991255972</v>
      </c>
      <c r="R103" s="149">
        <f t="shared" ca="1" si="24"/>
        <v>237.9923300098142</v>
      </c>
      <c r="S103" s="149">
        <f t="shared" ca="1" si="24"/>
        <v>240.13976573335032</v>
      </c>
      <c r="T103" s="149">
        <f t="shared" ca="1" si="24"/>
        <v>243.08561007454759</v>
      </c>
      <c r="V103" s="240"/>
      <c r="X103" s="65"/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241"/>
      <c r="O104" s="149"/>
      <c r="P104" s="149">
        <f ca="1">P103+'Input|Step changes'!P38</f>
        <v>237.35874776949041</v>
      </c>
      <c r="Q104" s="149">
        <f ca="1">Q103+'Input|Step changes'!Q38</f>
        <v>238.63038293978511</v>
      </c>
      <c r="R104" s="149">
        <f ca="1">R103+'Input|Step changes'!R38</f>
        <v>240.25957964698671</v>
      </c>
      <c r="S104" s="149">
        <f ca="1">S103+'Input|Step changes'!S38</f>
        <v>242.42687247861673</v>
      </c>
      <c r="T104" s="149">
        <f ca="1">T103+'Input|Step changes'!T38</f>
        <v>245.38368733234063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2:T94 J76:T8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3" sqref="T13"/>
    </sheetView>
  </sheetViews>
  <sheetFormatPr defaultRowHeight="11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N17"/>
  <sheetViews>
    <sheetView zoomScale="85" zoomScaleNormal="85" workbookViewId="0">
      <selection activeCell="C1" sqref="C1"/>
    </sheetView>
  </sheetViews>
  <sheetFormatPr defaultRowHeight="11.25"/>
  <cols>
    <col min="2" max="2" width="12.5" bestFit="1" customWidth="1"/>
    <col min="3" max="8" width="11.6640625" bestFit="1" customWidth="1"/>
    <col min="9" max="9" width="12.6640625" customWidth="1"/>
    <col min="10" max="10" width="12.1640625" customWidth="1"/>
    <col min="11" max="11" width="12.6640625" customWidth="1"/>
    <col min="12" max="12" width="24.1640625" customWidth="1"/>
    <col min="14" max="14" width="14.5" bestFit="1" customWidth="1"/>
  </cols>
  <sheetData>
    <row r="1" spans="2:14">
      <c r="C1" t="s">
        <v>99</v>
      </c>
      <c r="D1" t="s">
        <v>99</v>
      </c>
      <c r="E1" t="s">
        <v>99</v>
      </c>
      <c r="F1" t="s">
        <v>99</v>
      </c>
      <c r="G1" t="s">
        <v>99</v>
      </c>
      <c r="H1" t="s">
        <v>99</v>
      </c>
      <c r="I1" t="s">
        <v>99</v>
      </c>
    </row>
    <row r="2" spans="2:14" ht="12" thickBot="1">
      <c r="C2" t="s">
        <v>240</v>
      </c>
      <c r="D2" t="s">
        <v>240</v>
      </c>
      <c r="E2" t="s">
        <v>240</v>
      </c>
      <c r="F2" t="s">
        <v>239</v>
      </c>
      <c r="G2" t="s">
        <v>239</v>
      </c>
      <c r="H2" t="s">
        <v>239</v>
      </c>
      <c r="I2" t="s">
        <v>239</v>
      </c>
      <c r="J2" t="s">
        <v>241</v>
      </c>
      <c r="K2" t="s">
        <v>241</v>
      </c>
    </row>
    <row r="3" spans="2:14" ht="15" thickBot="1">
      <c r="C3" s="226">
        <v>2018</v>
      </c>
      <c r="D3" s="226" t="s">
        <v>215</v>
      </c>
      <c r="E3" s="227" t="s">
        <v>216</v>
      </c>
      <c r="F3" s="227" t="s">
        <v>217</v>
      </c>
      <c r="G3" s="227" t="s">
        <v>218</v>
      </c>
      <c r="H3" s="227" t="s">
        <v>219</v>
      </c>
      <c r="I3" s="227" t="s">
        <v>220</v>
      </c>
    </row>
    <row r="4" spans="2:14" ht="15" thickBot="1">
      <c r="C4" s="228">
        <v>2162260</v>
      </c>
      <c r="D4" s="228">
        <v>2321403</v>
      </c>
      <c r="E4" s="229">
        <v>2661015</v>
      </c>
      <c r="F4" s="229">
        <v>2973357</v>
      </c>
      <c r="G4" s="229">
        <v>3257020</v>
      </c>
      <c r="H4" s="229">
        <v>3360085</v>
      </c>
      <c r="I4" s="229">
        <v>3466241</v>
      </c>
    </row>
    <row r="5" spans="2:14">
      <c r="I5" s="234"/>
    </row>
    <row r="6" spans="2:14">
      <c r="B6" t="s">
        <v>237</v>
      </c>
      <c r="C6">
        <f>'Input|Inflation'!$F$66/'Input|Inflation'!$F56</f>
        <v>1.0327081507449607</v>
      </c>
      <c r="D6">
        <f>'Input|Inflation'!$F$66/'Input|Inflation'!$F60</f>
        <v>1.0140447504302927</v>
      </c>
      <c r="E6">
        <f>'Input|Inflation'!$F$66/'Input|Inflation'!$F64</f>
        <v>1.001525679437326</v>
      </c>
      <c r="F6">
        <f>'Input|Inflation'!$F$66/'Input|Inflation'!$F68</f>
        <v>0.99160958360131291</v>
      </c>
      <c r="G6">
        <f>'Input|Inflation'!$F$66/'[2]Input|Inflation'!$F$70</f>
        <v>0.98765432098765438</v>
      </c>
      <c r="H6">
        <f>'Input|Inflation'!$F$66/'[2]Input|Inflation'!$F$74</f>
        <v>0.96592109632044443</v>
      </c>
      <c r="I6">
        <f>'Input|Inflation'!$F$66/'[2]Input|Inflation'!$F$78</f>
        <v>0.94466610887085034</v>
      </c>
    </row>
    <row r="9" spans="2:14" ht="12" thickBot="1">
      <c r="B9" s="237" t="s">
        <v>246</v>
      </c>
    </row>
    <row r="10" spans="2:14" ht="29.25" thickBot="1">
      <c r="C10" s="226" t="s">
        <v>259</v>
      </c>
      <c r="D10" s="226" t="s">
        <v>215</v>
      </c>
      <c r="E10" s="227" t="s">
        <v>216</v>
      </c>
      <c r="F10" s="227" t="s">
        <v>217</v>
      </c>
      <c r="G10" s="227" t="s">
        <v>218</v>
      </c>
      <c r="H10" s="227" t="s">
        <v>219</v>
      </c>
      <c r="I10" s="227" t="s">
        <v>220</v>
      </c>
      <c r="J10" s="227" t="s">
        <v>243</v>
      </c>
      <c r="K10" s="227" t="s">
        <v>244</v>
      </c>
      <c r="L10" s="227" t="s">
        <v>245</v>
      </c>
      <c r="M10" t="s">
        <v>242</v>
      </c>
    </row>
    <row r="11" spans="2:14" ht="15" thickBot="1">
      <c r="B11" t="s">
        <v>238</v>
      </c>
      <c r="C11" s="229">
        <f>C4*C6</f>
        <v>2232983.5260297987</v>
      </c>
      <c r="D11" s="229">
        <f t="shared" ref="D11:I11" si="0">D4*D6</f>
        <v>2354006.5257831328</v>
      </c>
      <c r="E11" s="229">
        <f t="shared" si="0"/>
        <v>2665074.8558679158</v>
      </c>
      <c r="F11" s="229">
        <f t="shared" si="0"/>
        <v>2948409.2966680489</v>
      </c>
      <c r="G11" s="229">
        <f t="shared" si="0"/>
        <v>3216809.8765432099</v>
      </c>
      <c r="H11" s="229">
        <f t="shared" si="0"/>
        <v>3245576.9869298805</v>
      </c>
      <c r="I11" s="229">
        <f t="shared" si="0"/>
        <v>3274440.3978786049</v>
      </c>
      <c r="J11" s="229">
        <f>I11*(1+I12)</f>
        <v>3303560.4955412638</v>
      </c>
      <c r="K11" s="229">
        <f>J11*(1+J12)</f>
        <v>3332939.562671937</v>
      </c>
      <c r="L11" s="229">
        <f>SUM(G11:K11)</f>
        <v>16373327.319564896</v>
      </c>
      <c r="M11" s="235"/>
      <c r="N11" s="236"/>
    </row>
    <row r="12" spans="2:14">
      <c r="D12" s="234">
        <f>D11/C11-1</f>
        <v>5.419789189780122E-2</v>
      </c>
      <c r="E12" s="234">
        <f t="shared" ref="E12:H12" si="1">E11/D11-1</f>
        <v>0.1321442088956386</v>
      </c>
      <c r="F12" s="234">
        <f t="shared" si="1"/>
        <v>0.10631387714168405</v>
      </c>
      <c r="G12" s="234">
        <f t="shared" si="1"/>
        <v>9.1032334004127691E-2</v>
      </c>
      <c r="H12" s="234">
        <f t="shared" si="1"/>
        <v>8.9427449836059214E-3</v>
      </c>
      <c r="I12" s="234">
        <f>I11/H11-1</f>
        <v>8.8931524548514496E-3</v>
      </c>
      <c r="J12" s="234">
        <f>I12</f>
        <v>8.8931524548514496E-3</v>
      </c>
      <c r="K12" s="234">
        <f>J12</f>
        <v>8.8931524548514496E-3</v>
      </c>
    </row>
    <row r="14" spans="2:14" ht="12" thickBot="1">
      <c r="B14" s="237" t="s">
        <v>247</v>
      </c>
    </row>
    <row r="15" spans="2:14" ht="29.25" thickBot="1">
      <c r="C15" s="226" t="s">
        <v>259</v>
      </c>
      <c r="D15" s="226" t="s">
        <v>215</v>
      </c>
      <c r="E15" s="227" t="s">
        <v>216</v>
      </c>
      <c r="F15" s="227" t="s">
        <v>217</v>
      </c>
      <c r="G15" s="227" t="s">
        <v>218</v>
      </c>
      <c r="H15" s="227" t="s">
        <v>219</v>
      </c>
      <c r="I15" s="227" t="s">
        <v>220</v>
      </c>
      <c r="J15" s="227" t="s">
        <v>243</v>
      </c>
      <c r="K15" s="227" t="s">
        <v>244</v>
      </c>
      <c r="L15" s="227" t="s">
        <v>245</v>
      </c>
      <c r="N15" t="s">
        <v>255</v>
      </c>
    </row>
    <row r="16" spans="2:14" ht="15" thickBot="1">
      <c r="B16" t="s">
        <v>238</v>
      </c>
      <c r="C16" s="229">
        <f>C11</f>
        <v>2232983.5260297987</v>
      </c>
      <c r="D16" s="229" t="s">
        <v>249</v>
      </c>
      <c r="E16" s="229" t="s">
        <v>249</v>
      </c>
      <c r="F16" s="229" t="s">
        <v>249</v>
      </c>
      <c r="G16" s="229">
        <f>$C$16*(1+G17)</f>
        <v>2250400.7975328313</v>
      </c>
      <c r="H16" s="229">
        <f t="shared" ref="H16:K16" si="2">$C$16*(1+H17)</f>
        <v>2244148.4436599473</v>
      </c>
      <c r="I16" s="229">
        <f t="shared" si="2"/>
        <v>2247497.9189489922</v>
      </c>
      <c r="J16" s="229">
        <f t="shared" si="2"/>
        <v>2255090.0629374939</v>
      </c>
      <c r="K16" s="229">
        <f t="shared" si="2"/>
        <v>2262235.6102207894</v>
      </c>
      <c r="L16" s="229">
        <f>SUM(G16:K16)</f>
        <v>11259372.833300054</v>
      </c>
      <c r="N16" s="239">
        <f>L11-L16</f>
        <v>5113954.4862648416</v>
      </c>
    </row>
    <row r="17" spans="2:11">
      <c r="B17" t="s">
        <v>248</v>
      </c>
      <c r="G17" s="238">
        <f>'Input|Rate of change'!Q38</f>
        <v>7.7999999999999996E-3</v>
      </c>
      <c r="H17" s="238">
        <f>'Input|Rate of change'!R38</f>
        <v>5.0000000000000001E-3</v>
      </c>
      <c r="I17" s="238">
        <f>'Input|Rate of change'!S38</f>
        <v>6.4999999999999997E-3</v>
      </c>
      <c r="J17" s="238">
        <f>'Input|Rate of change'!T38</f>
        <v>9.9000000000000008E-3</v>
      </c>
      <c r="K17" s="238">
        <f>'Input|Rate of change'!U38</f>
        <v>1.3100000000000001E-2</v>
      </c>
    </row>
  </sheetData>
  <phoneticPr fontId="15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H5"/>
  <sheetViews>
    <sheetView topLeftCell="B1" workbookViewId="0">
      <selection activeCell="H4" sqref="B3:H4"/>
    </sheetView>
  </sheetViews>
  <sheetFormatPr defaultColWidth="8.83203125" defaultRowHeight="11.25"/>
  <cols>
    <col min="1" max="1" width="8.83203125" style="244"/>
    <col min="2" max="2" width="27.5" style="244" bestFit="1" customWidth="1"/>
    <col min="3" max="8" width="16.83203125" style="244" bestFit="1" customWidth="1"/>
    <col min="9" max="16384" width="8.83203125" style="244"/>
  </cols>
  <sheetData>
    <row r="1" spans="2:8">
      <c r="B1" s="244" t="s">
        <v>260</v>
      </c>
    </row>
    <row r="2" spans="2:8">
      <c r="C2" s="247">
        <v>2022</v>
      </c>
      <c r="D2" s="247">
        <v>2023</v>
      </c>
      <c r="E2" s="247">
        <v>2024</v>
      </c>
      <c r="F2" s="247">
        <v>2025</v>
      </c>
      <c r="G2" s="247">
        <v>2026</v>
      </c>
      <c r="H2" s="247" t="s">
        <v>232</v>
      </c>
    </row>
    <row r="3" spans="2:8">
      <c r="B3" s="265" t="s">
        <v>253</v>
      </c>
      <c r="C3" s="266">
        <f>'[3]GSL allowance'!C4</f>
        <v>6239134.760715642</v>
      </c>
      <c r="D3" s="266">
        <f>'[3]GSL allowance'!D4</f>
        <v>6094434.0833442984</v>
      </c>
      <c r="E3" s="266">
        <f>'[3]GSL allowance'!E4</f>
        <v>5953089.3658671947</v>
      </c>
      <c r="F3" s="266">
        <f>'[3]GSL allowance'!F4</f>
        <v>5815022.7754295291</v>
      </c>
      <c r="G3" s="266">
        <f>'[3]GSL allowance'!G4</f>
        <v>5680158.2843093006</v>
      </c>
      <c r="H3" s="266">
        <f>'[3]GSL allowance'!H4</f>
        <v>29781839.269665964</v>
      </c>
    </row>
    <row r="4" spans="2:8">
      <c r="B4" s="265" t="s">
        <v>254</v>
      </c>
      <c r="C4" s="266">
        <f>'[3]Transitional GSLs (updated)'!$N$29</f>
        <v>3217973.6545113809</v>
      </c>
      <c r="D4" s="266">
        <f>'[3]Transitional GSLs (updated)'!$N$29</f>
        <v>3217973.6545113809</v>
      </c>
      <c r="E4" s="266">
        <f>'[3]Transitional GSLs (updated)'!$N$29</f>
        <v>3217973.6545113809</v>
      </c>
      <c r="F4" s="266">
        <f>'[3]Transitional GSLs (updated)'!$N$29</f>
        <v>3217973.6545113809</v>
      </c>
      <c r="G4" s="266">
        <f>'[3]Transitional GSLs (updated)'!$N$29</f>
        <v>3217973.6545113809</v>
      </c>
      <c r="H4" s="266">
        <f>SUM(C4:G4)</f>
        <v>16089868.272556905</v>
      </c>
    </row>
    <row r="5" spans="2:8">
      <c r="B5" s="248" t="s">
        <v>232</v>
      </c>
      <c r="C5" s="249">
        <f>SUM(C3:C4)</f>
        <v>9457108.415227022</v>
      </c>
      <c r="D5" s="249">
        <f t="shared" ref="D5:G5" si="0">SUM(D3:D4)</f>
        <v>9312407.7378556803</v>
      </c>
      <c r="E5" s="249">
        <f t="shared" si="0"/>
        <v>9171063.0203785747</v>
      </c>
      <c r="F5" s="249">
        <f t="shared" si="0"/>
        <v>9032996.4299409091</v>
      </c>
      <c r="G5" s="249">
        <f t="shared" si="0"/>
        <v>8898131.9388206825</v>
      </c>
      <c r="H5" s="249">
        <f>SUM(H3:H4)</f>
        <v>45871707.542222872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22"/>
  <sheetViews>
    <sheetView zoomScale="55" zoomScaleNormal="55" workbookViewId="0">
      <selection activeCell="B5" sqref="B5"/>
    </sheetView>
  </sheetViews>
  <sheetFormatPr defaultColWidth="8.83203125" defaultRowHeight="14.25"/>
  <cols>
    <col min="1" max="1" width="28.5" style="230" customWidth="1"/>
    <col min="2" max="2" width="28.1640625" style="230" bestFit="1" customWidth="1"/>
    <col min="3" max="3" width="30.83203125" style="230" customWidth="1"/>
    <col min="4" max="7" width="16.6640625" style="230" bestFit="1" customWidth="1"/>
    <col min="8" max="8" width="43.1640625" style="230" bestFit="1" customWidth="1"/>
    <col min="9" max="13" width="16.6640625" style="230" bestFit="1" customWidth="1"/>
    <col min="14" max="15" width="8.83203125" style="230"/>
    <col min="16" max="16" width="15.6640625" style="230" bestFit="1" customWidth="1"/>
    <col min="17" max="16384" width="8.83203125" style="230"/>
  </cols>
  <sheetData>
    <row r="1" spans="1:12">
      <c r="A1" s="230" t="s">
        <v>222</v>
      </c>
    </row>
    <row r="3" spans="1:12">
      <c r="D3" s="264"/>
    </row>
    <row r="4" spans="1:12" ht="15">
      <c r="B4" s="250">
        <v>2018</v>
      </c>
      <c r="C4" s="250">
        <v>2019</v>
      </c>
      <c r="D4" s="250">
        <v>2020</v>
      </c>
      <c r="E4" s="250" t="s">
        <v>223</v>
      </c>
      <c r="F4" s="250" t="s">
        <v>224</v>
      </c>
      <c r="G4" s="250" t="s">
        <v>225</v>
      </c>
      <c r="H4" s="250" t="s">
        <v>226</v>
      </c>
      <c r="I4" s="250" t="s">
        <v>227</v>
      </c>
      <c r="J4" s="250" t="s">
        <v>228</v>
      </c>
    </row>
    <row r="5" spans="1:12">
      <c r="A5" s="230" t="s">
        <v>23</v>
      </c>
      <c r="B5" s="251">
        <f>B14</f>
        <v>8112978.4168279944</v>
      </c>
      <c r="C5" s="251">
        <f>B18</f>
        <v>9288018.1065968294</v>
      </c>
      <c r="D5" s="251"/>
      <c r="E5" s="251">
        <f>B5*E9</f>
        <v>8365575.750971566</v>
      </c>
      <c r="F5" s="251">
        <f ca="1">E5*(1+F10)</f>
        <v>8414395.044735102</v>
      </c>
      <c r="G5" s="251">
        <f ca="1">F5*(1+G10)</f>
        <v>8467292.7813253384</v>
      </c>
      <c r="H5" s="251">
        <f ca="1">G5*(1+H10)</f>
        <v>8544782.2782403082</v>
      </c>
      <c r="I5" s="251">
        <f t="shared" ref="I5:J5" ca="1" si="0">H5*(1+I10)</f>
        <v>8639653.3563025426</v>
      </c>
      <c r="J5" s="251">
        <f t="shared" ca="1" si="0"/>
        <v>8751274.4899777044</v>
      </c>
    </row>
    <row r="6" spans="1:12">
      <c r="A6" s="230" t="s">
        <v>235</v>
      </c>
      <c r="B6" s="231"/>
      <c r="C6" s="252"/>
      <c r="D6" s="263">
        <f>B22</f>
        <v>10410235.1554313</v>
      </c>
      <c r="E6" s="251">
        <f>D6</f>
        <v>10410235.1554313</v>
      </c>
      <c r="F6" s="251">
        <f ca="1">E6*(1+F10)</f>
        <v>10470986.542225147</v>
      </c>
      <c r="G6" s="251">
        <f t="shared" ref="G6:J6" ca="1" si="1">F6*(1+G10)</f>
        <v>10536813.198212389</v>
      </c>
      <c r="H6" s="251">
        <f ca="1">G6*(1+H10)</f>
        <v>10633242.172018193</v>
      </c>
      <c r="I6" s="251">
        <f t="shared" ca="1" si="1"/>
        <v>10751301.019547299</v>
      </c>
      <c r="J6" s="251">
        <f t="shared" ca="1" si="1"/>
        <v>10890203.861917628</v>
      </c>
    </row>
    <row r="7" spans="1:12">
      <c r="B7" s="231"/>
      <c r="C7" s="231"/>
      <c r="D7" s="231"/>
      <c r="E7" s="251">
        <f>E5-E6</f>
        <v>-2044659.4044597344</v>
      </c>
      <c r="F7" s="251">
        <f ca="1">F5-F6</f>
        <v>-2056591.4974900447</v>
      </c>
      <c r="G7" s="251">
        <f t="shared" ref="G7:J7" ca="1" si="2">G5-G6</f>
        <v>-2069520.4168870505</v>
      </c>
      <c r="H7" s="251">
        <f t="shared" ca="1" si="2"/>
        <v>-2088459.8937778845</v>
      </c>
      <c r="I7" s="251">
        <f t="shared" ca="1" si="2"/>
        <v>-2111647.6632447559</v>
      </c>
      <c r="J7" s="251">
        <f t="shared" ca="1" si="2"/>
        <v>-2138929.3719399236</v>
      </c>
      <c r="K7" s="230" t="s">
        <v>78</v>
      </c>
      <c r="L7" s="231">
        <f ca="1">SUM(F7:J7)</f>
        <v>-10465148.843339659</v>
      </c>
    </row>
    <row r="8" spans="1:12">
      <c r="B8" s="231"/>
      <c r="C8" s="231"/>
      <c r="D8" s="231"/>
      <c r="E8" s="232"/>
      <c r="F8" s="232"/>
      <c r="G8" s="232"/>
      <c r="H8" s="232"/>
      <c r="I8" s="232"/>
      <c r="J8" s="232"/>
    </row>
    <row r="9" spans="1:12">
      <c r="A9" s="230" t="s">
        <v>234</v>
      </c>
      <c r="E9" s="253">
        <v>1.0311349693251535</v>
      </c>
    </row>
    <row r="10" spans="1:12">
      <c r="A10" s="230" t="s">
        <v>42</v>
      </c>
      <c r="B10" s="231"/>
      <c r="C10" s="231"/>
      <c r="D10" s="231"/>
      <c r="E10" s="232"/>
      <c r="F10" s="232">
        <f ca="1">'Calc|Opex forecast'!P69</f>
        <v>5.8357362621295206E-3</v>
      </c>
      <c r="G10" s="232">
        <f ca="1">'Calc|Opex forecast'!Q69</f>
        <v>6.2865763146375819E-3</v>
      </c>
      <c r="H10" s="232">
        <f ca="1">'Calc|Opex forecast'!R69</f>
        <v>9.1516260174531183E-3</v>
      </c>
      <c r="I10" s="232">
        <f ca="1">'Calc|Opex forecast'!S69</f>
        <v>1.110280811997133E-2</v>
      </c>
      <c r="J10" s="232">
        <f ca="1">'Calc|Opex forecast'!T69</f>
        <v>1.2919631039795654E-2</v>
      </c>
    </row>
    <row r="11" spans="1:12">
      <c r="A11" s="231"/>
      <c r="B11" s="231"/>
      <c r="C11" s="231"/>
      <c r="D11" s="231"/>
      <c r="E11" s="231"/>
      <c r="I11" s="231"/>
    </row>
    <row r="12" spans="1:12" ht="15.75" thickBot="1">
      <c r="A12" s="254" t="s">
        <v>258</v>
      </c>
      <c r="B12" s="255"/>
    </row>
    <row r="13" spans="1:12" ht="15.75" thickBot="1">
      <c r="A13" s="257" t="s">
        <v>229</v>
      </c>
      <c r="B13" s="258" t="s">
        <v>230</v>
      </c>
    </row>
    <row r="14" spans="1:12" ht="15" thickBot="1">
      <c r="A14" s="259" t="s">
        <v>231</v>
      </c>
      <c r="B14" s="262">
        <v>8112978.4168279944</v>
      </c>
      <c r="C14" s="263"/>
    </row>
    <row r="15" spans="1:12">
      <c r="D15" s="263"/>
    </row>
    <row r="16" spans="1:12" ht="15.75" thickBot="1">
      <c r="A16" s="254" t="s">
        <v>257</v>
      </c>
      <c r="B16" s="255"/>
    </row>
    <row r="17" spans="1:4" ht="15.75" thickBot="1">
      <c r="A17" s="257" t="s">
        <v>229</v>
      </c>
      <c r="B17" s="258" t="s">
        <v>233</v>
      </c>
    </row>
    <row r="18" spans="1:4" ht="15" thickBot="1">
      <c r="A18" s="259" t="s">
        <v>231</v>
      </c>
      <c r="B18" s="262">
        <v>9288018.1065968294</v>
      </c>
      <c r="C18" s="263"/>
    </row>
    <row r="19" spans="1:4">
      <c r="A19" s="256"/>
      <c r="B19" s="256"/>
      <c r="D19" s="263"/>
    </row>
    <row r="20" spans="1:4" ht="15.75" thickBot="1">
      <c r="A20" s="254" t="s">
        <v>256</v>
      </c>
      <c r="B20" s="255"/>
    </row>
    <row r="21" spans="1:4" ht="31.5" thickTop="1" thickBot="1">
      <c r="A21" s="260" t="s">
        <v>229</v>
      </c>
      <c r="B21" s="261" t="s">
        <v>233</v>
      </c>
    </row>
    <row r="22" spans="1:4" ht="15.75" thickTop="1" thickBot="1">
      <c r="A22" s="259" t="s">
        <v>231</v>
      </c>
      <c r="B22" s="262">
        <v>10410235.1554313</v>
      </c>
      <c r="C22" s="263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24"/>
  <sheetViews>
    <sheetView showGridLines="0" tabSelected="1" topLeftCell="D1" workbookViewId="0">
      <selection activeCell="Q13" sqref="Q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 ca="1"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119</v>
      </c>
      <c r="K3" s="170"/>
      <c r="L3" s="170"/>
      <c r="M3" s="180"/>
      <c r="N3" s="267"/>
      <c r="O3" s="267"/>
      <c r="P3" s="267"/>
      <c r="Q3" s="267"/>
      <c r="R3" s="267"/>
      <c r="S3" s="267"/>
      <c r="T3" s="267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225.42164950020182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226.82918601163908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228.58090082637065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230.86640314034446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233.94711197266199</v>
      </c>
      <c r="U13" s="111"/>
      <c r="V13" s="150"/>
    </row>
    <row r="14" spans="1:27">
      <c r="C14" s="111" t="str">
        <f>'Input|Step changes'!C28</f>
        <v>GSL payments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9.4571084152270224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9.3124077378556809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9.1710630203785755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9.0329964299409085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8.8981319388206828</v>
      </c>
      <c r="U14" s="111"/>
      <c r="V14" s="150"/>
    </row>
    <row r="15" spans="1:27">
      <c r="C15" s="111" t="str">
        <f>'Input|Step changes'!C29</f>
        <v>Innovation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0.24036616306495823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24" spans="1:24" hidden="1">
      <c r="M24" s="145"/>
      <c r="N24" s="145"/>
      <c r="O24" s="145"/>
      <c r="P24" s="145"/>
      <c r="Q24" s="145"/>
      <c r="R24" s="145"/>
      <c r="S24" s="145"/>
      <c r="T24" s="145"/>
    </row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84"/>
  <sheetViews>
    <sheetView showGridLines="0" workbookViewId="0">
      <selection activeCell="G72" sqref="G72:G7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 ca="1"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120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121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122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123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124</v>
      </c>
      <c r="D28" s="16" t="s">
        <v>68</v>
      </c>
      <c r="E28" s="16"/>
      <c r="F28" s="16"/>
      <c r="G28" s="151">
        <v>36617</v>
      </c>
    </row>
    <row r="29" spans="1:47">
      <c r="C29" s="15" t="s">
        <v>125</v>
      </c>
      <c r="D29" s="16" t="s">
        <v>68</v>
      </c>
      <c r="E29" s="16"/>
      <c r="F29" s="16"/>
      <c r="G29" s="151">
        <v>36647</v>
      </c>
    </row>
    <row r="30" spans="1:47">
      <c r="C30" s="15" t="s">
        <v>126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127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128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129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130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131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132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155</v>
      </c>
      <c r="H40" s="14" t="s">
        <v>153</v>
      </c>
      <c r="I40" s="14" t="s">
        <v>154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151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152</v>
      </c>
      <c r="H64" s="14" t="s">
        <v>119</v>
      </c>
    </row>
    <row r="65" spans="1:47">
      <c r="C65" s="15" t="s">
        <v>186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140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141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142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143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144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190</v>
      </c>
      <c r="D71" s="16" t="s">
        <v>97</v>
      </c>
      <c r="E71" s="16"/>
      <c r="F71" s="16"/>
      <c r="G71" s="181" t="s">
        <v>191</v>
      </c>
      <c r="H71" s="183">
        <f>DATE(YEAR(H70)+1,6,1)</f>
        <v>44348</v>
      </c>
    </row>
    <row r="72" spans="1:47">
      <c r="C72" s="15" t="s">
        <v>145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146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147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148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149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152</v>
      </c>
      <c r="H80" s="212"/>
    </row>
    <row r="81" spans="1:47">
      <c r="C81" s="15" t="s">
        <v>180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181</v>
      </c>
      <c r="D82" s="16" t="s">
        <v>68</v>
      </c>
      <c r="E82" s="16"/>
      <c r="F82" s="16"/>
      <c r="G82" s="182" t="s">
        <v>182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2"/>
  <sheetViews>
    <sheetView showGridLines="0" workbookViewId="0">
      <selection activeCell="A28" sqref="A28:XFD2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 ca="1"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 ca="1"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&gt;&gt;Supporting inputs&gt;&gt;</vt:lpstr>
      <vt:lpstr>ESV Levy</vt:lpstr>
      <vt:lpstr>GSLs</vt:lpstr>
      <vt:lpstr>Bushfire insurance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2020-09-28T01:38:08Z</dcterms:created>
  <dcterms:modified xsi:type="dcterms:W3CDTF">2020-12-07T01:10:19Z</dcterms:modified>
</cp:coreProperties>
</file>