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EB8AA7A5-2F9B-4C54-9019-877A0D0D6ACE}" xr6:coauthVersionLast="45" xr6:coauthVersionMax="45" xr10:uidLastSave="{00000000-0000-0000-0000-000000000000}"/>
  <bookViews>
    <workbookView xWindow="-4935" yWindow="1545" windowWidth="10245" windowHeight="10920" tabRatio="842" firstSheet="10" activeTab="12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&gt;&gt;Supporting inputs&gt;&gt;" sheetId="66" r:id="rId8"/>
    <sheet name="ESV Levy" sheetId="60" r:id="rId9"/>
    <sheet name="AEMO fees" sheetId="67" r:id="rId10"/>
    <sheet name="GSLs" sheetId="62" r:id="rId11"/>
    <sheet name="Bushfire insurance" sheetId="61" r:id="rId12"/>
    <sheet name="Output|Models" sheetId="44" r:id="rId13"/>
    <sheet name="Lookup|Tables" sheetId="4" r:id="rId14"/>
    <sheet name="Check|List" sheetId="16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abba" hidden="1">{"Ownership",#N/A,FALSE,"Ownership";"Contents",#N/A,FALSE,"Contents"}</definedName>
    <definedName name="anscount" hidden="1">1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61" l="1"/>
  <c r="K3" i="61" l="1"/>
  <c r="K5" i="61"/>
  <c r="K6" i="61"/>
  <c r="J6" i="61"/>
  <c r="P16" i="53" l="1"/>
  <c r="I6" i="61" l="1"/>
  <c r="S16" i="53" s="1"/>
  <c r="H6" i="61"/>
  <c r="R16" i="53" s="1"/>
  <c r="G6" i="61"/>
  <c r="Q16" i="53" s="1"/>
  <c r="T16" i="53" l="1"/>
  <c r="L21" i="60"/>
  <c r="C13" i="67"/>
  <c r="K12" i="67"/>
  <c r="J12" i="67"/>
  <c r="I12" i="67"/>
  <c r="H12" i="67"/>
  <c r="G12" i="67"/>
  <c r="F12" i="67"/>
  <c r="E12" i="67"/>
  <c r="D12" i="67"/>
  <c r="C12" i="67"/>
  <c r="C4" i="67"/>
  <c r="C3" i="67"/>
  <c r="G2" i="67"/>
  <c r="F5" i="67"/>
  <c r="E5" i="67"/>
  <c r="D5" i="67"/>
  <c r="D4" i="67"/>
  <c r="D13" i="67" s="1"/>
  <c r="F3" i="67"/>
  <c r="F4" i="67" s="1"/>
  <c r="E3" i="67"/>
  <c r="E4" i="67" s="1"/>
  <c r="E13" i="67" s="1"/>
  <c r="D3" i="67"/>
  <c r="G3" i="67"/>
  <c r="G4" i="67" s="1"/>
  <c r="G13" i="67" l="1"/>
  <c r="F13" i="67"/>
  <c r="H2" i="67"/>
  <c r="I2" i="67" l="1"/>
  <c r="H3" i="67"/>
  <c r="H4" i="67" s="1"/>
  <c r="H13" i="67" s="1"/>
  <c r="I3" i="67" l="1"/>
  <c r="I4" i="67" s="1"/>
  <c r="I13" i="67" s="1"/>
  <c r="I16" i="67" s="1"/>
  <c r="J2" i="67"/>
  <c r="J3" i="67" l="1"/>
  <c r="J4" i="67" s="1"/>
  <c r="J13" i="67" s="1"/>
  <c r="J16" i="67" s="1"/>
  <c r="K2" i="67"/>
  <c r="K3" i="67" s="1"/>
  <c r="K4" i="67" s="1"/>
  <c r="K13" i="67" s="1"/>
  <c r="K16" i="67" s="1"/>
  <c r="L16" i="67" l="1"/>
  <c r="L23" i="60"/>
  <c r="L22" i="60"/>
  <c r="H23" i="60"/>
  <c r="I23" i="60"/>
  <c r="J23" i="60"/>
  <c r="K23" i="60"/>
  <c r="G23" i="60"/>
  <c r="C10" i="61" l="1"/>
  <c r="B10" i="61" l="1"/>
  <c r="D11" i="61"/>
  <c r="G4" i="62"/>
  <c r="F4" i="62"/>
  <c r="E4" i="62"/>
  <c r="D4" i="62"/>
  <c r="C4" i="62"/>
  <c r="H4" i="62" s="1"/>
  <c r="H3" i="62"/>
  <c r="G3" i="62"/>
  <c r="F3" i="62"/>
  <c r="E3" i="62"/>
  <c r="D3" i="62"/>
  <c r="C3" i="62"/>
  <c r="E11" i="61" l="1"/>
  <c r="H5" i="62" l="1"/>
  <c r="G5" i="62"/>
  <c r="T28" i="53" s="1"/>
  <c r="F5" i="62"/>
  <c r="S28" i="53" s="1"/>
  <c r="E5" i="62"/>
  <c r="R28" i="53" s="1"/>
  <c r="D5" i="62"/>
  <c r="Q28" i="53" s="1"/>
  <c r="C5" i="62"/>
  <c r="P28" i="53" s="1"/>
  <c r="T12" i="53" l="1"/>
  <c r="S12" i="53"/>
  <c r="R12" i="53"/>
  <c r="Q12" i="53"/>
  <c r="P12" i="53"/>
  <c r="H17" i="60" l="1"/>
  <c r="I17" i="60"/>
  <c r="J17" i="60"/>
  <c r="K17" i="60"/>
  <c r="G17" i="60"/>
  <c r="E10" i="61" l="1"/>
  <c r="E12" i="61" s="1"/>
  <c r="C80" i="42" l="1"/>
  <c r="C81" i="42"/>
  <c r="C82" i="42"/>
  <c r="C83" i="42"/>
  <c r="C84" i="42"/>
  <c r="C77" i="42"/>
  <c r="C78" i="42"/>
  <c r="C79" i="42"/>
  <c r="C76" i="42"/>
  <c r="F66" i="55" l="1"/>
  <c r="F64" i="55"/>
  <c r="F68" i="55" s="1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66" i="55" l="1"/>
  <c r="I6" i="60"/>
  <c r="I11" i="60" s="1"/>
  <c r="I26" i="60" s="1"/>
  <c r="H6" i="60"/>
  <c r="H11" i="60" s="1"/>
  <c r="H26" i="60" s="1"/>
  <c r="G6" i="60"/>
  <c r="G11" i="60" s="1"/>
  <c r="F6" i="60"/>
  <c r="F11" i="60" s="1"/>
  <c r="E6" i="60"/>
  <c r="E11" i="60" s="1"/>
  <c r="D6" i="60"/>
  <c r="D11" i="60" s="1"/>
  <c r="C6" i="60"/>
  <c r="C11" i="60" s="1"/>
  <c r="C16" i="60" s="1"/>
  <c r="G63" i="55"/>
  <c r="G64" i="55"/>
  <c r="F65" i="55"/>
  <c r="G65" i="55" s="1"/>
  <c r="G68" i="55"/>
  <c r="F67" i="55"/>
  <c r="G26" i="60" l="1"/>
  <c r="H12" i="60"/>
  <c r="K16" i="60"/>
  <c r="G16" i="60"/>
  <c r="J16" i="60"/>
  <c r="I16" i="60"/>
  <c r="H16" i="60"/>
  <c r="D12" i="60"/>
  <c r="E12" i="60"/>
  <c r="F12" i="60"/>
  <c r="G12" i="60"/>
  <c r="I12" i="60"/>
  <c r="J12" i="60" s="1"/>
  <c r="K12" i="60" s="1"/>
  <c r="G67" i="55"/>
  <c r="H52" i="4"/>
  <c r="H53" i="4"/>
  <c r="H54" i="4"/>
  <c r="H55" i="4"/>
  <c r="H56" i="4"/>
  <c r="H57" i="4"/>
  <c r="H58" i="4"/>
  <c r="H59" i="4"/>
  <c r="H60" i="4"/>
  <c r="H51" i="4"/>
  <c r="J11" i="60" l="1"/>
  <c r="J26" i="60" s="1"/>
  <c r="L16" i="60"/>
  <c r="T4" i="44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O42" i="42" s="1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K11" i="60" l="1"/>
  <c r="K26" i="60" s="1"/>
  <c r="O39" i="42"/>
  <c r="Q107" i="2"/>
  <c r="T107" i="2"/>
  <c r="U107" i="2"/>
  <c r="S107" i="2"/>
  <c r="P30" i="42"/>
  <c r="Q30" i="42"/>
  <c r="R30" i="42"/>
  <c r="S30" i="42"/>
  <c r="T30" i="42"/>
  <c r="L11" i="60" l="1"/>
  <c r="N16" i="60" s="1"/>
  <c r="L26" i="60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H65" i="4"/>
  <c r="T36" i="53"/>
  <c r="T40" i="53" s="1"/>
  <c r="P36" i="53"/>
  <c r="Q10" i="53"/>
  <c r="R10" i="53"/>
  <c r="S36" i="53"/>
  <c r="U77" i="2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P12" i="2"/>
  <c r="C22" i="2" l="1"/>
  <c r="P22" i="2" s="1"/>
  <c r="O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E22" i="2" l="1"/>
  <c r="D22" i="2"/>
  <c r="C31" i="2"/>
  <c r="C32" i="2"/>
  <c r="E32" i="2" s="1"/>
  <c r="C27" i="2"/>
  <c r="C28" i="2"/>
  <c r="C29" i="2"/>
  <c r="D32" i="2"/>
  <c r="C30" i="2"/>
  <c r="U78" i="2"/>
  <c r="U80" i="2"/>
  <c r="U79" i="2"/>
  <c r="P32" i="2"/>
  <c r="U101" i="2" l="1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T69" i="42" l="1"/>
  <c r="F70" i="58"/>
  <c r="F65" i="58"/>
  <c r="F66" i="58"/>
  <c r="F67" i="58"/>
  <c r="F68" i="58"/>
  <c r="F64" i="58"/>
  <c r="J15" i="61" l="1"/>
  <c r="C80" i="4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 s="1"/>
  <c r="I53" i="4"/>
  <c r="G73" i="4" s="1"/>
  <c r="I54" i="4"/>
  <c r="G74" i="4" s="1"/>
  <c r="I55" i="4"/>
  <c r="G75" i="4" s="1"/>
  <c r="I56" i="4"/>
  <c r="G76" i="4" s="1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Q101" i="2" l="1"/>
  <c r="T101" i="2"/>
  <c r="S101" i="2"/>
  <c r="R101" i="2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K12" i="2"/>
  <c r="J12" i="2"/>
  <c r="M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L14" i="44" l="1"/>
  <c r="L15" i="44"/>
  <c r="L16" i="44"/>
  <c r="L13" i="44"/>
  <c r="M16" i="44"/>
  <c r="M14" i="44"/>
  <c r="M15" i="44"/>
  <c r="M13" i="44"/>
  <c r="J14" i="44"/>
  <c r="J16" i="44"/>
  <c r="J13" i="44"/>
  <c r="J15" i="44"/>
  <c r="N16" i="44"/>
  <c r="N13" i="44"/>
  <c r="N14" i="44"/>
  <c r="N15" i="44"/>
  <c r="K15" i="44"/>
  <c r="K13" i="44"/>
  <c r="K16" i="44"/>
  <c r="K14" i="44"/>
  <c r="O15" i="44"/>
  <c r="O16" i="44"/>
  <c r="O14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N12" i="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0" i="53"/>
  <c r="W60" i="2"/>
  <c r="W109" i="2"/>
  <c r="N21" i="42" l="1"/>
  <c r="M22" i="2"/>
  <c r="N32" i="2"/>
  <c r="P47" i="2"/>
  <c r="S47" i="2"/>
  <c r="Q47" i="2"/>
  <c r="R47" i="2"/>
  <c r="T47" i="2"/>
  <c r="L22" i="2" l="1"/>
  <c r="M32" i="2"/>
  <c r="M21" i="42"/>
  <c r="W47" i="2"/>
  <c r="L21" i="42" l="1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O43" i="42" s="1"/>
  <c r="F40" i="42"/>
  <c r="E40" i="42"/>
  <c r="J22" i="2" l="1"/>
  <c r="J32" i="2" s="1"/>
  <c r="K32" i="2"/>
  <c r="K21" i="42"/>
  <c r="E86" i="42"/>
  <c r="J21" i="42" l="1"/>
  <c r="E104" i="42" l="1"/>
  <c r="F15" i="42" l="1"/>
  <c r="F56" i="42"/>
  <c r="F54" i="42"/>
  <c r="C92" i="42" l="1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Q77" i="42" l="1"/>
  <c r="P77" i="42"/>
  <c r="S77" i="42"/>
  <c r="T77" i="42"/>
  <c r="R77" i="42"/>
  <c r="Q84" i="42"/>
  <c r="R84" i="42"/>
  <c r="P84" i="42"/>
  <c r="S84" i="42"/>
  <c r="T84" i="42"/>
  <c r="S83" i="42"/>
  <c r="T83" i="42"/>
  <c r="Q83" i="42"/>
  <c r="P83" i="42"/>
  <c r="R83" i="42"/>
  <c r="Q79" i="42"/>
  <c r="S79" i="42"/>
  <c r="P79" i="42"/>
  <c r="T79" i="42"/>
  <c r="R79" i="42"/>
  <c r="Q82" i="42"/>
  <c r="R82" i="42"/>
  <c r="P82" i="42"/>
  <c r="S82" i="42"/>
  <c r="T82" i="42"/>
  <c r="Q78" i="42"/>
  <c r="R78" i="42"/>
  <c r="P78" i="42"/>
  <c r="S78" i="42"/>
  <c r="T78" i="42"/>
  <c r="R13" i="42"/>
  <c r="S13" i="42"/>
  <c r="P13" i="42"/>
  <c r="Q13" i="42"/>
  <c r="O13" i="42"/>
  <c r="N13" i="42"/>
  <c r="M13" i="42"/>
  <c r="L13" i="42"/>
  <c r="K13" i="42"/>
  <c r="J13" i="42"/>
  <c r="M69" i="42"/>
  <c r="K69" i="42"/>
  <c r="L69" i="42"/>
  <c r="R69" i="42"/>
  <c r="H15" i="61" s="1"/>
  <c r="T1" i="2"/>
  <c r="G13" i="16" s="1"/>
  <c r="S1" i="54"/>
  <c r="G10" i="16" s="1"/>
  <c r="N69" i="42"/>
  <c r="J69" i="42"/>
  <c r="M70" i="42" l="1" a="1"/>
  <c r="M70" i="42" s="1"/>
  <c r="N70" i="42" a="1"/>
  <c r="N70" i="42" s="1"/>
  <c r="P69" i="42"/>
  <c r="O69" i="42"/>
  <c r="S69" i="42"/>
  <c r="Q69" i="42"/>
  <c r="G15" i="61" s="1"/>
  <c r="I15" i="61" l="1"/>
  <c r="F15" i="61"/>
  <c r="T70" i="42" a="1"/>
  <c r="T70" i="42" s="1"/>
  <c r="S70" i="42" a="1"/>
  <c r="S70" i="42" s="1"/>
  <c r="Q70" i="42" a="1"/>
  <c r="Q70" i="42" s="1"/>
  <c r="R70" i="42" a="1"/>
  <c r="R70" i="42" s="1"/>
  <c r="O70" i="42" a="1"/>
  <c r="O70" i="42" s="1"/>
  <c r="P70" i="42" a="1"/>
  <c r="P70" i="42" s="1"/>
  <c r="F11" i="61" l="1"/>
  <c r="G11" i="61" s="1"/>
  <c r="H11" i="61" s="1"/>
  <c r="F10" i="61"/>
  <c r="G10" i="61" s="1"/>
  <c r="P21" i="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N92" i="42"/>
  <c r="L92" i="42"/>
  <c r="K77" i="42"/>
  <c r="N77" i="42"/>
  <c r="K84" i="42"/>
  <c r="O84" i="42"/>
  <c r="M80" i="42"/>
  <c r="J80" i="42"/>
  <c r="J76" i="42"/>
  <c r="K76" i="42"/>
  <c r="L82" i="42"/>
  <c r="K82" i="42"/>
  <c r="J94" i="42"/>
  <c r="T94" i="42"/>
  <c r="T16" i="44" s="1"/>
  <c r="K83" i="42"/>
  <c r="L83" i="42"/>
  <c r="K79" i="42"/>
  <c r="J79" i="42"/>
  <c r="J92" i="42"/>
  <c r="L77" i="42"/>
  <c r="L80" i="42"/>
  <c r="R94" i="42"/>
  <c r="R16" i="44" s="1"/>
  <c r="N79" i="42"/>
  <c r="J93" i="42"/>
  <c r="P93" i="42"/>
  <c r="R93" i="42"/>
  <c r="K78" i="42"/>
  <c r="O92" i="42"/>
  <c r="J77" i="42"/>
  <c r="M84" i="42"/>
  <c r="J84" i="42"/>
  <c r="K80" i="42"/>
  <c r="J82" i="42"/>
  <c r="N94" i="42"/>
  <c r="O94" i="42"/>
  <c r="K94" i="42"/>
  <c r="N83" i="42"/>
  <c r="M79" i="42"/>
  <c r="Q93" i="42"/>
  <c r="K93" i="42"/>
  <c r="L78" i="42"/>
  <c r="O77" i="42"/>
  <c r="L84" i="42"/>
  <c r="N80" i="42"/>
  <c r="P94" i="42"/>
  <c r="P16" i="44" s="1"/>
  <c r="L79" i="42"/>
  <c r="T93" i="42"/>
  <c r="L93" i="42"/>
  <c r="S93" i="42"/>
  <c r="O78" i="42"/>
  <c r="M78" i="42"/>
  <c r="K92" i="42"/>
  <c r="M92" i="42"/>
  <c r="M77" i="42"/>
  <c r="N84" i="42"/>
  <c r="O80" i="42"/>
  <c r="M76" i="42"/>
  <c r="N76" i="42"/>
  <c r="O76" i="42"/>
  <c r="N82" i="42"/>
  <c r="M82" i="42"/>
  <c r="M94" i="42"/>
  <c r="L94" i="42"/>
  <c r="S94" i="42"/>
  <c r="S16" i="44" s="1"/>
  <c r="O83" i="42"/>
  <c r="J83" i="42"/>
  <c r="O79" i="42"/>
  <c r="L76" i="42"/>
  <c r="O82" i="42"/>
  <c r="Q94" i="42"/>
  <c r="Q16" i="44" s="1"/>
  <c r="M83" i="42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P76" i="42" l="1"/>
  <c r="T76" i="42"/>
  <c r="R76" i="42"/>
  <c r="S76" i="42"/>
  <c r="Q76" i="42"/>
  <c r="F12" i="61"/>
  <c r="H10" i="61"/>
  <c r="I11" i="61"/>
  <c r="S15" i="44"/>
  <c r="R15" i="44"/>
  <c r="P15" i="44"/>
  <c r="T15" i="44"/>
  <c r="Q15" i="44"/>
  <c r="O17" i="42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P22" i="53" l="1"/>
  <c r="P80" i="42"/>
  <c r="G12" i="61"/>
  <c r="J11" i="61"/>
  <c r="N29" i="2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Q22" i="53" l="1"/>
  <c r="Q80" i="42"/>
  <c r="I10" i="61"/>
  <c r="H12" i="61"/>
  <c r="N28" i="2"/>
  <c r="P18" i="2"/>
  <c r="P28" i="2" s="1"/>
  <c r="O29" i="2"/>
  <c r="P19" i="2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R22" i="53" l="1"/>
  <c r="R80" i="42"/>
  <c r="J10" i="61"/>
  <c r="J12" i="61" s="1"/>
  <c r="I12" i="61"/>
  <c r="P81" i="42"/>
  <c r="R81" i="42"/>
  <c r="S81" i="42"/>
  <c r="T81" i="42"/>
  <c r="Q81" i="42"/>
  <c r="L81" i="42"/>
  <c r="J81" i="42"/>
  <c r="K81" i="42"/>
  <c r="N81" i="42"/>
  <c r="O81" i="42"/>
  <c r="M81" i="42"/>
  <c r="P29" i="2"/>
  <c r="S31" i="42"/>
  <c r="L31" i="42"/>
  <c r="Q31" i="42"/>
  <c r="N31" i="42"/>
  <c r="O31" i="42"/>
  <c r="K31" i="42"/>
  <c r="P31" i="42"/>
  <c r="M31" i="42"/>
  <c r="R31" i="42"/>
  <c r="J31" i="42"/>
  <c r="K28" i="42"/>
  <c r="J21" i="2"/>
  <c r="J31" i="2" s="1"/>
  <c r="J20" i="2"/>
  <c r="J30" i="2" s="1"/>
  <c r="P17" i="2"/>
  <c r="P27" i="2" s="1"/>
  <c r="N27" i="2"/>
  <c r="O28" i="2"/>
  <c r="K31" i="2"/>
  <c r="L12" i="61" l="1"/>
  <c r="T22" i="53"/>
  <c r="T80" i="42"/>
  <c r="T86" i="42" s="1"/>
  <c r="J96" i="42"/>
  <c r="K54" i="42"/>
  <c r="K56" i="42" s="1"/>
  <c r="L86" i="42"/>
  <c r="S54" i="42"/>
  <c r="S56" i="42" s="1"/>
  <c r="P86" i="42"/>
  <c r="J86" i="42"/>
  <c r="P54" i="42"/>
  <c r="P56" i="42" s="1"/>
  <c r="K86" i="42"/>
  <c r="Q86" i="42"/>
  <c r="L96" i="42"/>
  <c r="Q54" i="42"/>
  <c r="Q56" i="42" s="1"/>
  <c r="N86" i="42"/>
  <c r="K96" i="42"/>
  <c r="R86" i="42"/>
  <c r="R54" i="42"/>
  <c r="R56" i="42" s="1"/>
  <c r="O86" i="42"/>
  <c r="N96" i="42"/>
  <c r="M86" i="42"/>
  <c r="J54" i="42"/>
  <c r="O96" i="42"/>
  <c r="M96" i="42"/>
  <c r="J28" i="42"/>
  <c r="O27" i="2"/>
  <c r="S80" i="42" l="1"/>
  <c r="S22" i="53"/>
  <c r="X22" i="53" s="1"/>
  <c r="J56" i="42"/>
  <c r="L54" i="42"/>
  <c r="S86" i="42" l="1"/>
  <c r="K16" i="2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N54" i="42" l="1"/>
  <c r="N56" i="42" s="1"/>
  <c r="Q32" i="53" l="1"/>
  <c r="P32" i="53"/>
  <c r="P92" i="42"/>
  <c r="Q92" i="42" l="1"/>
  <c r="P14" i="44"/>
  <c r="P96" i="42"/>
  <c r="R32" i="53"/>
  <c r="R92" i="42"/>
  <c r="Q14" i="44" l="1"/>
  <c r="Q96" i="42"/>
  <c r="S32" i="53"/>
  <c r="S92" i="42"/>
  <c r="R14" i="44"/>
  <c r="R96" i="42"/>
  <c r="S14" i="44" l="1"/>
  <c r="S96" i="42"/>
  <c r="T32" i="53"/>
  <c r="X32" i="53" s="1"/>
  <c r="S1" i="53" s="1"/>
  <c r="G14" i="16" s="1"/>
  <c r="S1" i="16" s="1"/>
  <c r="T92" i="42"/>
  <c r="W1" i="44" l="1"/>
  <c r="V1" i="54"/>
  <c r="W1" i="58"/>
  <c r="W1" i="53"/>
  <c r="W1" i="42"/>
  <c r="W1" i="55"/>
  <c r="W1" i="2"/>
  <c r="V1" i="4"/>
  <c r="T14" i="44"/>
  <c r="T96" i="42"/>
  <c r="O54" i="42" l="1"/>
  <c r="O56" i="42" l="1"/>
  <c r="S103" i="42" l="1"/>
  <c r="S104" i="42" s="1"/>
  <c r="T103" i="42"/>
  <c r="P102" i="42"/>
  <c r="T102" i="42"/>
  <c r="R103" i="42"/>
  <c r="Q103" i="42"/>
  <c r="P103" i="42"/>
  <c r="S102" i="42"/>
  <c r="Q102" i="42"/>
  <c r="R102" i="42"/>
  <c r="T13" i="44" l="1"/>
  <c r="Q13" i="44"/>
  <c r="S13" i="44"/>
  <c r="P13" i="44"/>
  <c r="Q104" i="42"/>
  <c r="R104" i="42"/>
  <c r="T104" i="42"/>
  <c r="P104" i="42"/>
  <c r="R13" i="44"/>
</calcChain>
</file>

<file path=xl/sharedStrings.xml><?xml version="1.0" encoding="utf-8"?>
<sst xmlns="http://schemas.openxmlformats.org/spreadsheetml/2006/main" count="877" uniqueCount="279">
  <si>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</si>
  <si>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</si>
  <si>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</si>
  <si>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</si>
  <si>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</si>
  <si>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</si>
  <si>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</si>
  <si>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</si>
  <si>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</si>
  <si>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</si>
  <si>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</si>
  <si>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</si>
  <si>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</si>
  <si>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</si>
  <si>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</si>
  <si>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</si>
  <si>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</si>
  <si>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</si>
  <si>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</si>
  <si>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</si>
  <si>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</si>
  <si>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</si>
  <si>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</si>
  <si>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</si>
  <si>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</si>
  <si>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</si>
  <si>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</si>
  <si>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</si>
  <si>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</si>
  <si>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</si>
  <si>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</si>
  <si>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</si>
  <si>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</si>
  <si>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</si>
  <si>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</si>
  <si>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</si>
  <si>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</si>
  <si>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</si>
  <si>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</si>
  <si>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</si>
  <si>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</si>
  <si>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</si>
  <si>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</si>
  <si>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</si>
  <si>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</si>
  <si>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</si>
  <si>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</si>
  <si>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</si>
  <si>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</si>
  <si>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</si>
  <si>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</si>
  <si>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</si>
  <si>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</si>
  <si>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</si>
  <si>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</si>
  <si>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</si>
  <si>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</si>
  <si>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</si>
  <si>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</si>
  <si>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</si>
  <si>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</si>
  <si>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</si>
  <si>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</si>
  <si>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</si>
  <si>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</si>
  <si>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</si>
  <si>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</si>
  <si>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</si>
  <si>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</si>
  <si>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</si>
  <si>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</si>
  <si>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</si>
  <si>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</si>
  <si>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</si>
  <si>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</si>
  <si>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</si>
  <si>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</si>
  <si>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</si>
  <si>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</si>
  <si>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</si>
  <si>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</si>
  <si>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</si>
  <si>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</si>
  <si>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</si>
  <si>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</si>
  <si>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</si>
  <si>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</si>
  <si>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</si>
  <si>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</si>
  <si>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</si>
  <si>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</si>
  <si>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</si>
  <si>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</si>
  <si>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</si>
  <si>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</si>
  <si>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</si>
  <si>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</si>
  <si>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</si>
  <si>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</si>
  <si>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</si>
  <si>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</si>
  <si>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</si>
  <si>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</si>
  <si>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</si>
  <si>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</si>
  <si>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</si>
  <si>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</si>
  <si>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</si>
  <si>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</si>
  <si>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</si>
  <si>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</si>
  <si>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</si>
  <si>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</si>
  <si>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</si>
  <si>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</si>
  <si>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</si>
  <si>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</si>
  <si>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</si>
  <si>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</si>
  <si>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</si>
  <si>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</si>
  <si>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</si>
  <si>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</si>
  <si>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</si>
  <si>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</si>
  <si>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</si>
  <si>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</si>
  <si>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</si>
  <si>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</si>
  <si>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</si>
  <si>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</si>
  <si>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</si>
  <si>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</si>
  <si>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</si>
  <si>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</si>
  <si>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</si>
  <si>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</si>
  <si>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</si>
  <si>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</si>
  <si>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</si>
  <si>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</si>
  <si>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</si>
  <si>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</si>
  <si>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</si>
  <si>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</si>
  <si>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</si>
  <si>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</si>
  <si>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</si>
  <si>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</si>
  <si>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</si>
  <si>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</si>
  <si>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</si>
  <si>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</si>
  <si>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</si>
  <si>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</si>
  <si>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</si>
  <si>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</si>
  <si>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</si>
  <si>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</si>
  <si>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</si>
  <si>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</si>
  <si>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</si>
  <si>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</si>
  <si>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</si>
  <si>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</si>
  <si>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</si>
  <si>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</si>
  <si>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</si>
  <si>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</si>
  <si>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</si>
  <si>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</si>
  <si>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</si>
  <si>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</si>
  <si>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</si>
  <si>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</si>
  <si>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</si>
  <si>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</si>
  <si>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</si>
  <si>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</si>
  <si>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</si>
  <si>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</si>
  <si>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</si>
  <si>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</si>
  <si>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</si>
  <si>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</si>
  <si>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</si>
  <si>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</si>
  <si>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</si>
  <si>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</si>
  <si>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</si>
  <si>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</si>
  <si>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</si>
  <si>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</si>
  <si>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</si>
  <si>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</si>
  <si>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</si>
  <si>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</si>
  <si>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</si>
  <si>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</si>
  <si>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</si>
  <si>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</si>
  <si>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</si>
  <si>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</si>
  <si>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</si>
  <si>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</si>
  <si>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</si>
  <si>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</si>
  <si>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Ausnet</t>
  </si>
  <si>
    <t>GSL</t>
  </si>
  <si>
    <t>Security</t>
  </si>
  <si>
    <t>REFCL</t>
  </si>
  <si>
    <t>IT Opex</t>
  </si>
  <si>
    <t>5 minute meter data</t>
  </si>
  <si>
    <t>Innovation</t>
  </si>
  <si>
    <t>WPI - DAE and BIS</t>
  </si>
  <si>
    <t>FY19</t>
  </si>
  <si>
    <t>FY20</t>
  </si>
  <si>
    <t>FY21</t>
  </si>
  <si>
    <t>FY22</t>
  </si>
  <si>
    <t>FY23</t>
  </si>
  <si>
    <t>FY24</t>
  </si>
  <si>
    <t>ESV levy</t>
  </si>
  <si>
    <t>Stub anualised</t>
  </si>
  <si>
    <t>2021-22</t>
  </si>
  <si>
    <t>2022-23</t>
  </si>
  <si>
    <t>2023-24</t>
  </si>
  <si>
    <t>2024-25</t>
  </si>
  <si>
    <t>2025-26</t>
  </si>
  <si>
    <t>Summary (Incl. GST)</t>
  </si>
  <si>
    <t>Renewal $10m excess</t>
  </si>
  <si>
    <t>AusNet Electricity Services Pty Ltd</t>
  </si>
  <si>
    <t>Total</t>
  </si>
  <si>
    <t>Renewal $25m excess</t>
  </si>
  <si>
    <t>convert $'18 to $'20</t>
  </si>
  <si>
    <t>New premiums ($'20)</t>
  </si>
  <si>
    <t>Bushfire Insurance</t>
  </si>
  <si>
    <t>Covert to $'21</t>
  </si>
  <si>
    <t>ESV Levy $'21</t>
  </si>
  <si>
    <t>forecast</t>
  </si>
  <si>
    <t>actual</t>
  </si>
  <si>
    <t>estimated</t>
  </si>
  <si>
    <t>Note: estimates of FY25 and FY26 are conservative, assuming the same growth rate as FY23 and FY24 of 0.9%</t>
  </si>
  <si>
    <t>FY25</t>
  </si>
  <si>
    <t>FY26</t>
  </si>
  <si>
    <t>Step change FY22-26</t>
  </si>
  <si>
    <t>Proposed Approach</t>
  </si>
  <si>
    <t>AER draft decision</t>
  </si>
  <si>
    <t>rate of change</t>
  </si>
  <si>
    <t>NA</t>
  </si>
  <si>
    <t>Metering - reallocation adjustment</t>
  </si>
  <si>
    <t>Metering</t>
  </si>
  <si>
    <t>Bushfire pass through</t>
  </si>
  <si>
    <t>GSL allowance</t>
  </si>
  <si>
    <t>GSL transitional amount</t>
  </si>
  <si>
    <t>Difference in proposed approach vs Draft Decision approach</t>
  </si>
  <si>
    <t>All  Policies FC2021</t>
  </si>
  <si>
    <t>All  Policies CL2019</t>
  </si>
  <si>
    <t>All  Policies CL2018</t>
  </si>
  <si>
    <t>CY18</t>
  </si>
  <si>
    <t>$ 2020-21</t>
  </si>
  <si>
    <t>If ESV levy excluded from base</t>
  </si>
  <si>
    <t>If ESV levy included from base</t>
  </si>
  <si>
    <t>ESV levy recovered if in base opex</t>
  </si>
  <si>
    <t>Step change needed if ESV levy in base opex</t>
  </si>
  <si>
    <t>2017-18</t>
  </si>
  <si>
    <t>2018-19</t>
  </si>
  <si>
    <t>2019-20</t>
  </si>
  <si>
    <t>2020-21</t>
  </si>
  <si>
    <t>AEMO's budget for NEM fees (nominal)</t>
  </si>
  <si>
    <t>3% allocated to NEM DNSPs</t>
  </si>
  <si>
    <t>9% allocated to ASD</t>
  </si>
  <si>
    <t>Growth rate check</t>
  </si>
  <si>
    <t>Allocated to NEM DNSPs</t>
  </si>
  <si>
    <t>Allocated to ASD</t>
  </si>
  <si>
    <t>Convert to $June 2021 escalation factor</t>
  </si>
  <si>
    <t>ASD portion in $June 2021 dollars</t>
  </si>
  <si>
    <t>Base opex</t>
  </si>
  <si>
    <t>Mid-point of forecasts 1&amp;2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</si>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</sst>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/mmm"/>
    <numFmt numFmtId="170" formatCode="_(#,##0_);\(#,##0\);_(&quot;-&quot;_)"/>
    <numFmt numFmtId="171" formatCode="_(#,##0.000_);\(#,##0.000\);_(&quot;-&quot;_)"/>
    <numFmt numFmtId="172" formatCode="_(#,##0.00_);\(#,##0.00\);_(&quot;-&quot;_)"/>
    <numFmt numFmtId="173" formatCode="[$-C09]dd\-mmm\-yy;@"/>
    <numFmt numFmtId="174" formatCode="_-* #,##0.0000_-;\-* #,##0.0000_-;_-* &quot;-&quot;??_-;_-@_-"/>
    <numFmt numFmtId="175" formatCode="_(#,##0.0000_);\(#,##0.0000\);_(&quot;-&quot;_)"/>
    <numFmt numFmtId="176" formatCode="_-* #,##0.00_-;[Red]\(#,##0.00\)_-;_-* &quot;-&quot;??_-;_-@_-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0.00000%"/>
    <numFmt numFmtId="206" formatCode="_(* #,##0_);_(* \(#,##0\);_(* &quot;-&quot;??_);_(@_)"/>
    <numFmt numFmtId="207" formatCode="&quot;$&quot;#,##0"/>
    <numFmt numFmtId="208" formatCode="_-* #,##0.000000_-;\-* #,##0.000000_-;_-* &quot;-&quot;??_-;_-@_-"/>
    <numFmt numFmtId="209" formatCode="_-&quot;$&quot;* #,##0_-;\-&quot;$&quot;* #,##0_-;_-&quot;$&quot;* &quot;-&quot;??_-;_-@_-"/>
  </numFmts>
  <fonts count="10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1"/>
      <color rgb="FF1F497D"/>
      <name val="HelveticaNeueLT Std Lt"/>
    </font>
    <font>
      <sz val="11"/>
      <color theme="1"/>
      <name val="Arial"/>
      <family val="2"/>
    </font>
    <font>
      <b/>
      <u/>
      <sz val="8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2F2F2"/>
      <name val="Arial"/>
      <family val="2"/>
    </font>
    <font>
      <u/>
      <sz val="11"/>
      <color theme="10"/>
      <name val="Calibri"/>
      <family val="2"/>
      <scheme val="minor"/>
    </font>
    <font>
      <sz val="8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07">
    <xf numFmtId="0" fontId="0" fillId="0" borderId="0"/>
    <xf numFmtId="169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0" fontId="15" fillId="0" borderId="5">
      <alignment horizontal="right" vertical="center"/>
      <protection locked="0"/>
    </xf>
    <xf numFmtId="164" fontId="13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15" fillId="0" borderId="0"/>
    <xf numFmtId="176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7" fontId="22" fillId="4" borderId="0" applyNumberFormat="0" applyFont="0" applyBorder="0" applyAlignment="0">
      <alignment horizontal="right"/>
    </xf>
    <xf numFmtId="167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7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8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7" fontId="22" fillId="36" borderId="0" applyFont="0" applyBorder="0" applyAlignment="0">
      <alignment horizontal="right"/>
      <protection locked="0"/>
    </xf>
    <xf numFmtId="167" fontId="22" fillId="3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81" fontId="22" fillId="6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2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3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4" fontId="22" fillId="0" borderId="0" applyFill="0" applyBorder="0"/>
    <xf numFmtId="184" fontId="22" fillId="0" borderId="0" applyFill="0" applyBorder="0"/>
    <xf numFmtId="184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5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6" fontId="22" fillId="0" borderId="0"/>
    <xf numFmtId="186" fontId="22" fillId="0" borderId="0"/>
    <xf numFmtId="186" fontId="22" fillId="0" borderId="0"/>
    <xf numFmtId="187" fontId="15" fillId="0" borderId="0" applyFill="0" applyBorder="0">
      <alignment horizontal="right" vertical="center"/>
    </xf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2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0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164" fontId="13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4" borderId="0" applyNumberFormat="0" applyFont="0" applyBorder="0" applyAlignment="0">
      <alignment horizontal="right"/>
    </xf>
    <xf numFmtId="41" fontId="22" fillId="4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2" fillId="36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4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71" fontId="15" fillId="0" borderId="0" xfId="5" applyNumberFormat="1" applyFont="1" applyFill="1" applyBorder="1" applyAlignment="1" applyProtection="1">
      <alignment horizontal="center" vertical="center"/>
    </xf>
    <xf numFmtId="172" fontId="12" fillId="0" borderId="0" xfId="5" applyNumberFormat="1" applyFont="1" applyFill="1" applyBorder="1" applyAlignment="1" applyProtection="1">
      <alignment horizontal="center" vertical="center"/>
    </xf>
    <xf numFmtId="172" fontId="20" fillId="0" borderId="0" xfId="5" applyNumberFormat="1" applyFont="1" applyFill="1" applyBorder="1" applyAlignment="1" applyProtection="1">
      <alignment horizontal="center" vertical="center"/>
    </xf>
    <xf numFmtId="173" fontId="6" fillId="0" borderId="0" xfId="0" applyNumberFormat="1" applyFont="1"/>
    <xf numFmtId="175" fontId="15" fillId="0" borderId="0" xfId="5" applyNumberFormat="1" applyFont="1" applyFill="1" applyBorder="1" applyAlignment="1" applyProtection="1">
      <alignment horizontal="center" vertical="center"/>
    </xf>
    <xf numFmtId="168" fontId="6" fillId="3" borderId="0" xfId="0" applyNumberFormat="1" applyFont="1" applyFill="1" applyProtection="1"/>
    <xf numFmtId="168" fontId="7" fillId="3" borderId="0" xfId="0" applyNumberFormat="1" applyFont="1" applyFill="1" applyAlignment="1" applyProtection="1">
      <alignment horizontal="center"/>
    </xf>
    <xf numFmtId="168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/>
    </xf>
    <xf numFmtId="168" fontId="12" fillId="0" borderId="0" xfId="0" applyNumberFormat="1" applyFont="1" applyProtection="1"/>
    <xf numFmtId="168" fontId="18" fillId="0" borderId="0" xfId="0" applyNumberFormat="1" applyFont="1" applyAlignment="1" applyProtection="1">
      <alignment horizontal="center"/>
    </xf>
    <xf numFmtId="168" fontId="8" fillId="0" borderId="0" xfId="0" applyNumberFormat="1" applyFont="1" applyAlignment="1" applyProtection="1">
      <alignment horizont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3" fillId="39" borderId="4" xfId="0" applyFont="1" applyFill="1" applyBorder="1"/>
    <xf numFmtId="16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 applyProtection="1">
      <alignment horizontal="center" wrapText="1"/>
    </xf>
    <xf numFmtId="191" fontId="6" fillId="41" borderId="3" xfId="0" applyNumberFormat="1" applyFont="1" applyFill="1" applyBorder="1" applyAlignment="1" applyProtection="1">
      <alignment horizontal="center"/>
      <protection locked="0"/>
    </xf>
    <xf numFmtId="195" fontId="6" fillId="0" borderId="0" xfId="0" applyNumberFormat="1" applyFont="1" applyAlignment="1" applyProtection="1">
      <alignment horizontal="left"/>
    </xf>
    <xf numFmtId="193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 wrapText="1"/>
    </xf>
    <xf numFmtId="168" fontId="8" fillId="0" borderId="0" xfId="0" applyNumberFormat="1" applyFont="1" applyProtection="1"/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164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165" fontId="19" fillId="39" borderId="4" xfId="0" applyNumberFormat="1" applyFont="1" applyFill="1" applyBorder="1" applyAlignment="1" applyProtection="1">
      <alignment horizontal="center" wrapText="1"/>
    </xf>
    <xf numFmtId="0" fontId="74" fillId="3" borderId="0" xfId="0" applyFont="1" applyFill="1" applyBorder="1" applyAlignment="1" applyProtection="1">
      <alignment wrapText="1"/>
    </xf>
    <xf numFmtId="0" fontId="74" fillId="3" borderId="0" xfId="0" applyFont="1" applyFill="1" applyAlignment="1" applyProtection="1">
      <alignment wrapText="1"/>
    </xf>
    <xf numFmtId="0" fontId="74" fillId="3" borderId="0" xfId="0" applyFont="1" applyFill="1" applyProtection="1"/>
    <xf numFmtId="0" fontId="74" fillId="0" borderId="0" xfId="0" applyFont="1" applyFill="1" applyProtection="1"/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4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8" fillId="0" borderId="0" xfId="0" applyNumberFormat="1" applyFont="1" applyFill="1" applyBorder="1" applyProtection="1"/>
    <xf numFmtId="168" fontId="7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Alignment="1" applyProtection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left" indent="1"/>
    </xf>
    <xf numFmtId="168" fontId="7" fillId="0" borderId="7" xfId="0" applyNumberFormat="1" applyFont="1" applyBorder="1" applyAlignment="1" applyProtection="1">
      <alignment horizontal="center"/>
    </xf>
    <xf numFmtId="168" fontId="8" fillId="0" borderId="8" xfId="0" applyNumberFormat="1" applyFont="1" applyBorder="1" applyAlignment="1" applyProtection="1">
      <alignment horizontal="left" indent="1"/>
    </xf>
    <xf numFmtId="168" fontId="7" fillId="0" borderId="8" xfId="0" applyNumberFormat="1" applyFont="1" applyBorder="1" applyAlignment="1" applyProtection="1">
      <alignment horizontal="center"/>
    </xf>
    <xf numFmtId="196" fontId="8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 applyProtection="1"/>
    <xf numFmtId="174" fontId="6" fillId="0" borderId="0" xfId="0" applyNumberFormat="1" applyFont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Fill="1" applyAlignment="1" applyProtection="1">
      <alignment horizontal="left" indent="2"/>
    </xf>
    <xf numFmtId="168" fontId="18" fillId="0" borderId="8" xfId="0" applyNumberFormat="1" applyFont="1" applyBorder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Border="1" applyProtection="1"/>
    <xf numFmtId="193" fontId="8" fillId="0" borderId="0" xfId="0" applyNumberFormat="1" applyFont="1" applyBorder="1" applyAlignment="1" applyProtection="1">
      <alignment horizontal="center"/>
    </xf>
    <xf numFmtId="168" fontId="18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9" fontId="8" fillId="0" borderId="0" xfId="0" applyNumberFormat="1" applyFont="1" applyAlignment="1" applyProtection="1">
      <alignment horizontal="center"/>
    </xf>
    <xf numFmtId="197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164" fontId="12" fillId="0" borderId="3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8" fontId="8" fillId="0" borderId="7" xfId="0" applyNumberFormat="1" applyFont="1" applyBorder="1" applyProtection="1"/>
    <xf numFmtId="168" fontId="6" fillId="0" borderId="7" xfId="0" applyNumberFormat="1" applyFont="1" applyBorder="1" applyProtection="1"/>
    <xf numFmtId="168" fontId="8" fillId="0" borderId="4" xfId="0" applyNumberFormat="1" applyFont="1" applyBorder="1" applyAlignment="1" applyProtection="1">
      <alignment horizontal="left"/>
    </xf>
    <xf numFmtId="168" fontId="7" fillId="0" borderId="4" xfId="0" applyNumberFormat="1" applyFont="1" applyBorder="1" applyAlignment="1" applyProtection="1">
      <alignment horizontal="center"/>
    </xf>
    <xf numFmtId="164" fontId="6" fillId="0" borderId="0" xfId="0" applyNumberFormat="1" applyFont="1" applyProtection="1"/>
    <xf numFmtId="168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4" fontId="6" fillId="0" borderId="0" xfId="0" applyNumberFormat="1" applyFont="1" applyProtection="1"/>
    <xf numFmtId="192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4" fontId="7" fillId="41" borderId="3" xfId="2" applyNumberFormat="1" applyFont="1" applyFill="1" applyBorder="1" applyAlignment="1" applyProtection="1">
      <alignment horizontal="center"/>
      <protection locked="0"/>
    </xf>
    <xf numFmtId="198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Protection="1">
      <protection locked="0"/>
    </xf>
    <xf numFmtId="201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2" fontId="74" fillId="39" borderId="4" xfId="0" applyNumberFormat="1" applyFont="1" applyFill="1" applyBorder="1" applyAlignment="1" applyProtection="1">
      <alignment horizontal="center" wrapText="1"/>
    </xf>
    <xf numFmtId="202" fontId="91" fillId="38" borderId="2" xfId="0" applyNumberFormat="1" applyFont="1" applyFill="1" applyBorder="1" applyAlignment="1" applyProtection="1">
      <alignment horizontal="center"/>
    </xf>
    <xf numFmtId="202" fontId="74" fillId="38" borderId="2" xfId="0" applyNumberFormat="1" applyFont="1" applyFill="1" applyBorder="1" applyAlignment="1" applyProtection="1">
      <alignment horizontal="left"/>
    </xf>
    <xf numFmtId="202" fontId="8" fillId="0" borderId="7" xfId="0" applyNumberFormat="1" applyFont="1" applyBorder="1" applyAlignment="1" applyProtection="1">
      <alignment horizontal="center"/>
    </xf>
    <xf numFmtId="202" fontId="6" fillId="0" borderId="0" xfId="0" applyNumberFormat="1" applyFont="1" applyAlignment="1">
      <alignment horizontal="left" indent="1"/>
    </xf>
    <xf numFmtId="202" fontId="7" fillId="0" borderId="0" xfId="0" applyNumberFormat="1" applyFont="1" applyAlignment="1" applyProtection="1">
      <alignment horizontal="center"/>
    </xf>
    <xf numFmtId="202" fontId="7" fillId="41" borderId="22" xfId="0" applyNumberFormat="1" applyFont="1" applyFill="1" applyBorder="1" applyAlignment="1" applyProtection="1">
      <alignment horizontal="center"/>
      <protection locked="0"/>
    </xf>
    <xf numFmtId="202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Protection="1"/>
    <xf numFmtId="202" fontId="6" fillId="0" borderId="0" xfId="0" applyNumberFormat="1" applyFont="1" applyAlignment="1" applyProtection="1">
      <alignment horizontal="left" indent="1"/>
    </xf>
    <xf numFmtId="168" fontId="14" fillId="0" borderId="0" xfId="3" applyNumberFormat="1" applyAlignment="1" applyProtection="1">
      <alignment horizontal="center"/>
    </xf>
    <xf numFmtId="10" fontId="6" fillId="41" borderId="26" xfId="2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4" fontId="6" fillId="0" borderId="0" xfId="2" applyNumberFormat="1" applyFont="1" applyFill="1" applyBorder="1" applyAlignment="1" applyProtection="1">
      <alignment horizontal="center"/>
      <protection locked="0"/>
    </xf>
    <xf numFmtId="202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7" xfId="0" applyNumberFormat="1" applyFont="1" applyFill="1" applyBorder="1" applyAlignment="1" applyProtection="1"/>
    <xf numFmtId="168" fontId="6" fillId="0" borderId="0" xfId="0" applyNumberFormat="1" applyFont="1" applyBorder="1" applyAlignment="1" applyProtection="1">
      <alignment horizontal="center"/>
    </xf>
    <xf numFmtId="202" fontId="18" fillId="0" borderId="0" xfId="0" applyNumberFormat="1" applyFont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9" fontId="8" fillId="0" borderId="0" xfId="0" applyNumberFormat="1" applyFont="1" applyBorder="1" applyAlignment="1" applyProtection="1">
      <alignment horizontal="center"/>
    </xf>
    <xf numFmtId="196" fontId="8" fillId="0" borderId="0" xfId="0" applyNumberFormat="1" applyFont="1" applyBorder="1" applyAlignment="1" applyProtection="1">
      <alignment horizontal="center"/>
    </xf>
    <xf numFmtId="168" fontId="8" fillId="0" borderId="7" xfId="0" applyNumberFormat="1" applyFont="1" applyBorder="1" applyAlignment="1" applyProtection="1">
      <alignment horizontal="left" indent="1"/>
    </xf>
    <xf numFmtId="202" fontId="7" fillId="0" borderId="7" xfId="0" applyNumberFormat="1" applyFont="1" applyBorder="1" applyAlignment="1" applyProtection="1">
      <alignment horizontal="center"/>
    </xf>
    <xf numFmtId="203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2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3" fontId="6" fillId="0" borderId="0" xfId="0" applyNumberFormat="1" applyFont="1" applyProtection="1">
      <protection locked="0"/>
    </xf>
    <xf numFmtId="193" fontId="8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2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0" fontId="6" fillId="0" borderId="0" xfId="2" applyNumberFormat="1" applyFont="1" applyAlignment="1" applyProtection="1">
      <alignment horizontal="center"/>
      <protection locked="0"/>
    </xf>
    <xf numFmtId="172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15" fillId="0" borderId="0" xfId="5" applyNumberFormat="1" applyFont="1" applyFill="1" applyBorder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2" fontId="6" fillId="0" borderId="0" xfId="2" applyNumberFormat="1" applyFont="1" applyFill="1" applyBorder="1" applyAlignment="1" applyProtection="1">
      <alignment horizontal="center"/>
      <protection locked="0"/>
    </xf>
    <xf numFmtId="168" fontId="18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Fill="1" applyBorder="1" applyAlignment="1" applyProtection="1">
      <alignment horizontal="center"/>
      <protection locked="0"/>
    </xf>
    <xf numFmtId="202" fontId="7" fillId="0" borderId="22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202" fontId="19" fillId="8" borderId="9" xfId="0" applyNumberFormat="1" applyFont="1" applyFill="1" applyBorder="1" applyAlignment="1" applyProtection="1">
      <alignment horizontal="center"/>
      <protection locked="0"/>
    </xf>
    <xf numFmtId="204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2" fontId="15" fillId="8" borderId="9" xfId="0" applyNumberFormat="1" applyFont="1" applyFill="1" applyBorder="1" applyAlignment="1" applyProtection="1">
      <alignment horizontal="center"/>
      <protection locked="0"/>
    </xf>
    <xf numFmtId="192" fontId="8" fillId="8" borderId="28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202" fontId="6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Border="1" applyAlignment="1">
      <alignment horizontal="center"/>
    </xf>
    <xf numFmtId="168" fontId="7" fillId="41" borderId="3" xfId="0" applyNumberFormat="1" applyFont="1" applyFill="1" applyBorder="1" applyAlignment="1" applyProtection="1">
      <alignment horizontal="center"/>
    </xf>
    <xf numFmtId="202" fontId="7" fillId="41" borderId="3" xfId="0" applyNumberFormat="1" applyFont="1" applyFill="1" applyBorder="1" applyAlignment="1" applyProtection="1">
      <alignment horizontal="center"/>
    </xf>
    <xf numFmtId="0" fontId="72" fillId="38" borderId="0" xfId="3" applyFont="1" applyFill="1" applyBorder="1" applyAlignment="1" applyProtection="1"/>
    <xf numFmtId="10" fontId="6" fillId="41" borderId="3" xfId="2" applyNumberFormat="1" applyFont="1" applyFill="1" applyBorder="1" applyAlignment="1" applyProtection="1">
      <alignment horizontal="center"/>
    </xf>
    <xf numFmtId="0" fontId="74" fillId="38" borderId="2" xfId="0" applyNumberFormat="1" applyFont="1" applyFill="1" applyBorder="1" applyAlignment="1" applyProtection="1">
      <alignment horizontal="center"/>
    </xf>
    <xf numFmtId="202" fontId="74" fillId="39" borderId="4" xfId="0" applyNumberFormat="1" applyFont="1" applyFill="1" applyBorder="1" applyAlignment="1" applyProtection="1">
      <alignment horizontal="center" vertical="center" wrapText="1"/>
    </xf>
    <xf numFmtId="191" fontId="6" fillId="41" borderId="29" xfId="0" applyNumberFormat="1" applyFont="1" applyFill="1" applyBorder="1" applyAlignment="1" applyProtection="1">
      <alignment horizontal="center"/>
      <protection locked="0"/>
    </xf>
    <xf numFmtId="10" fontId="6" fillId="0" borderId="30" xfId="2" applyNumberFormat="1" applyFont="1" applyBorder="1" applyAlignment="1" applyProtection="1">
      <alignment horizontal="center"/>
    </xf>
    <xf numFmtId="192" fontId="6" fillId="8" borderId="0" xfId="0" applyNumberFormat="1" applyFont="1" applyFill="1" applyBorder="1" applyAlignment="1" applyProtection="1">
      <alignment horizontal="left" indent="1"/>
    </xf>
    <xf numFmtId="164" fontId="6" fillId="0" borderId="0" xfId="0" applyNumberFormat="1" applyFont="1" applyProtection="1"/>
    <xf numFmtId="10" fontId="6" fillId="0" borderId="0" xfId="2" applyNumberFormat="1" applyFont="1" applyProtection="1"/>
    <xf numFmtId="164" fontId="6" fillId="0" borderId="0" xfId="0" applyNumberFormat="1" applyFont="1" applyProtection="1"/>
    <xf numFmtId="205" fontId="6" fillId="0" borderId="0" xfId="2" applyNumberFormat="1" applyFont="1" applyProtection="1"/>
    <xf numFmtId="0" fontId="92" fillId="0" borderId="31" xfId="0" applyFont="1" applyBorder="1" applyAlignment="1">
      <alignment horizontal="center" vertical="center" wrapText="1"/>
    </xf>
    <xf numFmtId="0" fontId="92" fillId="0" borderId="32" xfId="0" applyFont="1" applyBorder="1" applyAlignment="1">
      <alignment horizontal="center" vertical="center" wrapText="1"/>
    </xf>
    <xf numFmtId="3" fontId="92" fillId="0" borderId="33" xfId="0" applyNumberFormat="1" applyFont="1" applyBorder="1" applyAlignment="1">
      <alignment horizontal="right" vertical="center" wrapText="1"/>
    </xf>
    <xf numFmtId="3" fontId="92" fillId="0" borderId="34" xfId="0" applyNumberFormat="1" applyFont="1" applyBorder="1" applyAlignment="1">
      <alignment horizontal="right" vertical="center" wrapText="1"/>
    </xf>
    <xf numFmtId="0" fontId="93" fillId="0" borderId="0" xfId="0" applyFont="1"/>
    <xf numFmtId="168" fontId="93" fillId="0" borderId="0" xfId="0" applyNumberFormat="1" applyFont="1"/>
    <xf numFmtId="10" fontId="93" fillId="0" borderId="0" xfId="2" applyNumberFormat="1" applyFont="1" applyFill="1" applyBorder="1"/>
    <xf numFmtId="194" fontId="6" fillId="51" borderId="0" xfId="2" applyNumberFormat="1" applyFont="1" applyFill="1" applyBorder="1" applyAlignment="1" applyProtection="1">
      <alignment horizontal="center"/>
      <protection locked="0"/>
    </xf>
    <xf numFmtId="180" fontId="0" fillId="0" borderId="0" xfId="2" applyNumberFormat="1" applyFont="1"/>
    <xf numFmtId="0" fontId="0" fillId="0" borderId="0" xfId="0" applyFont="1"/>
    <xf numFmtId="44" fontId="0" fillId="0" borderId="0" xfId="266" applyFont="1"/>
    <xf numFmtId="0" fontId="94" fillId="0" borderId="0" xfId="0" applyFont="1"/>
    <xf numFmtId="10" fontId="0" fillId="0" borderId="0" xfId="0" applyNumberFormat="1"/>
    <xf numFmtId="3" fontId="0" fillId="0" borderId="0" xfId="0" applyNumberFormat="1"/>
    <xf numFmtId="180" fontId="6" fillId="0" borderId="0" xfId="2" applyNumberFormat="1" applyFont="1" applyProtection="1"/>
    <xf numFmtId="9" fontId="8" fillId="0" borderId="0" xfId="2" applyFont="1" applyBorder="1" applyAlignment="1" applyProtection="1">
      <alignment horizontal="center"/>
    </xf>
    <xf numFmtId="180" fontId="8" fillId="0" borderId="0" xfId="2" applyNumberFormat="1" applyFont="1" applyBorder="1" applyAlignment="1" applyProtection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/>
    <xf numFmtId="194" fontId="6" fillId="0" borderId="0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0" fontId="0" fillId="0" borderId="37" xfId="0" applyBorder="1"/>
    <xf numFmtId="0" fontId="0" fillId="0" borderId="0" xfId="0" applyFill="1" applyBorder="1"/>
    <xf numFmtId="207" fontId="0" fillId="0" borderId="0" xfId="0" applyNumberFormat="1"/>
    <xf numFmtId="0" fontId="97" fillId="50" borderId="0" xfId="0" applyFont="1" applyFill="1" applyAlignment="1">
      <alignment horizontal="center"/>
    </xf>
    <xf numFmtId="168" fontId="95" fillId="0" borderId="0" xfId="6" applyNumberFormat="1" applyFont="1" applyFill="1" applyBorder="1"/>
    <xf numFmtId="206" fontId="95" fillId="0" borderId="0" xfId="6" applyNumberFormat="1" applyFont="1" applyFill="1" applyBorder="1"/>
    <xf numFmtId="208" fontId="95" fillId="0" borderId="0" xfId="6" applyNumberFormat="1" applyFont="1" applyFill="1" applyBorder="1"/>
    <xf numFmtId="0" fontId="96" fillId="0" borderId="0" xfId="0" applyFont="1" applyAlignment="1">
      <alignment vertical="center" wrapText="1"/>
    </xf>
    <xf numFmtId="0" fontId="96" fillId="0" borderId="0" xfId="0" applyFont="1" applyAlignment="1">
      <alignment horizontal="center" vertical="center" wrapText="1"/>
    </xf>
    <xf numFmtId="0" fontId="95" fillId="0" borderId="0" xfId="0" applyFont="1" applyAlignment="1">
      <alignment horizontal="right" vertical="center" wrapText="1"/>
    </xf>
    <xf numFmtId="0" fontId="96" fillId="52" borderId="38" xfId="0" applyFont="1" applyFill="1" applyBorder="1" applyAlignment="1">
      <alignment horizontal="center" vertical="center"/>
    </xf>
    <xf numFmtId="0" fontId="96" fillId="52" borderId="32" xfId="0" applyFont="1" applyFill="1" applyBorder="1" applyAlignment="1">
      <alignment horizontal="center" vertical="center"/>
    </xf>
    <xf numFmtId="0" fontId="95" fillId="53" borderId="31" xfId="0" applyFont="1" applyFill="1" applyBorder="1" applyAlignment="1">
      <alignment vertical="center"/>
    </xf>
    <xf numFmtId="0" fontId="96" fillId="54" borderId="35" xfId="0" applyFont="1" applyFill="1" applyBorder="1" applyAlignment="1">
      <alignment horizontal="center" vertical="center" wrapText="1"/>
    </xf>
    <xf numFmtId="0" fontId="96" fillId="54" borderId="36" xfId="0" applyFont="1" applyFill="1" applyBorder="1" applyAlignment="1">
      <alignment horizontal="center" vertical="center" wrapText="1"/>
    </xf>
    <xf numFmtId="206" fontId="95" fillId="53" borderId="34" xfId="6" applyNumberFormat="1" applyFont="1" applyFill="1" applyBorder="1" applyAlignment="1">
      <alignment vertical="center"/>
    </xf>
    <xf numFmtId="206" fontId="93" fillId="0" borderId="0" xfId="0" applyNumberFormat="1" applyFont="1"/>
    <xf numFmtId="17" fontId="93" fillId="0" borderId="0" xfId="0" applyNumberFormat="1" applyFont="1"/>
    <xf numFmtId="0" fontId="0" fillId="0" borderId="6" xfId="0" applyFill="1" applyBorder="1"/>
    <xf numFmtId="207" fontId="0" fillId="0" borderId="6" xfId="0" applyNumberFormat="1" applyFill="1" applyBorder="1"/>
    <xf numFmtId="4" fontId="92" fillId="0" borderId="34" xfId="0" applyNumberFormat="1" applyFont="1" applyBorder="1" applyAlignment="1">
      <alignment horizontal="right" vertical="center" wrapText="1"/>
    </xf>
    <xf numFmtId="4" fontId="92" fillId="0" borderId="33" xfId="0" applyNumberFormat="1" applyFont="1" applyBorder="1" applyAlignment="1">
      <alignment horizontal="right" vertical="center" wrapText="1"/>
    </xf>
    <xf numFmtId="4" fontId="92" fillId="0" borderId="32" xfId="0" applyNumberFormat="1" applyFont="1" applyBorder="1" applyAlignment="1">
      <alignment horizontal="right" vertical="center" wrapText="1"/>
    </xf>
    <xf numFmtId="0" fontId="99" fillId="55" borderId="6" xfId="0" applyFont="1" applyFill="1" applyBorder="1"/>
    <xf numFmtId="0" fontId="99" fillId="55" borderId="39" xfId="0" applyFont="1" applyFill="1" applyBorder="1"/>
    <xf numFmtId="0" fontId="0" fillId="0" borderId="6" xfId="0" applyBorder="1"/>
    <xf numFmtId="209" fontId="0" fillId="0" borderId="6" xfId="266" applyNumberFormat="1" applyFont="1" applyFill="1" applyBorder="1"/>
    <xf numFmtId="209" fontId="0" fillId="0" borderId="6" xfId="0" applyNumberFormat="1" applyBorder="1"/>
    <xf numFmtId="180" fontId="0" fillId="0" borderId="6" xfId="2" applyNumberFormat="1" applyFont="1" applyBorder="1"/>
    <xf numFmtId="9" fontId="0" fillId="0" borderId="6" xfId="0" applyNumberFormat="1" applyBorder="1"/>
    <xf numFmtId="2" fontId="0" fillId="0" borderId="6" xfId="0" applyNumberFormat="1" applyBorder="1"/>
    <xf numFmtId="44" fontId="0" fillId="0" borderId="6" xfId="0" applyNumberFormat="1" applyBorder="1"/>
    <xf numFmtId="0" fontId="99" fillId="55" borderId="37" xfId="0" applyFont="1" applyFill="1" applyBorder="1"/>
    <xf numFmtId="2" fontId="0" fillId="0" borderId="0" xfId="0" applyNumberFormat="1"/>
    <xf numFmtId="4" fontId="92" fillId="0" borderId="31" xfId="0" applyNumberFormat="1" applyFont="1" applyBorder="1" applyAlignment="1">
      <alignment horizontal="right" vertical="center" wrapText="1"/>
    </xf>
    <xf numFmtId="206" fontId="93" fillId="0" borderId="0" xfId="6" applyNumberFormat="1" applyFont="1"/>
    <xf numFmtId="17" fontId="93" fillId="0" borderId="6" xfId="0" applyNumberFormat="1" applyFont="1" applyBorder="1"/>
    <xf numFmtId="206" fontId="93" fillId="0" borderId="6" xfId="6" applyNumberFormat="1" applyFont="1" applyBorder="1"/>
    <xf numFmtId="4" fontId="93" fillId="0" borderId="0" xfId="0" applyNumberFormat="1" applyFont="1"/>
    <xf numFmtId="0" fontId="74" fillId="38" borderId="2" xfId="0" applyNumberFormat="1" applyFont="1" applyFill="1" applyBorder="1" applyAlignment="1" applyProtection="1">
      <alignment horizontal="center"/>
    </xf>
  </cellXfs>
  <cellStyles count="30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70" xr:uid="{00000000-0005-0000-0000-000039000000}"/>
    <cellStyle name="Blockout 3" xfId="269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7" xr:uid="{00000000-0005-0000-0000-000046000000}"/>
    <cellStyle name="Comma 2" xfId="8" xr:uid="{00000000-0005-0000-0000-000047000000}"/>
    <cellStyle name="Comma 2 2" xfId="73" xr:uid="{00000000-0005-0000-0000-000048000000}"/>
    <cellStyle name="Comma 2 2 2" xfId="271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3" xr:uid="{00000000-0005-0000-0000-00004C000000}"/>
    <cellStyle name="Comma 2 3 3" xfId="272" xr:uid="{00000000-0005-0000-0000-00004D000000}"/>
    <cellStyle name="Comma 2 4" xfId="76" xr:uid="{00000000-0005-0000-0000-00004E000000}"/>
    <cellStyle name="Comma 2 4 2" xfId="274" xr:uid="{00000000-0005-0000-0000-00004F000000}"/>
    <cellStyle name="Comma 2 5" xfId="77" xr:uid="{00000000-0005-0000-0000-000050000000}"/>
    <cellStyle name="Comma 2 5 2" xfId="275" xr:uid="{00000000-0005-0000-0000-000051000000}"/>
    <cellStyle name="Comma 2 6" xfId="268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6" xr:uid="{00000000-0005-0000-0000-000056000000}"/>
    <cellStyle name="Comma 4" xfId="81" xr:uid="{00000000-0005-0000-0000-000057000000}"/>
    <cellStyle name="Comma 4 2" xfId="277" xr:uid="{00000000-0005-0000-0000-000058000000}"/>
    <cellStyle name="Comma 5" xfId="82" xr:uid="{00000000-0005-0000-0000-000059000000}"/>
    <cellStyle name="Comma 5 2" xfId="278" xr:uid="{00000000-0005-0000-0000-00005A000000}"/>
    <cellStyle name="Comma 6" xfId="83" xr:uid="{00000000-0005-0000-0000-00005B000000}"/>
    <cellStyle name="Comma 6 2" xfId="279" xr:uid="{00000000-0005-0000-0000-00005C000000}"/>
    <cellStyle name="Comma 7" xfId="84" xr:uid="{00000000-0005-0000-0000-00005D000000}"/>
    <cellStyle name="Comma 7 2" xfId="280" xr:uid="{00000000-0005-0000-0000-00005E000000}"/>
    <cellStyle name="Comma 8" xfId="85" xr:uid="{00000000-0005-0000-0000-00005F000000}"/>
    <cellStyle name="Comma 8 2" xfId="281" xr:uid="{00000000-0005-0000-0000-000060000000}"/>
    <cellStyle name="Comma 9" xfId="264" xr:uid="{00000000-0005-0000-0000-000061000000}"/>
    <cellStyle name="Comma0" xfId="86" xr:uid="{00000000-0005-0000-0000-000062000000}"/>
    <cellStyle name="Currency" xfId="266" builtinId="4"/>
    <cellStyle name="Currency 11" xfId="87" xr:uid="{00000000-0005-0000-0000-000064000000}"/>
    <cellStyle name="Currency 11 2" xfId="88" xr:uid="{00000000-0005-0000-0000-000065000000}"/>
    <cellStyle name="Currency 11 2 2" xfId="283" xr:uid="{00000000-0005-0000-0000-000066000000}"/>
    <cellStyle name="Currency 11 3" xfId="282" xr:uid="{00000000-0005-0000-0000-000067000000}"/>
    <cellStyle name="Currency 2" xfId="89" xr:uid="{00000000-0005-0000-0000-000068000000}"/>
    <cellStyle name="Currency 2 2" xfId="90" xr:uid="{00000000-0005-0000-0000-000069000000}"/>
    <cellStyle name="Currency 2 2 2" xfId="285" xr:uid="{00000000-0005-0000-0000-00006A000000}"/>
    <cellStyle name="Currency 2 3" xfId="284" xr:uid="{00000000-0005-0000-0000-00006B000000}"/>
    <cellStyle name="Currency 3" xfId="91" xr:uid="{00000000-0005-0000-0000-00006C000000}"/>
    <cellStyle name="Currency 3 2" xfId="92" xr:uid="{00000000-0005-0000-0000-00006D000000}"/>
    <cellStyle name="Currency 3 2 2" xfId="287" xr:uid="{00000000-0005-0000-0000-00006E000000}"/>
    <cellStyle name="Currency 3 3" xfId="286" xr:uid="{00000000-0005-0000-0000-00006F000000}"/>
    <cellStyle name="Currency 4" xfId="93" xr:uid="{00000000-0005-0000-0000-000070000000}"/>
    <cellStyle name="Currency 4 2" xfId="94" xr:uid="{00000000-0005-0000-0000-000071000000}"/>
    <cellStyle name="Currency 4 2 2" xfId="289" xr:uid="{00000000-0005-0000-0000-000072000000}"/>
    <cellStyle name="Currency 4 3" xfId="288" xr:uid="{00000000-0005-0000-0000-000073000000}"/>
    <cellStyle name="Currency 5" xfId="243" xr:uid="{00000000-0005-0000-0000-000074000000}"/>
    <cellStyle name="Currency 5 2" xfId="298" xr:uid="{00000000-0005-0000-0000-000075000000}"/>
    <cellStyle name="Currency 6" xfId="300" xr:uid="{00000000-0005-0000-0000-000076000000}"/>
    <cellStyle name="D4_B8B1_005004B79812_.wvu.PrintTitlest" xfId="95" xr:uid="{00000000-0005-0000-0000-000077000000}"/>
    <cellStyle name="Date" xfId="96" xr:uid="{00000000-0005-0000-0000-000078000000}"/>
    <cellStyle name="Date 2" xfId="97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3" xfId="302" xr:uid="{00000000-0005-0000-0000-000099000000}"/>
    <cellStyle name="Hyperlink Arrow" xfId="122" xr:uid="{00000000-0005-0000-0000-00009A000000}"/>
    <cellStyle name="Hyperlink Text" xfId="123" xr:uid="{00000000-0005-0000-0000-00009B000000}"/>
    <cellStyle name="Input 2" xfId="124" xr:uid="{00000000-0005-0000-0000-00009C000000}"/>
    <cellStyle name="Input|Date" xfId="1" xr:uid="{00000000-0005-0000-0000-00009D000000}"/>
    <cellStyle name="Input1" xfId="125" xr:uid="{00000000-0005-0000-0000-00009E000000}"/>
    <cellStyle name="Input1 2" xfId="126" xr:uid="{00000000-0005-0000-0000-00009F000000}"/>
    <cellStyle name="Input1 2 2" xfId="291" xr:uid="{00000000-0005-0000-0000-0000A0000000}"/>
    <cellStyle name="Input1 3" xfId="290" xr:uid="{00000000-0005-0000-0000-0000A1000000}"/>
    <cellStyle name="Input2" xfId="127" xr:uid="{00000000-0005-0000-0000-0000A2000000}"/>
    <cellStyle name="Input2 2" xfId="128" xr:uid="{00000000-0005-0000-0000-0000A3000000}"/>
    <cellStyle name="Input3" xfId="129" xr:uid="{00000000-0005-0000-0000-0000A4000000}"/>
    <cellStyle name="Input3 2" xfId="130" xr:uid="{00000000-0005-0000-0000-0000A5000000}"/>
    <cellStyle name="Input3 2 2" xfId="293" xr:uid="{00000000-0005-0000-0000-0000A6000000}"/>
    <cellStyle name="Input3 3" xfId="292" xr:uid="{00000000-0005-0000-0000-0000A7000000}"/>
    <cellStyle name="Inputs_Divider" xfId="253" xr:uid="{00000000-0005-0000-0000-0000A8000000}"/>
    <cellStyle name="InSheet" xfId="25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6" xr:uid="{00000000-0005-0000-0000-0000B2000000}"/>
    <cellStyle name="Normal 11" xfId="265" xr:uid="{00000000-0005-0000-0000-0000B3000000}"/>
    <cellStyle name="Normal 12" xfId="299" xr:uid="{00000000-0005-0000-0000-0000B4000000}"/>
    <cellStyle name="Normal 13" xfId="137" xr:uid="{00000000-0005-0000-0000-0000B5000000}"/>
    <cellStyle name="Normal 13 2" xfId="7" xr:uid="{00000000-0005-0000-0000-0000B6000000}"/>
    <cellStyle name="Normal 13_29(d) - Gas extensions -tariffs" xfId="138" xr:uid="{00000000-0005-0000-0000-0000B7000000}"/>
    <cellStyle name="Normal 14" xfId="303" xr:uid="{00000000-0005-0000-0000-0000B8000000}"/>
    <cellStyle name="Normal 15" xfId="139" xr:uid="{00000000-0005-0000-0000-0000B9000000}"/>
    <cellStyle name="Normal 16" xfId="140" xr:uid="{00000000-0005-0000-0000-0000BA000000}"/>
    <cellStyle name="Normal 17" xfId="305" xr:uid="{00000000-0005-0000-0000-0000BB000000}"/>
    <cellStyle name="Normal 2" xfId="141" xr:uid="{00000000-0005-0000-0000-0000BC000000}"/>
    <cellStyle name="Normal 2 2" xfId="142" xr:uid="{00000000-0005-0000-0000-0000BD000000}"/>
    <cellStyle name="Normal 2 2 2" xfId="143" xr:uid="{00000000-0005-0000-0000-0000BE000000}"/>
    <cellStyle name="Normal 2 3" xfId="144" xr:uid="{00000000-0005-0000-0000-0000BF000000}"/>
    <cellStyle name="Normal 2 3 2" xfId="145" xr:uid="{00000000-0005-0000-0000-0000C0000000}"/>
    <cellStyle name="Normal 2 3_29(d) - Gas extensions -tariffs" xfId="146" xr:uid="{00000000-0005-0000-0000-0000C1000000}"/>
    <cellStyle name="Normal 2 4" xfId="147" xr:uid="{00000000-0005-0000-0000-0000C2000000}"/>
    <cellStyle name="Normal 2 5" xfId="148" xr:uid="{00000000-0005-0000-0000-0000C3000000}"/>
    <cellStyle name="Normal 2_29(d) - Gas extensions -tariffs" xfId="149" xr:uid="{00000000-0005-0000-0000-0000C4000000}"/>
    <cellStyle name="Normal 3" xfId="150" xr:uid="{00000000-0005-0000-0000-0000C5000000}"/>
    <cellStyle name="Normal 3 2" xfId="151" xr:uid="{00000000-0005-0000-0000-0000C6000000}"/>
    <cellStyle name="Normal 3_29(d) - Gas extensions -tariffs" xfId="152" xr:uid="{00000000-0005-0000-0000-0000C7000000}"/>
    <cellStyle name="Normal 38" xfId="153" xr:uid="{00000000-0005-0000-0000-0000C8000000}"/>
    <cellStyle name="Normal 38 2" xfId="154" xr:uid="{00000000-0005-0000-0000-0000C9000000}"/>
    <cellStyle name="Normal 38_29(d) - Gas extensions -tariffs" xfId="155" xr:uid="{00000000-0005-0000-0000-0000CA000000}"/>
    <cellStyle name="Normal 4" xfId="156" xr:uid="{00000000-0005-0000-0000-0000CB000000}"/>
    <cellStyle name="Normal 4 2" xfId="157" xr:uid="{00000000-0005-0000-0000-0000CC000000}"/>
    <cellStyle name="Normal 4 3" xfId="158" xr:uid="{00000000-0005-0000-0000-0000CD000000}"/>
    <cellStyle name="Normal 4 3 2" xfId="294" xr:uid="{00000000-0005-0000-0000-0000CE000000}"/>
    <cellStyle name="Normal 4_29(d) - Gas extensions -tariffs" xfId="159" xr:uid="{00000000-0005-0000-0000-0000CF000000}"/>
    <cellStyle name="Normal 40" xfId="160" xr:uid="{00000000-0005-0000-0000-0000D0000000}"/>
    <cellStyle name="Normal 40 2" xfId="161" xr:uid="{00000000-0005-0000-0000-0000D1000000}"/>
    <cellStyle name="Normal 40_29(d) - Gas extensions -tariffs" xfId="162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5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7" xr:uid="{00000000-0005-0000-0000-0000E9000000}"/>
    <cellStyle name="Percent 6" xfId="301" xr:uid="{00000000-0005-0000-0000-0000EA000000}"/>
    <cellStyle name="Percent 7" xfId="179" xr:uid="{00000000-0005-0000-0000-0000EB000000}"/>
    <cellStyle name="Percent 8" xfId="304" xr:uid="{00000000-0005-0000-0000-0000EC000000}"/>
    <cellStyle name="Percent 9" xfId="306" xr:uid="{00000000-0005-0000-0000-0000ED000000}"/>
    <cellStyle name="Percentage" xfId="180" xr:uid="{00000000-0005-0000-0000-0000EE000000}"/>
    <cellStyle name="Period Title" xfId="181" xr:uid="{00000000-0005-0000-0000-0000EF000000}"/>
    <cellStyle name="PSChar" xfId="182" xr:uid="{00000000-0005-0000-0000-0000F0000000}"/>
    <cellStyle name="PSDate" xfId="183" xr:uid="{00000000-0005-0000-0000-0000F1000000}"/>
    <cellStyle name="PSDec" xfId="184" xr:uid="{00000000-0005-0000-0000-0000F2000000}"/>
    <cellStyle name="PSDetail" xfId="185" xr:uid="{00000000-0005-0000-0000-0000F3000000}"/>
    <cellStyle name="PSHeading" xfId="186" xr:uid="{00000000-0005-0000-0000-0000F4000000}"/>
    <cellStyle name="PSInt" xfId="187" xr:uid="{00000000-0005-0000-0000-0000F5000000}"/>
    <cellStyle name="PSSpacer" xfId="188" xr:uid="{00000000-0005-0000-0000-0000F6000000}"/>
    <cellStyle name="Ratio" xfId="189" xr:uid="{00000000-0005-0000-0000-0000F7000000}"/>
    <cellStyle name="Ratio 2" xfId="190" xr:uid="{00000000-0005-0000-0000-0000F8000000}"/>
    <cellStyle name="Ratio_29(d) - Gas extensions -tariffs" xfId="191" xr:uid="{00000000-0005-0000-0000-0000F9000000}"/>
    <cellStyle name="Right Date" xfId="192" xr:uid="{00000000-0005-0000-0000-0000FA000000}"/>
    <cellStyle name="Right Number" xfId="193" xr:uid="{00000000-0005-0000-0000-0000FB000000}"/>
    <cellStyle name="Right Year" xfId="194" xr:uid="{00000000-0005-0000-0000-0000FC000000}"/>
    <cellStyle name="SAPError" xfId="195" xr:uid="{00000000-0005-0000-0000-0000FD000000}"/>
    <cellStyle name="SAPError 2" xfId="196" xr:uid="{00000000-0005-0000-0000-0000FE000000}"/>
    <cellStyle name="SAPKey" xfId="197" xr:uid="{00000000-0005-0000-0000-0000FF000000}"/>
    <cellStyle name="SAPKey 2" xfId="198" xr:uid="{00000000-0005-0000-0000-000000010000}"/>
    <cellStyle name="SAPLocked" xfId="199" xr:uid="{00000000-0005-0000-0000-000001010000}"/>
    <cellStyle name="SAPLocked 2" xfId="200" xr:uid="{00000000-0005-0000-0000-000002010000}"/>
    <cellStyle name="SAPOutput" xfId="201" xr:uid="{00000000-0005-0000-0000-000003010000}"/>
    <cellStyle name="SAPOutput 2" xfId="202" xr:uid="{00000000-0005-0000-0000-000004010000}"/>
    <cellStyle name="SAPSpace" xfId="203" xr:uid="{00000000-0005-0000-0000-000005010000}"/>
    <cellStyle name="SAPSpace 2" xfId="204" xr:uid="{00000000-0005-0000-0000-000006010000}"/>
    <cellStyle name="SAPText" xfId="205" xr:uid="{00000000-0005-0000-0000-000007010000}"/>
    <cellStyle name="SAPText 2" xfId="206" xr:uid="{00000000-0005-0000-0000-000008010000}"/>
    <cellStyle name="SAPUnLocked" xfId="207" xr:uid="{00000000-0005-0000-0000-000009010000}"/>
    <cellStyle name="SAPUnLocked 2" xfId="208" xr:uid="{00000000-0005-0000-0000-00000A010000}"/>
    <cellStyle name="Sheet Title" xfId="209" xr:uid="{00000000-0005-0000-0000-00000B010000}"/>
    <cellStyle name="SheetHeader1" xfId="256" xr:uid="{00000000-0005-0000-0000-00000C010000}"/>
    <cellStyle name="SheetHeader2" xfId="257" xr:uid="{00000000-0005-0000-0000-00000D010000}"/>
    <cellStyle name="SheetHeader3" xfId="258" xr:uid="{00000000-0005-0000-0000-00000E010000}"/>
    <cellStyle name="Style 1" xfId="210" xr:uid="{00000000-0005-0000-0000-00000F010000}"/>
    <cellStyle name="Style 1 2" xfId="211" xr:uid="{00000000-0005-0000-0000-000010010000}"/>
    <cellStyle name="Style 1_29(d) - Gas extensions -tariffs" xfId="212" xr:uid="{00000000-0005-0000-0000-000011010000}"/>
    <cellStyle name="Style2" xfId="213" xr:uid="{00000000-0005-0000-0000-000012010000}"/>
    <cellStyle name="Style3" xfId="214" xr:uid="{00000000-0005-0000-0000-000013010000}"/>
    <cellStyle name="Style4" xfId="215" xr:uid="{00000000-0005-0000-0000-000014010000}"/>
    <cellStyle name="Style4 2" xfId="216" xr:uid="{00000000-0005-0000-0000-000015010000}"/>
    <cellStyle name="Style4_29(d) - Gas extensions -tariffs" xfId="217" xr:uid="{00000000-0005-0000-0000-000016010000}"/>
    <cellStyle name="Style5" xfId="218" xr:uid="{00000000-0005-0000-0000-000017010000}"/>
    <cellStyle name="Style5 2" xfId="219" xr:uid="{00000000-0005-0000-0000-000018010000}"/>
    <cellStyle name="Style5_29(d) - Gas extensions -tariffs" xfId="220" xr:uid="{00000000-0005-0000-0000-000019010000}"/>
    <cellStyle name="Table Head Green" xfId="221" xr:uid="{00000000-0005-0000-0000-00001A010000}"/>
    <cellStyle name="Table Head_pldt" xfId="222" xr:uid="{00000000-0005-0000-0000-00001B010000}"/>
    <cellStyle name="Table Source" xfId="223" xr:uid="{00000000-0005-0000-0000-00001C010000}"/>
    <cellStyle name="Table Units" xfId="224" xr:uid="{00000000-0005-0000-0000-00001D010000}"/>
    <cellStyle name="Table_Heading" xfId="259" xr:uid="{00000000-0005-0000-0000-00001E010000}"/>
    <cellStyle name="Technical_Input" xfId="260" xr:uid="{00000000-0005-0000-0000-00001F010000}"/>
    <cellStyle name="Text" xfId="225" xr:uid="{00000000-0005-0000-0000-000020010000}"/>
    <cellStyle name="Text 2" xfId="226" xr:uid="{00000000-0005-0000-0000-000021010000}"/>
    <cellStyle name="Text 3" xfId="227" xr:uid="{00000000-0005-0000-0000-000022010000}"/>
    <cellStyle name="Text Head 1" xfId="228" xr:uid="{00000000-0005-0000-0000-000023010000}"/>
    <cellStyle name="Text Head 2" xfId="229" xr:uid="{00000000-0005-0000-0000-000024010000}"/>
    <cellStyle name="Text Indent 2" xfId="230" xr:uid="{00000000-0005-0000-0000-000025010000}"/>
    <cellStyle name="Theirs" xfId="231" xr:uid="{00000000-0005-0000-0000-000026010000}"/>
    <cellStyle name="Title 2" xfId="232" xr:uid="{00000000-0005-0000-0000-000027010000}"/>
    <cellStyle name="TOC 1" xfId="233" xr:uid="{00000000-0005-0000-0000-000028010000}"/>
    <cellStyle name="TOC 2" xfId="234" xr:uid="{00000000-0005-0000-0000-000029010000}"/>
    <cellStyle name="TOC 3" xfId="235" xr:uid="{00000000-0005-0000-0000-00002A010000}"/>
    <cellStyle name="Total 2" xfId="236" xr:uid="{00000000-0005-0000-0000-00002B010000}"/>
    <cellStyle name="Totals" xfId="261" xr:uid="{00000000-0005-0000-0000-00002C010000}"/>
    <cellStyle name="unit" xfId="262" xr:uid="{00000000-0005-0000-0000-00002D010000}"/>
    <cellStyle name="User_Input" xfId="263" xr:uid="{00000000-0005-0000-0000-00002E010000}"/>
    <cellStyle name="Warning Text 2" xfId="237" xr:uid="{00000000-0005-0000-0000-00002F010000}"/>
    <cellStyle name="year" xfId="238" xr:uid="{00000000-0005-0000-0000-000030010000}"/>
    <cellStyle name="year 2" xfId="239" xr:uid="{00000000-0005-0000-0000-000031010000}"/>
    <cellStyle name="year_29(d) - Gas extensions -tariffs" xfId="240" xr:uid="{00000000-0005-0000-0000-000032010000}"/>
  </cellStyles>
  <dxfs count="2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etworks\Regulation\Price%20Review\2021-25%20EDPR\13.0%202021%20EDPR%20-%20Revised%20Proposal%20Preparation\C4%20Opex\Attachments%20to%20submit\ASD%20-%20Revised%20Proposal%20-%202021-2026%20-%20Opex%20Model%20-%20031220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%20Review\2023-27%20TRR\7.0%20TRR%202023%20-%20Modelling\Opex\TRR%20Draft%20Proposal%20Opex%20Model\TRR%20-%20AusNet%20Services%202023-27%20-%20Draft%20Proposal%20Opex%20Model%20-%20vd%20edit%20October,%20post%20audi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Price%20Review/2021-25%20EDPR/4.0%202021%20EDPR%20-%20Australian%20Energy%20Regulator%20(AER)/4.10%20AER%20-%20Information%20requests/IR#089\Research docs\AST TRR submission 2020_10_29\AusNet Services - TRR 2023-27 Model Operating Expenditure Model - 29 October 2020.xlsx?37B07BBD" TargetMode="External"/><Relationship Id="rId1" Type="http://schemas.openxmlformats.org/officeDocument/2006/relationships/externalLinkPath" Target="file:///\\37B07BBD\AusNet%20Services%20-%20TRR%202023-27%20Model%20Operating%20Expenditure%20Model%20-%2029%20October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draudin\AppData\Local\Microsoft\Windows\INetCache\Content.Outlook\NY24B0PP\GSL%20forecast%202020_11_20%204pm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L Revised Step Change"/>
      <sheetName val="REFCL CPAs"/>
    </sheetNames>
    <sheetDataSet>
      <sheetData sheetId="0">
        <row r="37">
          <cell r="E37">
            <v>783.45146273104422</v>
          </cell>
        </row>
        <row r="39">
          <cell r="I39">
            <v>1293.660213218147</v>
          </cell>
          <cell r="J39">
            <v>483.29168009945943</v>
          </cell>
          <cell r="K39">
            <v>1162.8051262577951</v>
          </cell>
          <cell r="L39">
            <v>772.68951444088589</v>
          </cell>
          <cell r="M39">
            <v>773.84097588797613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  <sheetName val="TO DELETE &gt;&gt;"/>
      <sheetName val="Charts"/>
      <sheetName val="Change log"/>
    </sheetNames>
    <sheetDataSet>
      <sheetData sheetId="0" refreshError="1"/>
      <sheetData sheetId="1" refreshError="1"/>
      <sheetData sheetId="2" refreshError="1">
        <row r="70">
          <cell r="F70">
            <v>119.3049</v>
          </cell>
        </row>
        <row r="74">
          <cell r="F74">
            <v>121.98926025</v>
          </cell>
        </row>
        <row r="78">
          <cell r="F78">
            <v>124.734018605625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 refreshError="1"/>
      <sheetData sheetId="1" refreshError="1"/>
      <sheetData sheetId="2" refreshError="1">
        <row r="70">
          <cell r="F70">
            <v>119.3049</v>
          </cell>
        </row>
        <row r="74">
          <cell r="F74">
            <v>121.98926025</v>
          </cell>
        </row>
        <row r="78">
          <cell r="F78">
            <v>124.734018605625</v>
          </cell>
        </row>
        <row r="82">
          <cell r="F82">
            <v>127.54053402425156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ors"/>
      <sheetName val="GSL allowance"/>
      <sheetName val="Transitional GSLs (updated)"/>
      <sheetName val="Old GSLs"/>
      <sheetName val="To adopt for EDPR"/>
    </sheetNames>
    <sheetDataSet>
      <sheetData sheetId="0" refreshError="1"/>
      <sheetData sheetId="1" refreshError="1">
        <row r="4">
          <cell r="C4">
            <v>6239134.760715642</v>
          </cell>
          <cell r="D4">
            <v>6094434.0833442984</v>
          </cell>
          <cell r="E4">
            <v>5953089.3658671947</v>
          </cell>
          <cell r="F4">
            <v>5815022.7754295291</v>
          </cell>
          <cell r="G4">
            <v>5680158.2843093006</v>
          </cell>
          <cell r="H4">
            <v>29781839.269665964</v>
          </cell>
        </row>
      </sheetData>
      <sheetData sheetId="2" refreshError="1">
        <row r="29">
          <cell r="N29">
            <v>3217973.6545113809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1"/>
  <sheetViews>
    <sheetView showGridLines="0" workbookViewId="0">
      <selection activeCell="E17" sqref="E17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206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196</v>
      </c>
      <c r="D10" s="7" t="s">
        <v>183</v>
      </c>
    </row>
    <row r="11" spans="1:47">
      <c r="C11" s="19" t="s">
        <v>59</v>
      </c>
      <c r="D11" s="7" t="s">
        <v>50</v>
      </c>
    </row>
    <row r="12" spans="1:47">
      <c r="C12" s="19" t="s">
        <v>197</v>
      </c>
      <c r="D12" s="7" t="s">
        <v>184</v>
      </c>
    </row>
    <row r="13" spans="1:47">
      <c r="C13" s="19" t="s">
        <v>198</v>
      </c>
      <c r="D13" s="7" t="s">
        <v>185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8"/>
  <sheetViews>
    <sheetView showGridLines="0" zoomScaleNormal="100" workbookViewId="0">
      <selection activeCell="D12" sqref="D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207</v>
      </c>
      <c r="H7" s="29"/>
      <c r="I7" s="29"/>
      <c r="S7" s="131" t="str">
        <f>IF(COUNTBLANK($G7),"Check","Ok")</f>
        <v>Ok</v>
      </c>
    </row>
    <row r="8" spans="1:47">
      <c r="C8" s="29" t="s">
        <v>135</v>
      </c>
      <c r="D8" s="30" t="s">
        <v>68</v>
      </c>
      <c r="E8" s="29"/>
      <c r="F8" s="29"/>
      <c r="G8" s="52" t="s">
        <v>136</v>
      </c>
      <c r="H8" s="29"/>
      <c r="I8" s="29"/>
      <c r="S8" s="131" t="str">
        <f>IF(COUNTBLANK($G8),"Check","Ok")</f>
        <v>Ok</v>
      </c>
    </row>
    <row r="9" spans="1:47">
      <c r="C9" s="29" t="s">
        <v>192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193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194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150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195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</sheetData>
  <dataConsolidate/>
  <conditionalFormatting sqref="W16:W17">
    <cfRule type="cellIs" dxfId="253" priority="13" operator="equal">
      <formula>"Check"</formula>
    </cfRule>
    <cfRule type="cellIs" dxfId="252" priority="14" operator="equal">
      <formula>"Ok"</formula>
    </cfRule>
  </conditionalFormatting>
  <conditionalFormatting sqref="V1">
    <cfRule type="cellIs" dxfId="251" priority="3" operator="equal">
      <formula>"Check"</formula>
    </cfRule>
    <cfRule type="cellIs" dxfId="250" priority="4" operator="equal">
      <formula>"Ok"</formula>
    </cfRule>
  </conditionalFormatting>
  <conditionalFormatting sqref="S7:S16">
    <cfRule type="cellIs" dxfId="249" priority="5" operator="equal">
      <formula>"Check"</formula>
    </cfRule>
    <cfRule type="cellIs" dxfId="248" priority="6" operator="equal">
      <formula>"Ok"</formula>
    </cfRule>
  </conditionalFormatting>
  <conditionalFormatting sqref="S1">
    <cfRule type="cellIs" dxfId="247" priority="1" operator="equal">
      <formula>"Check"</formula>
    </cfRule>
    <cfRule type="cellIs" dxfId="246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showGridLines="0" topLeftCell="A50" workbookViewId="0">
      <selection activeCell="F66" sqref="F66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133</v>
      </c>
      <c r="F6" s="62" t="s">
        <v>96</v>
      </c>
      <c r="G6" s="62" t="s">
        <v>133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8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1.8334875215146207E-2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ref="G69:G84" si="2">IF(ISBLANK(F69),"",F69/F65-1)</f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2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2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2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2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2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2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2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2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2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2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2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2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2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2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2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245" priority="11" operator="equal">
      <formula>"Check"</formula>
    </cfRule>
    <cfRule type="cellIs" dxfId="244" priority="12" operator="equal">
      <formula>"Ok"</formula>
    </cfRule>
  </conditionalFormatting>
  <conditionalFormatting sqref="W1">
    <cfRule type="cellIs" dxfId="243" priority="7" operator="equal">
      <formula>"Check"</formula>
    </cfRule>
    <cfRule type="cellIs" dxfId="242" priority="8" operator="equal">
      <formula>"Ok"</formula>
    </cfRule>
  </conditionalFormatting>
  <conditionalFormatting sqref="T1">
    <cfRule type="cellIs" dxfId="241" priority="5" operator="equal">
      <formula>"Check"</formula>
    </cfRule>
    <cfRule type="cellIs" dxfId="240" priority="6" operator="equal">
      <formula>"Ok"</formula>
    </cfRule>
  </conditionalFormatting>
  <conditionalFormatting sqref="X51:X57">
    <cfRule type="cellIs" dxfId="239" priority="3" operator="equal">
      <formula>"Check"</formula>
    </cfRule>
    <cfRule type="cellIs" dxfId="238" priority="4" operator="equal">
      <formula>"Ok"</formula>
    </cfRule>
  </conditionalFormatting>
  <conditionalFormatting sqref="X58:X62 T9:T84">
    <cfRule type="cellIs" dxfId="237" priority="1" operator="equal">
      <formula>"Check"</formula>
    </cfRule>
    <cfRule type="cellIs" dxfId="236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95"/>
  <sheetViews>
    <sheetView topLeftCell="I76" zoomScale="115" zoomScaleNormal="115" workbookViewId="0">
      <selection activeCell="O88" sqref="O88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119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202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225.08547496799454</v>
      </c>
      <c r="K13" s="161">
        <v>229.27205179208548</v>
      </c>
      <c r="L13" s="161">
        <v>234.81195269310936</v>
      </c>
      <c r="M13" s="161">
        <v>239.39972553975127</v>
      </c>
      <c r="N13" s="161">
        <v>244.94778767791999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225.08547496799454</v>
      </c>
      <c r="K15" s="129">
        <f t="shared" ref="K15:T15" si="1">K13</f>
        <v>229.27205179208548</v>
      </c>
      <c r="L15" s="129">
        <f t="shared" si="1"/>
        <v>234.81195269310936</v>
      </c>
      <c r="M15" s="129">
        <f t="shared" si="1"/>
        <v>239.39972553975127</v>
      </c>
      <c r="N15" s="129">
        <f t="shared" si="1"/>
        <v>244.94778767791999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159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1.7456371682521112</v>
      </c>
      <c r="K19" s="161">
        <v>1.8263681574112083</v>
      </c>
      <c r="L19" s="161">
        <v>1.9490550282039449</v>
      </c>
      <c r="M19" s="161">
        <v>2.0522074583479255</v>
      </c>
      <c r="N19" s="161">
        <v>2.1657096335281971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208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8.3000000000000007</v>
      </c>
      <c r="K20" s="161">
        <v>8.3000000000000007</v>
      </c>
      <c r="L20" s="161">
        <v>8.3000000000000007</v>
      </c>
      <c r="M20" s="161">
        <v>8.3000000000000007</v>
      </c>
      <c r="N20" s="161">
        <v>8.3000000000000007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157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10.045637168252112</v>
      </c>
      <c r="K29" s="129">
        <f t="shared" ref="K29:S29" si="4">SUM(K19:K27)</f>
        <v>10.126368157411209</v>
      </c>
      <c r="L29" s="129">
        <f t="shared" si="4"/>
        <v>10.249055028203946</v>
      </c>
      <c r="M29" s="129">
        <f t="shared" si="4"/>
        <v>10.352207458347927</v>
      </c>
      <c r="N29" s="129">
        <f t="shared" si="4"/>
        <v>10.465709633528197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203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134.92569340710057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134.92569340710057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159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1.1510319909904236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208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4.5042239391143921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157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5.6552559301048158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240.51147599755791</v>
      </c>
      <c r="K60" s="161">
        <v>216.72910674238398</v>
      </c>
      <c r="L60" s="161">
        <v>205.57865474835609</v>
      </c>
      <c r="M60" s="161">
        <v>211.75328101467809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61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179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61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61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-0.42218142367227329</v>
      </c>
      <c r="K64" s="161">
        <v>0.58126924664361124</v>
      </c>
      <c r="L64" s="161">
        <v>-1.9837386090981766</v>
      </c>
      <c r="M64" s="161">
        <v>6.9823342347697031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187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7.7478299999999958E-2</v>
      </c>
      <c r="K65" s="161">
        <v>0.26055693000000002</v>
      </c>
      <c r="L65" s="161">
        <v>0.22754147999999996</v>
      </c>
      <c r="M65" s="161">
        <v>0.2849562499999998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189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240.85617912123018</v>
      </c>
      <c r="K70" s="129">
        <f t="shared" ref="K70:S70" si="12">K60-SUM(K64:K68)</f>
        <v>215.88728056574035</v>
      </c>
      <c r="L70" s="129">
        <f t="shared" si="12"/>
        <v>207.33485187745427</v>
      </c>
      <c r="M70" s="129">
        <f t="shared" si="12"/>
        <v>204.48599052990841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188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17.667649999999998</v>
      </c>
      <c r="K75" s="161">
        <v>3.4766400000000002</v>
      </c>
      <c r="L75" s="161">
        <v>6.5871000000000004</v>
      </c>
      <c r="M75" s="161">
        <v>11.65239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157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17.667649999999998</v>
      </c>
      <c r="K79" s="184">
        <f t="shared" ref="K79:S79" si="14">SUM(K74:K77)</f>
        <v>3.4766400000000002</v>
      </c>
      <c r="L79" s="184">
        <f t="shared" si="14"/>
        <v>6.5871000000000004</v>
      </c>
      <c r="M79" s="184">
        <f t="shared" si="14"/>
        <v>11.65239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249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243"/>
      <c r="P85" s="161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221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>
        <v>-2.2329835260298001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113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114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115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178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>
        <v>-4.3578307413102673</v>
      </c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5" priority="54" operator="equal">
      <formula>"Check"</formula>
    </cfRule>
    <cfRule type="cellIs" dxfId="234" priority="55" operator="equal">
      <formula>"Ok"</formula>
    </cfRule>
  </conditionalFormatting>
  <conditionalFormatting sqref="X79">
    <cfRule type="cellIs" dxfId="233" priority="52" operator="equal">
      <formula>"Check"</formula>
    </cfRule>
    <cfRule type="cellIs" dxfId="232" priority="53" operator="equal">
      <formula>"Ok"</formula>
    </cfRule>
  </conditionalFormatting>
  <conditionalFormatting sqref="X15">
    <cfRule type="cellIs" dxfId="231" priority="50" operator="equal">
      <formula>"Check"</formula>
    </cfRule>
    <cfRule type="cellIs" dxfId="230" priority="51" operator="equal">
      <formula>"Ok"</formula>
    </cfRule>
  </conditionalFormatting>
  <conditionalFormatting sqref="W1">
    <cfRule type="cellIs" dxfId="229" priority="48" operator="equal">
      <formula>"Check"</formula>
    </cfRule>
    <cfRule type="cellIs" dxfId="228" priority="49" operator="equal">
      <formula>"Ok"</formula>
    </cfRule>
  </conditionalFormatting>
  <conditionalFormatting sqref="S1:T1">
    <cfRule type="cellIs" dxfId="227" priority="46" operator="equal">
      <formula>"Check"</formula>
    </cfRule>
    <cfRule type="cellIs" dxfId="226" priority="47" operator="equal">
      <formula>"Ok"</formula>
    </cfRule>
  </conditionalFormatting>
  <conditionalFormatting sqref="J15:T15">
    <cfRule type="cellIs" dxfId="225" priority="45" operator="equal">
      <formula>0</formula>
    </cfRule>
  </conditionalFormatting>
  <conditionalFormatting sqref="J79:S79">
    <cfRule type="cellIs" dxfId="224" priority="44" operator="equal">
      <formula>0</formula>
    </cfRule>
  </conditionalFormatting>
  <conditionalFormatting sqref="X71:X73">
    <cfRule type="cellIs" dxfId="223" priority="42" operator="equal">
      <formula>"Check"</formula>
    </cfRule>
    <cfRule type="cellIs" dxfId="222" priority="43" operator="equal">
      <formula>"Ok"</formula>
    </cfRule>
  </conditionalFormatting>
  <conditionalFormatting sqref="J56:T56 N60:T60 J74:S77 J64:T68">
    <cfRule type="expression" dxfId="221" priority="40">
      <formula>J$57=J$4</formula>
    </cfRule>
  </conditionalFormatting>
  <conditionalFormatting sqref="P13:T13 J19:T27">
    <cfRule type="expression" dxfId="220" priority="39">
      <formula>J$10=J$4</formula>
    </cfRule>
  </conditionalFormatting>
  <conditionalFormatting sqref="J60:O60">
    <cfRule type="expression" dxfId="219" priority="36">
      <formula>J$10=J$4</formula>
    </cfRule>
  </conditionalFormatting>
  <conditionalFormatting sqref="X70">
    <cfRule type="cellIs" dxfId="218" priority="34" operator="equal">
      <formula>"Check"</formula>
    </cfRule>
    <cfRule type="cellIs" dxfId="217" priority="35" operator="equal">
      <formula>"Ok"</formula>
    </cfRule>
  </conditionalFormatting>
  <conditionalFormatting sqref="J70:S70">
    <cfRule type="cellIs" dxfId="216" priority="32" operator="equal">
      <formula>0</formula>
    </cfRule>
  </conditionalFormatting>
  <conditionalFormatting sqref="J91:T91 J93:T93 J86:T89 J85:N85 P85:T85">
    <cfRule type="expression" dxfId="215" priority="31">
      <formula>J$83=J$4</formula>
    </cfRule>
  </conditionalFormatting>
  <conditionalFormatting sqref="X29">
    <cfRule type="cellIs" dxfId="214" priority="27" operator="equal">
      <formula>"Check"</formula>
    </cfRule>
    <cfRule type="cellIs" dxfId="213" priority="28" operator="equal">
      <formula>"Ok"</formula>
    </cfRule>
  </conditionalFormatting>
  <conditionalFormatting sqref="J29:T29">
    <cfRule type="cellIs" dxfId="212" priority="26" operator="equal">
      <formula>0</formula>
    </cfRule>
  </conditionalFormatting>
  <conditionalFormatting sqref="N13">
    <cfRule type="expression" dxfId="211" priority="23">
      <formula>N$57=N$4</formula>
    </cfRule>
  </conditionalFormatting>
  <conditionalFormatting sqref="J13:N13">
    <cfRule type="expression" dxfId="210" priority="22">
      <formula>J$10=J$4</formula>
    </cfRule>
  </conditionalFormatting>
  <conditionalFormatting sqref="O60">
    <cfRule type="expression" dxfId="209" priority="20">
      <formula>O$10=O$4</formula>
    </cfRule>
  </conditionalFormatting>
  <conditionalFormatting sqref="T79">
    <cfRule type="cellIs" dxfId="208" priority="19" operator="equal">
      <formula>0</formula>
    </cfRule>
  </conditionalFormatting>
  <conditionalFormatting sqref="T74:T77">
    <cfRule type="expression" dxfId="207" priority="18">
      <formula>T$57=T$4</formula>
    </cfRule>
  </conditionalFormatting>
  <conditionalFormatting sqref="T70">
    <cfRule type="cellIs" dxfId="206" priority="17" operator="equal">
      <formula>0</formula>
    </cfRule>
  </conditionalFormatting>
  <conditionalFormatting sqref="O12:O13">
    <cfRule type="expression" dxfId="205" priority="15">
      <formula>O$10=O$4</formula>
    </cfRule>
  </conditionalFormatting>
  <conditionalFormatting sqref="X38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J38:T38">
    <cfRule type="cellIs" dxfId="202" priority="12" operator="equal">
      <formula>0</formula>
    </cfRule>
  </conditionalFormatting>
  <conditionalFormatting sqref="J42:N50 P42:T50">
    <cfRule type="expression" dxfId="201" priority="11">
      <formula>J$33=J$4</formula>
    </cfRule>
  </conditionalFormatting>
  <conditionalFormatting sqref="X52">
    <cfRule type="cellIs" dxfId="200" priority="9" operator="equal">
      <formula>"Check"</formula>
    </cfRule>
    <cfRule type="cellIs" dxfId="199" priority="10" operator="equal">
      <formula>"Ok"</formula>
    </cfRule>
  </conditionalFormatting>
  <conditionalFormatting sqref="J52:T52">
    <cfRule type="cellIs" dxfId="198" priority="8" operator="equal">
      <formula>0</formula>
    </cfRule>
  </conditionalFormatting>
  <conditionalFormatting sqref="J36">
    <cfRule type="expression" dxfId="197" priority="6">
      <formula>J$33=J$4</formula>
    </cfRule>
  </conditionalFormatting>
  <conditionalFormatting sqref="O35">
    <cfRule type="expression" dxfId="196" priority="5">
      <formula>O$10=O$4</formula>
    </cfRule>
  </conditionalFormatting>
  <conditionalFormatting sqref="K36:T36">
    <cfRule type="expression" dxfId="195" priority="3">
      <formula>K$33=K$4</formula>
    </cfRule>
  </conditionalFormatting>
  <conditionalFormatting sqref="O42:O50">
    <cfRule type="expression" dxfId="194" priority="2">
      <formula>O$33=O$4</formula>
    </cfRule>
  </conditionalFormatting>
  <conditionalFormatting sqref="O85">
    <cfRule type="expression" dxfId="193" priority="1">
      <formula>O$83=O$4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11"/>
  <sheetViews>
    <sheetView showGridLines="0" topLeftCell="F1" zoomScale="115" zoomScaleNormal="115" workbookViewId="0">
      <selection activeCell="J16" sqref="J16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119</v>
      </c>
      <c r="K3" s="286"/>
      <c r="L3" s="286"/>
      <c r="M3" s="286"/>
      <c r="N3" s="180"/>
      <c r="O3" s="286"/>
      <c r="P3" s="286"/>
      <c r="Q3" s="286"/>
      <c r="R3" s="286"/>
      <c r="S3" s="286"/>
      <c r="T3" s="286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214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7.7999999999999996E-3</v>
      </c>
      <c r="R38" s="165">
        <v>5.0000000000000001E-3</v>
      </c>
      <c r="S38" s="165">
        <v>6.4999999999999997E-3</v>
      </c>
      <c r="T38" s="165">
        <v>9.9000000000000008E-3</v>
      </c>
      <c r="U38" s="165">
        <v>1.3100000000000001E-2</v>
      </c>
    </row>
    <row r="39" spans="1:50" ht="11.25" customHeight="1" outlineLevel="1">
      <c r="C39" s="61"/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/>
      <c r="R39" s="165"/>
      <c r="S39" s="165"/>
      <c r="T39" s="165"/>
      <c r="U39" s="165"/>
    </row>
    <row r="40" spans="1:50" ht="11.25" customHeight="1" outlineLevel="1">
      <c r="C40" s="61"/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60"/>
      <c r="R40" s="60"/>
      <c r="S40" s="60"/>
      <c r="T40" s="60"/>
      <c r="U40" s="60"/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DAE and BIS</v>
      </c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0.59199999999999997</v>
      </c>
      <c r="R51" s="60">
        <v>0.59199999999999997</v>
      </c>
      <c r="S51" s="60">
        <v>0.59199999999999997</v>
      </c>
      <c r="T51" s="60">
        <v>0.59199999999999997</v>
      </c>
      <c r="U51" s="60">
        <v>0.59199999999999997</v>
      </c>
    </row>
    <row r="52" spans="1:50" ht="11.25" customHeight="1" outlineLevel="1">
      <c r="C52" s="146">
        <f t="shared" si="37"/>
        <v>0</v>
      </c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>
        <f t="shared" si="37"/>
        <v>0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>
        <f t="shared" si="37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7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7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166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246">
        <v>779753.673803502</v>
      </c>
      <c r="Q66" s="246">
        <v>785431.69870634796</v>
      </c>
      <c r="R66" s="246">
        <v>795703.17249661847</v>
      </c>
      <c r="S66" s="246">
        <v>809126.74842840328</v>
      </c>
      <c r="T66" s="246">
        <v>822666.34620915505</v>
      </c>
      <c r="U66" s="246">
        <v>836299.16678558337</v>
      </c>
    </row>
    <row r="67" spans="3:23" outlineLevel="1">
      <c r="C67" s="61" t="s">
        <v>167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46831.393613865628</v>
      </c>
      <c r="Q67" s="194">
        <v>47111.625443487501</v>
      </c>
      <c r="R67" s="194">
        <v>47485.225304858337</v>
      </c>
      <c r="S67" s="194">
        <v>47858.82936544792</v>
      </c>
      <c r="T67" s="194">
        <v>48232.492874279698</v>
      </c>
      <c r="U67" s="194">
        <v>48606.165141656384</v>
      </c>
    </row>
    <row r="68" spans="3:23" outlineLevel="1">
      <c r="C68" s="61" t="s">
        <v>168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2011.9385040000006</v>
      </c>
      <c r="Q68" s="194">
        <v>2011.9385040000006</v>
      </c>
      <c r="R68" s="194">
        <v>2011.9385040000006</v>
      </c>
      <c r="S68" s="194">
        <v>2011.9385040000006</v>
      </c>
      <c r="T68" s="194">
        <v>2011.9385040000006</v>
      </c>
      <c r="U68" s="194">
        <v>2011.9385040000006</v>
      </c>
    </row>
    <row r="69" spans="3:23" outlineLevel="1">
      <c r="C69" s="61" t="s">
        <v>169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7326.8903436925921</v>
      </c>
      <c r="Q69" s="194">
        <v>7299.5705394237357</v>
      </c>
      <c r="R69" s="194">
        <v>7258.5272577754013</v>
      </c>
      <c r="S69" s="194">
        <v>7229.0193338192121</v>
      </c>
      <c r="T69" s="194">
        <v>7204.0959514521455</v>
      </c>
      <c r="U69" s="194">
        <v>7182.9739766410821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7.2554342901245406E-3</v>
      </c>
      <c r="R77" s="117">
        <f t="shared" si="44"/>
        <v>1.2992716145186378E-2</v>
      </c>
      <c r="S77" s="117">
        <f t="shared" si="44"/>
        <v>1.6729360324502451E-2</v>
      </c>
      <c r="T77" s="117">
        <f t="shared" si="44"/>
        <v>1.6595129070813286E-2</v>
      </c>
      <c r="U77" s="117">
        <f t="shared" si="44"/>
        <v>1.6435697254518544E-2</v>
      </c>
    </row>
    <row r="78" spans="3:23" outlineLevel="1">
      <c r="C78" s="146" t="str">
        <f t="shared" ref="C78:C82" si="45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5.9660135182291185E-3</v>
      </c>
      <c r="R78" s="117">
        <f t="shared" si="46"/>
        <v>7.8988211735193659E-3</v>
      </c>
      <c r="S78" s="117">
        <f t="shared" si="46"/>
        <v>7.8370061786880996E-3</v>
      </c>
      <c r="T78" s="117">
        <f t="shared" si="46"/>
        <v>7.7772973372063348E-3</v>
      </c>
      <c r="U78" s="117">
        <f t="shared" si="46"/>
        <v>7.7174576695799857E-3</v>
      </c>
    </row>
    <row r="79" spans="3:23" outlineLevel="1">
      <c r="C79" s="146" t="str">
        <f t="shared" si="45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 t="str">
        <f t="shared" si="45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>
        <f t="shared" si="48"/>
        <v>-3.7356727999195982E-3</v>
      </c>
      <c r="R80" s="117">
        <f t="shared" si="48"/>
        <v>-5.6385650051549163E-3</v>
      </c>
      <c r="S80" s="117">
        <f t="shared" si="48"/>
        <v>-4.0735627076600167E-3</v>
      </c>
      <c r="T80" s="117">
        <f t="shared" si="48"/>
        <v>-3.4536420790036715E-3</v>
      </c>
      <c r="U80" s="117">
        <f t="shared" si="48"/>
        <v>-2.9362462394306732E-3</v>
      </c>
    </row>
    <row r="81" spans="3:23" outlineLevel="1">
      <c r="C81" s="146">
        <f t="shared" si="45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170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171</v>
      </c>
      <c r="K84" s="209" t="s">
        <v>172</v>
      </c>
      <c r="L84" s="209" t="s">
        <v>173</v>
      </c>
      <c r="M84" s="209" t="s">
        <v>199</v>
      </c>
      <c r="N84" s="209" t="s">
        <v>174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1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175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5.7920141803799287E-3</v>
      </c>
      <c r="R97" s="117">
        <f t="shared" si="53"/>
        <v>9.9521307296658954E-3</v>
      </c>
      <c r="S97" s="117">
        <f t="shared" si="53"/>
        <v>1.2462428198558168E-2</v>
      </c>
      <c r="T97" s="117">
        <f>IF(T$95=T$4,SUMPRODUCT(T$77:T$82,$J$86:$J$91),"")</f>
        <v>1.2362911970900115E-2</v>
      </c>
      <c r="U97" s="117">
        <f>IF(U$95=U$4,SUMPRODUCT(U$77:U$82,$J$86:$J$91),"")</f>
        <v>1.2246383275294516E-2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5.9309336464773215E-3</v>
      </c>
      <c r="R98" s="117">
        <f t="shared" si="54"/>
        <v>1.0187534356705621E-2</v>
      </c>
      <c r="S98" s="117">
        <f t="shared" si="54"/>
        <v>1.2754332105148307E-2</v>
      </c>
      <c r="T98" s="117">
        <f>IF(T$95=T$4,SUMPRODUCT(T$77:T$82,$K$86:$K$91),"")</f>
        <v>1.2652488959995066E-2</v>
      </c>
      <c r="U98" s="117">
        <f>IF(U$95=U$4,SUMPRODUCT(U$77:U$82,$K$86:$K$91),"")</f>
        <v>1.2533249670377182E-2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4.0158457735595451E-3</v>
      </c>
      <c r="R99" s="117">
        <f t="shared" si="55"/>
        <v>6.6021263374149283E-3</v>
      </c>
      <c r="S99" s="117">
        <f t="shared" si="55"/>
        <v>8.0071027505590822E-3</v>
      </c>
      <c r="T99" s="117">
        <f>IF(T$95=T$4,SUMPRODUCT(T$77:T$82,$L$86:$L$91),"")</f>
        <v>7.9435275989265027E-3</v>
      </c>
      <c r="U99" s="117">
        <f>IF(U$95=U$4,SUMPRODUCT(U$77:U$82,$L$86:$L$91),"")</f>
        <v>7.8703611509729123E-3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5.7972102027087843E-3</v>
      </c>
      <c r="R100" s="117">
        <f t="shared" si="56"/>
        <v>1.0036905147202808E-2</v>
      </c>
      <c r="S100" s="117">
        <f t="shared" si="56"/>
        <v>1.2634820618579278E-2</v>
      </c>
      <c r="T100" s="117">
        <f>IF(T$95=T$4,SUMPRODUCT(T$77:T$82,$M$86:$M$91),"")</f>
        <v>1.2533835181690529E-2</v>
      </c>
      <c r="U100" s="117">
        <f>IF(U$95=U$4,SUMPRODUCT(U$77:U$82,$M$86:$M$91),"")</f>
        <v>1.2415261209302825E-2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3.3582833953328408E-3</v>
      </c>
      <c r="R101" s="117">
        <f t="shared" ref="R101:U101" si="57">IF(R$95=R$4,SUMPRODUCT(R$77:R$82,$N$86:$N$91),"")</f>
        <v>5.0140607599617054E-3</v>
      </c>
      <c r="S101" s="117">
        <f t="shared" si="57"/>
        <v>5.8161700701191473E-3</v>
      </c>
      <c r="T101" s="117">
        <f t="shared" si="57"/>
        <v>5.8211295913186654E-3</v>
      </c>
      <c r="U101" s="117">
        <f t="shared" si="57"/>
        <v>5.8125741360672894E-3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59">$R$107</f>
        <v>5.0000000000000001E-3</v>
      </c>
      <c r="U107" s="167">
        <f t="shared" si="59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0">IF(J105=J$4,IF(ISBLANK(J107),"Check","Ok"),"")</f>
        <v/>
      </c>
      <c r="K109" s="132" t="str">
        <f t="shared" si="60"/>
        <v/>
      </c>
      <c r="L109" s="132" t="str">
        <f t="shared" si="60"/>
        <v/>
      </c>
      <c r="M109" s="132" t="str">
        <f t="shared" si="60"/>
        <v/>
      </c>
      <c r="N109" s="132" t="str">
        <f t="shared" si="60"/>
        <v/>
      </c>
      <c r="O109" s="132" t="str">
        <f t="shared" si="60"/>
        <v/>
      </c>
      <c r="P109" s="132" t="str">
        <f t="shared" si="60"/>
        <v/>
      </c>
      <c r="Q109" s="132" t="str">
        <f t="shared" si="60"/>
        <v>Ok</v>
      </c>
      <c r="R109" s="132" t="str">
        <f t="shared" si="60"/>
        <v>Ok</v>
      </c>
      <c r="S109" s="132" t="str">
        <f t="shared" si="60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</sheetData>
  <mergeCells count="2">
    <mergeCell ref="K3:M3"/>
    <mergeCell ref="O3:T3"/>
  </mergeCells>
  <conditionalFormatting sqref="W1">
    <cfRule type="cellIs" dxfId="192" priority="131" operator="equal">
      <formula>"Check"</formula>
    </cfRule>
    <cfRule type="cellIs" dxfId="191" priority="132" operator="equal">
      <formula>"Ok"</formula>
    </cfRule>
  </conditionalFormatting>
  <conditionalFormatting sqref="T1">
    <cfRule type="cellIs" dxfId="190" priority="95" operator="equal">
      <formula>"Check"</formula>
    </cfRule>
    <cfRule type="cellIs" dxfId="189" priority="96" operator="equal">
      <formula>"Ok"</formula>
    </cfRule>
  </conditionalFormatting>
  <conditionalFormatting sqref="W60">
    <cfRule type="cellIs" dxfId="188" priority="83" operator="equal">
      <formula>"Check"</formula>
    </cfRule>
    <cfRule type="cellIs" dxfId="187" priority="84" operator="equal">
      <formula>"Ok"</formula>
    </cfRule>
  </conditionalFormatting>
  <conditionalFormatting sqref="J60:T60">
    <cfRule type="cellIs" dxfId="186" priority="75" operator="equal">
      <formula>"Check"</formula>
    </cfRule>
    <cfRule type="cellIs" dxfId="185" priority="76" operator="equal">
      <formula>"Ok"</formula>
    </cfRule>
  </conditionalFormatting>
  <conditionalFormatting sqref="J36:U36">
    <cfRule type="expression" dxfId="184" priority="66">
      <formula>J$36=J$4</formula>
    </cfRule>
  </conditionalFormatting>
  <conditionalFormatting sqref="J38:T45 Q38:U38">
    <cfRule type="expression" dxfId="183" priority="64">
      <formula>J$36=J$4</formula>
    </cfRule>
  </conditionalFormatting>
  <conditionalFormatting sqref="J51:U58">
    <cfRule type="expression" dxfId="182" priority="63">
      <formula>J$49=J$4</formula>
    </cfRule>
  </conditionalFormatting>
  <conditionalFormatting sqref="W109">
    <cfRule type="cellIs" dxfId="181" priority="57" operator="equal">
      <formula>"Check"</formula>
    </cfRule>
    <cfRule type="cellIs" dxfId="180" priority="58" operator="equal">
      <formula>"Ok"</formula>
    </cfRule>
  </conditionalFormatting>
  <conditionalFormatting sqref="J109:T109">
    <cfRule type="cellIs" dxfId="179" priority="55" operator="equal">
      <formula>"Check"</formula>
    </cfRule>
    <cfRule type="cellIs" dxfId="178" priority="56" operator="equal">
      <formula>"Ok"</formula>
    </cfRule>
  </conditionalFormatting>
  <conditionalFormatting sqref="W47">
    <cfRule type="cellIs" dxfId="177" priority="53" operator="equal">
      <formula>"Check"</formula>
    </cfRule>
    <cfRule type="cellIs" dxfId="176" priority="54" operator="equal">
      <formula>"Ok"</formula>
    </cfRule>
  </conditionalFormatting>
  <conditionalFormatting sqref="J47:T47">
    <cfRule type="cellIs" dxfId="175" priority="51" operator="equal">
      <formula>"Check"</formula>
    </cfRule>
    <cfRule type="cellIs" dxfId="174" priority="52" operator="equal">
      <formula>"Ok"</formula>
    </cfRule>
  </conditionalFormatting>
  <conditionalFormatting sqref="W73">
    <cfRule type="cellIs" dxfId="173" priority="49" operator="equal">
      <formula>"Check"</formula>
    </cfRule>
    <cfRule type="cellIs" dxfId="172" priority="50" operator="equal">
      <formula>"Ok"</formula>
    </cfRule>
  </conditionalFormatting>
  <conditionalFormatting sqref="J73:T73">
    <cfRule type="cellIs" dxfId="171" priority="47" operator="equal">
      <formula>"Check"</formula>
    </cfRule>
    <cfRule type="cellIs" dxfId="170" priority="48" operator="equal">
      <formula>"Ok"</formula>
    </cfRule>
  </conditionalFormatting>
  <conditionalFormatting sqref="J64:U64">
    <cfRule type="expression" dxfId="169" priority="41">
      <formula>J$64=J$4</formula>
    </cfRule>
  </conditionalFormatting>
  <conditionalFormatting sqref="J70:T71 J67:U69 J66:O66">
    <cfRule type="expression" dxfId="168" priority="39">
      <formula>J$64=J$4</formula>
    </cfRule>
  </conditionalFormatting>
  <conditionalFormatting sqref="J49:U49">
    <cfRule type="expression" dxfId="167" priority="36">
      <formula>J$36=J$4</formula>
    </cfRule>
  </conditionalFormatting>
  <conditionalFormatting sqref="J75:U75">
    <cfRule type="expression" dxfId="166" priority="35">
      <formula>J$36=J$4</formula>
    </cfRule>
  </conditionalFormatting>
  <conditionalFormatting sqref="J105:U105">
    <cfRule type="expression" dxfId="165" priority="34">
      <formula>J$36=J$4</formula>
    </cfRule>
  </conditionalFormatting>
  <conditionalFormatting sqref="J26:T32">
    <cfRule type="cellIs" dxfId="164" priority="32" operator="equal">
      <formula>0</formula>
    </cfRule>
  </conditionalFormatting>
  <conditionalFormatting sqref="J16:T22">
    <cfRule type="cellIs" dxfId="163" priority="31" operator="equal">
      <formula>0</formula>
    </cfRule>
  </conditionalFormatting>
  <conditionalFormatting sqref="W93:W101">
    <cfRule type="cellIs" dxfId="162" priority="27" operator="equal">
      <formula>"Check"</formula>
    </cfRule>
    <cfRule type="cellIs" dxfId="161" priority="28" operator="equal">
      <formula>"Ok"</formula>
    </cfRule>
  </conditionalFormatting>
  <conditionalFormatting sqref="K90:M91">
    <cfRule type="expression" dxfId="160" priority="26">
      <formula>K$84=K$4</formula>
    </cfRule>
  </conditionalFormatting>
  <conditionalFormatting sqref="J96:T96 J93:T94">
    <cfRule type="cellIs" dxfId="159" priority="24" operator="equal">
      <formula>"Check"</formula>
    </cfRule>
    <cfRule type="cellIs" dxfId="158" priority="25" operator="equal">
      <formula>"Ok"</formula>
    </cfRule>
  </conditionalFormatting>
  <conditionalFormatting sqref="J95:U95">
    <cfRule type="expression" dxfId="157" priority="23">
      <formula>J$95=J$4</formula>
    </cfRule>
  </conditionalFormatting>
  <conditionalFormatting sqref="J107:U107">
    <cfRule type="expression" dxfId="156" priority="136">
      <formula>J$105=J$4</formula>
    </cfRule>
  </conditionalFormatting>
  <conditionalFormatting sqref="K86:M89">
    <cfRule type="expression" dxfId="155" priority="22">
      <formula>K$84=K$4</formula>
    </cfRule>
  </conditionalFormatting>
  <conditionalFormatting sqref="U26:U32">
    <cfRule type="cellIs" dxfId="154" priority="21" operator="equal">
      <formula>0</formula>
    </cfRule>
  </conditionalFormatting>
  <conditionalFormatting sqref="U16:U22">
    <cfRule type="cellIs" dxfId="153" priority="20" operator="equal">
      <formula>0</formula>
    </cfRule>
  </conditionalFormatting>
  <conditionalFormatting sqref="U109">
    <cfRule type="cellIs" dxfId="152" priority="2" operator="equal">
      <formula>"Check"</formula>
    </cfRule>
    <cfRule type="cellIs" dxfId="151" priority="3" operator="equal">
      <formula>"Ok"</formula>
    </cfRule>
  </conditionalFormatting>
  <conditionalFormatting sqref="U47">
    <cfRule type="cellIs" dxfId="150" priority="15" operator="equal">
      <formula>"Check"</formula>
    </cfRule>
    <cfRule type="cellIs" dxfId="149" priority="16" operator="equal">
      <formula>"Ok"</formula>
    </cfRule>
  </conditionalFormatting>
  <conditionalFormatting sqref="U38:U45">
    <cfRule type="expression" dxfId="148" priority="14">
      <formula>U$36=U$4</formula>
    </cfRule>
  </conditionalFormatting>
  <conditionalFormatting sqref="U51:U58">
    <cfRule type="expression" dxfId="147" priority="11">
      <formula>U$49=U$4</formula>
    </cfRule>
  </conditionalFormatting>
  <conditionalFormatting sqref="U60">
    <cfRule type="cellIs" dxfId="146" priority="9" operator="equal">
      <formula>"Check"</formula>
    </cfRule>
    <cfRule type="cellIs" dxfId="145" priority="10" operator="equal">
      <formula>"Ok"</formula>
    </cfRule>
  </conditionalFormatting>
  <conditionalFormatting sqref="U73">
    <cfRule type="cellIs" dxfId="144" priority="6" operator="equal">
      <formula>"Check"</formula>
    </cfRule>
    <cfRule type="cellIs" dxfId="143" priority="7" operator="equal">
      <formula>"Ok"</formula>
    </cfRule>
  </conditionalFormatting>
  <conditionalFormatting sqref="U70:U71">
    <cfRule type="expression" dxfId="142" priority="5">
      <formula>U$64=U$4</formula>
    </cfRule>
  </conditionalFormatting>
  <conditionalFormatting sqref="U107">
    <cfRule type="expression" dxfId="141" priority="4">
      <formula>U$105=U$4</formula>
    </cfRule>
  </conditionalFormatting>
  <conditionalFormatting sqref="P66:U66">
    <cfRule type="expression" dxfId="140" priority="1">
      <formula>P$64=P$4</formula>
    </cfRule>
  </conditionalFormatting>
  <dataValidations disablePrompts="1"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52"/>
  <sheetViews>
    <sheetView showGridLines="0" topLeftCell="F9" zoomScale="130" zoomScaleNormal="130" workbookViewId="0">
      <selection activeCell="P16" sqref="P16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119</v>
      </c>
      <c r="K3" s="170"/>
      <c r="L3" s="170"/>
      <c r="M3" s="180"/>
      <c r="N3" s="286"/>
      <c r="O3" s="286"/>
      <c r="P3" s="286"/>
      <c r="Q3" s="286"/>
      <c r="R3" s="286"/>
      <c r="S3" s="286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210</v>
      </c>
      <c r="D12" s="30" t="s">
        <v>68</v>
      </c>
      <c r="E12" s="148" t="s">
        <v>15</v>
      </c>
      <c r="F12" s="169">
        <v>44166</v>
      </c>
      <c r="G12" s="32"/>
      <c r="H12" s="32"/>
      <c r="J12" s="150"/>
      <c r="K12" s="150"/>
      <c r="L12" s="150"/>
      <c r="M12" s="150"/>
      <c r="N12" s="150"/>
      <c r="O12" s="168"/>
      <c r="P12" s="168">
        <f>'[1]REFCL Revised Step Change'!I39/1000</f>
        <v>1.2936602132181469</v>
      </c>
      <c r="Q12" s="245">
        <f>'[1]REFCL Revised Step Change'!J39/1000</f>
        <v>0.48329168009945944</v>
      </c>
      <c r="R12" s="245">
        <f>'[1]REFCL Revised Step Change'!K39/1000</f>
        <v>1.1628051262577952</v>
      </c>
      <c r="S12" s="245">
        <f>'[1]REFCL Revised Step Change'!L39/1000</f>
        <v>0.77268951444088585</v>
      </c>
      <c r="T12" s="245">
        <f>'[1]REFCL Revised Step Change'!M39/1000</f>
        <v>0.77384097588797618</v>
      </c>
    </row>
    <row r="13" spans="1:48" outlineLevel="1">
      <c r="C13" s="61" t="s">
        <v>211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168">
        <v>0.52393857271906052</v>
      </c>
      <c r="Q13" s="168">
        <v>0.52393857271906052</v>
      </c>
      <c r="R13" s="168">
        <v>0.52393857271906052</v>
      </c>
      <c r="S13" s="168">
        <v>0.52393857271906052</v>
      </c>
      <c r="T13" s="168">
        <v>0.52393857271906052</v>
      </c>
      <c r="U13" s="224"/>
    </row>
    <row r="14" spans="1:48" outlineLevel="1">
      <c r="C14" s="61" t="s">
        <v>209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224"/>
      <c r="V14" s="223"/>
    </row>
    <row r="15" spans="1:48" outlineLevel="1">
      <c r="C15" s="61" t="s">
        <v>212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168">
        <v>0.52093990318985917</v>
      </c>
      <c r="Q15" s="168">
        <v>1.3544437482936338</v>
      </c>
      <c r="R15" s="168">
        <v>0.38549552836049578</v>
      </c>
      <c r="S15" s="168">
        <v>0.57303389350884515</v>
      </c>
      <c r="T15" s="168">
        <v>0.70847826833820848</v>
      </c>
      <c r="U15" s="224"/>
    </row>
    <row r="16" spans="1:48" outlineLevel="1">
      <c r="C16" s="61" t="s">
        <v>235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168">
        <f>'Bushfire insurance'!F6/1000000</f>
        <v>4.833287379368512</v>
      </c>
      <c r="Q16" s="245">
        <f>'Bushfire insurance'!G6/1000000</f>
        <v>6.84985466916973</v>
      </c>
      <c r="R16" s="245">
        <f>'Bushfire insurance'!H6/1000000</f>
        <v>8.9072771130870176</v>
      </c>
      <c r="S16" s="245">
        <f>'Bushfire insurance'!I6/1000000</f>
        <v>11.07270491392843</v>
      </c>
      <c r="T16" s="245">
        <f>'Bushfire insurance'!J6/1000000</f>
        <v>13.41255091142761</v>
      </c>
      <c r="U16" s="224"/>
    </row>
    <row r="17" spans="1:48" outlineLevel="1">
      <c r="C17" s="61" t="s">
        <v>250</v>
      </c>
      <c r="D17" s="30" t="s">
        <v>68</v>
      </c>
      <c r="E17" s="148" t="s">
        <v>15</v>
      </c>
      <c r="F17" s="169">
        <v>43435</v>
      </c>
      <c r="G17" s="32"/>
      <c r="H17" s="32"/>
      <c r="J17" s="150"/>
      <c r="K17" s="150"/>
      <c r="L17" s="150"/>
      <c r="M17" s="150"/>
      <c r="N17" s="150"/>
      <c r="O17" s="168"/>
      <c r="P17" s="245">
        <v>2.3830761450631361</v>
      </c>
      <c r="Q17" s="245">
        <v>2.3830761450631361</v>
      </c>
      <c r="R17" s="245">
        <v>2.3830761450631357</v>
      </c>
      <c r="S17" s="245">
        <v>2.3830761450631357</v>
      </c>
      <c r="T17" s="245">
        <v>2.3830761450631357</v>
      </c>
      <c r="U17" s="224"/>
    </row>
    <row r="18" spans="1:48" outlineLevel="1">
      <c r="C18" s="61" t="s">
        <v>251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45">
        <v>-0.10547123</v>
      </c>
      <c r="Q18" s="245">
        <v>-0.10744191</v>
      </c>
      <c r="R18" s="245">
        <v>-0.10002593</v>
      </c>
      <c r="S18" s="245">
        <v>-0.1</v>
      </c>
      <c r="T18" s="245">
        <v>-8.3923399999999995E-2</v>
      </c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168"/>
      <c r="Q19" s="245"/>
      <c r="R19" s="245"/>
      <c r="S19" s="245"/>
      <c r="T19" s="245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/>
      <c r="Q20" s="245"/>
      <c r="R20" s="245"/>
      <c r="S20" s="245"/>
      <c r="T20" s="245"/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116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188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33">
        <f>GSLs!C5/1000000</f>
        <v>9.4571084152270224</v>
      </c>
      <c r="Q28" s="233">
        <f>GSLs!D5/1000000</f>
        <v>9.3124077378556809</v>
      </c>
      <c r="R28" s="233">
        <f>GSLs!E5/1000000</f>
        <v>9.1710630203785755</v>
      </c>
      <c r="S28" s="233">
        <f>GSLs!F5/1000000</f>
        <v>9.0329964299409085</v>
      </c>
      <c r="T28" s="233">
        <f>GSLs!G5/1000000</f>
        <v>8.8981319388206828</v>
      </c>
    </row>
    <row r="29" spans="1:48" outlineLevel="1">
      <c r="C29" s="61" t="s">
        <v>213</v>
      </c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>
        <v>0.24036616306495823</v>
      </c>
      <c r="Q29" s="168">
        <v>0.24036616306495823</v>
      </c>
      <c r="R29" s="168">
        <v>0.24036616306495823</v>
      </c>
      <c r="S29" s="168">
        <v>0.24036616306495823</v>
      </c>
      <c r="T29" s="168">
        <v>0.24036616306495823</v>
      </c>
      <c r="U29" s="222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  <c r="U30" s="222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T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 t="shared" si="5"/>
        <v>Ok</v>
      </c>
      <c r="T32" s="132" t="str">
        <f t="shared" si="5"/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44166</v>
      </c>
      <c r="G38" s="32"/>
      <c r="H38" s="32"/>
      <c r="J38" s="168"/>
      <c r="K38" s="168"/>
      <c r="L38" s="168"/>
      <c r="M38" s="168"/>
      <c r="N38" s="168"/>
      <c r="O38" s="168"/>
      <c r="P38" s="168">
        <v>2.2396236909966021</v>
      </c>
      <c r="Q38" s="168">
        <v>2.2484230272253738</v>
      </c>
      <c r="R38" s="168">
        <v>2.2672496371725135</v>
      </c>
      <c r="S38" s="168">
        <v>2.2871067452664136</v>
      </c>
      <c r="T38" s="168">
        <v>2.2980772577930324</v>
      </c>
      <c r="U38" s="225"/>
    </row>
    <row r="39" spans="1:48" outlineLevel="1">
      <c r="G39" s="32"/>
      <c r="H39" s="32"/>
      <c r="U39" s="225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T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 t="shared" si="8"/>
        <v>Ok</v>
      </c>
      <c r="T40" s="132" t="str">
        <f t="shared" si="8"/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39" priority="32" operator="equal">
      <formula>"Check"</formula>
    </cfRule>
    <cfRule type="cellIs" dxfId="138" priority="33" operator="equal">
      <formula>"Ok"</formula>
    </cfRule>
  </conditionalFormatting>
  <conditionalFormatting sqref="W1">
    <cfRule type="cellIs" dxfId="137" priority="34" operator="equal">
      <formula>"Check"</formula>
    </cfRule>
    <cfRule type="cellIs" dxfId="136" priority="35" operator="equal">
      <formula>"Ok"</formula>
    </cfRule>
  </conditionalFormatting>
  <conditionalFormatting sqref="J10:T10">
    <cfRule type="expression" dxfId="135" priority="30">
      <formula>J$10=J$4</formula>
    </cfRule>
  </conditionalFormatting>
  <conditionalFormatting sqref="J17:O17 J12:T16 J18:T20">
    <cfRule type="expression" dxfId="134" priority="29">
      <formula>J$10=J$4</formula>
    </cfRule>
  </conditionalFormatting>
  <conditionalFormatting sqref="X22">
    <cfRule type="cellIs" dxfId="133" priority="25" operator="equal">
      <formula>"Check"</formula>
    </cfRule>
    <cfRule type="cellIs" dxfId="132" priority="26" operator="equal">
      <formula>"Ok"</formula>
    </cfRule>
  </conditionalFormatting>
  <conditionalFormatting sqref="J22:U22">
    <cfRule type="cellIs" dxfId="131" priority="23" operator="equal">
      <formula>"Check"</formula>
    </cfRule>
    <cfRule type="cellIs" dxfId="130" priority="24" operator="equal">
      <formula>"Ok"</formula>
    </cfRule>
  </conditionalFormatting>
  <conditionalFormatting sqref="X32">
    <cfRule type="cellIs" dxfId="129" priority="21" operator="equal">
      <formula>"Check"</formula>
    </cfRule>
    <cfRule type="cellIs" dxfId="128" priority="22" operator="equal">
      <formula>"Ok"</formula>
    </cfRule>
  </conditionalFormatting>
  <conditionalFormatting sqref="J32:U32">
    <cfRule type="cellIs" dxfId="127" priority="19" operator="equal">
      <formula>"Check"</formula>
    </cfRule>
    <cfRule type="cellIs" dxfId="126" priority="20" operator="equal">
      <formula>"Ok"</formula>
    </cfRule>
  </conditionalFormatting>
  <conditionalFormatting sqref="J28:M30 O29:T30">
    <cfRule type="expression" dxfId="125" priority="18">
      <formula>J$26=J$4</formula>
    </cfRule>
  </conditionalFormatting>
  <conditionalFormatting sqref="X40">
    <cfRule type="cellIs" dxfId="124" priority="16" operator="equal">
      <formula>"Check"</formula>
    </cfRule>
    <cfRule type="cellIs" dxfId="123" priority="17" operator="equal">
      <formula>"Ok"</formula>
    </cfRule>
  </conditionalFormatting>
  <conditionalFormatting sqref="J40:U40">
    <cfRule type="cellIs" dxfId="122" priority="14" operator="equal">
      <formula>"Check"</formula>
    </cfRule>
    <cfRule type="cellIs" dxfId="121" priority="15" operator="equal">
      <formula>"Ok"</formula>
    </cfRule>
  </conditionalFormatting>
  <conditionalFormatting sqref="O28:T28">
    <cfRule type="expression" dxfId="120" priority="13">
      <formula>O$10=O$4</formula>
    </cfRule>
  </conditionalFormatting>
  <conditionalFormatting sqref="N28:N30">
    <cfRule type="expression" dxfId="119" priority="12">
      <formula>N$10=N$4</formula>
    </cfRule>
  </conditionalFormatting>
  <conditionalFormatting sqref="J38:T38">
    <cfRule type="expression" dxfId="118" priority="9">
      <formula>J$36=J$4</formula>
    </cfRule>
  </conditionalFormatting>
  <conditionalFormatting sqref="J26:N26">
    <cfRule type="expression" dxfId="117" priority="8">
      <formula>J$10=J$4</formula>
    </cfRule>
  </conditionalFormatting>
  <conditionalFormatting sqref="J36:N36">
    <cfRule type="expression" dxfId="116" priority="7">
      <formula>J$10=J$4</formula>
    </cfRule>
  </conditionalFormatting>
  <conditionalFormatting sqref="O26">
    <cfRule type="expression" dxfId="115" priority="6">
      <formula>O$10=O$4</formula>
    </cfRule>
  </conditionalFormatting>
  <conditionalFormatting sqref="O36">
    <cfRule type="expression" dxfId="114" priority="5">
      <formula>O$10=O$4</formula>
    </cfRule>
  </conditionalFormatting>
  <conditionalFormatting sqref="P26:T26">
    <cfRule type="expression" dxfId="113" priority="4">
      <formula>P$10=P$4</formula>
    </cfRule>
  </conditionalFormatting>
  <conditionalFormatting sqref="P36:T36">
    <cfRule type="expression" dxfId="112" priority="3">
      <formula>P$10=P$4</formula>
    </cfRule>
  </conditionalFormatting>
  <conditionalFormatting sqref="P17:T17">
    <cfRule type="expression" dxfId="111" priority="1">
      <formula>P$10=P$4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41 I28:I31 V33 I33 V41 V12:V13 V15:V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1"/>
  <sheetViews>
    <sheetView showGridLines="0" topLeftCell="F68" zoomScale="130" zoomScaleNormal="130" workbookViewId="0">
      <selection activeCell="P80" sqref="P80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119</v>
      </c>
      <c r="K3" s="170"/>
      <c r="L3" s="170"/>
      <c r="M3" s="180"/>
      <c r="N3" s="286"/>
      <c r="O3" s="286"/>
      <c r="P3" s="286"/>
      <c r="Q3" s="286"/>
      <c r="R3" s="286"/>
      <c r="S3" s="286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160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207.33485187745427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160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216.01799532984964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161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234.81195269310936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161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255.24319197172017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200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134.92569340710057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200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135.13154676309873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201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270.26309352619745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162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6.5871000000000004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162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6.8629664726038433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163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10.249055028203946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163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11.140836273831434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204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5.6552559301048158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204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5.6638840377901927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205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11.327768075580385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137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216.01799532984964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158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-4.3578307413102673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-4.3578307413102682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156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15.019901554477286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226.68006614301666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164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-7.0498982743527945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Metering - reallocation adjustment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Metering - reallocation adjustment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ESV levy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-2.2329835260298001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ESV levy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-2.2329835260298001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165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>SUM(O35,O37,O40,O43,O46,O49,O52,O54)</f>
        <v>217.39718434263406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4.9788574396916838E-3</v>
      </c>
      <c r="Q63" s="117">
        <f ca="1">IF(Q60=Q4,AVERAGE(OFFSET('Input|Rate of change'!R97,0,0,COUNTA('Input|Rate of change'!$J$84:$N$84),1)),0)</f>
        <v>8.3585514661901929E-3</v>
      </c>
      <c r="R63" s="117">
        <f ca="1">IF(R60=R4,AVERAGE(OFFSET('Input|Rate of change'!S97,0,0,COUNTA('Input|Rate of change'!$J$84:$N$84),1)),0)</f>
        <v>1.0334970748592796E-2</v>
      </c>
      <c r="S63" s="117">
        <f ca="1">IF(S60=S4,AVERAGE(OFFSET('Input|Rate of change'!T97,0,0,COUNTA('Input|Rate of change'!$J$84:$N$84),1)),0)</f>
        <v>1.0262778660566177E-2</v>
      </c>
      <c r="T63" s="117">
        <f ca="1">IF(T60=T4,AVERAGE(OFFSET('Input|Rate of change'!U97,0,0,COUNTA('Input|Rate of change'!$J$84:$N$84),1)),0)</f>
        <v>1.0175565888402944E-2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4.6175999999999995E-3</v>
      </c>
      <c r="Q65" s="117">
        <f>SUMPRODUCT('Input|Rate of change'!R38:R45,'Input|Rate of change'!R51:R58)</f>
        <v>2.96E-3</v>
      </c>
      <c r="R65" s="117">
        <f>SUMPRODUCT('Input|Rate of change'!S38:S45,'Input|Rate of change'!S51:S58)</f>
        <v>3.8479999999999994E-3</v>
      </c>
      <c r="S65" s="117">
        <f>SUMPRODUCT('Input|Rate of change'!T38:T45,'Input|Rate of change'!T51:T58)</f>
        <v>5.8608000000000002E-3</v>
      </c>
      <c r="T65" s="117">
        <f>SUMPRODUCT('Input|Rate of change'!U38:U45,'Input|Rate of change'!U51:U58)</f>
        <v>7.7552000000000003E-3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138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5.8357362621295206E-3</v>
      </c>
      <c r="Q69" s="143">
        <f t="shared" ca="1" si="9"/>
        <v>6.2865763146375819E-3</v>
      </c>
      <c r="R69" s="143">
        <f t="shared" ca="1" si="9"/>
        <v>9.1516260174531183E-3</v>
      </c>
      <c r="S69" s="143">
        <f t="shared" ca="1" si="9"/>
        <v>1.110280811997133E-2</v>
      </c>
      <c r="T69" s="143">
        <f t="shared" ref="T69" ca="1" si="10">(1+T63)*(1+T65)*(1-T67)-1</f>
        <v>1.2919631039795654E-2</v>
      </c>
    </row>
    <row r="70" spans="1:48" outlineLevel="1">
      <c r="C70" s="124" t="s">
        <v>139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5.8357362621295206E-3</v>
      </c>
      <c r="Q70" s="117">
        <f t="array" aca="1" ref="Q70" ca="1">IF(Q$60=Q$4,PRODUCT(1+$J69:Q69)-1,"")</f>
        <v>1.215899937813103E-2</v>
      </c>
      <c r="R70" s="117">
        <f t="array" aca="1" ref="R70" ca="1">IF(R$60=R$4,PRODUCT(1+$J69:R69)-1,"")</f>
        <v>2.1421900010639261E-2</v>
      </c>
      <c r="S70" s="117">
        <f t="array" aca="1" ref="S70" ca="1">IF(S$60=S$4,PRODUCT(1+$J69:S69)-1,"")</f>
        <v>3.2762551375993931E-2</v>
      </c>
      <c r="T70" s="117">
        <f t="array" aca="1" ref="T70" ca="1">IF(T$60=T$4,PRODUCT(1+$J69:T69)-1,"")</f>
        <v>4.6105462491489835E-2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REFCL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1.2956339240043406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0.48402902827801791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1.1645791941285439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0.77386839094450566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0.77502160915264873</v>
      </c>
    </row>
    <row r="77" spans="1:48" outlineLevel="1">
      <c r="C77" s="121" t="str">
        <f>'Input|Step changes'!C13</f>
        <v>IT Opex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</row>
    <row r="78" spans="1:48" outlineLevel="1">
      <c r="C78" s="121" t="str">
        <f>'Input|Step changes'!C14</f>
        <v>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 t="str">
        <f>'Input|Step changes'!C15</f>
        <v>5 minute meter data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0.52093990318985917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1.3544437482936338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0.38549552836049578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0.57303389350884515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0.70847826833820848</v>
      </c>
    </row>
    <row r="80" spans="1:48" outlineLevel="1">
      <c r="C80" s="121" t="str">
        <f>'Input|Step changes'!C16</f>
        <v>Bushfire Insurance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4.833287379368512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6.84985466916973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8.9072771130870176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11.07270491392843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13.41255091142761</v>
      </c>
      <c r="V80" s="240"/>
    </row>
    <row r="81" spans="1:48" outlineLevel="1">
      <c r="C81" s="121" t="str">
        <f>'Input|Step changes'!C17</f>
        <v>Metering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2.4610221588525811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2.4610221588525811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2.4610221588525807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2.4610221588525807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2.4610221588525807</v>
      </c>
      <c r="V81" s="240"/>
    </row>
    <row r="82" spans="1:48" outlineLevel="1">
      <c r="C82" s="121" t="str">
        <f>'Input|Step changes'!C18</f>
        <v>Bushfire pass through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-0.10547123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-0.10744191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-0.10002593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-0.1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-8.3923399999999995E-2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9.5293507081343538</v>
      </c>
      <c r="Q86" s="174">
        <f t="shared" si="14"/>
        <v>11.565846267313022</v>
      </c>
      <c r="R86" s="174">
        <f t="shared" si="14"/>
        <v>13.3422866371477</v>
      </c>
      <c r="S86" s="174">
        <f t="shared" si="14"/>
        <v>15.304567929953421</v>
      </c>
      <c r="T86" s="174">
        <f t="shared" ref="T86" si="15">SUM(T75:T85)</f>
        <v>17.797088120490109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117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9.4571084152270224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9.3124077378556809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9.1710630203785755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9.0329964299409085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8.8981319388206828</v>
      </c>
    </row>
    <row r="93" spans="1:48" outlineLevel="1">
      <c r="C93" s="121" t="str">
        <f>'Input|Step changes'!C29</f>
        <v>Innovation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118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9.6974745782919811</v>
      </c>
      <c r="Q96" s="128">
        <f t="shared" si="19"/>
        <v>9.5527739009206396</v>
      </c>
      <c r="R96" s="128">
        <f t="shared" si="19"/>
        <v>9.4114291834435342</v>
      </c>
      <c r="S96" s="128">
        <f t="shared" si="19"/>
        <v>9.2733625930058672</v>
      </c>
      <c r="T96" s="128">
        <f t="shared" ref="T96" si="20">SUM(T91:T95)</f>
        <v>9.1384981018856415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  <c r="U100" s="65"/>
      <c r="X100" s="65"/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W101" s="67"/>
      <c r="X101" s="65"/>
    </row>
    <row r="102" spans="1:48" outlineLevel="1">
      <c r="C102" s="123" t="s">
        <v>134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228.19520768272159</v>
      </c>
      <c r="Q102" s="149">
        <f t="shared" ref="Q102:T102" ca="1" si="23">(1+Q70)*SUM($J56:$S56)+Q86</f>
        <v>231.6063628391766</v>
      </c>
      <c r="R102" s="149">
        <f t="shared" ca="1" si="23"/>
        <v>235.39653172536418</v>
      </c>
      <c r="S102" s="149">
        <f t="shared" ca="1" si="23"/>
        <v>239.82423869360946</v>
      </c>
      <c r="T102" s="149">
        <f t="shared" ca="1" si="23"/>
        <v>245.217470191589</v>
      </c>
      <c r="X102" s="65"/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242"/>
      <c r="O103" s="149"/>
      <c r="P103" s="149">
        <f ca="1">(1+P70)*SUM($J56:$S56)+P86+P96</f>
        <v>237.89268226101356</v>
      </c>
      <c r="Q103" s="149">
        <f t="shared" ref="Q103:T103" ca="1" si="24">(1+Q70)*SUM($J56:$S56)+Q86+Q96</f>
        <v>241.15913674009724</v>
      </c>
      <c r="R103" s="149">
        <f t="shared" ca="1" si="24"/>
        <v>244.80796090880773</v>
      </c>
      <c r="S103" s="149">
        <f t="shared" ca="1" si="24"/>
        <v>249.09760128661532</v>
      </c>
      <c r="T103" s="149">
        <f t="shared" ca="1" si="24"/>
        <v>254.35596829347463</v>
      </c>
      <c r="V103" s="240"/>
      <c r="X103" s="65"/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241"/>
      <c r="O104" s="149"/>
      <c r="P104" s="149">
        <f ca="1">P103+'Input|Step changes'!P38</f>
        <v>240.13230595201017</v>
      </c>
      <c r="Q104" s="149">
        <f ca="1">Q103+'Input|Step changes'!Q38</f>
        <v>243.40755976732262</v>
      </c>
      <c r="R104" s="149">
        <f ca="1">R103+'Input|Step changes'!R38</f>
        <v>247.07521054598024</v>
      </c>
      <c r="S104" s="149">
        <f ca="1">S103+'Input|Step changes'!S38</f>
        <v>251.38470803188173</v>
      </c>
      <c r="T104" s="149">
        <f ca="1">T103+'Input|Step changes'!T38</f>
        <v>256.65404555126764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92:T94 J76:T8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T13" sqref="T13"/>
    </sheetView>
  </sheetViews>
  <sheetFormatPr defaultRowHeight="11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B1:N26"/>
  <sheetViews>
    <sheetView topLeftCell="A7" zoomScale="85" zoomScaleNormal="85" workbookViewId="0">
      <selection activeCell="L31" sqref="L31"/>
    </sheetView>
  </sheetViews>
  <sheetFormatPr defaultRowHeight="11.25"/>
  <cols>
    <col min="2" max="2" width="12.5" bestFit="1" customWidth="1"/>
    <col min="3" max="5" width="11.6640625" bestFit="1" customWidth="1"/>
    <col min="6" max="6" width="30.5" bestFit="1" customWidth="1"/>
    <col min="7" max="7" width="18.1640625" bestFit="1" customWidth="1"/>
    <col min="8" max="8" width="14.33203125" bestFit="1" customWidth="1"/>
    <col min="9" max="9" width="12.6640625" customWidth="1"/>
    <col min="10" max="10" width="12.1640625" customWidth="1"/>
    <col min="11" max="11" width="12.6640625" customWidth="1"/>
    <col min="12" max="12" width="24.1640625" customWidth="1"/>
    <col min="14" max="14" width="14.5" bestFit="1" customWidth="1"/>
  </cols>
  <sheetData>
    <row r="1" spans="2:14">
      <c r="C1" t="s">
        <v>99</v>
      </c>
      <c r="D1" t="s">
        <v>99</v>
      </c>
      <c r="E1" t="s">
        <v>99</v>
      </c>
      <c r="F1" t="s">
        <v>99</v>
      </c>
      <c r="G1" t="s">
        <v>99</v>
      </c>
      <c r="H1" t="s">
        <v>99</v>
      </c>
      <c r="I1" t="s">
        <v>99</v>
      </c>
    </row>
    <row r="2" spans="2:14" ht="12" thickBot="1">
      <c r="C2" t="s">
        <v>239</v>
      </c>
      <c r="D2" t="s">
        <v>239</v>
      </c>
      <c r="E2" t="s">
        <v>239</v>
      </c>
      <c r="F2" t="s">
        <v>238</v>
      </c>
      <c r="G2" t="s">
        <v>238</v>
      </c>
      <c r="H2" t="s">
        <v>238</v>
      </c>
      <c r="I2" t="s">
        <v>238</v>
      </c>
      <c r="J2" t="s">
        <v>240</v>
      </c>
      <c r="K2" t="s">
        <v>240</v>
      </c>
    </row>
    <row r="3" spans="2:14" ht="15" thickBot="1">
      <c r="C3" s="226">
        <v>2018</v>
      </c>
      <c r="D3" s="226" t="s">
        <v>215</v>
      </c>
      <c r="E3" s="227" t="s">
        <v>216</v>
      </c>
      <c r="F3" s="227" t="s">
        <v>217</v>
      </c>
      <c r="G3" s="227" t="s">
        <v>218</v>
      </c>
      <c r="H3" s="227" t="s">
        <v>219</v>
      </c>
      <c r="I3" s="227" t="s">
        <v>220</v>
      </c>
    </row>
    <row r="4" spans="2:14" ht="15" thickBot="1">
      <c r="C4" s="228">
        <v>2162260</v>
      </c>
      <c r="D4" s="228">
        <v>2321403</v>
      </c>
      <c r="E4" s="229">
        <v>2661015</v>
      </c>
      <c r="F4" s="229">
        <v>2973357</v>
      </c>
      <c r="G4" s="229">
        <v>3257020</v>
      </c>
      <c r="H4" s="229">
        <v>3360085</v>
      </c>
      <c r="I4" s="229">
        <v>3466241</v>
      </c>
    </row>
    <row r="5" spans="2:14">
      <c r="I5" s="234"/>
    </row>
    <row r="6" spans="2:14">
      <c r="B6" t="s">
        <v>236</v>
      </c>
      <c r="C6">
        <f>'Input|Inflation'!$F$66/'Input|Inflation'!$F56</f>
        <v>1.0327081507449607</v>
      </c>
      <c r="D6">
        <f>'Input|Inflation'!$F$66/'Input|Inflation'!$F60</f>
        <v>1.0140447504302927</v>
      </c>
      <c r="E6">
        <f>'Input|Inflation'!$F$66/'Input|Inflation'!$F64</f>
        <v>1.001525679437326</v>
      </c>
      <c r="F6">
        <f>'Input|Inflation'!$F$66/'Input|Inflation'!$F68</f>
        <v>0.99160958360131291</v>
      </c>
      <c r="G6">
        <f>'Input|Inflation'!$F$66/'[2]Input|Inflation'!$F$70</f>
        <v>0.98765432098765438</v>
      </c>
      <c r="H6">
        <f>'Input|Inflation'!$F$66/'[2]Input|Inflation'!$F$74</f>
        <v>0.96592109632044443</v>
      </c>
      <c r="I6">
        <f>'Input|Inflation'!$F$66/'[2]Input|Inflation'!$F$78</f>
        <v>0.94466610887085034</v>
      </c>
    </row>
    <row r="9" spans="2:14" ht="12" thickBot="1">
      <c r="B9" s="237" t="s">
        <v>245</v>
      </c>
    </row>
    <row r="10" spans="2:14" ht="29.25" thickBot="1">
      <c r="C10" s="226" t="s">
        <v>258</v>
      </c>
      <c r="D10" s="226" t="s">
        <v>215</v>
      </c>
      <c r="E10" s="227" t="s">
        <v>216</v>
      </c>
      <c r="F10" s="227" t="s">
        <v>217</v>
      </c>
      <c r="G10" s="227" t="s">
        <v>218</v>
      </c>
      <c r="H10" s="227" t="s">
        <v>219</v>
      </c>
      <c r="I10" s="227" t="s">
        <v>220</v>
      </c>
      <c r="J10" s="227" t="s">
        <v>242</v>
      </c>
      <c r="K10" s="227" t="s">
        <v>243</v>
      </c>
      <c r="L10" s="227" t="s">
        <v>244</v>
      </c>
      <c r="M10" t="s">
        <v>241</v>
      </c>
    </row>
    <row r="11" spans="2:14" ht="15" thickBot="1">
      <c r="B11" t="s">
        <v>237</v>
      </c>
      <c r="C11" s="229">
        <f>C4*C6</f>
        <v>2232983.5260297987</v>
      </c>
      <c r="D11" s="229">
        <f t="shared" ref="D11:I11" si="0">D4*D6</f>
        <v>2354006.5257831328</v>
      </c>
      <c r="E11" s="229">
        <f t="shared" si="0"/>
        <v>2665074.8558679158</v>
      </c>
      <c r="F11" s="229">
        <f t="shared" si="0"/>
        <v>2948409.2966680489</v>
      </c>
      <c r="G11" s="229">
        <f>G4*G6</f>
        <v>3216809.8765432099</v>
      </c>
      <c r="H11" s="229">
        <f t="shared" si="0"/>
        <v>3245576.9869298805</v>
      </c>
      <c r="I11" s="229">
        <f t="shared" si="0"/>
        <v>3274440.3978786049</v>
      </c>
      <c r="J11" s="229">
        <f>I11*(1+I12)</f>
        <v>3303560.4955412638</v>
      </c>
      <c r="K11" s="229">
        <f>J11*(1+J12)</f>
        <v>3332939.562671937</v>
      </c>
      <c r="L11" s="229">
        <f>SUM(G11:K11)</f>
        <v>16373327.319564896</v>
      </c>
      <c r="M11" s="235"/>
      <c r="N11" s="236"/>
    </row>
    <row r="12" spans="2:14">
      <c r="D12" s="234">
        <f>D11/C11-1</f>
        <v>5.419789189780122E-2</v>
      </c>
      <c r="E12" s="234">
        <f t="shared" ref="E12:H12" si="1">E11/D11-1</f>
        <v>0.1321442088956386</v>
      </c>
      <c r="F12" s="234">
        <f t="shared" si="1"/>
        <v>0.10631387714168405</v>
      </c>
      <c r="G12" s="234">
        <f t="shared" si="1"/>
        <v>9.1032334004127691E-2</v>
      </c>
      <c r="H12" s="234">
        <f t="shared" si="1"/>
        <v>8.9427449836059214E-3</v>
      </c>
      <c r="I12" s="234">
        <f>I11/H11-1</f>
        <v>8.8931524548514496E-3</v>
      </c>
      <c r="J12" s="234">
        <f>I12</f>
        <v>8.8931524548514496E-3</v>
      </c>
      <c r="K12" s="234">
        <f>J12</f>
        <v>8.8931524548514496E-3</v>
      </c>
    </row>
    <row r="14" spans="2:14" ht="12" thickBot="1">
      <c r="B14" s="237" t="s">
        <v>246</v>
      </c>
    </row>
    <row r="15" spans="2:14" ht="29.25" thickBot="1">
      <c r="C15" s="226" t="s">
        <v>258</v>
      </c>
      <c r="D15" s="226" t="s">
        <v>215</v>
      </c>
      <c r="E15" s="227" t="s">
        <v>216</v>
      </c>
      <c r="F15" s="227" t="s">
        <v>217</v>
      </c>
      <c r="G15" s="227" t="s">
        <v>218</v>
      </c>
      <c r="H15" s="227" t="s">
        <v>219</v>
      </c>
      <c r="I15" s="227" t="s">
        <v>220</v>
      </c>
      <c r="J15" s="227" t="s">
        <v>242</v>
      </c>
      <c r="K15" s="227" t="s">
        <v>243</v>
      </c>
      <c r="L15" s="227" t="s">
        <v>244</v>
      </c>
      <c r="N15" t="s">
        <v>254</v>
      </c>
    </row>
    <row r="16" spans="2:14" ht="15" thickBot="1">
      <c r="B16" t="s">
        <v>237</v>
      </c>
      <c r="C16" s="229">
        <f>C11</f>
        <v>2232983.5260297987</v>
      </c>
      <c r="D16" s="229" t="s">
        <v>248</v>
      </c>
      <c r="E16" s="229" t="s">
        <v>248</v>
      </c>
      <c r="F16" s="229" t="s">
        <v>248</v>
      </c>
      <c r="G16" s="229">
        <f>$C$16*(1+G17)</f>
        <v>2250400.7975328313</v>
      </c>
      <c r="H16" s="229">
        <f t="shared" ref="H16:K16" si="2">$C$16*(1+H17)</f>
        <v>2244148.4436599473</v>
      </c>
      <c r="I16" s="229">
        <f t="shared" si="2"/>
        <v>2247497.9189489922</v>
      </c>
      <c r="J16" s="229">
        <f t="shared" si="2"/>
        <v>2255090.0629374939</v>
      </c>
      <c r="K16" s="229">
        <f t="shared" si="2"/>
        <v>2262235.6102207894</v>
      </c>
      <c r="L16" s="229">
        <f>SUM(G16:K16)</f>
        <v>11259372.833300054</v>
      </c>
      <c r="N16" s="239">
        <f>L11-L16</f>
        <v>5113954.4862648416</v>
      </c>
    </row>
    <row r="17" spans="2:13">
      <c r="B17" t="s">
        <v>247</v>
      </c>
      <c r="G17" s="238">
        <f>'Input|Rate of change'!Q38</f>
        <v>7.7999999999999996E-3</v>
      </c>
      <c r="H17" s="238">
        <f>'Input|Rate of change'!R38</f>
        <v>5.0000000000000001E-3</v>
      </c>
      <c r="I17" s="238">
        <f>'Input|Rate of change'!S38</f>
        <v>6.4999999999999997E-3</v>
      </c>
      <c r="J17" s="238">
        <f>'Input|Rate of change'!T38</f>
        <v>9.9000000000000008E-3</v>
      </c>
      <c r="K17" s="238">
        <f>'Input|Rate of change'!U38</f>
        <v>1.3100000000000001E-2</v>
      </c>
    </row>
    <row r="19" spans="2:13" ht="12" thickBot="1"/>
    <row r="20" spans="2:13" ht="15" thickBot="1">
      <c r="G20" s="226" t="s">
        <v>218</v>
      </c>
      <c r="H20" s="227" t="s">
        <v>219</v>
      </c>
      <c r="I20" s="227" t="s">
        <v>220</v>
      </c>
      <c r="J20" s="227" t="s">
        <v>242</v>
      </c>
      <c r="K20" s="227" t="s">
        <v>243</v>
      </c>
      <c r="L20" s="227" t="s">
        <v>231</v>
      </c>
    </row>
    <row r="21" spans="2:13" ht="15" thickBot="1">
      <c r="F21" t="s">
        <v>260</v>
      </c>
      <c r="G21" s="268">
        <v>225.42164950020182</v>
      </c>
      <c r="H21" s="267">
        <v>226.82918601163908</v>
      </c>
      <c r="I21" s="267">
        <v>228.58090082637065</v>
      </c>
      <c r="J21" s="267">
        <v>230.86640314034446</v>
      </c>
      <c r="K21" s="267">
        <v>233.94711197266199</v>
      </c>
      <c r="L21" s="267">
        <f>SUM(G21:K21)</f>
        <v>1145.645251451218</v>
      </c>
    </row>
    <row r="22" spans="2:13" ht="15" thickBot="1">
      <c r="F22" s="244" t="s">
        <v>261</v>
      </c>
      <c r="G22" s="268">
        <v>227.66766412916724</v>
      </c>
      <c r="H22" s="267">
        <v>229.08932038297328</v>
      </c>
      <c r="I22" s="267">
        <v>230.86171910222052</v>
      </c>
      <c r="J22" s="267">
        <v>233.17254490386759</v>
      </c>
      <c r="K22" s="267">
        <v>236.28304823689524</v>
      </c>
      <c r="L22" s="267">
        <f>SUM(G22:K22)</f>
        <v>1157.0742967551239</v>
      </c>
    </row>
    <row r="23" spans="2:13" ht="15" thickBot="1">
      <c r="F23" t="s">
        <v>262</v>
      </c>
      <c r="G23" s="268">
        <f>G22-G21</f>
        <v>2.2460146289654119</v>
      </c>
      <c r="H23" s="267">
        <f t="shared" ref="H23:K23" si="3">H22-H21</f>
        <v>2.2601343713342033</v>
      </c>
      <c r="I23" s="267">
        <f t="shared" si="3"/>
        <v>2.2808182758498674</v>
      </c>
      <c r="J23" s="267">
        <f t="shared" si="3"/>
        <v>2.3061417635231294</v>
      </c>
      <c r="K23" s="267">
        <f t="shared" si="3"/>
        <v>2.3359362642332542</v>
      </c>
      <c r="L23" s="267">
        <f>SUM(G23:K23)</f>
        <v>11.429045303905866</v>
      </c>
    </row>
    <row r="25" spans="2:13" ht="12" thickBot="1"/>
    <row r="26" spans="2:13" ht="15" thickBot="1">
      <c r="F26" t="s">
        <v>263</v>
      </c>
      <c r="G26" s="281">
        <f>(G11/1000000)-G23</f>
        <v>0.97079524757779811</v>
      </c>
      <c r="H26" s="281">
        <f t="shared" ref="H26:K26" si="4">(H11/1000000)-H23</f>
        <v>0.98544261559567703</v>
      </c>
      <c r="I26" s="281">
        <f t="shared" si="4"/>
        <v>0.99362212202873756</v>
      </c>
      <c r="J26" s="281">
        <f t="shared" si="4"/>
        <v>0.99741873201813425</v>
      </c>
      <c r="K26" s="281">
        <f t="shared" si="4"/>
        <v>0.99700329843868296</v>
      </c>
      <c r="L26" s="269">
        <f>SUM(G26:K26)</f>
        <v>4.9442820156590299</v>
      </c>
      <c r="M26" s="244"/>
    </row>
  </sheetData>
  <phoneticPr fontId="15" type="noConversion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65D2-3498-4FD7-B140-B451E828F26A}">
  <sheetPr>
    <tabColor theme="1" tint="0.499984740745262"/>
  </sheetPr>
  <dimension ref="B1:L16"/>
  <sheetViews>
    <sheetView workbookViewId="0">
      <selection activeCell="J16" sqref="J16"/>
    </sheetView>
  </sheetViews>
  <sheetFormatPr defaultRowHeight="11.25"/>
  <cols>
    <col min="1" max="1" width="9.33203125" style="244"/>
    <col min="2" max="2" width="33.1640625" style="244" bestFit="1" customWidth="1"/>
    <col min="3" max="3" width="12.5" style="244" bestFit="1" customWidth="1"/>
    <col min="4" max="5" width="15.1640625" style="244" bestFit="1" customWidth="1"/>
    <col min="6" max="6" width="16.1640625" style="244" bestFit="1" customWidth="1"/>
    <col min="7" max="11" width="13.6640625" style="244" bestFit="1" customWidth="1"/>
    <col min="12" max="12" width="24.1640625" style="244" customWidth="1"/>
    <col min="13" max="13" width="9.33203125" style="244"/>
    <col min="14" max="14" width="14.5" style="244" bestFit="1" customWidth="1"/>
    <col min="15" max="16384" width="9.33203125" style="244"/>
  </cols>
  <sheetData>
    <row r="1" spans="2:12">
      <c r="C1" s="270" t="s">
        <v>264</v>
      </c>
      <c r="D1" s="270" t="s">
        <v>265</v>
      </c>
      <c r="E1" s="270" t="s">
        <v>266</v>
      </c>
      <c r="F1" s="270" t="s">
        <v>267</v>
      </c>
      <c r="G1" s="271" t="s">
        <v>223</v>
      </c>
      <c r="H1" s="271" t="s">
        <v>224</v>
      </c>
      <c r="I1" s="270" t="s">
        <v>225</v>
      </c>
      <c r="J1" s="270" t="s">
        <v>226</v>
      </c>
      <c r="K1" s="270" t="s">
        <v>227</v>
      </c>
    </row>
    <row r="2" spans="2:12">
      <c r="B2" s="272" t="s">
        <v>268</v>
      </c>
      <c r="C2" s="273">
        <v>77186000</v>
      </c>
      <c r="D2" s="273">
        <v>83362000</v>
      </c>
      <c r="E2" s="273">
        <v>101158000</v>
      </c>
      <c r="F2" s="273">
        <v>108630000</v>
      </c>
      <c r="G2" s="274">
        <f>F2*(1+$C$7)</f>
        <v>116653916.64524806</v>
      </c>
      <c r="H2" s="274">
        <f t="shared" ref="H2:J2" si="0">G2*(1+$C$7)</f>
        <v>125270517.06413035</v>
      </c>
      <c r="I2" s="274">
        <f t="shared" si="0"/>
        <v>134523579.6345962</v>
      </c>
      <c r="J2" s="274">
        <f t="shared" si="0"/>
        <v>144460116.40904513</v>
      </c>
      <c r="K2" s="274">
        <f>J2*(1+$C$7)</f>
        <v>155130611.96854994</v>
      </c>
    </row>
    <row r="3" spans="2:12">
      <c r="B3" s="272" t="s">
        <v>269</v>
      </c>
      <c r="C3" s="273">
        <f>C2*$C$8</f>
        <v>2315580</v>
      </c>
      <c r="D3" s="273">
        <f t="shared" ref="D3:K3" si="1">D2*$C$8</f>
        <v>2500860</v>
      </c>
      <c r="E3" s="273">
        <f t="shared" si="1"/>
        <v>3034740</v>
      </c>
      <c r="F3" s="273">
        <f t="shared" si="1"/>
        <v>3258900</v>
      </c>
      <c r="G3" s="273">
        <f>G2*$C$8</f>
        <v>3499617.4993574414</v>
      </c>
      <c r="H3" s="273">
        <f t="shared" si="1"/>
        <v>3758115.5119239106</v>
      </c>
      <c r="I3" s="273">
        <f t="shared" si="1"/>
        <v>4035707.3890378857</v>
      </c>
      <c r="J3" s="273">
        <f t="shared" si="1"/>
        <v>4333803.4922713535</v>
      </c>
      <c r="K3" s="273">
        <f t="shared" si="1"/>
        <v>4653918.3590564979</v>
      </c>
    </row>
    <row r="4" spans="2:12">
      <c r="B4" s="272" t="s">
        <v>270</v>
      </c>
      <c r="C4" s="273">
        <f>C3*$C$9</f>
        <v>208402.19999999998</v>
      </c>
      <c r="D4" s="273">
        <f t="shared" ref="D4:K4" si="2">D3*$C$9</f>
        <v>225077.4</v>
      </c>
      <c r="E4" s="273">
        <f t="shared" si="2"/>
        <v>273126.59999999998</v>
      </c>
      <c r="F4" s="273">
        <f t="shared" si="2"/>
        <v>293301</v>
      </c>
      <c r="G4" s="273">
        <f>G3*$C$9</f>
        <v>314965.57494216971</v>
      </c>
      <c r="H4" s="273">
        <f t="shared" si="2"/>
        <v>338230.39607315196</v>
      </c>
      <c r="I4" s="273">
        <f t="shared" si="2"/>
        <v>363213.66501340969</v>
      </c>
      <c r="J4" s="273">
        <f t="shared" si="2"/>
        <v>390042.31430442177</v>
      </c>
      <c r="K4" s="273">
        <f t="shared" si="2"/>
        <v>418852.65231508482</v>
      </c>
    </row>
    <row r="5" spans="2:12">
      <c r="B5" s="272" t="s">
        <v>271</v>
      </c>
      <c r="C5" s="272"/>
      <c r="D5" s="274">
        <f>C2*(1+$C$7)</f>
        <v>82887316.672927514</v>
      </c>
      <c r="E5" s="274">
        <f t="shared" ref="E5:F5" si="3">D2*(1+$C$7)</f>
        <v>89519504.735166788</v>
      </c>
      <c r="F5" s="274">
        <f t="shared" si="3"/>
        <v>108630000.00000001</v>
      </c>
    </row>
    <row r="7" spans="2:12">
      <c r="B7" s="272" t="s">
        <v>87</v>
      </c>
      <c r="C7" s="275">
        <v>7.3864647383301493E-2</v>
      </c>
    </row>
    <row r="8" spans="2:12">
      <c r="B8" s="272" t="s">
        <v>272</v>
      </c>
      <c r="C8" s="276">
        <v>0.03</v>
      </c>
    </row>
    <row r="9" spans="2:12">
      <c r="B9" s="272" t="s">
        <v>273</v>
      </c>
      <c r="C9" s="276">
        <v>0.09</v>
      </c>
    </row>
    <row r="10" spans="2:12">
      <c r="C10" s="280"/>
      <c r="D10" s="280"/>
      <c r="E10" s="280"/>
      <c r="F10" s="280"/>
      <c r="G10" s="280"/>
      <c r="H10" s="280"/>
      <c r="I10" s="280"/>
      <c r="J10" s="280"/>
      <c r="K10" s="280"/>
    </row>
    <row r="11" spans="2:12">
      <c r="C11" s="270" t="s">
        <v>264</v>
      </c>
      <c r="D11" s="270" t="s">
        <v>265</v>
      </c>
      <c r="E11" s="270" t="s">
        <v>266</v>
      </c>
      <c r="F11" s="270" t="s">
        <v>267</v>
      </c>
      <c r="G11" s="271" t="s">
        <v>223</v>
      </c>
      <c r="H11" s="271" t="s">
        <v>224</v>
      </c>
      <c r="I11" s="270" t="s">
        <v>225</v>
      </c>
      <c r="J11" s="270" t="s">
        <v>226</v>
      </c>
      <c r="K11" s="270" t="s">
        <v>227</v>
      </c>
    </row>
    <row r="12" spans="2:12">
      <c r="B12" s="272" t="s">
        <v>274</v>
      </c>
      <c r="C12" s="277">
        <f>'Input|Inflation'!$F$66/'Input|Inflation'!F54</f>
        <v>1.0427610619469028</v>
      </c>
      <c r="D12" s="277">
        <f>'Input|Inflation'!$F$66/'Input|Inflation'!F58</f>
        <v>1.026411149825784</v>
      </c>
      <c r="E12" s="277">
        <f>'Input|Inflation'!$F$66/'Input|Inflation'!F62</f>
        <v>1.03</v>
      </c>
      <c r="F12" s="277">
        <f>'Input|Inflation'!$F$66/'Input|Inflation'!F66</f>
        <v>1</v>
      </c>
      <c r="G12" s="277">
        <f>'Input|Inflation'!$F$66/'[3]Input|Inflation'!$F$70</f>
        <v>0.98765432098765438</v>
      </c>
      <c r="H12" s="277">
        <f>'Input|Inflation'!$F$66/'[3]Input|Inflation'!$F$74</f>
        <v>0.96592109632044443</v>
      </c>
      <c r="I12" s="277">
        <f>'Input|Inflation'!$F$66/'[3]Input|Inflation'!$F$78</f>
        <v>0.94466610887085034</v>
      </c>
      <c r="J12" s="277">
        <f>'Input|Inflation'!$F$66/'[3]Input|Inflation'!$F$82</f>
        <v>0.92387883508151614</v>
      </c>
      <c r="K12" s="277">
        <f>'Input|Inflation'!$F$66/('[3]Input|Inflation'!$F$82*1.0225)</f>
        <v>0.90354898296480812</v>
      </c>
    </row>
    <row r="13" spans="2:12">
      <c r="B13" s="272" t="s">
        <v>275</v>
      </c>
      <c r="C13" s="278">
        <f>C4*C12</f>
        <v>217313.69938407079</v>
      </c>
      <c r="D13" s="278">
        <f t="shared" ref="D13:K13" si="4">D4*D12</f>
        <v>231021.9529337979</v>
      </c>
      <c r="E13" s="278">
        <f t="shared" si="4"/>
        <v>281320.39799999999</v>
      </c>
      <c r="F13" s="278">
        <f t="shared" si="4"/>
        <v>293301</v>
      </c>
      <c r="G13" s="278">
        <f>G4*G12</f>
        <v>311077.1110539948</v>
      </c>
      <c r="H13" s="278">
        <f t="shared" si="4"/>
        <v>326703.87498387706</v>
      </c>
      <c r="I13" s="278">
        <f t="shared" si="4"/>
        <v>343115.63961693825</v>
      </c>
      <c r="J13" s="278">
        <f t="shared" si="4"/>
        <v>360351.83897206775</v>
      </c>
      <c r="K13" s="278">
        <f t="shared" si="4"/>
        <v>378453.88801140728</v>
      </c>
    </row>
    <row r="15" spans="2:12">
      <c r="G15" s="279" t="s">
        <v>223</v>
      </c>
      <c r="H15" s="279" t="s">
        <v>224</v>
      </c>
      <c r="I15" s="279" t="s">
        <v>225</v>
      </c>
      <c r="J15" s="279" t="s">
        <v>226</v>
      </c>
      <c r="K15" s="279" t="s">
        <v>227</v>
      </c>
      <c r="L15" s="279" t="s">
        <v>231</v>
      </c>
    </row>
    <row r="16" spans="2:12">
      <c r="F16" s="272" t="s">
        <v>78</v>
      </c>
      <c r="G16" s="277">
        <v>0</v>
      </c>
      <c r="H16" s="277">
        <v>0</v>
      </c>
      <c r="I16" s="277">
        <f>I13/1000000</f>
        <v>0.34311563961693825</v>
      </c>
      <c r="J16" s="277">
        <f>J13/1000000</f>
        <v>0.36035183897206774</v>
      </c>
      <c r="K16" s="277">
        <f>K13/1000000</f>
        <v>0.37845388801140728</v>
      </c>
      <c r="L16" s="277">
        <f>SUM(G16:K16)</f>
        <v>1.0819213666004133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5"/>
  <sheetViews>
    <sheetView topLeftCell="B1" workbookViewId="0">
      <selection activeCell="E16" sqref="E16"/>
    </sheetView>
  </sheetViews>
  <sheetFormatPr defaultColWidth="8.83203125" defaultRowHeight="11.25"/>
  <cols>
    <col min="1" max="1" width="8.83203125" style="244"/>
    <col min="2" max="2" width="27.5" style="244" bestFit="1" customWidth="1"/>
    <col min="3" max="8" width="16.83203125" style="244" bestFit="1" customWidth="1"/>
    <col min="9" max="16384" width="8.83203125" style="244"/>
  </cols>
  <sheetData>
    <row r="1" spans="2:8">
      <c r="B1" s="244" t="s">
        <v>259</v>
      </c>
    </row>
    <row r="2" spans="2:8">
      <c r="C2" s="247">
        <v>2022</v>
      </c>
      <c r="D2" s="247">
        <v>2023</v>
      </c>
      <c r="E2" s="247">
        <v>2024</v>
      </c>
      <c r="F2" s="247">
        <v>2025</v>
      </c>
      <c r="G2" s="247">
        <v>2026</v>
      </c>
      <c r="H2" s="247" t="s">
        <v>231</v>
      </c>
    </row>
    <row r="3" spans="2:8">
      <c r="B3" s="265" t="s">
        <v>252</v>
      </c>
      <c r="C3" s="266">
        <f>'[4]GSL allowance'!C4</f>
        <v>6239134.760715642</v>
      </c>
      <c r="D3" s="266">
        <f>'[4]GSL allowance'!D4</f>
        <v>6094434.0833442984</v>
      </c>
      <c r="E3" s="266">
        <f>'[4]GSL allowance'!E4</f>
        <v>5953089.3658671947</v>
      </c>
      <c r="F3" s="266">
        <f>'[4]GSL allowance'!F4</f>
        <v>5815022.7754295291</v>
      </c>
      <c r="G3" s="266">
        <f>'[4]GSL allowance'!G4</f>
        <v>5680158.2843093006</v>
      </c>
      <c r="H3" s="266">
        <f>'[4]GSL allowance'!H4</f>
        <v>29781839.269665964</v>
      </c>
    </row>
    <row r="4" spans="2:8">
      <c r="B4" s="265" t="s">
        <v>253</v>
      </c>
      <c r="C4" s="266">
        <f>'[4]Transitional GSLs (updated)'!$N$29</f>
        <v>3217973.6545113809</v>
      </c>
      <c r="D4" s="266">
        <f>'[4]Transitional GSLs (updated)'!$N$29</f>
        <v>3217973.6545113809</v>
      </c>
      <c r="E4" s="266">
        <f>'[4]Transitional GSLs (updated)'!$N$29</f>
        <v>3217973.6545113809</v>
      </c>
      <c r="F4" s="266">
        <f>'[4]Transitional GSLs (updated)'!$N$29</f>
        <v>3217973.6545113809</v>
      </c>
      <c r="G4" s="266">
        <f>'[4]Transitional GSLs (updated)'!$N$29</f>
        <v>3217973.6545113809</v>
      </c>
      <c r="H4" s="266">
        <f>SUM(C4:G4)</f>
        <v>16089868.272556905</v>
      </c>
    </row>
    <row r="5" spans="2:8">
      <c r="B5" s="248" t="s">
        <v>231</v>
      </c>
      <c r="C5" s="249">
        <f>SUM(C3:C4)</f>
        <v>9457108.415227022</v>
      </c>
      <c r="D5" s="249">
        <f t="shared" ref="D5:G5" si="0">SUM(D3:D4)</f>
        <v>9312407.7378556803</v>
      </c>
      <c r="E5" s="249">
        <f t="shared" si="0"/>
        <v>9171063.0203785747</v>
      </c>
      <c r="F5" s="249">
        <f t="shared" si="0"/>
        <v>9032996.4299409091</v>
      </c>
      <c r="G5" s="249">
        <f t="shared" si="0"/>
        <v>8898131.9388206825</v>
      </c>
      <c r="H5" s="249">
        <f>SUM(H3:H4)</f>
        <v>45871707.542222872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A2:L27"/>
  <sheetViews>
    <sheetView topLeftCell="C1" zoomScale="85" zoomScaleNormal="85" workbookViewId="0">
      <selection activeCell="O5" sqref="O5"/>
    </sheetView>
  </sheetViews>
  <sheetFormatPr defaultColWidth="8.83203125" defaultRowHeight="14.25"/>
  <cols>
    <col min="1" max="1" width="28.5" style="230" customWidth="1"/>
    <col min="2" max="2" width="28.1640625" style="230" bestFit="1" customWidth="1"/>
    <col min="3" max="3" width="30.83203125" style="230" customWidth="1"/>
    <col min="4" max="4" width="34.33203125" style="230" bestFit="1" customWidth="1"/>
    <col min="5" max="5" width="16.6640625" style="230" bestFit="1" customWidth="1"/>
    <col min="6" max="7" width="18.83203125" style="230" bestFit="1" customWidth="1"/>
    <col min="8" max="8" width="22.1640625" style="230" customWidth="1"/>
    <col min="9" max="10" width="18.83203125" style="230" bestFit="1" customWidth="1"/>
    <col min="11" max="13" width="16.6640625" style="230" bestFit="1" customWidth="1"/>
    <col min="14" max="15" width="8.83203125" style="230"/>
    <col min="16" max="16" width="15.6640625" style="230" bestFit="1" customWidth="1"/>
    <col min="17" max="16384" width="8.83203125" style="230"/>
  </cols>
  <sheetData>
    <row r="2" spans="1:12" ht="15">
      <c r="D2" s="250" t="s">
        <v>278</v>
      </c>
      <c r="E2" s="250" t="s">
        <v>22</v>
      </c>
      <c r="F2" s="250" t="s">
        <v>223</v>
      </c>
      <c r="G2" s="250" t="s">
        <v>224</v>
      </c>
      <c r="H2" s="250" t="s">
        <v>225</v>
      </c>
      <c r="I2" s="250" t="s">
        <v>226</v>
      </c>
      <c r="J2" s="250" t="s">
        <v>227</v>
      </c>
      <c r="K2" s="250" t="s">
        <v>231</v>
      </c>
    </row>
    <row r="3" spans="1:12">
      <c r="D3" s="283" t="s">
        <v>277</v>
      </c>
      <c r="E3" s="283">
        <v>44348</v>
      </c>
      <c r="F3" s="284">
        <v>13260520.093600901</v>
      </c>
      <c r="G3" s="284">
        <v>15330065.824981347</v>
      </c>
      <c r="H3" s="284">
        <v>17465095.989945635</v>
      </c>
      <c r="I3" s="284">
        <v>19725539.611702301</v>
      </c>
      <c r="J3" s="284">
        <v>22177177.040945079</v>
      </c>
      <c r="K3" s="284">
        <f>SUM(F3:J3)</f>
        <v>87958398.561175257</v>
      </c>
    </row>
    <row r="4" spans="1:12">
      <c r="D4" s="264"/>
      <c r="F4" s="282"/>
      <c r="G4" s="282"/>
      <c r="H4" s="282"/>
      <c r="I4" s="282"/>
      <c r="J4" s="282"/>
      <c r="K4" s="263"/>
    </row>
    <row r="5" spans="1:12">
      <c r="D5" s="283" t="s">
        <v>276</v>
      </c>
      <c r="E5" s="283">
        <v>44348</v>
      </c>
      <c r="F5" s="284">
        <v>8427232.7142323889</v>
      </c>
      <c r="G5" s="284">
        <v>8480211.1558116172</v>
      </c>
      <c r="H5" s="284">
        <v>8557818.8768586181</v>
      </c>
      <c r="I5" s="284">
        <v>8652834.6977738701</v>
      </c>
      <c r="J5" s="284">
        <v>8764626.1295174696</v>
      </c>
      <c r="K5" s="284">
        <f>SUM(F5:J5)</f>
        <v>42882723.574193969</v>
      </c>
    </row>
    <row r="6" spans="1:12">
      <c r="D6" s="283" t="s">
        <v>78</v>
      </c>
      <c r="E6" s="283">
        <v>44348</v>
      </c>
      <c r="F6" s="284">
        <f>F3-F5</f>
        <v>4833287.379368512</v>
      </c>
      <c r="G6" s="284">
        <f>G3-G5</f>
        <v>6849854.6691697296</v>
      </c>
      <c r="H6" s="284">
        <f>H3-H5</f>
        <v>8907277.1130870171</v>
      </c>
      <c r="I6" s="284">
        <f>I3-I5</f>
        <v>11072704.913928431</v>
      </c>
      <c r="J6" s="284">
        <f>J3-J5</f>
        <v>13412550.91142761</v>
      </c>
      <c r="K6" s="284">
        <f>SUM(F6:J6)</f>
        <v>45075674.986981302</v>
      </c>
    </row>
    <row r="7" spans="1:12">
      <c r="D7" s="264"/>
      <c r="F7" s="263"/>
      <c r="G7" s="263"/>
      <c r="H7" s="263"/>
      <c r="I7" s="285"/>
      <c r="J7" s="285"/>
      <c r="K7" s="285"/>
      <c r="L7" s="285"/>
    </row>
    <row r="8" spans="1:12">
      <c r="D8" s="264"/>
    </row>
    <row r="9" spans="1:12" ht="15">
      <c r="B9" s="250">
        <v>2018</v>
      </c>
      <c r="C9" s="250">
        <v>2019</v>
      </c>
      <c r="D9" s="250">
        <v>2020</v>
      </c>
      <c r="E9" s="250" t="s">
        <v>222</v>
      </c>
      <c r="F9" s="250" t="s">
        <v>223</v>
      </c>
      <c r="G9" s="250" t="s">
        <v>224</v>
      </c>
      <c r="H9" s="250" t="s">
        <v>225</v>
      </c>
      <c r="I9" s="250" t="s">
        <v>226</v>
      </c>
      <c r="J9" s="250" t="s">
        <v>227</v>
      </c>
    </row>
    <row r="10" spans="1:12">
      <c r="A10" s="230" t="s">
        <v>23</v>
      </c>
      <c r="B10" s="251">
        <f>B19</f>
        <v>8112978.4168279944</v>
      </c>
      <c r="C10" s="251">
        <f>B23</f>
        <v>9288018.1065968294</v>
      </c>
      <c r="D10" s="251"/>
      <c r="E10" s="251">
        <f>B10*E14</f>
        <v>8365575.750971566</v>
      </c>
      <c r="F10" s="251">
        <f ca="1">E10*(1+F15)</f>
        <v>8414395.044735102</v>
      </c>
      <c r="G10" s="251">
        <f ca="1">F10*(1+G15)</f>
        <v>8467292.7813253384</v>
      </c>
      <c r="H10" s="251">
        <f ca="1">G10*(1+H15)</f>
        <v>8544782.2782403082</v>
      </c>
      <c r="I10" s="251">
        <f t="shared" ref="I10:J10" ca="1" si="0">H10*(1+I15)</f>
        <v>8639653.3563025426</v>
      </c>
      <c r="J10" s="251">
        <f t="shared" ca="1" si="0"/>
        <v>8751274.4899777044</v>
      </c>
    </row>
    <row r="11" spans="1:12">
      <c r="A11" s="230" t="s">
        <v>234</v>
      </c>
      <c r="B11" s="231"/>
      <c r="C11" s="252"/>
      <c r="D11" s="263">
        <f>B27</f>
        <v>10410235.1554313</v>
      </c>
      <c r="E11" s="251">
        <f>D11</f>
        <v>10410235.1554313</v>
      </c>
      <c r="F11" s="251">
        <f ca="1">E11*(1+F15)</f>
        <v>10470986.542225147</v>
      </c>
      <c r="G11" s="251">
        <f t="shared" ref="G11:J11" ca="1" si="1">F11*(1+G15)</f>
        <v>10536813.198212389</v>
      </c>
      <c r="H11" s="251">
        <f ca="1">G11*(1+H15)</f>
        <v>10633242.172018193</v>
      </c>
      <c r="I11" s="251">
        <f t="shared" ca="1" si="1"/>
        <v>10751301.019547299</v>
      </c>
      <c r="J11" s="251">
        <f t="shared" ca="1" si="1"/>
        <v>10890203.861917628</v>
      </c>
    </row>
    <row r="12" spans="1:12">
      <c r="B12" s="231"/>
      <c r="C12" s="231"/>
      <c r="D12" s="231"/>
      <c r="E12" s="251">
        <f>E10-E11</f>
        <v>-2044659.4044597344</v>
      </c>
      <c r="F12" s="251">
        <f ca="1">F10-F11</f>
        <v>-2056591.4974900447</v>
      </c>
      <c r="G12" s="251">
        <f t="shared" ref="G12:J12" ca="1" si="2">G10-G11</f>
        <v>-2069520.4168870505</v>
      </c>
      <c r="H12" s="251">
        <f t="shared" ca="1" si="2"/>
        <v>-2088459.8937778845</v>
      </c>
      <c r="I12" s="251">
        <f t="shared" ca="1" si="2"/>
        <v>-2111647.6632447559</v>
      </c>
      <c r="J12" s="251">
        <f t="shared" ca="1" si="2"/>
        <v>-2138929.3719399236</v>
      </c>
      <c r="K12" s="230" t="s">
        <v>78</v>
      </c>
      <c r="L12" s="231">
        <f ca="1">SUM(F12:J12)</f>
        <v>-10465148.843339659</v>
      </c>
    </row>
    <row r="13" spans="1:12">
      <c r="B13" s="231"/>
      <c r="C13" s="231"/>
      <c r="D13" s="231"/>
      <c r="E13" s="232"/>
      <c r="F13" s="232"/>
      <c r="G13" s="232"/>
      <c r="H13" s="232"/>
      <c r="I13" s="232"/>
      <c r="J13" s="232"/>
    </row>
    <row r="14" spans="1:12">
      <c r="A14" s="230" t="s">
        <v>233</v>
      </c>
      <c r="E14" s="253">
        <v>1.0311349693251535</v>
      </c>
    </row>
    <row r="15" spans="1:12">
      <c r="A15" s="230" t="s">
        <v>42</v>
      </c>
      <c r="B15" s="231"/>
      <c r="C15" s="231"/>
      <c r="D15" s="231"/>
      <c r="E15" s="232"/>
      <c r="F15" s="232">
        <f ca="1">'Calc|Opex forecast'!P69</f>
        <v>5.8357362621295206E-3</v>
      </c>
      <c r="G15" s="232">
        <f ca="1">'Calc|Opex forecast'!Q69</f>
        <v>6.2865763146375819E-3</v>
      </c>
      <c r="H15" s="232">
        <f ca="1">'Calc|Opex forecast'!R69</f>
        <v>9.1516260174531183E-3</v>
      </c>
      <c r="I15" s="232">
        <f ca="1">'Calc|Opex forecast'!S69</f>
        <v>1.110280811997133E-2</v>
      </c>
      <c r="J15" s="232">
        <f ca="1">'Calc|Opex forecast'!T69</f>
        <v>1.2919631039795654E-2</v>
      </c>
    </row>
    <row r="16" spans="1:12">
      <c r="A16" s="231"/>
      <c r="B16" s="231"/>
      <c r="C16" s="231"/>
      <c r="D16" s="231"/>
      <c r="E16" s="231"/>
      <c r="I16" s="231"/>
    </row>
    <row r="17" spans="1:4" ht="15.75" thickBot="1">
      <c r="A17" s="254" t="s">
        <v>257</v>
      </c>
      <c r="B17" s="255"/>
    </row>
    <row r="18" spans="1:4" ht="15.75" thickBot="1">
      <c r="A18" s="257" t="s">
        <v>228</v>
      </c>
      <c r="B18" s="258" t="s">
        <v>229</v>
      </c>
    </row>
    <row r="19" spans="1:4" ht="15" thickBot="1">
      <c r="A19" s="259" t="s">
        <v>230</v>
      </c>
      <c r="B19" s="262">
        <v>8112978.4168279944</v>
      </c>
      <c r="C19" s="263"/>
    </row>
    <row r="20" spans="1:4">
      <c r="D20" s="263"/>
    </row>
    <row r="21" spans="1:4" ht="15.75" thickBot="1">
      <c r="A21" s="254" t="s">
        <v>256</v>
      </c>
      <c r="B21" s="255"/>
    </row>
    <row r="22" spans="1:4" ht="15.75" thickBot="1">
      <c r="A22" s="257" t="s">
        <v>228</v>
      </c>
      <c r="B22" s="258" t="s">
        <v>232</v>
      </c>
    </row>
    <row r="23" spans="1:4" ht="15" thickBot="1">
      <c r="A23" s="259" t="s">
        <v>230</v>
      </c>
      <c r="B23" s="262">
        <v>9288018.1065968294</v>
      </c>
      <c r="C23" s="263"/>
    </row>
    <row r="24" spans="1:4">
      <c r="A24" s="256"/>
      <c r="B24" s="256"/>
      <c r="D24" s="263"/>
    </row>
    <row r="25" spans="1:4" ht="15.75" thickBot="1">
      <c r="A25" s="254" t="s">
        <v>255</v>
      </c>
      <c r="B25" s="255"/>
    </row>
    <row r="26" spans="1:4" ht="16.5" thickTop="1" thickBot="1">
      <c r="A26" s="260" t="s">
        <v>228</v>
      </c>
      <c r="B26" s="261" t="s">
        <v>232</v>
      </c>
    </row>
    <row r="27" spans="1:4" ht="15.75" thickTop="1" thickBot="1">
      <c r="A27" s="259" t="s">
        <v>230</v>
      </c>
      <c r="B27" s="262">
        <v>10410235.1554313</v>
      </c>
      <c r="C27" s="263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3" tint="0.59999389629810485"/>
  </sheetPr>
  <dimension ref="A1:AV24"/>
  <sheetViews>
    <sheetView showGridLines="0" tabSelected="1" topLeftCell="M1" workbookViewId="0">
      <selection activeCell="T13" sqref="T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119</v>
      </c>
      <c r="K3" s="170"/>
      <c r="L3" s="170"/>
      <c r="M3" s="180"/>
      <c r="N3" s="286"/>
      <c r="O3" s="286"/>
      <c r="P3" s="286"/>
      <c r="Q3" s="286"/>
      <c r="R3" s="286"/>
      <c r="S3" s="286"/>
      <c r="T3" s="286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228.19520768272159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231.6063628391766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235.39653172536418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239.82423869360946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245.217470191589</v>
      </c>
      <c r="U13" s="111"/>
      <c r="V13" s="150"/>
    </row>
    <row r="14" spans="1:27">
      <c r="C14" s="111" t="str">
        <f>'Input|Step changes'!C28</f>
        <v>GSL payments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9.4571084152270224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9.3124077378556809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9.1710630203785755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9.0329964299409085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8.8981319388206828</v>
      </c>
      <c r="U14" s="111"/>
      <c r="V14" s="150"/>
    </row>
    <row r="15" spans="1:27">
      <c r="C15" s="111" t="str">
        <f>'Input|Step changes'!C29</f>
        <v>Innovation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24" spans="1:24" hidden="1">
      <c r="M24" s="145"/>
      <c r="N24" s="145"/>
      <c r="O24" s="145"/>
      <c r="P24" s="145"/>
      <c r="Q24" s="145"/>
      <c r="R24" s="145"/>
      <c r="S24" s="145"/>
      <c r="T24" s="145"/>
    </row>
  </sheetData>
  <mergeCells count="1">
    <mergeCell ref="N3:T3"/>
  </mergeCells>
  <conditionalFormatting sqref="W1">
    <cfRule type="cellIs" dxfId="23" priority="16" operator="equal">
      <formula>"Check"</formula>
    </cfRule>
    <cfRule type="cellIs" dxfId="22" priority="17" operator="equal">
      <formula>"Ok"</formula>
    </cfRule>
  </conditionalFormatting>
  <conditionalFormatting sqref="J13:T16">
    <cfRule type="expression" dxfId="21" priority="6">
      <formula>AND($C13=0,J$11=J$4)</formula>
    </cfRule>
    <cfRule type="expression" dxfId="20" priority="7">
      <formula>NOT(J$11=J$4)</formula>
    </cfRule>
    <cfRule type="expression" dxfId="19" priority="8">
      <formula>J$11=J$4</formula>
    </cfRule>
  </conditionalFormatting>
  <conditionalFormatting sqref="J11:T11">
    <cfRule type="expression" dxfId="18" priority="10">
      <formula>J$11=J$4</formula>
    </cfRule>
  </conditionalFormatting>
  <conditionalFormatting sqref="T1">
    <cfRule type="cellIs" dxfId="17" priority="4" operator="equal">
      <formula>"Check"</formula>
    </cfRule>
    <cfRule type="cellIs" dxfId="16" priority="5" operator="equal">
      <formula>"Ok"</formula>
    </cfRule>
  </conditionalFormatting>
  <dataValidations count="2">
    <dataValidation type="list" allowBlank="1" showInputMessage="1" showErrorMessage="1" sqref="F13:F16" xr:uid="{00000000-0002-0000-0B00-000000000000}">
      <formula1>$G$20:$G$26</formula1>
    </dataValidation>
    <dataValidation type="list" allowBlank="1" showInputMessage="1" showErrorMessage="1" sqref="F17" xr:uid="{00000000-0002-0000-0B00-000001000000}">
      <formula1>#REF!</formula1>
    </dataValidation>
  </dataValidations>
  <hyperlinks>
    <hyperlink ref="J1" location="Index!A1" display="Back to Index" xr:uid="{00000000-0004-0000-0B00-000000000000}"/>
    <hyperlink ref="D13" location="'Calc|Opex forecast'!A1" display="Calc | Opex forecast" xr:uid="{00000000-0004-0000-0B00-000001000000}"/>
    <hyperlink ref="D14" location="'Calc|Opex forecast'!A1" display="Calc | Opex forecast" xr:uid="{00000000-0004-0000-0B00-000002000000}"/>
    <hyperlink ref="D15" location="'Calc|Opex forecast'!A1" display="Calc | Opex forecast" xr:uid="{00000000-0004-0000-0B00-000003000000}"/>
    <hyperlink ref="D16" location="'Calc|Opex forecast'!A1" display="Calc | Opex forecast" xr:uid="{00000000-0004-0000-0B00-000004000000}"/>
    <hyperlink ref="V1" location="'Check|List'!A1" display="Overall Check:" xr:uid="{00000000-0004-0000-0B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B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1"/>
  </sheetPr>
  <dimension ref="A1:XER84"/>
  <sheetViews>
    <sheetView showGridLines="0" workbookViewId="0">
      <selection activeCell="G72" sqref="G72:G7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120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121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122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123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124</v>
      </c>
      <c r="D28" s="16" t="s">
        <v>68</v>
      </c>
      <c r="E28" s="16"/>
      <c r="F28" s="16"/>
      <c r="G28" s="151">
        <v>36617</v>
      </c>
    </row>
    <row r="29" spans="1:47">
      <c r="C29" s="15" t="s">
        <v>125</v>
      </c>
      <c r="D29" s="16" t="s">
        <v>68</v>
      </c>
      <c r="E29" s="16"/>
      <c r="F29" s="16"/>
      <c r="G29" s="151">
        <v>36647</v>
      </c>
    </row>
    <row r="30" spans="1:47">
      <c r="C30" s="15" t="s">
        <v>126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127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128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129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130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131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132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155</v>
      </c>
      <c r="H40" s="14" t="s">
        <v>153</v>
      </c>
      <c r="I40" s="14" t="s">
        <v>154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151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152</v>
      </c>
      <c r="H64" s="14" t="s">
        <v>119</v>
      </c>
    </row>
    <row r="65" spans="1:47">
      <c r="C65" s="15" t="s">
        <v>186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140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141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142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143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144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190</v>
      </c>
      <c r="D71" s="16" t="s">
        <v>97</v>
      </c>
      <c r="E71" s="16"/>
      <c r="F71" s="16"/>
      <c r="G71" s="181" t="s">
        <v>191</v>
      </c>
      <c r="H71" s="183">
        <f>DATE(YEAR(H70)+1,6,1)</f>
        <v>44348</v>
      </c>
    </row>
    <row r="72" spans="1:47">
      <c r="C72" s="15" t="s">
        <v>145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146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147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148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149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152</v>
      </c>
      <c r="H80" s="212"/>
    </row>
    <row r="81" spans="1:47">
      <c r="C81" s="15" t="s">
        <v>180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181</v>
      </c>
      <c r="D82" s="16" t="s">
        <v>68</v>
      </c>
      <c r="E82" s="16"/>
      <c r="F82" s="16"/>
      <c r="G82" s="182" t="s">
        <v>182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C00-000000000000}"/>
    <hyperlink ref="U1" location="'Check|List'!A1" display="Overall Check:" xr:uid="{00000000-0004-0000-0C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1"/>
  </sheetPr>
  <dimension ref="A1:AU22"/>
  <sheetViews>
    <sheetView showGridLines="0" workbookViewId="0">
      <selection activeCell="A28" sqref="A28:XFD2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D00-000000000000}"/>
    <hyperlink ref="D10" location="'Input|General'!A1" display="'Input|General'!A1" xr:uid="{00000000-0004-0000-0D00-000001000000}"/>
    <hyperlink ref="D12" location="'Input|Reported opex'!A1" display="'Input|Reported opex'!A1" xr:uid="{00000000-0004-0000-0D00-000002000000}"/>
    <hyperlink ref="D13" location="'Input|Rate of change'!A1" display="'Input|Rate of change'!A1" xr:uid="{00000000-0004-0000-0D00-000003000000}"/>
    <hyperlink ref="D15" location="'Calc|Opex forecast'!A1" display="'Calc|Opex forecast'!A1" xr:uid="{00000000-0004-0000-0D00-000004000000}"/>
    <hyperlink ref="D11" location="'Input|Inflation'!A1" display="'Input|Inflation'!A1" xr:uid="{00000000-0004-0000-0D00-000005000000}"/>
    <hyperlink ref="R1" location="'Check|List'!A1" display="Overall Check:" xr:uid="{00000000-0004-0000-0D00-000006000000}"/>
    <hyperlink ref="D14" location="'Input|Step changes'!A1" display="'Input|Step changes'!A1" xr:uid="{00000000-0004-0000-0D00-000007000000}"/>
    <hyperlink ref="D16" location="'Output|Models'!A1" display="'Output|Models'!A1" xr:uid="{00000000-0004-0000-0D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&gt;&gt;Supporting inputs&gt;&gt;</vt:lpstr>
      <vt:lpstr>ESV Levy</vt:lpstr>
      <vt:lpstr>AEMO fees</vt:lpstr>
      <vt:lpstr>GSLs</vt:lpstr>
      <vt:lpstr>Bushfire insurance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2020-09-28T01:38:08Z</dcterms:created>
  <dcterms:modified xsi:type="dcterms:W3CDTF">2021-03-30T01:05:14Z</dcterms:modified>
</cp:coreProperties>
</file>