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5 Supporting Documents\01 Model Documents\"/>
    </mc:Choice>
  </mc:AlternateContent>
  <bookViews>
    <workbookView xWindow="-120" yWindow="-120" windowWidth="29040" windowHeight="15840"/>
  </bookViews>
  <sheets>
    <sheet name="TAB Adjustments" sheetId="1" r:id="rId1"/>
    <sheet name="Tax std life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6" i="1" l="1"/>
  <c r="L14" i="1" l="1"/>
  <c r="E14" i="1" l="1"/>
  <c r="E17" i="1" l="1"/>
  <c r="J4" i="1" l="1" a="1"/>
  <c r="J4" i="1" s="1"/>
  <c r="J5" i="1" a="1"/>
  <c r="J5" i="1" s="1"/>
  <c r="H4" i="1" a="1"/>
  <c r="H4" i="1" s="1"/>
  <c r="H5" i="1" a="1"/>
  <c r="H5" i="1" s="1"/>
  <c r="G5" i="1"/>
  <c r="E5" i="1"/>
  <c r="G4" i="1"/>
  <c r="E4" i="1"/>
  <c r="E15" i="1"/>
  <c r="E12" i="1"/>
  <c r="G17" i="1" l="1"/>
  <c r="G15" i="1"/>
  <c r="G14" i="1"/>
  <c r="G12" i="1"/>
  <c r="L17" i="1" l="1"/>
  <c r="K17" i="1"/>
  <c r="K13" i="1"/>
  <c r="K15" i="1" l="1"/>
  <c r="K14" i="1"/>
  <c r="K16" i="1"/>
  <c r="K12" i="1"/>
  <c r="J22" i="1" l="1"/>
  <c r="J15" i="1" l="1"/>
  <c r="J13" i="1"/>
  <c r="J12" i="1"/>
  <c r="J14" i="1"/>
  <c r="H15" i="1"/>
  <c r="H12" i="1"/>
  <c r="J16" i="1"/>
  <c r="J17" i="1"/>
  <c r="H22" i="1"/>
  <c r="J25" i="1" l="1"/>
  <c r="J24" i="1"/>
  <c r="H17" i="1" l="1"/>
  <c r="H14" i="1"/>
  <c r="E10" i="2"/>
  <c r="E9" i="2"/>
  <c r="G13" i="1" l="1"/>
  <c r="H13" i="1" l="1"/>
  <c r="H24" i="1" l="1"/>
  <c r="G16" i="1" l="1"/>
  <c r="E18" i="1" l="1"/>
  <c r="H16" i="1" l="1"/>
  <c r="G18" i="1"/>
  <c r="H25" i="1" l="1"/>
  <c r="J18" i="1"/>
  <c r="H18" i="1"/>
  <c r="L18" i="1"/>
  <c r="H26" i="1" l="1"/>
  <c r="H27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<sst xmlns="http://schemas.openxmlformats.org/spreadsheetml/2006/main" count="68" uniqueCount="51">
  <si>
    <t>TAV</t>
  </si>
  <si>
    <t>RL</t>
  </si>
  <si>
    <t>RAB</t>
  </si>
  <si>
    <t>Total</t>
  </si>
  <si>
    <t>$Nom</t>
  </si>
  <si>
    <t>Estimated</t>
  </si>
  <si>
    <t>Calculated</t>
  </si>
  <si>
    <t>Post Ralph up to 9 May 2006</t>
  </si>
  <si>
    <t>Post Ralph 10 May 2006 onwards</t>
  </si>
  <si>
    <t>SCADA/Network control</t>
  </si>
  <si>
    <t>Tax</t>
  </si>
  <si>
    <t>DB rate</t>
  </si>
  <si>
    <t>Mutiplier</t>
  </si>
  <si>
    <t>Std Tax</t>
  </si>
  <si>
    <t>Life</t>
  </si>
  <si>
    <t>Post 1999 Tax Review</t>
  </si>
  <si>
    <t>From AusNet Services' TAB roll forward schedules up to 2015</t>
  </si>
  <si>
    <t>Tax Asset Class:</t>
  </si>
  <si>
    <t>Historical declining balance tax rates</t>
  </si>
  <si>
    <t>WARL</t>
  </si>
  <si>
    <t>Op TAV</t>
  </si>
  <si>
    <t>Adjusted</t>
  </si>
  <si>
    <t>Rem life</t>
  </si>
  <si>
    <t>Insulators</t>
  </si>
  <si>
    <t>Instrument Transformers</t>
  </si>
  <si>
    <t>Switchgear</t>
  </si>
  <si>
    <t>Towers and Conductor</t>
  </si>
  <si>
    <t>2017 Op RAB</t>
  </si>
  <si>
    <t>2017 Op TAV</t>
  </si>
  <si>
    <t>Parent class</t>
  </si>
  <si>
    <t>Standard</t>
  </si>
  <si>
    <t>Tax Life</t>
  </si>
  <si>
    <t>source: 2017-22 Final Decision PTRM</t>
  </si>
  <si>
    <t>Opening</t>
  </si>
  <si>
    <t>TAB</t>
  </si>
  <si>
    <t>Adjustments to existing parent classes in RFM adj sheet:</t>
  </si>
  <si>
    <t>immediate write-off</t>
  </si>
  <si>
    <t>linked to val. model - RAB rem life of accelerated depn class</t>
  </si>
  <si>
    <t>Roll forward to</t>
  </si>
  <si>
    <t>Accelerated Depr class</t>
  </si>
  <si>
    <t>Instrument Transformers - Already Replaced</t>
  </si>
  <si>
    <t>New</t>
  </si>
  <si>
    <t>source: Valuation of Insulators &amp; Instrument Transformers - Remaining Balance.xlsx</t>
  </si>
  <si>
    <t>Instrument Transformers - Replace 2023-2027</t>
  </si>
  <si>
    <t>2023-27 period length</t>
  </si>
  <si>
    <t>Tax RL</t>
  </si>
  <si>
    <t>FY 2018 opening RAB and TAB (FY 2017 Closing) (from decision PTRM)</t>
  </si>
  <si>
    <t>Insulators - Already Decommissioned</t>
  </si>
  <si>
    <t>Insulators - Decommission 2023-2027</t>
  </si>
  <si>
    <t>source: Valuation of Insulators &amp; Instrument Transformers - Already Decommissioned.xlsx</t>
  </si>
  <si>
    <t>source: Valuation of Insulators &amp; Instrument Transformers - Decommission 23-27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</si>
</sst>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165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0" fillId="3" borderId="0" xfId="0" applyFill="1"/>
    <xf numFmtId="17" fontId="2" fillId="0" borderId="0" xfId="0" applyNumberFormat="1" applyFont="1" applyAlignment="1">
      <alignment horizontal="center"/>
    </xf>
    <xf numFmtId="166" fontId="2" fillId="2" borderId="0" xfId="0" applyNumberFormat="1" applyFont="1" applyFill="1"/>
    <xf numFmtId="17" fontId="0" fillId="0" borderId="0" xfId="0" applyNumberFormat="1" applyAlignment="1">
      <alignment horizontal="center"/>
    </xf>
    <xf numFmtId="166" fontId="0" fillId="0" borderId="0" xfId="0" applyNumberFormat="1"/>
    <xf numFmtId="43" fontId="2" fillId="2" borderId="0" xfId="1" applyFont="1" applyFill="1"/>
    <xf numFmtId="43" fontId="2" fillId="0" borderId="0" xfId="1" applyFont="1" applyFill="1"/>
    <xf numFmtId="43" fontId="0" fillId="0" borderId="0" xfId="0" applyNumberFormat="1"/>
    <xf numFmtId="43" fontId="0" fillId="0" borderId="1" xfId="0" applyNumberFormat="1" applyBorder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 applyFill="1"/>
    <xf numFmtId="0" fontId="0" fillId="0" borderId="0" xfId="0" applyBorder="1"/>
    <xf numFmtId="166" fontId="0" fillId="0" borderId="0" xfId="0" applyNumberFormat="1" applyBorder="1"/>
    <xf numFmtId="166" fontId="2" fillId="2" borderId="0" xfId="0" applyNumberFormat="1" applyFont="1" applyFill="1" applyBorder="1"/>
    <xf numFmtId="0" fontId="0" fillId="0" borderId="2" xfId="0" applyBorder="1"/>
    <xf numFmtId="0" fontId="5" fillId="0" borderId="0" xfId="0" applyFont="1"/>
    <xf numFmtId="43" fontId="2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 applyBorder="1"/>
    <xf numFmtId="43" fontId="2" fillId="2" borderId="0" xfId="1" applyFont="1" applyFill="1" applyBorder="1"/>
    <xf numFmtId="166" fontId="2" fillId="0" borderId="3" xfId="0" applyNumberFormat="1" applyFont="1" applyBorder="1"/>
    <xf numFmtId="166" fontId="0" fillId="0" borderId="3" xfId="0" applyNumberFormat="1" applyBorder="1"/>
    <xf numFmtId="43" fontId="2" fillId="0" borderId="3" xfId="0" applyNumberFormat="1" applyFont="1" applyFill="1" applyBorder="1"/>
    <xf numFmtId="43" fontId="2" fillId="0" borderId="3" xfId="1" applyFont="1" applyFill="1" applyBorder="1"/>
    <xf numFmtId="2" fontId="0" fillId="0" borderId="3" xfId="0" applyNumberFormat="1" applyBorder="1"/>
    <xf numFmtId="166" fontId="0" fillId="4" borderId="0" xfId="1" applyNumberFormat="1" applyFont="1" applyFill="1"/>
    <xf numFmtId="166" fontId="0" fillId="4" borderId="0" xfId="1" applyNumberFormat="1" applyFont="1" applyFill="1" applyBorder="1"/>
    <xf numFmtId="166" fontId="0" fillId="5" borderId="0" xfId="1" applyNumberFormat="1" applyFont="1" applyFill="1"/>
    <xf numFmtId="166" fontId="0" fillId="5" borderId="0" xfId="1" applyNumberFormat="1" applyFont="1" applyFill="1" applyBorder="1"/>
    <xf numFmtId="0" fontId="4" fillId="5" borderId="0" xfId="0" applyFont="1" applyFill="1"/>
    <xf numFmtId="0" fontId="0" fillId="5" borderId="0" xfId="0" applyFill="1"/>
    <xf numFmtId="0" fontId="4" fillId="4" borderId="0" xfId="0" applyFont="1" applyFill="1"/>
    <xf numFmtId="0" fontId="0" fillId="4" borderId="0" xfId="0" applyFill="1"/>
    <xf numFmtId="166" fontId="0" fillId="6" borderId="0" xfId="1" applyNumberFormat="1" applyFont="1" applyFill="1"/>
    <xf numFmtId="43" fontId="2" fillId="6" borderId="0" xfId="1" applyFont="1" applyFill="1"/>
    <xf numFmtId="0" fontId="4" fillId="6" borderId="0" xfId="0" applyFont="1" applyFill="1"/>
    <xf numFmtId="0" fontId="0" fillId="6" borderId="0" xfId="0" applyFill="1"/>
    <xf numFmtId="0" fontId="6" fillId="0" borderId="0" xfId="0" applyFont="1"/>
    <xf numFmtId="0" fontId="4" fillId="7" borderId="0" xfId="0" applyFont="1" applyFill="1"/>
    <xf numFmtId="0" fontId="0" fillId="7" borderId="0" xfId="0" applyFill="1"/>
    <xf numFmtId="166" fontId="0" fillId="7" borderId="0" xfId="1" applyNumberFormat="1" applyFont="1" applyFill="1"/>
    <xf numFmtId="2" fontId="0" fillId="7" borderId="0" xfId="0" applyNumberFormat="1" applyFill="1"/>
    <xf numFmtId="164" fontId="0" fillId="7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17-22%20TRR\21.0%202017%20TRR%20-%20Annual%20debt%20updates\AusNet%20(T)%20-%20Final%20Decision%20-%20PTRM%20-%202021-22%20RoD%20update%20-%20(Tower%20PT)%20September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TRR\7.0%20TRR%202023%20-%20Modelling\Accel%20Depn\Asset%20Category%20Modelling\Valuation%20of%20Insulators%20&amp;%20Instrument%20Transformers%20-%20Already%20Decommission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TRR\7.0%20TRR%202023%20-%20Modelling\Accel%20Depn\Asset%20Category%20Modelling\Valuation%20of%20Insulators%20&amp;%20Instrument%20Transformers%20-%20Decommission%2023-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TRR\7.0%20TRR%202023%20-%20Modelling\Accel%20Depn\Asset%20Category%20Modelling\Valuation%20of%20Insulators%20&amp;%20Instrument%20Transformers%20-%20Remaining%20Bal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Analysis"/>
      <sheetName val="X factors"/>
      <sheetName val="Revenue summary"/>
      <sheetName val="PTRM Assets"/>
      <sheetName val="Equity raising costs"/>
      <sheetName val="Chart 1-Revenue"/>
      <sheetName val="Chart 2-Price path"/>
      <sheetName val="Chart 3-Building blocks"/>
      <sheetName val="AusNet (T) - Final Decision - P"/>
    </sheetNames>
    <definedNames>
      <definedName name="A2taxremlife" refersTo="='PTRM input'!$O$8"/>
      <definedName name="A2taxstdlife" refersTo="='PTRM input'!$P$8"/>
      <definedName name="A5taxremlife" refersTo="='PTRM input'!$O$11"/>
      <definedName name="A5taxstdlife" refersTo="='PTRM input'!$P$11"/>
    </definedNames>
    <sheetDataSet>
      <sheetData sheetId="0"/>
      <sheetData sheetId="1"/>
      <sheetData sheetId="2">
        <row r="7">
          <cell r="N7">
            <v>218.71141168449321</v>
          </cell>
        </row>
        <row r="8">
          <cell r="O8">
            <v>28.837925307760162</v>
          </cell>
          <cell r="P8">
            <v>40</v>
          </cell>
          <cell r="V8">
            <v>688.83857001764181</v>
          </cell>
          <cell r="AD8">
            <v>549.65420283522099</v>
          </cell>
        </row>
        <row r="11">
          <cell r="O11">
            <v>25.056634736012608</v>
          </cell>
          <cell r="P11">
            <v>47.5</v>
          </cell>
          <cell r="V11">
            <v>1079.5266939105991</v>
          </cell>
          <cell r="AD11">
            <v>798.37664786619916</v>
          </cell>
        </row>
      </sheetData>
      <sheetData sheetId="3">
        <row r="170">
          <cell r="C170">
            <v>25801.917933809822</v>
          </cell>
        </row>
      </sheetData>
      <sheetData sheetId="4"/>
      <sheetData sheetId="5"/>
      <sheetData sheetId="6"/>
      <sheetData sheetId="7">
        <row r="11">
          <cell r="K11">
            <v>1.1258891484374998</v>
          </cell>
        </row>
      </sheetData>
      <sheetData sheetId="8">
        <row r="30">
          <cell r="J30">
            <v>502.07373997057465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ists"/>
      <sheetName val="Inputs"/>
      <sheetName val="Calculations"/>
      <sheetName val="Outputs - Asset Value-Life"/>
      <sheetName val="Outputs - Capex Backcast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>
        <row r="30">
          <cell r="BR30">
            <v>12508108.358086163</v>
          </cell>
        </row>
        <row r="31">
          <cell r="BR31">
            <v>8875172.48779664</v>
          </cell>
        </row>
        <row r="32">
          <cell r="BR32">
            <v>14116105.310729854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ists"/>
      <sheetName val="Inputs"/>
      <sheetName val="Calculations"/>
      <sheetName val="Outputs - Asset Value-Life"/>
      <sheetName val="Outputs - Capex Backcast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>
        <row r="30">
          <cell r="BR30">
            <v>3634955.8152197618</v>
          </cell>
        </row>
        <row r="31">
          <cell r="BR31">
            <v>1453788.2741420576</v>
          </cell>
        </row>
        <row r="32">
          <cell r="BR32">
            <v>4670044.5652631279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ists"/>
      <sheetName val="Inputs"/>
      <sheetName val="Calculations"/>
      <sheetName val="Outputs - Asset Value-Life"/>
      <sheetName val="Outputs - Capex Backcast"/>
      <sheetName val="Chart1"/>
      <sheetName val="Chart2"/>
    </sheetNames>
    <sheetDataSet>
      <sheetData sheetId="0"/>
      <sheetData sheetId="1"/>
      <sheetData sheetId="2"/>
      <sheetData sheetId="3"/>
      <sheetData sheetId="4">
        <row r="6">
          <cell r="H6">
            <v>18.13443630133731</v>
          </cell>
        </row>
        <row r="23">
          <cell r="H23">
            <v>26.136738207989286</v>
          </cell>
        </row>
      </sheetData>
      <sheetData sheetId="5">
        <row r="30">
          <cell r="BR30">
            <v>171411272.30009392</v>
          </cell>
        </row>
        <row r="31">
          <cell r="BR31">
            <v>99574994.539870366</v>
          </cell>
        </row>
        <row r="32">
          <cell r="BR32">
            <v>148524146.78201079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showGridLines="0" tabSelected="1" zoomScaleNormal="100" workbookViewId="0"/>
  </sheetViews>
  <sheetFormatPr defaultRowHeight="15" x14ac:dyDescent="0.25"/>
  <cols>
    <col min="1" max="1" width="2.85546875" customWidth="1"/>
    <col min="3" max="3" width="23.7109375" customWidth="1"/>
    <col min="4" max="4" width="44.42578125" customWidth="1"/>
    <col min="5" max="5" width="10.42578125" customWidth="1"/>
    <col min="6" max="6" width="2.7109375" customWidth="1"/>
    <col min="7" max="7" width="12.28515625" customWidth="1"/>
    <col min="8" max="8" width="13.28515625" customWidth="1"/>
    <col min="9" max="9" width="6" customWidth="1"/>
  </cols>
  <sheetData>
    <row r="2" spans="2:15" x14ac:dyDescent="0.25">
      <c r="B2" t="s">
        <v>46</v>
      </c>
      <c r="E2" s="1" t="s">
        <v>33</v>
      </c>
      <c r="F2" s="1"/>
      <c r="G2" s="1" t="s">
        <v>33</v>
      </c>
      <c r="H2" s="13" t="s">
        <v>33</v>
      </c>
      <c r="J2" t="s">
        <v>30</v>
      </c>
    </row>
    <row r="3" spans="2:15" x14ac:dyDescent="0.25">
      <c r="B3" t="s">
        <v>4</v>
      </c>
      <c r="E3" s="1" t="s">
        <v>2</v>
      </c>
      <c r="G3" s="1" t="s">
        <v>0</v>
      </c>
      <c r="H3" s="1" t="s">
        <v>45</v>
      </c>
      <c r="J3" t="s">
        <v>31</v>
      </c>
    </row>
    <row r="4" spans="2:15" x14ac:dyDescent="0.25">
      <c r="B4" s="4" t="s">
        <v>3</v>
      </c>
      <c r="C4" t="s">
        <v>25</v>
      </c>
      <c r="E4" s="51">
        <f>'[1]PTRM input'!$V$8</f>
        <v>688.83857001764181</v>
      </c>
      <c r="G4" s="51">
        <f>'[1]PTRM input'!$AD$8</f>
        <v>549.65420283522099</v>
      </c>
      <c r="H4" s="52" cm="1">
        <f t="array" ref="H4">[1]!A2taxremlife</f>
        <v>28.837925307760162</v>
      </c>
      <c r="J4" s="52" cm="1">
        <f t="array" ref="J4">[1]!A2taxstdlife</f>
        <v>40</v>
      </c>
    </row>
    <row r="5" spans="2:15" x14ac:dyDescent="0.25">
      <c r="B5" s="4" t="s">
        <v>3</v>
      </c>
      <c r="C5" t="s">
        <v>26</v>
      </c>
      <c r="E5" s="51">
        <f>'[1]PTRM input'!$V$11</f>
        <v>1079.5266939105991</v>
      </c>
      <c r="G5" s="51">
        <f>'[1]PTRM input'!$AD$11</f>
        <v>798.37664786619916</v>
      </c>
      <c r="H5" s="52" cm="1">
        <f t="array" ref="H5">[1]!A5taxremlife</f>
        <v>25.056634736012608</v>
      </c>
      <c r="J5" s="52" cm="1">
        <f t="array" ref="J5">[1]!A5taxstdlife</f>
        <v>47.5</v>
      </c>
    </row>
    <row r="6" spans="2:15" x14ac:dyDescent="0.25">
      <c r="B6" s="49" t="s">
        <v>32</v>
      </c>
      <c r="C6" s="50"/>
      <c r="D6" s="50"/>
      <c r="E6" s="19"/>
      <c r="F6" s="20"/>
      <c r="G6" s="19"/>
      <c r="H6" s="21"/>
      <c r="J6" s="3"/>
    </row>
    <row r="7" spans="2:15" x14ac:dyDescent="0.25">
      <c r="E7" s="19"/>
      <c r="F7" s="20"/>
      <c r="G7" s="19"/>
      <c r="H7" s="21"/>
      <c r="J7" s="3"/>
    </row>
    <row r="8" spans="2:15" x14ac:dyDescent="0.25">
      <c r="C8" t="s">
        <v>44</v>
      </c>
      <c r="D8" s="25">
        <v>5</v>
      </c>
      <c r="E8" s="19"/>
      <c r="F8" s="20"/>
      <c r="G8" s="19"/>
      <c r="H8" s="21"/>
      <c r="J8" s="3"/>
    </row>
    <row r="9" spans="2:15" x14ac:dyDescent="0.25">
      <c r="E9" s="2"/>
      <c r="G9" s="2"/>
      <c r="H9" s="28" t="s">
        <v>38</v>
      </c>
      <c r="J9" s="3"/>
      <c r="K9" t="s">
        <v>41</v>
      </c>
      <c r="L9" s="11">
        <v>44621</v>
      </c>
    </row>
    <row r="10" spans="2:15" x14ac:dyDescent="0.25">
      <c r="E10" t="s">
        <v>6</v>
      </c>
      <c r="G10" s="1" t="s">
        <v>5</v>
      </c>
      <c r="H10" s="11">
        <v>44621</v>
      </c>
      <c r="J10" s="11">
        <v>44621</v>
      </c>
      <c r="K10" t="s">
        <v>30</v>
      </c>
      <c r="L10" s="5" t="s">
        <v>21</v>
      </c>
    </row>
    <row r="11" spans="2:15" x14ac:dyDescent="0.25">
      <c r="B11" t="s">
        <v>4</v>
      </c>
      <c r="C11" t="s">
        <v>29</v>
      </c>
      <c r="D11" t="s">
        <v>39</v>
      </c>
      <c r="E11" s="6" t="s">
        <v>27</v>
      </c>
      <c r="G11" s="1" t="s">
        <v>28</v>
      </c>
      <c r="H11" s="5" t="s">
        <v>20</v>
      </c>
      <c r="J11" s="5" t="s">
        <v>19</v>
      </c>
      <c r="K11" t="s">
        <v>31</v>
      </c>
      <c r="L11" s="5" t="s">
        <v>22</v>
      </c>
    </row>
    <row r="12" spans="2:15" x14ac:dyDescent="0.25">
      <c r="C12" t="s">
        <v>26</v>
      </c>
      <c r="D12" s="48" t="s">
        <v>47</v>
      </c>
      <c r="E12" s="36">
        <f>'[2]Outputs - Capex Backcast'!$BR$30/10^6</f>
        <v>12.508108358086163</v>
      </c>
      <c r="G12" s="14">
        <f>E12/$E$5*$G$5</f>
        <v>9.2505184711097321</v>
      </c>
      <c r="H12" s="12">
        <f>G12-(G12/$H$4)*$D$8</f>
        <v>7.6466377528563187</v>
      </c>
      <c r="J12" s="3">
        <f t="shared" ref="J12:J13" si="0">$H$4-$D$8</f>
        <v>23.837925307760162</v>
      </c>
      <c r="K12" s="53">
        <f>$J$4</f>
        <v>40</v>
      </c>
      <c r="L12" s="15">
        <v>1</v>
      </c>
      <c r="M12" t="s">
        <v>36</v>
      </c>
      <c r="O12" s="7"/>
    </row>
    <row r="13" spans="2:15" x14ac:dyDescent="0.25">
      <c r="C13" t="s">
        <v>26</v>
      </c>
      <c r="D13" s="48" t="s">
        <v>48</v>
      </c>
      <c r="E13" s="38">
        <f>'[3]Outputs - Capex Backcast'!$BR$30/10^6</f>
        <v>3.6349558152197616</v>
      </c>
      <c r="G13" s="14">
        <f t="shared" ref="G13:G14" si="1">E13/$E$5*$G$5</f>
        <v>2.6882742735931222</v>
      </c>
      <c r="H13" s="12">
        <f>G13-(G13/$H$4)*$D$8</f>
        <v>2.2221737748742147</v>
      </c>
      <c r="J13" s="3">
        <f t="shared" si="0"/>
        <v>23.837925307760162</v>
      </c>
      <c r="K13" s="53">
        <f t="shared" ref="K13:K14" si="2">$J$4</f>
        <v>40</v>
      </c>
      <c r="L13" s="15">
        <v>5</v>
      </c>
      <c r="O13" s="7"/>
    </row>
    <row r="14" spans="2:15" x14ac:dyDescent="0.25">
      <c r="C14" t="s">
        <v>26</v>
      </c>
      <c r="D14" s="48" t="s">
        <v>23</v>
      </c>
      <c r="E14" s="44">
        <f>'[4]Outputs - Capex Backcast'!$BR30/10^6</f>
        <v>171.41127230009391</v>
      </c>
      <c r="G14" s="14">
        <f t="shared" si="1"/>
        <v>126.76922002705247</v>
      </c>
      <c r="H14" s="12">
        <f>G14-(G14/$H$4)*$D$8</f>
        <v>104.78961874260442</v>
      </c>
      <c r="J14" s="3">
        <f>$H$4-$D$8</f>
        <v>23.837925307760162</v>
      </c>
      <c r="K14" s="53">
        <f t="shared" si="2"/>
        <v>40</v>
      </c>
      <c r="L14" s="45">
        <f>'[4]Outputs - Asset Value-Life'!$H$6</f>
        <v>18.13443630133731</v>
      </c>
      <c r="M14" t="s">
        <v>37</v>
      </c>
      <c r="O14" s="7"/>
    </row>
    <row r="15" spans="2:15" x14ac:dyDescent="0.25">
      <c r="C15" t="s">
        <v>25</v>
      </c>
      <c r="D15" s="48" t="s">
        <v>40</v>
      </c>
      <c r="E15" s="37">
        <f>SUM('[2]Outputs - Capex Backcast'!$BR$31:$BR$32)/10^6</f>
        <v>22.991277798526497</v>
      </c>
      <c r="F15" s="22"/>
      <c r="G15" s="23">
        <f>E15/$E$4*$G$4</f>
        <v>18.345738784906516</v>
      </c>
      <c r="H15" s="24">
        <f>G15-(G15/$H$5)*$D$8</f>
        <v>14.684884289043364</v>
      </c>
      <c r="J15" s="3">
        <f>$H$5-$D$8</f>
        <v>20.056634736012608</v>
      </c>
      <c r="K15" s="53">
        <f>$J$5</f>
        <v>47.5</v>
      </c>
      <c r="L15" s="15">
        <v>1</v>
      </c>
      <c r="M15" t="s">
        <v>36</v>
      </c>
      <c r="O15" s="7"/>
    </row>
    <row r="16" spans="2:15" x14ac:dyDescent="0.25">
      <c r="C16" t="s">
        <v>25</v>
      </c>
      <c r="D16" s="48" t="s">
        <v>43</v>
      </c>
      <c r="E16" s="39">
        <f>SUM('[3]Outputs - Capex Backcast'!$BR$31:$BR$32)/10^6</f>
        <v>6.1238328394051855</v>
      </c>
      <c r="F16" s="22"/>
      <c r="G16" s="23">
        <f t="shared" ref="G16:G17" si="3">E16/$E$4*$G$4</f>
        <v>4.8864721055808458</v>
      </c>
      <c r="H16" s="24">
        <f>G16-(G16/$H$5)*$D$8</f>
        <v>3.9113866327983073</v>
      </c>
      <c r="I16" s="22"/>
      <c r="J16" s="29">
        <f>$H$5-$D$8</f>
        <v>20.056634736012608</v>
      </c>
      <c r="K16" s="53">
        <f t="shared" ref="K16:K17" si="4">$J$5</f>
        <v>47.5</v>
      </c>
      <c r="L16" s="30">
        <v>5</v>
      </c>
      <c r="O16" s="7"/>
    </row>
    <row r="17" spans="2:15" x14ac:dyDescent="0.25">
      <c r="C17" t="s">
        <v>25</v>
      </c>
      <c r="D17" s="48" t="s">
        <v>24</v>
      </c>
      <c r="E17" s="44">
        <f>SUM('[4]Outputs - Capex Backcast'!$BR$31:$BR$32)/10^6</f>
        <v>248.09914132188118</v>
      </c>
      <c r="G17" s="23">
        <f t="shared" si="3"/>
        <v>197.96907676625727</v>
      </c>
      <c r="H17" s="12">
        <f>G17-(G17/$H$5)*$D$8</f>
        <v>158.46475408845438</v>
      </c>
      <c r="J17" s="3">
        <f>$H$5-$D$8</f>
        <v>20.056634736012608</v>
      </c>
      <c r="K17" s="53">
        <f t="shared" si="4"/>
        <v>47.5</v>
      </c>
      <c r="L17" s="45">
        <f>'[4]Outputs - Asset Value-Life'!$H$23</f>
        <v>26.136738207989286</v>
      </c>
      <c r="M17" t="s">
        <v>37</v>
      </c>
      <c r="O17" s="7"/>
    </row>
    <row r="18" spans="2:15" x14ac:dyDescent="0.25">
      <c r="E18" s="31">
        <f>SUM(E12:E17)</f>
        <v>464.7685884332127</v>
      </c>
      <c r="G18" s="32">
        <f>SUM(G12:G17)</f>
        <v>359.90930042849993</v>
      </c>
      <c r="H18" s="33">
        <f>SUM(H12:H17)</f>
        <v>291.719455280631</v>
      </c>
      <c r="J18" s="35">
        <f>SUMPRODUCT(H12:H17,J12:J17)/SUM(H12:H17)</f>
        <v>21.542846346189638</v>
      </c>
      <c r="L18" s="34">
        <f>SUMPRODUCT(H12:H17,L12:L17)/SUM(H12:H17)</f>
        <v>20.893538887042695</v>
      </c>
    </row>
    <row r="19" spans="2:15" x14ac:dyDescent="0.25">
      <c r="B19" s="42" t="s">
        <v>49</v>
      </c>
      <c r="C19" s="43"/>
      <c r="D19" s="43"/>
    </row>
    <row r="20" spans="2:15" x14ac:dyDescent="0.25">
      <c r="B20" s="40" t="s">
        <v>50</v>
      </c>
      <c r="C20" s="41"/>
      <c r="D20" s="41"/>
    </row>
    <row r="21" spans="2:15" x14ac:dyDescent="0.25">
      <c r="B21" s="46" t="s">
        <v>42</v>
      </c>
      <c r="C21" s="47"/>
      <c r="D21" s="47"/>
    </row>
    <row r="22" spans="2:15" x14ac:dyDescent="0.25">
      <c r="H22" s="11">
        <f>H10</f>
        <v>44621</v>
      </c>
      <c r="J22" s="11">
        <f>J10</f>
        <v>44621</v>
      </c>
      <c r="L22" s="16"/>
    </row>
    <row r="23" spans="2:15" x14ac:dyDescent="0.25">
      <c r="C23" s="26" t="s">
        <v>35</v>
      </c>
      <c r="H23" s="5" t="s">
        <v>34</v>
      </c>
      <c r="I23" s="5"/>
      <c r="J23" s="5" t="s">
        <v>1</v>
      </c>
    </row>
    <row r="24" spans="2:15" x14ac:dyDescent="0.25">
      <c r="C24" t="s">
        <v>26</v>
      </c>
      <c r="H24" s="17">
        <f>-SUM(H12:H14)</f>
        <v>-114.65843027033495</v>
      </c>
      <c r="J24" s="3">
        <f>J14</f>
        <v>23.837925307760162</v>
      </c>
      <c r="L24" s="17"/>
    </row>
    <row r="25" spans="2:15" x14ac:dyDescent="0.25">
      <c r="C25" t="s">
        <v>25</v>
      </c>
      <c r="H25" s="18">
        <f>-SUM(H15:H17)</f>
        <v>-177.06102501029605</v>
      </c>
      <c r="J25" s="3">
        <f>J17</f>
        <v>20.056634736012608</v>
      </c>
      <c r="L25" s="17"/>
    </row>
    <row r="26" spans="2:15" x14ac:dyDescent="0.25">
      <c r="H26" s="27">
        <f>SUM(H24:H25)</f>
        <v>-291.719455280631</v>
      </c>
    </row>
    <row r="27" spans="2:15" x14ac:dyDescent="0.25">
      <c r="H27" t="b">
        <f>H26=-H18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10" sqref="C10"/>
    </sheetView>
  </sheetViews>
  <sheetFormatPr defaultRowHeight="15" x14ac:dyDescent="0.25"/>
  <cols>
    <col min="2" max="2" width="30.140625" customWidth="1"/>
  </cols>
  <sheetData>
    <row r="2" spans="2:5" x14ac:dyDescent="0.25">
      <c r="B2" t="s">
        <v>16</v>
      </c>
    </row>
    <row r="3" spans="2:5" x14ac:dyDescent="0.25">
      <c r="B3" t="s">
        <v>18</v>
      </c>
    </row>
    <row r="5" spans="2:5" x14ac:dyDescent="0.25">
      <c r="B5" t="s">
        <v>17</v>
      </c>
    </row>
    <row r="6" spans="2:5" x14ac:dyDescent="0.25">
      <c r="B6" s="4" t="s">
        <v>9</v>
      </c>
    </row>
    <row r="7" spans="2:5" x14ac:dyDescent="0.25">
      <c r="C7" s="1" t="s">
        <v>10</v>
      </c>
      <c r="D7" s="1" t="s">
        <v>10</v>
      </c>
      <c r="E7" s="1" t="s">
        <v>13</v>
      </c>
    </row>
    <row r="8" spans="2:5" x14ac:dyDescent="0.25">
      <c r="B8" t="s">
        <v>15</v>
      </c>
      <c r="C8" s="9" t="s">
        <v>11</v>
      </c>
      <c r="D8" t="s">
        <v>12</v>
      </c>
      <c r="E8" s="1" t="s">
        <v>14</v>
      </c>
    </row>
    <row r="9" spans="2:5" x14ac:dyDescent="0.25">
      <c r="B9" t="s">
        <v>7</v>
      </c>
      <c r="C9" s="8">
        <v>7.4999999999999997E-2</v>
      </c>
      <c r="D9">
        <v>1.5</v>
      </c>
      <c r="E9" s="10">
        <f t="shared" ref="E9:E10" si="0">1/C9*D9</f>
        <v>20</v>
      </c>
    </row>
    <row r="10" spans="2:5" x14ac:dyDescent="0.25">
      <c r="B10" t="s">
        <v>8</v>
      </c>
      <c r="C10" s="8">
        <v>0.1</v>
      </c>
      <c r="D10" s="7">
        <v>2</v>
      </c>
      <c r="E10" s="10">
        <f t="shared" si="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Adjustments</vt:lpstr>
      <vt:lpstr>Tax std life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Jane Kelly</cp:lastModifiedBy>
  <dcterms:created xsi:type="dcterms:W3CDTF">2019-05-29T23:59:48Z</dcterms:created>
  <dcterms:modified xsi:type="dcterms:W3CDTF">2020-11-10T14:03:20Z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