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ER\AusNet TX 2021\01 Regulatory proposal\Website\05 Supporting Documents\01 Model Documents\"/>
    </mc:Choice>
  </mc:AlternateContent>
  <bookViews>
    <workbookView xWindow="6705" yWindow="405" windowWidth="12825" windowHeight="10125"/>
  </bookViews>
  <sheets>
    <sheet name="Construction WPI" sheetId="8" r:id="rId1"/>
    <sheet name="WPI - revised" sheetId="5" r:id="rId2"/>
    <sheet name="DAE" sheetId="7" r:id="rId3"/>
    <sheet name="BIS Oxford" sheetId="6" r:id="rId4"/>
  </sheets>
  <externalReferences>
    <externalReference r:id="rId5"/>
    <externalReference r:id="rId6"/>
    <externalReference r:id="rId7"/>
    <externalReference r:id="rId8"/>
  </externalReferences>
  <definedNames>
    <definedName name="Act_Type_Augex">[1]Lab_Mat!$C$33:$C$49</definedName>
    <definedName name="Act_Type_Augex_Splits">[1]Lab_Mat!$D$33:$H$49</definedName>
    <definedName name="Act_Type_Repex">[1]Lab_Mat!$C$61:$C$97</definedName>
    <definedName name="Act_Type_Repex_Splits">[1]Lab_Mat!$D$61:$H$97</definedName>
    <definedName name="BaseYear">'[2]Input|General'!$G$11</definedName>
    <definedName name="CP_Yr_4">[1]START!$D$13</definedName>
    <definedName name="CP_Yr_5">[1]START!$E$13</definedName>
    <definedName name="CRCP_y5">'[3]1.0 Business &amp; other details'!$G$38</definedName>
    <definedName name="Direct_Cost_Splits_Network">[1]Lab_Mat!$D$6:$G$24</definedName>
    <definedName name="Direct_Cost_Splits_Non_Ntwk">[1]Lab_Mat!$D$25:$G$28</definedName>
    <definedName name="Direct_Cost_Type">[1]Lab_Mat!$D$5:$G$5</definedName>
    <definedName name="dms_DollarReal">'[3]1.0 Business &amp; other details'!$C$55</definedName>
    <definedName name="FPFirstYear">'[2]Input|General'!$G$13</definedName>
    <definedName name="FPLastYear">'[2]Input|General'!$G$14</definedName>
    <definedName name="FRCP">'[3]1.0 Business &amp; other details'!$C$35:$G$35</definedName>
    <definedName name="Mat_Type">[1]Lab_Mat!$D$32:$H$32</definedName>
    <definedName name="Millions">[1]Lookups!$D$30</definedName>
    <definedName name="Nominal_to_Real">'[2]Input|Rate of change'!$C$25:$C$30</definedName>
    <definedName name="NReg_Period">[1]START!$D$5</definedName>
    <definedName name="percent">'[2]Lookup|Tables'!$G$14</definedName>
    <definedName name="PPFirstYear">'[2]Input|General'!$G$10</definedName>
    <definedName name="PPLastYear">'[2]Input|General'!$G$12</definedName>
    <definedName name="RIN_Asset_Cat_Network">[1]Lab_Mat!$C$6:$C$24</definedName>
    <definedName name="RIN_Asset_Cat_Non_Ntwk">[1]Lab_Mat!$C$25:$C$28</definedName>
    <definedName name="Stub">[1]START!$F$13</definedName>
    <definedName name="Thousands">[1]Lookups!$D$31</definedName>
    <definedName name="Yr_1">[1]START!$G$13</definedName>
    <definedName name="Yr_2">[1]START!$H$13</definedName>
    <definedName name="Yr_3">[1]START!$I$13</definedName>
    <definedName name="Yr_4">[1]START!$J$13</definedName>
    <definedName name="Yr_5">[1]START!$K$13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8" l="1"/>
  <c r="G5" i="8"/>
  <c r="H5" i="8"/>
  <c r="I5" i="8"/>
  <c r="J5" i="8"/>
  <c r="K5" i="8"/>
  <c r="E5" i="8"/>
  <c r="E4" i="8"/>
  <c r="E6" i="8" s="1"/>
  <c r="F7" i="5" l="1"/>
  <c r="F8" i="5" l="1"/>
  <c r="F9" i="5" s="1"/>
  <c r="G8" i="5"/>
  <c r="H8" i="5"/>
  <c r="I8" i="5"/>
  <c r="J8" i="5"/>
  <c r="K8" i="5"/>
  <c r="E8" i="5"/>
  <c r="I131" i="6" l="1"/>
  <c r="M130" i="6"/>
  <c r="M129" i="6"/>
  <c r="M128" i="6"/>
  <c r="M131" i="6" s="1"/>
  <c r="O126" i="6"/>
  <c r="M126" i="6"/>
  <c r="L22" i="6" s="1"/>
  <c r="I126" i="6"/>
  <c r="M125" i="6"/>
  <c r="M124" i="6"/>
  <c r="M123" i="6"/>
  <c r="I121" i="6"/>
  <c r="M120" i="6"/>
  <c r="I120" i="6"/>
  <c r="I119" i="6"/>
  <c r="M119" i="6" s="1"/>
  <c r="I118" i="6"/>
  <c r="M118" i="6" s="1"/>
  <c r="N111" i="6"/>
  <c r="M111" i="6"/>
  <c r="L111" i="6"/>
  <c r="K111" i="6"/>
  <c r="J111" i="6"/>
  <c r="I111" i="6"/>
  <c r="H111" i="6"/>
  <c r="G111" i="6"/>
  <c r="F111" i="6"/>
  <c r="E111" i="6"/>
  <c r="D111" i="6"/>
  <c r="C111" i="6"/>
  <c r="N99" i="6"/>
  <c r="M99" i="6"/>
  <c r="L99" i="6"/>
  <c r="K99" i="6"/>
  <c r="J99" i="6"/>
  <c r="O99" i="6" s="1"/>
  <c r="I99" i="6"/>
  <c r="H99" i="6"/>
  <c r="G99" i="6"/>
  <c r="F99" i="6"/>
  <c r="E99" i="6"/>
  <c r="D99" i="6"/>
  <c r="C99" i="6"/>
  <c r="N98" i="6"/>
  <c r="M98" i="6"/>
  <c r="L98" i="6"/>
  <c r="K98" i="6"/>
  <c r="J98" i="6"/>
  <c r="I98" i="6"/>
  <c r="H98" i="6"/>
  <c r="G98" i="6"/>
  <c r="G39" i="6" s="1"/>
  <c r="F98" i="6"/>
  <c r="F39" i="6" s="1"/>
  <c r="E98" i="6"/>
  <c r="D98" i="6"/>
  <c r="D39" i="6" s="1"/>
  <c r="C98" i="6"/>
  <c r="N97" i="6"/>
  <c r="M97" i="6"/>
  <c r="L97" i="6"/>
  <c r="K97" i="6"/>
  <c r="K38" i="6" s="1"/>
  <c r="J97" i="6"/>
  <c r="I97" i="6"/>
  <c r="H97" i="6"/>
  <c r="G97" i="6"/>
  <c r="F97" i="6"/>
  <c r="E97" i="6"/>
  <c r="D97" i="6"/>
  <c r="C97" i="6"/>
  <c r="N94" i="6"/>
  <c r="M94" i="6"/>
  <c r="L94" i="6"/>
  <c r="K94" i="6"/>
  <c r="J94" i="6"/>
  <c r="O94" i="6" s="1"/>
  <c r="I94" i="6"/>
  <c r="H94" i="6"/>
  <c r="G94" i="6"/>
  <c r="F94" i="6"/>
  <c r="E94" i="6"/>
  <c r="D94" i="6"/>
  <c r="C94" i="6"/>
  <c r="N93" i="6"/>
  <c r="N44" i="6" s="1"/>
  <c r="M93" i="6"/>
  <c r="M44" i="6" s="1"/>
  <c r="L93" i="6"/>
  <c r="K93" i="6"/>
  <c r="K44" i="6" s="1"/>
  <c r="J93" i="6"/>
  <c r="O93" i="6" s="1"/>
  <c r="I93" i="6"/>
  <c r="H93" i="6"/>
  <c r="G93" i="6"/>
  <c r="F93" i="6"/>
  <c r="F44" i="6" s="1"/>
  <c r="E93" i="6"/>
  <c r="E44" i="6" s="1"/>
  <c r="D93" i="6"/>
  <c r="C93" i="6"/>
  <c r="N92" i="6"/>
  <c r="M92" i="6"/>
  <c r="L92" i="6"/>
  <c r="K92" i="6"/>
  <c r="K43" i="6" s="1"/>
  <c r="J92" i="6"/>
  <c r="J43" i="6" s="1"/>
  <c r="I92" i="6"/>
  <c r="H92" i="6"/>
  <c r="H43" i="6" s="1"/>
  <c r="G92" i="6"/>
  <c r="F92" i="6"/>
  <c r="E92" i="6"/>
  <c r="D92" i="6"/>
  <c r="C92" i="6"/>
  <c r="O89" i="6"/>
  <c r="N89" i="6"/>
  <c r="M89" i="6"/>
  <c r="L89" i="6"/>
  <c r="K89" i="6"/>
  <c r="J89" i="6"/>
  <c r="I89" i="6"/>
  <c r="H89" i="6"/>
  <c r="G89" i="6"/>
  <c r="F89" i="6"/>
  <c r="E89" i="6"/>
  <c r="D89" i="6"/>
  <c r="C89" i="6"/>
  <c r="N88" i="6"/>
  <c r="M88" i="6"/>
  <c r="L88" i="6"/>
  <c r="K88" i="6"/>
  <c r="J88" i="6"/>
  <c r="O88" i="6" s="1"/>
  <c r="I88" i="6"/>
  <c r="H88" i="6"/>
  <c r="G88" i="6"/>
  <c r="F88" i="6"/>
  <c r="E88" i="6"/>
  <c r="E34" i="6" s="1"/>
  <c r="D88" i="6"/>
  <c r="D34" i="6" s="1"/>
  <c r="C88" i="6"/>
  <c r="N87" i="6"/>
  <c r="M87" i="6"/>
  <c r="L87" i="6"/>
  <c r="K87" i="6"/>
  <c r="J87" i="6"/>
  <c r="I87" i="6"/>
  <c r="I33" i="6" s="1"/>
  <c r="H87" i="6"/>
  <c r="G87" i="6"/>
  <c r="G33" i="6" s="1"/>
  <c r="F87" i="6"/>
  <c r="E87" i="6"/>
  <c r="D87" i="6"/>
  <c r="C87" i="6"/>
  <c r="O80" i="6"/>
  <c r="O77" i="6"/>
  <c r="O76" i="6"/>
  <c r="O75" i="6"/>
  <c r="O72" i="6"/>
  <c r="O71" i="6"/>
  <c r="O70" i="6"/>
  <c r="O67" i="6"/>
  <c r="O66" i="6"/>
  <c r="O65" i="6"/>
  <c r="I39" i="6"/>
  <c r="H39" i="6"/>
  <c r="E39" i="6"/>
  <c r="I38" i="6"/>
  <c r="H38" i="6"/>
  <c r="G38" i="6"/>
  <c r="F38" i="6"/>
  <c r="E38" i="6"/>
  <c r="D38" i="6"/>
  <c r="I44" i="6"/>
  <c r="H44" i="6"/>
  <c r="G44" i="6"/>
  <c r="D44" i="6"/>
  <c r="M43" i="6"/>
  <c r="L43" i="6"/>
  <c r="I43" i="6"/>
  <c r="G43" i="6"/>
  <c r="F43" i="6"/>
  <c r="E43" i="6"/>
  <c r="D43" i="6"/>
  <c r="I34" i="6"/>
  <c r="H34" i="6"/>
  <c r="G34" i="6"/>
  <c r="F34" i="6"/>
  <c r="H33" i="6"/>
  <c r="F33" i="6"/>
  <c r="E33" i="6"/>
  <c r="D33" i="6"/>
  <c r="O26" i="6"/>
  <c r="I17" i="6"/>
  <c r="H17" i="6"/>
  <c r="G17" i="6"/>
  <c r="F17" i="6"/>
  <c r="E17" i="6"/>
  <c r="D17" i="6"/>
  <c r="I16" i="6"/>
  <c r="H16" i="6"/>
  <c r="G16" i="6"/>
  <c r="F16" i="6"/>
  <c r="E16" i="6"/>
  <c r="D16" i="6"/>
  <c r="J23" i="6"/>
  <c r="I23" i="6"/>
  <c r="H23" i="6"/>
  <c r="G23" i="6"/>
  <c r="F23" i="6"/>
  <c r="E23" i="6"/>
  <c r="D23" i="6"/>
  <c r="N22" i="6"/>
  <c r="M22" i="6"/>
  <c r="I22" i="6"/>
  <c r="H22" i="6"/>
  <c r="G22" i="6"/>
  <c r="F22" i="6"/>
  <c r="E22" i="6"/>
  <c r="D22" i="6"/>
  <c r="I12" i="6"/>
  <c r="H12" i="6"/>
  <c r="G12" i="6"/>
  <c r="F12" i="6"/>
  <c r="E12" i="6"/>
  <c r="D12" i="6"/>
  <c r="I11" i="6"/>
  <c r="H11" i="6"/>
  <c r="G11" i="6"/>
  <c r="F11" i="6"/>
  <c r="E11" i="6"/>
  <c r="D11" i="6"/>
  <c r="M121" i="6" l="1"/>
  <c r="K33" i="6"/>
  <c r="L11" i="6"/>
  <c r="N34" i="6"/>
  <c r="K11" i="6"/>
  <c r="M33" i="6"/>
  <c r="L33" i="6"/>
  <c r="M11" i="6"/>
  <c r="N11" i="6"/>
  <c r="N12" i="6"/>
  <c r="J11" i="6"/>
  <c r="J12" i="6"/>
  <c r="M12" i="6"/>
  <c r="O121" i="6"/>
  <c r="K34" i="6"/>
  <c r="L12" i="6"/>
  <c r="N33" i="6"/>
  <c r="K12" i="6"/>
  <c r="L34" i="6"/>
  <c r="L39" i="6"/>
  <c r="O131" i="6"/>
  <c r="L16" i="6"/>
  <c r="K16" i="6"/>
  <c r="J38" i="6"/>
  <c r="O38" i="6" s="1"/>
  <c r="N16" i="6"/>
  <c r="M39" i="6"/>
  <c r="N17" i="6"/>
  <c r="J16" i="6"/>
  <c r="J17" i="6"/>
  <c r="M17" i="6"/>
  <c r="K39" i="6"/>
  <c r="L17" i="6"/>
  <c r="L38" i="6"/>
  <c r="J39" i="6"/>
  <c r="N38" i="6"/>
  <c r="K17" i="6"/>
  <c r="M38" i="6"/>
  <c r="M16" i="6"/>
  <c r="M34" i="6"/>
  <c r="J33" i="6"/>
  <c r="O33" i="6" s="1"/>
  <c r="N39" i="6"/>
  <c r="O98" i="6"/>
  <c r="K23" i="6"/>
  <c r="O23" i="6" s="1"/>
  <c r="J34" i="6"/>
  <c r="N43" i="6"/>
  <c r="O43" i="6" s="1"/>
  <c r="J44" i="6"/>
  <c r="O44" i="6" s="1"/>
  <c r="L23" i="6"/>
  <c r="M23" i="6"/>
  <c r="L44" i="6"/>
  <c r="O97" i="6"/>
  <c r="J22" i="6"/>
  <c r="N23" i="6"/>
  <c r="O92" i="6"/>
  <c r="O87" i="6"/>
  <c r="K22" i="6"/>
  <c r="O34" i="6" l="1"/>
  <c r="O17" i="6"/>
  <c r="O22" i="6"/>
  <c r="O39" i="6"/>
  <c r="O11" i="6"/>
  <c r="O16" i="6"/>
  <c r="O12" i="6"/>
  <c r="K4" i="8" l="1"/>
  <c r="K6" i="8" s="1"/>
  <c r="J4" i="8"/>
  <c r="I4" i="8"/>
  <c r="I6" i="8" s="1"/>
  <c r="H4" i="8"/>
  <c r="H6" i="8" s="1"/>
  <c r="G4" i="8"/>
  <c r="G6" i="8" s="1"/>
  <c r="F4" i="8"/>
  <c r="F6" i="8" s="1"/>
  <c r="J9" i="8" l="1"/>
  <c r="H9" i="8"/>
  <c r="G9" i="8"/>
  <c r="J6" i="8"/>
  <c r="L9" i="8" s="1"/>
  <c r="M9" i="8" s="1"/>
  <c r="I9" i="8"/>
  <c r="E7" i="5"/>
  <c r="O24" i="7"/>
  <c r="G7" i="5"/>
  <c r="H7" i="5"/>
  <c r="I7" i="5"/>
  <c r="J7" i="5"/>
  <c r="K7" i="5"/>
  <c r="C49" i="7"/>
  <c r="O48" i="7"/>
  <c r="P48" i="7" s="1"/>
  <c r="Q48" i="7" s="1"/>
  <c r="R48" i="7" s="1"/>
  <c r="S48" i="7" s="1"/>
  <c r="T48" i="7" s="1"/>
  <c r="U48" i="7" s="1"/>
  <c r="N48" i="7"/>
  <c r="O47" i="7"/>
  <c r="P47" i="7" s="1"/>
  <c r="Q47" i="7" s="1"/>
  <c r="R47" i="7" s="1"/>
  <c r="S47" i="7" s="1"/>
  <c r="T47" i="7" s="1"/>
  <c r="U47" i="7" s="1"/>
  <c r="N47" i="7"/>
  <c r="O46" i="7"/>
  <c r="P46" i="7" s="1"/>
  <c r="Q46" i="7" s="1"/>
  <c r="R46" i="7" s="1"/>
  <c r="S46" i="7" s="1"/>
  <c r="T46" i="7" s="1"/>
  <c r="U46" i="7" s="1"/>
  <c r="N46" i="7"/>
  <c r="O45" i="7"/>
  <c r="P45" i="7" s="1"/>
  <c r="Q45" i="7" s="1"/>
  <c r="R45" i="7" s="1"/>
  <c r="S45" i="7" s="1"/>
  <c r="T45" i="7" s="1"/>
  <c r="U45" i="7" s="1"/>
  <c r="N45" i="7"/>
  <c r="O44" i="7"/>
  <c r="P44" i="7" s="1"/>
  <c r="Q44" i="7" s="1"/>
  <c r="R44" i="7" s="1"/>
  <c r="S44" i="7" s="1"/>
  <c r="T44" i="7" s="1"/>
  <c r="U44" i="7" s="1"/>
  <c r="N44" i="7"/>
  <c r="U43" i="7"/>
  <c r="T43" i="7"/>
  <c r="S43" i="7"/>
  <c r="R43" i="7"/>
  <c r="Q43" i="7"/>
  <c r="P43" i="7"/>
  <c r="O43" i="7"/>
  <c r="N43" i="7"/>
  <c r="M43" i="7"/>
  <c r="L43" i="7" s="1"/>
  <c r="K43" i="7" s="1"/>
  <c r="U35" i="7"/>
  <c r="T35" i="7"/>
  <c r="S35" i="7"/>
  <c r="R35" i="7"/>
  <c r="Q35" i="7"/>
  <c r="P35" i="7"/>
  <c r="O35" i="7"/>
  <c r="N35" i="7"/>
  <c r="M35" i="7"/>
  <c r="L35" i="7" s="1"/>
  <c r="K35" i="7" s="1"/>
  <c r="K31" i="7"/>
  <c r="L31" i="7" s="1"/>
  <c r="M31" i="7" s="1"/>
  <c r="N31" i="7" s="1"/>
  <c r="O31" i="7" s="1"/>
  <c r="P31" i="7" s="1"/>
  <c r="Q31" i="7" s="1"/>
  <c r="R31" i="7" s="1"/>
  <c r="S31" i="7" s="1"/>
  <c r="T31" i="7" s="1"/>
  <c r="U31" i="7" s="1"/>
  <c r="N30" i="7"/>
  <c r="O30" i="7" s="1"/>
  <c r="P30" i="7" s="1"/>
  <c r="Q30" i="7" s="1"/>
  <c r="R30" i="7" s="1"/>
  <c r="S30" i="7" s="1"/>
  <c r="T30" i="7" s="1"/>
  <c r="U30" i="7" s="1"/>
  <c r="K28" i="7"/>
  <c r="L28" i="7" s="1"/>
  <c r="M28" i="7" s="1"/>
  <c r="N28" i="7" s="1"/>
  <c r="O28" i="7" s="1"/>
  <c r="P28" i="7" s="1"/>
  <c r="Q28" i="7" s="1"/>
  <c r="R28" i="7" s="1"/>
  <c r="S28" i="7" s="1"/>
  <c r="T28" i="7" s="1"/>
  <c r="U28" i="7" s="1"/>
  <c r="N27" i="7"/>
  <c r="O27" i="7" s="1"/>
  <c r="P27" i="7" s="1"/>
  <c r="Q27" i="7" s="1"/>
  <c r="R27" i="7" s="1"/>
  <c r="S27" i="7" s="1"/>
  <c r="T27" i="7" s="1"/>
  <c r="U27" i="7" s="1"/>
  <c r="U25" i="7"/>
  <c r="T25" i="7"/>
  <c r="S25" i="7"/>
  <c r="R25" i="7"/>
  <c r="Q25" i="7"/>
  <c r="P25" i="7"/>
  <c r="O25" i="7"/>
  <c r="N25" i="7"/>
  <c r="M25" i="7" s="1"/>
  <c r="L25" i="7" s="1"/>
  <c r="K25" i="7" s="1"/>
  <c r="J21" i="7"/>
  <c r="J22" i="7" s="1"/>
  <c r="K18" i="7"/>
  <c r="L18" i="7" s="1"/>
  <c r="M18" i="7" s="1"/>
  <c r="N18" i="7" s="1"/>
  <c r="O18" i="7" s="1"/>
  <c r="J18" i="7"/>
  <c r="H18" i="7"/>
  <c r="G18" i="7"/>
  <c r="N16" i="7"/>
  <c r="M16" i="7"/>
  <c r="L16" i="7"/>
  <c r="K16" i="7" s="1"/>
  <c r="J16" i="7" s="1"/>
  <c r="O14" i="7"/>
  <c r="P14" i="7" s="1"/>
  <c r="Q14" i="7" s="1"/>
  <c r="R14" i="7" s="1"/>
  <c r="S14" i="7" s="1"/>
  <c r="T14" i="7" s="1"/>
  <c r="U14" i="7" s="1"/>
  <c r="N14" i="7"/>
  <c r="L13" i="7"/>
  <c r="M13" i="7" s="1"/>
  <c r="N13" i="7" s="1"/>
  <c r="O13" i="7" s="1"/>
  <c r="P13" i="7" s="1"/>
  <c r="Q13" i="7" s="1"/>
  <c r="R13" i="7" s="1"/>
  <c r="S13" i="7" s="1"/>
  <c r="T13" i="7" s="1"/>
  <c r="U13" i="7" s="1"/>
  <c r="K13" i="7"/>
  <c r="P12" i="7"/>
  <c r="J12" i="7"/>
  <c r="I16" i="7" s="1"/>
  <c r="I12" i="7"/>
  <c r="H12" i="7"/>
  <c r="G12" i="7"/>
  <c r="F12" i="7"/>
  <c r="E12" i="7"/>
  <c r="D12" i="7"/>
  <c r="P11" i="7"/>
  <c r="M6" i="7"/>
  <c r="N6" i="7" s="1"/>
  <c r="O6" i="7" s="1"/>
  <c r="P6" i="7" s="1"/>
  <c r="Q6" i="7" s="1"/>
  <c r="R6" i="7" s="1"/>
  <c r="S6" i="7" s="1"/>
  <c r="T6" i="7" s="1"/>
  <c r="U6" i="7" s="1"/>
  <c r="L6" i="7"/>
  <c r="E6" i="7"/>
  <c r="F6" i="7" s="1"/>
  <c r="G6" i="7" s="1"/>
  <c r="H6" i="7" s="1"/>
  <c r="I6" i="7" s="1"/>
  <c r="J6" i="7" s="1"/>
  <c r="K9" i="8" l="1"/>
  <c r="H16" i="7"/>
  <c r="G16" i="7" s="1"/>
  <c r="F16" i="7" s="1"/>
  <c r="E16" i="7" s="1"/>
  <c r="D16" i="7" s="1"/>
  <c r="M17" i="7"/>
  <c r="L17" i="7"/>
  <c r="N17" i="7"/>
  <c r="K17" i="7"/>
  <c r="O17" i="7"/>
  <c r="F18" i="7"/>
  <c r="E18" i="7" s="1"/>
  <c r="D18" i="7" s="1"/>
  <c r="Q11" i="7"/>
  <c r="P15" i="7"/>
  <c r="Q17" i="7" l="1"/>
  <c r="Q15" i="7"/>
  <c r="R11" i="7"/>
  <c r="R15" i="7" l="1"/>
  <c r="S11" i="7"/>
  <c r="R17" i="7"/>
  <c r="S15" i="7" l="1"/>
  <c r="T11" i="7"/>
  <c r="S17" i="7"/>
  <c r="U11" i="7" l="1"/>
  <c r="T15" i="7"/>
  <c r="T17" i="7"/>
  <c r="U15" i="7" l="1"/>
  <c r="U17" i="7"/>
  <c r="E9" i="5" l="1"/>
  <c r="K9" i="5" l="1"/>
  <c r="J9" i="5"/>
  <c r="K12" i="5" s="1"/>
  <c r="L12" i="5" s="1"/>
  <c r="I9" i="5"/>
  <c r="H9" i="5"/>
  <c r="G9" i="5"/>
  <c r="H12" i="5" s="1"/>
  <c r="G12" i="5" l="1"/>
  <c r="F12" i="5"/>
  <c r="I12" i="5"/>
  <c r="J12" i="5"/>
</calcChain>
</file>

<file path=xl/comments1.xml><?xml version="1.0" encoding="utf-8"?>
<comments xmlns="http://schemas.openxmlformats.org/spreadsheetml/2006/main">
  <authors>
    <author>Cheung, Kevin</author>
  </authors>
  <commentList>
    <comment ref="N26" authorId="0" shapeId="0">
      <text>
        <r>
          <rPr>
            <b/>
            <sz val="9"/>
            <color indexed="81"/>
            <rFont val="Tahoma"/>
            <family val="2"/>
          </rPr>
          <t>Cheung, Kevin:</t>
        </r>
        <r>
          <rPr>
            <sz val="9"/>
            <color indexed="81"/>
            <rFont val="Tahoma"/>
            <family val="2"/>
          </rPr>
          <t xml:space="preserve">
Half of 18/19 and 19/20</t>
        </r>
      </text>
    </comment>
    <comment ref="O26" authorId="0" shapeId="0">
      <text>
        <r>
          <rPr>
            <b/>
            <sz val="9"/>
            <color indexed="81"/>
            <rFont val="Tahoma"/>
            <family val="2"/>
          </rPr>
          <t>Cheung, Kevin:</t>
        </r>
        <r>
          <rPr>
            <sz val="9"/>
            <color indexed="81"/>
            <rFont val="Tahoma"/>
            <family val="2"/>
          </rPr>
          <t xml:space="preserve">
half of 19-20 and 20-21</t>
        </r>
      </text>
    </comment>
    <comment ref="P26" authorId="0" shapeId="0">
      <text>
        <r>
          <rPr>
            <b/>
            <sz val="9"/>
            <color indexed="81"/>
            <rFont val="Tahoma"/>
            <family val="2"/>
          </rPr>
          <t>Cheung, Kevin:</t>
        </r>
        <r>
          <rPr>
            <sz val="9"/>
            <color indexed="81"/>
            <rFont val="Tahoma"/>
            <family val="2"/>
          </rPr>
          <t xml:space="preserve">
Half of FY2020-21</t>
        </r>
      </text>
    </comment>
  </commentList>
</comments>
</file>

<file path=xl/sharedStrings.xml><?xml version="1.0" encoding="utf-8"?>
<sst xmlns="http://schemas.openxmlformats.org/spreadsheetml/2006/main" count="238" uniqueCount="123">
  <si>
    <t>2019-20</t>
  </si>
  <si>
    <t>2020-21</t>
  </si>
  <si>
    <t>2021-22</t>
  </si>
  <si>
    <t>2022-23</t>
  </si>
  <si>
    <t>2023-24</t>
  </si>
  <si>
    <t>2024-25</t>
  </si>
  <si>
    <t>2025-26</t>
  </si>
  <si>
    <t>Financial year Series</t>
  </si>
  <si>
    <t>Apr-Mar series for TRR</t>
  </si>
  <si>
    <t>2026-27</t>
  </si>
  <si>
    <t>(per cent change, year average, year ended June)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</si>
  <si>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</si>
  <si>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</si>
  <si>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</si>
  <si>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</si>
  <si>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</si>
  <si>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</si>
  <si>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</si>
  <si>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</si>
  <si>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</si>
  <si>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</si>
  <si>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</si>
  <si>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</si>
  <si>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5 yr Avg (f)</t>
  </si>
  <si>
    <t xml:space="preserve">  Actuals</t>
  </si>
  <si>
    <t>Forecasts</t>
  </si>
  <si>
    <t>Next Regulatory Period</t>
  </si>
  <si>
    <t>NOMINAL PRICE CHANGES</t>
  </si>
  <si>
    <t>1. Internal Electricity Network-Related Labour</t>
  </si>
  <si>
    <t>EGWWS  WPI - Victoria (a)</t>
  </si>
  <si>
    <t>EGWWS  WPI - Australia (b)</t>
  </si>
  <si>
    <t>EGWWS  AWOTE - Australia (b)</t>
  </si>
  <si>
    <t>2. External Contractor Labour Cost Escalation</t>
  </si>
  <si>
    <t>Construction  WPI - Victoria (d)</t>
  </si>
  <si>
    <t>Construction  WPI - Australia (b)</t>
  </si>
  <si>
    <t>Construction  AWOTE - Australia (b)</t>
  </si>
  <si>
    <t>3. General Wages</t>
  </si>
  <si>
    <t>Victoria WPI (c)</t>
  </si>
  <si>
    <t>Australia All Industries - WPI (b)</t>
  </si>
  <si>
    <t>Australia All Industries - AWOTE (b)</t>
  </si>
  <si>
    <t>Consumer Price Index (headline) (d)</t>
  </si>
  <si>
    <t>REAL PRICE CHANGES (e)</t>
  </si>
  <si>
    <t xml:space="preserve">EGWWS  WPI - Victoria </t>
  </si>
  <si>
    <t xml:space="preserve">EGWWS  WPI - Australia </t>
  </si>
  <si>
    <t>EGWWS  AWOTE - Australia</t>
  </si>
  <si>
    <t xml:space="preserve">Construction  WPI - Victoria </t>
  </si>
  <si>
    <t xml:space="preserve">Construction  WPI - Australia </t>
  </si>
  <si>
    <t xml:space="preserve">Construction  AWOTE - Australia </t>
  </si>
  <si>
    <t>Victoria LPI</t>
  </si>
  <si>
    <t>Sources: BIS Oxford Economics, ABS</t>
  </si>
  <si>
    <t>(a) Electricity, Gas, Water and Waste Services (EGWWS) for Wage Price Index (WPI) for Victoria</t>
  </si>
  <si>
    <t xml:space="preserve">(d) Inflation forecasts are RBA forecasts for the next 2 years from latest 'Statement of Monetary Policy'. Beyond that, inflation forecasts are based on mid-point of RBA inflation target, but overall forecasts are calculated as a geometric mean of the 'official' RBA inflation forecasts over the next 10 years. This methodology has been adopted by the AER in its recent revenue decisions </t>
  </si>
  <si>
    <t>(e) Average Annual Growth Rate for 2021/22 to 2025/26 inclusive ie for the next regulatory period.</t>
  </si>
  <si>
    <t>(f) Real price changes are calculated by deducting the inflation rate from nominal price changes.</t>
  </si>
  <si>
    <t>AUD Draft Decision</t>
  </si>
  <si>
    <t xml:space="preserve">BIS Oxford - Vic </t>
  </si>
  <si>
    <t>Deloitte original forecast</t>
  </si>
  <si>
    <t>AusNet Distribution Draft Decision Sep 2020 (SG at 0.5% p.a. added to DAE data)</t>
  </si>
  <si>
    <t>Escalators</t>
  </si>
  <si>
    <t>Table of Contents</t>
  </si>
  <si>
    <t>CPI Escalation</t>
  </si>
  <si>
    <t>Table 1 - CPI Indexes</t>
  </si>
  <si>
    <t>Actual</t>
  </si>
  <si>
    <t>Forecast</t>
  </si>
  <si>
    <t>Applies to year</t>
  </si>
  <si>
    <t>Jan21-Jun21</t>
  </si>
  <si>
    <t>CPI - 8 cities - Sept (old base), 1yr lagged</t>
  </si>
  <si>
    <t>CPI - 8 cities - Sept (rebased in Sep-12), 1yr lagged</t>
  </si>
  <si>
    <t>CPI - 8 cities - Jun Qtr, 1yr lagged</t>
  </si>
  <si>
    <t>CPI movement - 8 Capital Cities</t>
  </si>
  <si>
    <t>$2015 to nominal</t>
  </si>
  <si>
    <t>$2018 to nominal</t>
  </si>
  <si>
    <t>End $2020 to Nominal</t>
  </si>
  <si>
    <t>Index - Nominal to End $2020</t>
  </si>
  <si>
    <t>Index - Nominal to $2021</t>
  </si>
  <si>
    <t>Index - Nominal to $2014</t>
  </si>
  <si>
    <t>source: actual CPI Jan2021-Jun2021 (Draft Decision RFM) and forecast CPI for FY22-26 (Draft Decision PTRM model - 2022-26)</t>
  </si>
  <si>
    <t>End $2015 to Mid Year $2018</t>
  </si>
  <si>
    <t>End $2015 to End $2020</t>
  </si>
  <si>
    <t>Labour Escalation</t>
  </si>
  <si>
    <t>Labour Type</t>
  </si>
  <si>
    <t>Internal labour real rate</t>
  </si>
  <si>
    <t>Internal labour index - applied to labour costs in $2018</t>
  </si>
  <si>
    <t>Internal labour index - applied to labour costs in $2015</t>
  </si>
  <si>
    <t>External labour real rate</t>
  </si>
  <si>
    <t>External labour index - applied to labour costs in $2018</t>
  </si>
  <si>
    <t>External labour index - applied to labour costs in $2015</t>
  </si>
  <si>
    <t xml:space="preserve">Source: ASD - WPI calculation - Public.xls  -  2019-26 forecasts based on an average of forecasts prepared by Deloitte &amp; BIS forecasts. Forecast of EGWWS Victoria real WPI. </t>
  </si>
  <si>
    <t>Material Escalation</t>
  </si>
  <si>
    <t>Material Escalation Rate</t>
  </si>
  <si>
    <t>Alum</t>
  </si>
  <si>
    <t>Copper</t>
  </si>
  <si>
    <t>Steel</t>
  </si>
  <si>
    <t>Assumed zero escalation for materials</t>
  </si>
  <si>
    <t>Crude Oil</t>
  </si>
  <si>
    <t>Other</t>
  </si>
  <si>
    <t>Spare</t>
  </si>
  <si>
    <t>Material Escalation Index</t>
  </si>
  <si>
    <t>EGWWS</t>
  </si>
  <si>
    <t>Construction</t>
  </si>
  <si>
    <t>fc:12/10/20</t>
  </si>
  <si>
    <t>Summary - Labour Cost Escalation Forecasts for Victoria and Australia: AER Scenario: Superannaution Guarantee Increases follow Current Proposed Timetable</t>
  </si>
  <si>
    <t>Victoria WPI</t>
  </si>
  <si>
    <t>(b) Australian sector wage forecasts provided for comparison. AWOTE is average weekly ordinary time earnings for full itme adult persons, where overtime payments are excluded but bonus payments are included</t>
  </si>
  <si>
    <t>(c) Victoria WPI is total or 'All Industries' wage movements.</t>
  </si>
  <si>
    <t>the Forecasts in the table below are the original 'Base' case forecasts provided on 16th September and with the Draft report (provided 22nd September)</t>
  </si>
  <si>
    <t>Summary - Labour Cost Escalation Forecasts for Victoria and Australia: Alternative Scenario Where Superannaution Guarantee is Deferred</t>
  </si>
  <si>
    <t>Superannaution Guarantee Increases Impact</t>
  </si>
  <si>
    <t>Assumption:</t>
  </si>
  <si>
    <t>Pay Method</t>
  </si>
  <si>
    <t>% of Workforce in 2018</t>
  </si>
  <si>
    <t>% of pass through of SG increase to Employees</t>
  </si>
  <si>
    <t>Impact on 0.5% SG increase on employees</t>
  </si>
  <si>
    <t>Impact on 0.5% SG increase on employers</t>
  </si>
  <si>
    <t>Awards Only (minimum increase set by FWC)</t>
  </si>
  <si>
    <t xml:space="preserve">Collective Agreements </t>
  </si>
  <si>
    <t xml:space="preserve">Individual Arrangements </t>
  </si>
  <si>
    <t>All Industries</t>
  </si>
  <si>
    <t>Increase in superannuation guarantee</t>
  </si>
  <si>
    <t>Total</t>
  </si>
  <si>
    <t>Construction (External Labour)</t>
  </si>
  <si>
    <t>2. General Wages</t>
  </si>
  <si>
    <t>3. External Contractor Labour Cost Escalation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</si>
</sst>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[Red]\(#,##0.00\)_-;_-* &quot;-&quot;??_-;_-@_-"/>
    <numFmt numFmtId="165" formatCode="_(#,##0_);\(#,##0\);_(&quot;-&quot;_)"/>
    <numFmt numFmtId="166" formatCode="_(* #,##0_);_(* \(#,##0\);_(* &quot;-&quot;_);_(@_)"/>
    <numFmt numFmtId="167" formatCode="&quot;Warning&quot;;&quot;Warning&quot;;&quot;OK&quot;"/>
    <numFmt numFmtId="168" formatCode="_(* #,##0.00_);_(* \(#,##0.00\);_(* &quot;-&quot;??_);_(@_)"/>
    <numFmt numFmtId="169" formatCode="mm/dd/yy"/>
    <numFmt numFmtId="170" formatCode="_([$€-2]* #,##0.00_);_([$€-2]* \(#,##0.00\);_([$€-2]* &quot;-&quot;??_)"/>
    <numFmt numFmtId="171" formatCode="0_);[Red]\(0\)"/>
    <numFmt numFmtId="172" formatCode="0.0%"/>
    <numFmt numFmtId="173" formatCode="dd/mmm"/>
    <numFmt numFmtId="174" formatCode="_(* #,##0_);_(* \(#,##0\);_(* &quot;-&quot;?_);_(@_)"/>
    <numFmt numFmtId="175" formatCode="#,##0.0_);\(#,##0.0\)"/>
    <numFmt numFmtId="176" formatCode="#,##0_ ;\-#,##0\ "/>
    <numFmt numFmtId="177" formatCode="#,##0;[Red]\(#,##0.0\)"/>
    <numFmt numFmtId="178" formatCode="#,##0_ ;[Red]\(#,##0\)\ "/>
    <numFmt numFmtId="179" formatCode="#,##0.00;\(#,##0.00\)"/>
    <numFmt numFmtId="180" formatCode="_)d\-mmm\-yy_)"/>
    <numFmt numFmtId="181" formatCode="_(#,##0.0_);\(#,##0.0\);_(&quot;-&quot;_)"/>
    <numFmt numFmtId="182" formatCode="_(###0_);\(###0\);_(###0_)"/>
    <numFmt numFmtId="183" formatCode="#,##0.0000_);[Red]\(#,##0.0000\)"/>
    <numFmt numFmtId="184" formatCode="[$-C09]dd\-mmm\-yy;@"/>
    <numFmt numFmtId="185" formatCode="0.0"/>
    <numFmt numFmtId="186" formatCode="0.0000000"/>
    <numFmt numFmtId="187" formatCode="0.000"/>
    <numFmt numFmtId="188" formatCode="0.0000"/>
    <numFmt numFmtId="189" formatCode="0.000%"/>
    <numFmt numFmtId="190" formatCode="0.000000000000000000000%"/>
    <numFmt numFmtId="191" formatCode="0.0000%"/>
    <numFmt numFmtId="192" formatCode="0.0_)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Arial"/>
      <family val="2"/>
    </font>
    <font>
      <u/>
      <sz val="8"/>
      <color theme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sz val="9"/>
      <color rgb="FFFFFFFF"/>
      <name val="calibri"/>
      <family val="2"/>
    </font>
    <font>
      <b/>
      <u/>
      <sz val="10"/>
      <name val="Arial"/>
      <family val="2"/>
    </font>
    <font>
      <sz val="10"/>
      <color rgb="FF0000FF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color rgb="FF000000"/>
      <name val="Arial"/>
      <family val="2"/>
    </font>
    <font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7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46"/>
      </patternFill>
    </fill>
    <fill>
      <patternFill patternType="solid">
        <fgColor rgb="FF28317D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dashed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theme="1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medium">
        <color auto="1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8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6" borderId="0">
      <alignment vertical="center"/>
      <protection locked="0"/>
    </xf>
    <xf numFmtId="0" fontId="4" fillId="0" borderId="0"/>
    <xf numFmtId="0" fontId="6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0" fillId="0" borderId="0"/>
    <xf numFmtId="164" fontId="10" fillId="0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0" borderId="0"/>
    <xf numFmtId="165" fontId="10" fillId="0" borderId="2">
      <alignment horizontal="right" vertical="center"/>
      <protection locked="0"/>
    </xf>
    <xf numFmtId="42" fontId="14" fillId="0" borderId="0" applyFont="0" applyFill="0" applyBorder="0" applyAlignment="0" applyProtection="0"/>
    <xf numFmtId="0" fontId="15" fillId="28" borderId="0" applyNumberFormat="0" applyBorder="0" applyAlignment="0" applyProtection="0"/>
    <xf numFmtId="0" fontId="16" fillId="0" borderId="0" applyNumberFormat="0" applyFill="0" applyBorder="0" applyAlignment="0"/>
    <xf numFmtId="166" fontId="9" fillId="29" borderId="0" applyNumberFormat="0" applyFont="0" applyBorder="0" applyAlignment="0">
      <alignment horizontal="right"/>
    </xf>
    <xf numFmtId="166" fontId="9" fillId="29" borderId="0" applyNumberFormat="0" applyFont="0" applyBorder="0" applyAlignment="0">
      <alignment horizontal="right"/>
    </xf>
    <xf numFmtId="0" fontId="17" fillId="0" borderId="0" applyNumberFormat="0" applyFill="0" applyBorder="0" applyAlignment="0">
      <protection locked="0"/>
    </xf>
    <xf numFmtId="0" fontId="18" fillId="3" borderId="0"/>
    <xf numFmtId="0" fontId="19" fillId="12" borderId="3" applyNumberFormat="0" applyAlignment="0" applyProtection="0"/>
    <xf numFmtId="167" fontId="20" fillId="0" borderId="4">
      <alignment horizontal="center"/>
    </xf>
    <xf numFmtId="0" fontId="21" fillId="30" borderId="5" applyNumberFormat="0" applyAlignment="0" applyProtection="0"/>
    <xf numFmtId="0" fontId="22" fillId="31" borderId="1">
      <alignment horizontal="center" vertical="center"/>
    </xf>
    <xf numFmtId="41" fontId="9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2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9" fillId="35" borderId="6"/>
    <xf numFmtId="170" fontId="1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28" fillId="0" borderId="0"/>
    <xf numFmtId="0" fontId="29" fillId="0" borderId="0"/>
    <xf numFmtId="0" fontId="30" fillId="36" borderId="0" applyNumberFormat="0" applyBorder="0" applyAlignment="0" applyProtection="0"/>
    <xf numFmtId="0" fontId="31" fillId="0" borderId="0" applyFill="0" applyBorder="0"/>
    <xf numFmtId="0" fontId="32" fillId="0" borderId="0" applyNumberFormat="0" applyFill="0"/>
    <xf numFmtId="0" fontId="33" fillId="0" borderId="0" applyFill="0"/>
    <xf numFmtId="0" fontId="34" fillId="0" borderId="0" applyFill="0"/>
    <xf numFmtId="0" fontId="35" fillId="0" borderId="0" applyFill="0"/>
    <xf numFmtId="0" fontId="7" fillId="0" borderId="0" applyFill="0" applyBorder="0">
      <alignment vertical="center"/>
    </xf>
    <xf numFmtId="0" fontId="36" fillId="0" borderId="7" applyNumberFormat="0" applyFill="0" applyAlignment="0" applyProtection="0"/>
    <xf numFmtId="0" fontId="7" fillId="0" borderId="0" applyFill="0" applyBorder="0">
      <alignment vertical="center"/>
    </xf>
    <xf numFmtId="0" fontId="37" fillId="0" borderId="0" applyFill="0" applyBorder="0">
      <alignment vertical="center"/>
    </xf>
    <xf numFmtId="0" fontId="38" fillId="0" borderId="8" applyNumberFormat="0" applyFill="0" applyAlignment="0" applyProtection="0"/>
    <xf numFmtId="0" fontId="37" fillId="0" borderId="0" applyFill="0" applyBorder="0">
      <alignment vertical="center"/>
    </xf>
    <xf numFmtId="0" fontId="8" fillId="0" borderId="0" applyFill="0" applyBorder="0">
      <alignment vertical="center"/>
    </xf>
    <xf numFmtId="0" fontId="39" fillId="0" borderId="9" applyNumberFormat="0" applyFill="0" applyAlignment="0" applyProtection="0"/>
    <xf numFmtId="0" fontId="8" fillId="0" borderId="0" applyFill="0" applyBorder="0">
      <alignment vertical="center"/>
    </xf>
    <xf numFmtId="0" fontId="10" fillId="0" borderId="0" applyFill="0" applyBorder="0">
      <alignment vertical="center"/>
    </xf>
    <xf numFmtId="0" fontId="39" fillId="0" borderId="0" applyNumberFormat="0" applyFill="0" applyBorder="0" applyAlignment="0" applyProtection="0"/>
    <xf numFmtId="0" fontId="10" fillId="0" borderId="0" applyFill="0" applyBorder="0">
      <alignment vertical="center"/>
    </xf>
    <xf numFmtId="172" fontId="40" fillId="0" borderId="0"/>
    <xf numFmtId="0" fontId="41" fillId="0" borderId="0" applyFill="0" applyBorder="0">
      <alignment horizontal="center" vertical="center"/>
      <protection locked="0"/>
    </xf>
    <xf numFmtId="0" fontId="42" fillId="0" borderId="0" applyFill="0" applyBorder="0">
      <alignment horizontal="left" vertical="center"/>
      <protection locked="0"/>
    </xf>
    <xf numFmtId="0" fontId="43" fillId="10" borderId="3" applyNumberFormat="0" applyAlignment="0" applyProtection="0"/>
    <xf numFmtId="173" fontId="5" fillId="37" borderId="0" applyProtection="0"/>
    <xf numFmtId="166" fontId="9" fillId="38" borderId="0" applyFont="0" applyBorder="0" applyAlignment="0">
      <alignment horizontal="right"/>
      <protection locked="0"/>
    </xf>
    <xf numFmtId="166" fontId="9" fillId="38" borderId="0" applyFont="0" applyBorder="0" applyAlignment="0">
      <alignment horizontal="right"/>
      <protection locked="0"/>
    </xf>
    <xf numFmtId="174" fontId="9" fillId="7" borderId="0" applyFont="0" applyBorder="0">
      <alignment horizontal="right"/>
      <protection locked="0"/>
    </xf>
    <xf numFmtId="174" fontId="9" fillId="7" borderId="0" applyFont="0" applyBorder="0">
      <alignment horizontal="right"/>
      <protection locked="0"/>
    </xf>
    <xf numFmtId="166" fontId="9" fillId="39" borderId="0" applyFont="0" applyBorder="0">
      <alignment horizontal="right"/>
      <protection locked="0"/>
    </xf>
    <xf numFmtId="166" fontId="9" fillId="39" borderId="0" applyFont="0" applyBorder="0">
      <alignment horizontal="right"/>
      <protection locked="0"/>
    </xf>
    <xf numFmtId="0" fontId="18" fillId="40" borderId="0"/>
    <xf numFmtId="0" fontId="9" fillId="2" borderId="10" applyNumberFormat="0" applyFont="0" applyAlignment="0"/>
    <xf numFmtId="0" fontId="10" fillId="29" borderId="0"/>
    <xf numFmtId="0" fontId="44" fillId="0" borderId="11" applyNumberFormat="0" applyFill="0" applyAlignment="0" applyProtection="0"/>
    <xf numFmtId="175" fontId="45" fillId="0" borderId="0"/>
    <xf numFmtId="0" fontId="46" fillId="0" borderId="0" applyFill="0" applyBorder="0">
      <alignment horizontal="left" vertical="center"/>
    </xf>
    <xf numFmtId="0" fontId="47" fillId="13" borderId="0" applyNumberFormat="0" applyBorder="0" applyAlignment="0" applyProtection="0"/>
    <xf numFmtId="176" fontId="48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4" fillId="0" borderId="0"/>
    <xf numFmtId="0" fontId="9" fillId="8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11" borderId="12" applyNumberFormat="0" applyFont="0" applyAlignment="0" applyProtection="0"/>
    <xf numFmtId="0" fontId="49" fillId="37" borderId="13" applyNumberFormat="0"/>
    <xf numFmtId="0" fontId="50" fillId="12" borderId="14" applyNumberFormat="0" applyAlignment="0" applyProtection="0"/>
    <xf numFmtId="177" fontId="9" fillId="0" borderId="0" applyFill="0" applyBorder="0"/>
    <xf numFmtId="177" fontId="9" fillId="0" borderId="0" applyFill="0" applyBorder="0"/>
    <xf numFmtId="177" fontId="9" fillId="0" borderId="0" applyFill="0" applyBorder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72" fontId="51" fillId="0" borderId="0"/>
    <xf numFmtId="0" fontId="8" fillId="0" borderId="0" applyFill="0" applyBorder="0">
      <alignment vertical="center"/>
    </xf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178" fontId="52" fillId="0" borderId="15"/>
    <xf numFmtId="0" fontId="53" fillId="0" borderId="16">
      <alignment horizontal="center"/>
    </xf>
    <xf numFmtId="3" fontId="23" fillId="0" borderId="0" applyFont="0" applyFill="0" applyBorder="0" applyAlignment="0" applyProtection="0"/>
    <xf numFmtId="0" fontId="23" fillId="41" borderId="0" applyNumberFormat="0" applyFont="0" applyBorder="0" applyAlignment="0" applyProtection="0"/>
    <xf numFmtId="179" fontId="9" fillId="0" borderId="0"/>
    <xf numFmtId="179" fontId="9" fillId="0" borderId="0"/>
    <xf numFmtId="179" fontId="9" fillId="0" borderId="0"/>
    <xf numFmtId="180" fontId="10" fillId="0" borderId="0" applyFill="0" applyBorder="0">
      <alignment horizontal="right" vertical="center"/>
    </xf>
    <xf numFmtId="181" fontId="10" fillId="0" borderId="0" applyFill="0" applyBorder="0">
      <alignment horizontal="right" vertical="center"/>
    </xf>
    <xf numFmtId="182" fontId="10" fillId="0" borderId="0" applyFill="0" applyBorder="0">
      <alignment horizontal="right" vertical="center"/>
    </xf>
    <xf numFmtId="0" fontId="9" fillId="11" borderId="0" applyNumberFormat="0" applyFont="0" applyBorder="0" applyAlignment="0" applyProtection="0"/>
    <xf numFmtId="0" fontId="9" fillId="11" borderId="0" applyNumberFormat="0" applyFont="0" applyBorder="0" applyAlignment="0" applyProtection="0"/>
    <xf numFmtId="0" fontId="9" fillId="12" borderId="0" applyNumberFormat="0" applyFont="0" applyBorder="0" applyAlignment="0" applyProtection="0"/>
    <xf numFmtId="0" fontId="9" fillId="12" borderId="0" applyNumberFormat="0" applyFont="0" applyBorder="0" applyAlignment="0" applyProtection="0"/>
    <xf numFmtId="0" fontId="9" fillId="14" borderId="0" applyNumberFormat="0" applyFont="0" applyBorder="0" applyAlignment="0" applyProtection="0"/>
    <xf numFmtId="0" fontId="9" fillId="14" borderId="0" applyNumberFormat="0" applyFont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14" borderId="0" applyNumberFormat="0" applyFont="0" applyBorder="0" applyAlignment="0" applyProtection="0"/>
    <xf numFmtId="0" fontId="9" fillId="14" borderId="0" applyNumberFormat="0" applyFont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Border="0" applyAlignment="0" applyProtection="0"/>
    <xf numFmtId="0" fontId="9" fillId="0" borderId="0" applyNumberFormat="0" applyFont="0" applyBorder="0" applyAlignment="0" applyProtection="0"/>
    <xf numFmtId="0" fontId="54" fillId="0" borderId="0" applyNumberFormat="0" applyFill="0" applyBorder="0" applyAlignment="0" applyProtection="0"/>
    <xf numFmtId="0" fontId="55" fillId="42" borderId="0"/>
    <xf numFmtId="0" fontId="56" fillId="42" borderId="0" applyNumberFormat="0"/>
    <xf numFmtId="0" fontId="57" fillId="42" borderId="0"/>
    <xf numFmtId="0" fontId="9" fillId="0" borderId="0"/>
    <xf numFmtId="0" fontId="9" fillId="0" borderId="0"/>
    <xf numFmtId="0" fontId="9" fillId="0" borderId="0"/>
    <xf numFmtId="0" fontId="46" fillId="0" borderId="0"/>
    <xf numFmtId="0" fontId="58" fillId="0" borderId="0"/>
    <xf numFmtId="15" fontId="9" fillId="0" borderId="0"/>
    <xf numFmtId="15" fontId="9" fillId="0" borderId="0"/>
    <xf numFmtId="15" fontId="9" fillId="0" borderId="0"/>
    <xf numFmtId="10" fontId="9" fillId="0" borderId="0"/>
    <xf numFmtId="10" fontId="9" fillId="0" borderId="0"/>
    <xf numFmtId="10" fontId="9" fillId="0" borderId="0"/>
    <xf numFmtId="0" fontId="59" fillId="43" borderId="17" applyBorder="0" applyProtection="0">
      <alignment horizontal="centerContinuous" vertical="center"/>
    </xf>
    <xf numFmtId="0" fontId="60" fillId="0" borderId="0" applyBorder="0" applyProtection="0">
      <alignment vertical="center"/>
    </xf>
    <xf numFmtId="0" fontId="61" fillId="0" borderId="0">
      <alignment horizontal="left"/>
    </xf>
    <xf numFmtId="0" fontId="61" fillId="0" borderId="18" applyFill="0" applyBorder="0" applyProtection="0">
      <alignment horizontal="left" vertical="top"/>
    </xf>
    <xf numFmtId="0" fontId="62" fillId="44" borderId="19" applyNumberFormat="0">
      <alignment horizontal="center" vertical="center"/>
    </xf>
    <xf numFmtId="0" fontId="63" fillId="45" borderId="6" applyNumberFormat="0" applyAlignment="0">
      <alignment horizontal="right"/>
    </xf>
    <xf numFmtId="49" fontId="9" fillId="0" borderId="0" applyFont="0" applyFill="0" applyBorder="0" applyAlignment="0" applyProtection="0"/>
    <xf numFmtId="0" fontId="64" fillId="0" borderId="0"/>
    <xf numFmtId="49" fontId="9" fillId="0" borderId="0" applyFont="0" applyFill="0" applyBorder="0" applyAlignment="0" applyProtection="0"/>
    <xf numFmtId="0" fontId="65" fillId="0" borderId="0"/>
    <xf numFmtId="0" fontId="65" fillId="0" borderId="0"/>
    <xf numFmtId="0" fontId="64" fillId="0" borderId="0"/>
    <xf numFmtId="175" fontId="66" fillId="0" borderId="0"/>
    <xf numFmtId="0" fontId="54" fillId="0" borderId="0" applyNumberFormat="0" applyFill="0" applyBorder="0" applyAlignment="0" applyProtection="0"/>
    <xf numFmtId="0" fontId="67" fillId="0" borderId="0" applyFill="0" applyBorder="0">
      <alignment horizontal="left" vertical="center"/>
      <protection locked="0"/>
    </xf>
    <xf numFmtId="0" fontId="64" fillId="0" borderId="0"/>
    <xf numFmtId="0" fontId="68" fillId="0" borderId="0" applyFill="0" applyBorder="0">
      <alignment horizontal="left" vertical="center"/>
      <protection locked="0"/>
    </xf>
    <xf numFmtId="0" fontId="26" fillId="0" borderId="20" applyNumberFormat="0" applyFill="0" applyAlignment="0" applyProtection="0"/>
    <xf numFmtId="0" fontId="7" fillId="2" borderId="10" applyNumberFormat="0" applyAlignment="0"/>
    <xf numFmtId="0" fontId="20" fillId="0" borderId="0" applyNumberFormat="0" applyFill="0" applyBorder="0"/>
    <xf numFmtId="0" fontId="69" fillId="4" borderId="10" applyNumberFormat="0">
      <protection locked="0"/>
    </xf>
    <xf numFmtId="0" fontId="70" fillId="0" borderId="0" applyNumberFormat="0" applyFill="0" applyBorder="0" applyAlignment="0" applyProtection="0"/>
    <xf numFmtId="183" fontId="9" fillId="0" borderId="17" applyBorder="0" applyProtection="0">
      <alignment horizontal="right"/>
    </xf>
    <xf numFmtId="183" fontId="9" fillId="0" borderId="17" applyBorder="0" applyProtection="0">
      <alignment horizontal="right"/>
    </xf>
    <xf numFmtId="183" fontId="9" fillId="0" borderId="17" applyBorder="0" applyProtection="0">
      <alignment horizontal="right"/>
    </xf>
    <xf numFmtId="0" fontId="11" fillId="46" borderId="0" applyNumberFormat="0" applyBorder="0" applyAlignment="0" applyProtection="0"/>
    <xf numFmtId="0" fontId="11" fillId="47" borderId="0" applyNumberFormat="0" applyBorder="0" applyAlignment="0" applyProtection="0"/>
    <xf numFmtId="0" fontId="11" fillId="11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48" borderId="0" applyNumberFormat="0" applyBorder="0" applyAlignment="0" applyProtection="0"/>
    <xf numFmtId="0" fontId="11" fillId="13" borderId="0" applyNumberFormat="0" applyBorder="0" applyAlignment="0" applyProtection="0"/>
    <xf numFmtId="0" fontId="11" fillId="28" borderId="0" applyNumberFormat="0" applyBorder="0" applyAlignment="0" applyProtection="0"/>
    <xf numFmtId="0" fontId="11" fillId="48" borderId="0" applyNumberFormat="0" applyBorder="0" applyAlignment="0" applyProtection="0"/>
    <xf numFmtId="0" fontId="11" fillId="11" borderId="0" applyNumberFormat="0" applyBorder="0" applyAlignment="0" applyProtection="0"/>
    <xf numFmtId="0" fontId="12" fillId="48" borderId="0" applyNumberFormat="0" applyBorder="0" applyAlignment="0" applyProtection="0"/>
    <xf numFmtId="0" fontId="12" fillId="27" borderId="0" applyNumberFormat="0" applyBorder="0" applyAlignment="0" applyProtection="0"/>
    <xf numFmtId="0" fontId="12" fillId="49" borderId="0" applyNumberFormat="0" applyBorder="0" applyAlignment="0" applyProtection="0"/>
    <xf numFmtId="0" fontId="12" fillId="28" borderId="0" applyNumberFormat="0" applyBorder="0" applyAlignment="0" applyProtection="0"/>
    <xf numFmtId="0" fontId="12" fillId="48" borderId="0" applyNumberFormat="0" applyBorder="0" applyAlignment="0" applyProtection="0"/>
    <xf numFmtId="0" fontId="12" fillId="47" borderId="0" applyNumberFormat="0" applyBorder="0" applyAlignment="0" applyProtection="0"/>
    <xf numFmtId="0" fontId="12" fillId="50" borderId="0" applyNumberFormat="0" applyBorder="0" applyAlignment="0" applyProtection="0"/>
    <xf numFmtId="0" fontId="12" fillId="27" borderId="0" applyNumberFormat="0" applyBorder="0" applyAlignment="0" applyProtection="0"/>
    <xf numFmtId="0" fontId="12" fillId="49" borderId="0" applyNumberFormat="0" applyBorder="0" applyAlignment="0" applyProtection="0"/>
    <xf numFmtId="0" fontId="12" fillId="24" borderId="0" applyNumberFormat="0" applyBorder="0" applyAlignment="0" applyProtection="0"/>
    <xf numFmtId="0" fontId="12" fillId="21" borderId="0" applyNumberFormat="0" applyBorder="0" applyAlignment="0" applyProtection="0"/>
    <xf numFmtId="0" fontId="15" fillId="51" borderId="0" applyNumberFormat="0" applyBorder="0" applyAlignment="0" applyProtection="0"/>
    <xf numFmtId="0" fontId="71" fillId="12" borderId="6" applyNumberFormat="0" applyAlignment="0" applyProtection="0"/>
    <xf numFmtId="0" fontId="30" fillId="48" borderId="0" applyNumberFormat="0" applyBorder="0" applyAlignment="0" applyProtection="0"/>
    <xf numFmtId="0" fontId="43" fillId="13" borderId="6" applyNumberFormat="0" applyAlignment="0" applyProtection="0"/>
    <xf numFmtId="0" fontId="70" fillId="0" borderId="21" applyNumberFormat="0" applyFill="0" applyAlignment="0" applyProtection="0"/>
    <xf numFmtId="0" fontId="72" fillId="13" borderId="0" applyNumberFormat="0" applyBorder="0" applyAlignment="0" applyProtection="0"/>
    <xf numFmtId="0" fontId="9" fillId="0" borderId="0"/>
    <xf numFmtId="0" fontId="2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9" fillId="11" borderId="12" applyNumberFormat="0" applyFont="0" applyAlignment="0" applyProtection="0"/>
    <xf numFmtId="0" fontId="50" fillId="12" borderId="14" applyNumberFormat="0" applyAlignment="0" applyProtection="0"/>
    <xf numFmtId="9" fontId="9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26" fillId="0" borderId="22" applyNumberFormat="0" applyFill="0" applyAlignment="0" applyProtection="0"/>
    <xf numFmtId="0" fontId="9" fillId="0" borderId="0"/>
    <xf numFmtId="0" fontId="82" fillId="0" borderId="0" applyNumberFormat="0" applyFill="0" applyBorder="0" applyAlignment="0" applyProtection="0"/>
    <xf numFmtId="0" fontId="91" fillId="0" borderId="0"/>
  </cellStyleXfs>
  <cellXfs count="195">
    <xf numFmtId="0" fontId="0" fillId="0" borderId="0" xfId="0"/>
    <xf numFmtId="0" fontId="2" fillId="0" borderId="0" xfId="0" applyFont="1"/>
    <xf numFmtId="10" fontId="0" fillId="0" borderId="0" xfId="1" applyNumberFormat="1" applyFont="1"/>
    <xf numFmtId="0" fontId="0" fillId="0" borderId="0" xfId="0" applyFill="1"/>
    <xf numFmtId="10" fontId="0" fillId="0" borderId="0" xfId="1" applyNumberFormat="1" applyFont="1" applyFill="1"/>
    <xf numFmtId="10" fontId="0" fillId="0" borderId="0" xfId="0" applyNumberFormat="1"/>
    <xf numFmtId="0" fontId="73" fillId="52" borderId="23" xfId="4" applyFont="1" applyFill="1" applyBorder="1" applyAlignment="1">
      <alignment horizontal="left" vertical="center" wrapText="1"/>
    </xf>
    <xf numFmtId="0" fontId="73" fillId="52" borderId="24" xfId="4" applyFont="1" applyFill="1" applyBorder="1" applyAlignment="1">
      <alignment horizontal="left" vertical="center" wrapText="1"/>
    </xf>
    <xf numFmtId="0" fontId="73" fillId="52" borderId="25" xfId="4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0" xfId="0" applyFill="1" applyBorder="1"/>
    <xf numFmtId="10" fontId="0" fillId="0" borderId="0" xfId="1" applyNumberFormat="1" applyFont="1" applyFill="1" applyBorder="1"/>
    <xf numFmtId="0" fontId="73" fillId="52" borderId="23" xfId="4" applyFont="1" applyFill="1" applyBorder="1" applyAlignment="1">
      <alignment horizontal="center" vertical="center" wrapText="1"/>
    </xf>
    <xf numFmtId="0" fontId="74" fillId="0" borderId="0" xfId="155" applyFont="1"/>
    <xf numFmtId="0" fontId="75" fillId="0" borderId="0" xfId="155" applyFont="1"/>
    <xf numFmtId="0" fontId="46" fillId="0" borderId="0" xfId="156" applyFont="1"/>
    <xf numFmtId="0" fontId="46" fillId="0" borderId="0" xfId="155" applyFont="1"/>
    <xf numFmtId="0" fontId="76" fillId="0" borderId="0" xfId="155" applyFont="1"/>
    <xf numFmtId="0" fontId="9" fillId="0" borderId="0" xfId="156" applyAlignment="1">
      <alignment vertical="center"/>
    </xf>
    <xf numFmtId="0" fontId="9" fillId="0" borderId="0" xfId="155"/>
    <xf numFmtId="0" fontId="9" fillId="0" borderId="30" xfId="156" applyBorder="1" applyAlignment="1">
      <alignment vertical="center"/>
    </xf>
    <xf numFmtId="0" fontId="7" fillId="0" borderId="31" xfId="163" quotePrefix="1" applyFont="1" applyBorder="1" applyAlignment="1">
      <alignment horizontal="center" vertical="center"/>
    </xf>
    <xf numFmtId="0" fontId="7" fillId="0" borderId="32" xfId="163" applyFont="1" applyBorder="1" applyAlignment="1">
      <alignment horizontal="center" vertical="center"/>
    </xf>
    <xf numFmtId="0" fontId="7" fillId="0" borderId="33" xfId="163" applyFont="1" applyBorder="1" applyAlignment="1">
      <alignment horizontal="center" vertical="center"/>
    </xf>
    <xf numFmtId="0" fontId="7" fillId="0" borderId="34" xfId="163" applyFont="1" applyBorder="1" applyAlignment="1">
      <alignment horizontal="center" vertical="center"/>
    </xf>
    <xf numFmtId="0" fontId="7" fillId="0" borderId="31" xfId="155" applyFont="1" applyBorder="1" applyAlignment="1">
      <alignment horizontal="left" vertical="center"/>
    </xf>
    <xf numFmtId="0" fontId="76" fillId="0" borderId="0" xfId="155" applyFont="1" applyAlignment="1">
      <alignment vertical="center"/>
    </xf>
    <xf numFmtId="0" fontId="9" fillId="0" borderId="27" xfId="156" applyBorder="1"/>
    <xf numFmtId="0" fontId="7" fillId="0" borderId="35" xfId="155" applyFont="1" applyBorder="1" applyAlignment="1">
      <alignment horizontal="left"/>
    </xf>
    <xf numFmtId="0" fontId="74" fillId="0" borderId="27" xfId="156" applyFont="1" applyBorder="1"/>
    <xf numFmtId="0" fontId="9" fillId="0" borderId="39" xfId="155" applyBorder="1"/>
    <xf numFmtId="0" fontId="9" fillId="0" borderId="40" xfId="155" applyBorder="1"/>
    <xf numFmtId="0" fontId="9" fillId="0" borderId="26" xfId="155" applyBorder="1" applyAlignment="1">
      <alignment horizontal="center"/>
    </xf>
    <xf numFmtId="0" fontId="77" fillId="0" borderId="27" xfId="156" applyFont="1" applyBorder="1"/>
    <xf numFmtId="0" fontId="7" fillId="0" borderId="27" xfId="156" applyFont="1" applyBorder="1" applyAlignment="1">
      <alignment horizontal="left" indent="2"/>
    </xf>
    <xf numFmtId="185" fontId="7" fillId="0" borderId="0" xfId="155" applyNumberFormat="1" applyFont="1" applyAlignment="1">
      <alignment horizontal="right" indent="1"/>
    </xf>
    <xf numFmtId="185" fontId="7" fillId="0" borderId="39" xfId="155" applyNumberFormat="1" applyFont="1" applyBorder="1" applyAlignment="1">
      <alignment horizontal="right" indent="1"/>
    </xf>
    <xf numFmtId="185" fontId="7" fillId="0" borderId="40" xfId="155" applyNumberFormat="1" applyFont="1" applyBorder="1" applyAlignment="1">
      <alignment horizontal="right" indent="1"/>
    </xf>
    <xf numFmtId="0" fontId="9" fillId="0" borderId="27" xfId="156" applyBorder="1" applyAlignment="1">
      <alignment horizontal="left" indent="2"/>
    </xf>
    <xf numFmtId="185" fontId="9" fillId="0" borderId="0" xfId="155" applyNumberFormat="1" applyAlignment="1">
      <alignment horizontal="right" indent="1"/>
    </xf>
    <xf numFmtId="185" fontId="9" fillId="0" borderId="39" xfId="155" applyNumberFormat="1" applyBorder="1" applyAlignment="1">
      <alignment horizontal="right" indent="1"/>
    </xf>
    <xf numFmtId="185" fontId="9" fillId="0" borderId="40" xfId="155" applyNumberFormat="1" applyBorder="1" applyAlignment="1">
      <alignment horizontal="right" indent="1"/>
    </xf>
    <xf numFmtId="185" fontId="9" fillId="0" borderId="26" xfId="155" applyNumberFormat="1" applyBorder="1" applyAlignment="1">
      <alignment horizontal="right" indent="2"/>
    </xf>
    <xf numFmtId="0" fontId="76" fillId="0" borderId="0" xfId="155" applyFont="1" applyAlignment="1">
      <alignment horizontal="right"/>
    </xf>
    <xf numFmtId="0" fontId="76" fillId="0" borderId="0" xfId="155" applyFont="1" applyAlignment="1">
      <alignment horizontal="left"/>
    </xf>
    <xf numFmtId="185" fontId="7" fillId="0" borderId="26" xfId="155" applyNumberFormat="1" applyFont="1" applyBorder="1" applyAlignment="1">
      <alignment horizontal="right" indent="2"/>
    </xf>
    <xf numFmtId="185" fontId="9" fillId="0" borderId="16" xfId="155" applyNumberFormat="1" applyBorder="1" applyAlignment="1">
      <alignment horizontal="right" indent="1"/>
    </xf>
    <xf numFmtId="0" fontId="9" fillId="0" borderId="25" xfId="156" applyBorder="1"/>
    <xf numFmtId="185" fontId="9" fillId="0" borderId="23" xfId="155" applyNumberFormat="1" applyBorder="1" applyAlignment="1">
      <alignment horizontal="right" indent="1"/>
    </xf>
    <xf numFmtId="185" fontId="9" fillId="0" borderId="41" xfId="155" applyNumberFormat="1" applyBorder="1" applyAlignment="1">
      <alignment horizontal="right" indent="1"/>
    </xf>
    <xf numFmtId="185" fontId="9" fillId="0" borderId="42" xfId="155" applyNumberFormat="1" applyBorder="1" applyAlignment="1">
      <alignment horizontal="right" indent="1"/>
    </xf>
    <xf numFmtId="185" fontId="9" fillId="0" borderId="24" xfId="155" applyNumberFormat="1" applyBorder="1" applyAlignment="1">
      <alignment horizontal="right" indent="2"/>
    </xf>
    <xf numFmtId="0" fontId="9" fillId="0" borderId="29" xfId="156" applyBorder="1"/>
    <xf numFmtId="185" fontId="9" fillId="0" borderId="43" xfId="155" applyNumberFormat="1" applyBorder="1" applyAlignment="1">
      <alignment horizontal="right" indent="1"/>
    </xf>
    <xf numFmtId="185" fontId="9" fillId="0" borderId="44" xfId="155" applyNumberFormat="1" applyBorder="1" applyAlignment="1">
      <alignment horizontal="right" indent="1"/>
    </xf>
    <xf numFmtId="185" fontId="9" fillId="0" borderId="28" xfId="155" applyNumberFormat="1" applyBorder="1" applyAlignment="1">
      <alignment horizontal="right" indent="2"/>
    </xf>
    <xf numFmtId="185" fontId="9" fillId="0" borderId="0" xfId="155" applyNumberFormat="1"/>
    <xf numFmtId="185" fontId="9" fillId="0" borderId="0" xfId="155" applyNumberFormat="1" applyAlignment="1">
      <alignment horizontal="right" indent="2"/>
    </xf>
    <xf numFmtId="185" fontId="9" fillId="0" borderId="39" xfId="155" applyNumberFormat="1" applyBorder="1" applyAlignment="1">
      <alignment horizontal="right" indent="2"/>
    </xf>
    <xf numFmtId="185" fontId="9" fillId="0" borderId="40" xfId="155" applyNumberFormat="1" applyBorder="1" applyAlignment="1">
      <alignment horizontal="right" indent="2"/>
    </xf>
    <xf numFmtId="185" fontId="9" fillId="0" borderId="26" xfId="155" applyNumberFormat="1" applyBorder="1" applyAlignment="1">
      <alignment horizontal="right" indent="1"/>
    </xf>
    <xf numFmtId="0" fontId="9" fillId="0" borderId="0" xfId="156" applyAlignment="1">
      <alignment horizontal="left" indent="2"/>
    </xf>
    <xf numFmtId="185" fontId="9" fillId="0" borderId="28" xfId="155" applyNumberFormat="1" applyBorder="1" applyAlignment="1">
      <alignment horizontal="right" indent="1"/>
    </xf>
    <xf numFmtId="0" fontId="9" fillId="0" borderId="23" xfId="155" applyBorder="1" applyAlignment="1">
      <alignment horizontal="left" indent="2"/>
    </xf>
    <xf numFmtId="185" fontId="78" fillId="0" borderId="0" xfId="295" applyNumberFormat="1" applyFont="1" applyAlignment="1">
      <alignment horizontal="right" vertical="center"/>
    </xf>
    <xf numFmtId="0" fontId="79" fillId="0" borderId="0" xfId="155" applyFont="1"/>
    <xf numFmtId="0" fontId="9" fillId="0" borderId="0" xfId="155" quotePrefix="1"/>
    <xf numFmtId="14" fontId="9" fillId="5" borderId="0" xfId="155" applyNumberFormat="1" applyFill="1"/>
    <xf numFmtId="0" fontId="83" fillId="2" borderId="0" xfId="0" applyFont="1" applyFill="1"/>
    <xf numFmtId="0" fontId="0" fillId="2" borderId="0" xfId="0" applyFill="1"/>
    <xf numFmtId="0" fontId="84" fillId="2" borderId="0" xfId="306" applyFont="1" applyFill="1"/>
    <xf numFmtId="0" fontId="2" fillId="2" borderId="0" xfId="0" applyFont="1" applyFill="1"/>
    <xf numFmtId="0" fontId="80" fillId="2" borderId="0" xfId="0" applyFont="1" applyFill="1"/>
    <xf numFmtId="17" fontId="0" fillId="2" borderId="0" xfId="0" applyNumberFormat="1" applyFill="1" applyAlignment="1">
      <alignment horizontal="center"/>
    </xf>
    <xf numFmtId="0" fontId="0" fillId="2" borderId="1" xfId="0" applyFill="1" applyBorder="1"/>
    <xf numFmtId="17" fontId="0" fillId="2" borderId="1" xfId="0" applyNumberFormat="1" applyFill="1" applyBorder="1" applyAlignment="1">
      <alignment horizontal="center"/>
    </xf>
    <xf numFmtId="17" fontId="0" fillId="53" borderId="1" xfId="0" applyNumberForma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85" fillId="53" borderId="1" xfId="0" applyFont="1" applyFill="1" applyBorder="1" applyAlignment="1">
      <alignment horizontal="center"/>
    </xf>
    <xf numFmtId="0" fontId="86" fillId="54" borderId="1" xfId="0" applyFont="1" applyFill="1" applyBorder="1" applyAlignment="1">
      <alignment horizontal="center"/>
    </xf>
    <xf numFmtId="0" fontId="86" fillId="53" borderId="1" xfId="0" applyFont="1" applyFill="1" applyBorder="1" applyAlignment="1">
      <alignment horizontal="center"/>
    </xf>
    <xf numFmtId="185" fontId="0" fillId="54" borderId="1" xfId="0" applyNumberFormat="1" applyFill="1" applyBorder="1"/>
    <xf numFmtId="185" fontId="0" fillId="2" borderId="1" xfId="0" applyNumberFormat="1" applyFill="1" applyBorder="1"/>
    <xf numFmtId="0" fontId="0" fillId="3" borderId="1" xfId="0" applyFill="1" applyBorder="1"/>
    <xf numFmtId="0" fontId="0" fillId="53" borderId="1" xfId="0" applyFill="1" applyBorder="1"/>
    <xf numFmtId="185" fontId="0" fillId="3" borderId="1" xfId="0" applyNumberFormat="1" applyFill="1" applyBorder="1"/>
    <xf numFmtId="185" fontId="0" fillId="0" borderId="1" xfId="0" applyNumberFormat="1" applyBorder="1"/>
    <xf numFmtId="185" fontId="0" fillId="53" borderId="1" xfId="0" applyNumberFormat="1" applyFill="1" applyBorder="1"/>
    <xf numFmtId="10" fontId="0" fillId="0" borderId="1" xfId="1" applyNumberFormat="1" applyFont="1" applyFill="1" applyBorder="1"/>
    <xf numFmtId="10" fontId="0" fillId="53" borderId="1" xfId="1" applyNumberFormat="1" applyFont="1" applyFill="1" applyBorder="1"/>
    <xf numFmtId="10" fontId="0" fillId="2" borderId="1" xfId="1" applyNumberFormat="1" applyFont="1" applyFill="1" applyBorder="1"/>
    <xf numFmtId="187" fontId="0" fillId="2" borderId="1" xfId="0" applyNumberFormat="1" applyFill="1" applyBorder="1"/>
    <xf numFmtId="187" fontId="0" fillId="0" borderId="1" xfId="0" applyNumberFormat="1" applyBorder="1"/>
    <xf numFmtId="188" fontId="0" fillId="2" borderId="1" xfId="0" applyNumberFormat="1" applyFill="1" applyBorder="1"/>
    <xf numFmtId="189" fontId="0" fillId="2" borderId="0" xfId="1" applyNumberFormat="1" applyFont="1" applyFill="1"/>
    <xf numFmtId="0" fontId="86" fillId="2" borderId="0" xfId="0" applyFont="1" applyFill="1"/>
    <xf numFmtId="188" fontId="0" fillId="2" borderId="0" xfId="0" applyNumberFormat="1" applyFill="1"/>
    <xf numFmtId="10" fontId="0" fillId="2" borderId="0" xfId="1" applyNumberFormat="1" applyFont="1" applyFill="1"/>
    <xf numFmtId="190" fontId="86" fillId="2" borderId="0" xfId="0" applyNumberFormat="1" applyFont="1" applyFill="1"/>
    <xf numFmtId="187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10" fontId="0" fillId="2" borderId="1" xfId="0" applyNumberFormat="1" applyFill="1" applyBorder="1"/>
    <xf numFmtId="10" fontId="0" fillId="0" borderId="1" xfId="0" applyNumberFormat="1" applyBorder="1"/>
    <xf numFmtId="10" fontId="0" fillId="53" borderId="1" xfId="0" applyNumberFormat="1" applyFill="1" applyBorder="1"/>
    <xf numFmtId="187" fontId="0" fillId="3" borderId="1" xfId="0" applyNumberFormat="1" applyFill="1" applyBorder="1"/>
    <xf numFmtId="0" fontId="86" fillId="0" borderId="0" xfId="0" applyFont="1"/>
    <xf numFmtId="191" fontId="0" fillId="2" borderId="0" xfId="1" applyNumberFormat="1" applyFont="1" applyFill="1"/>
    <xf numFmtId="9" fontId="0" fillId="2" borderId="0" xfId="0" applyNumberFormat="1" applyFill="1"/>
    <xf numFmtId="0" fontId="0" fillId="2" borderId="0" xfId="0" applyFill="1" applyAlignment="1">
      <alignment horizontal="right"/>
    </xf>
    <xf numFmtId="0" fontId="9" fillId="0" borderId="0" xfId="156"/>
    <xf numFmtId="0" fontId="9" fillId="0" borderId="0" xfId="156" applyAlignment="1">
      <alignment vertical="top"/>
    </xf>
    <xf numFmtId="0" fontId="9" fillId="0" borderId="0" xfId="156" applyAlignment="1">
      <alignment wrapText="1"/>
    </xf>
    <xf numFmtId="0" fontId="9" fillId="0" borderId="16" xfId="155" applyBorder="1"/>
    <xf numFmtId="0" fontId="7" fillId="0" borderId="45" xfId="163" applyFont="1" applyBorder="1" applyAlignment="1">
      <alignment horizontal="center" vertical="center"/>
    </xf>
    <xf numFmtId="0" fontId="9" fillId="0" borderId="36" xfId="155" applyBorder="1"/>
    <xf numFmtId="0" fontId="0" fillId="0" borderId="36" xfId="155" applyFont="1" applyBorder="1"/>
    <xf numFmtId="0" fontId="0" fillId="0" borderId="46" xfId="155" applyFont="1" applyBorder="1" applyAlignment="1">
      <alignment vertical="top"/>
    </xf>
    <xf numFmtId="0" fontId="9" fillId="0" borderId="36" xfId="155" quotePrefix="1" applyBorder="1"/>
    <xf numFmtId="0" fontId="7" fillId="0" borderId="47" xfId="155" applyFont="1" applyBorder="1" applyAlignment="1">
      <alignment horizontal="left"/>
    </xf>
    <xf numFmtId="0" fontId="9" fillId="0" borderId="48" xfId="155" applyBorder="1"/>
    <xf numFmtId="0" fontId="75" fillId="0" borderId="49" xfId="155" applyFont="1" applyBorder="1"/>
    <xf numFmtId="185" fontId="7" fillId="0" borderId="0" xfId="155" applyNumberFormat="1" applyFont="1" applyAlignment="1">
      <alignment horizontal="center"/>
    </xf>
    <xf numFmtId="185" fontId="7" fillId="0" borderId="48" xfId="155" applyNumberFormat="1" applyFont="1" applyBorder="1" applyAlignment="1">
      <alignment horizontal="center"/>
    </xf>
    <xf numFmtId="185" fontId="7" fillId="0" borderId="49" xfId="155" applyNumberFormat="1" applyFont="1" applyBorder="1" applyAlignment="1">
      <alignment horizontal="right" indent="2"/>
    </xf>
    <xf numFmtId="185" fontId="9" fillId="0" borderId="0" xfId="155" applyNumberFormat="1" applyAlignment="1">
      <alignment horizontal="center"/>
    </xf>
    <xf numFmtId="185" fontId="9" fillId="0" borderId="48" xfId="155" applyNumberFormat="1" applyBorder="1" applyAlignment="1">
      <alignment horizontal="center"/>
    </xf>
    <xf numFmtId="185" fontId="9" fillId="0" borderId="49" xfId="155" applyNumberFormat="1" applyBorder="1" applyAlignment="1">
      <alignment horizontal="right" indent="2"/>
    </xf>
    <xf numFmtId="185" fontId="9" fillId="0" borderId="48" xfId="155" applyNumberFormat="1" applyBorder="1" applyAlignment="1">
      <alignment horizontal="right" indent="1"/>
    </xf>
    <xf numFmtId="185" fontId="9" fillId="0" borderId="50" xfId="155" applyNumberFormat="1" applyBorder="1" applyAlignment="1">
      <alignment horizontal="right" indent="1"/>
    </xf>
    <xf numFmtId="185" fontId="9" fillId="0" borderId="51" xfId="155" applyNumberFormat="1" applyBorder="1" applyAlignment="1">
      <alignment horizontal="right" indent="2"/>
    </xf>
    <xf numFmtId="185" fontId="9" fillId="0" borderId="52" xfId="155" applyNumberFormat="1" applyBorder="1" applyAlignment="1">
      <alignment horizontal="right" indent="1"/>
    </xf>
    <xf numFmtId="185" fontId="9" fillId="0" borderId="53" xfId="155" applyNumberFormat="1" applyBorder="1" applyAlignment="1">
      <alignment horizontal="right" indent="2"/>
    </xf>
    <xf numFmtId="184" fontId="89" fillId="0" borderId="0" xfId="155" applyNumberFormat="1" applyFont="1" applyAlignment="1">
      <alignment horizontal="left"/>
    </xf>
    <xf numFmtId="184" fontId="75" fillId="0" borderId="0" xfId="155" applyNumberFormat="1" applyFont="1" applyAlignment="1">
      <alignment horizontal="left"/>
    </xf>
    <xf numFmtId="0" fontId="9" fillId="0" borderId="0" xfId="155" applyAlignment="1">
      <alignment vertical="center"/>
    </xf>
    <xf numFmtId="0" fontId="0" fillId="0" borderId="35" xfId="155" applyFont="1" applyBorder="1"/>
    <xf numFmtId="0" fontId="9" fillId="0" borderId="37" xfId="155" applyBorder="1"/>
    <xf numFmtId="0" fontId="0" fillId="0" borderId="36" xfId="155" applyFont="1" applyBorder="1" applyAlignment="1">
      <alignment vertical="top"/>
    </xf>
    <xf numFmtId="0" fontId="9" fillId="0" borderId="38" xfId="155" quotePrefix="1" applyBorder="1"/>
    <xf numFmtId="0" fontId="9" fillId="0" borderId="54" xfId="155" quotePrefix="1" applyBorder="1"/>
    <xf numFmtId="0" fontId="0" fillId="0" borderId="0" xfId="155" applyFont="1"/>
    <xf numFmtId="0" fontId="90" fillId="0" borderId="0" xfId="155" applyFont="1"/>
    <xf numFmtId="0" fontId="9" fillId="0" borderId="0" xfId="155" applyAlignment="1">
      <alignment wrapText="1"/>
    </xf>
    <xf numFmtId="0" fontId="89" fillId="0" borderId="0" xfId="155" applyFont="1"/>
    <xf numFmtId="0" fontId="77" fillId="0" borderId="0" xfId="155" applyFont="1"/>
    <xf numFmtId="0" fontId="77" fillId="0" borderId="0" xfId="155" applyFont="1" applyAlignment="1">
      <alignment wrapText="1"/>
    </xf>
    <xf numFmtId="192" fontId="92" fillId="0" borderId="0" xfId="307" applyNumberFormat="1" applyFont="1" applyAlignment="1">
      <alignment horizontal="left"/>
    </xf>
    <xf numFmtId="186" fontId="0" fillId="0" borderId="0" xfId="155" applyNumberFormat="1" applyFont="1"/>
    <xf numFmtId="172" fontId="92" fillId="0" borderId="55" xfId="307" applyNumberFormat="1" applyFont="1" applyBorder="1" applyAlignment="1">
      <alignment horizontal="center"/>
    </xf>
    <xf numFmtId="2" fontId="89" fillId="0" borderId="0" xfId="155" applyNumberFormat="1" applyFont="1"/>
    <xf numFmtId="187" fontId="9" fillId="0" borderId="0" xfId="155" applyNumberFormat="1"/>
    <xf numFmtId="2" fontId="89" fillId="55" borderId="0" xfId="155" applyNumberFormat="1" applyFont="1" applyFill="1"/>
    <xf numFmtId="192" fontId="92" fillId="0" borderId="0" xfId="307" applyNumberFormat="1" applyFont="1"/>
    <xf numFmtId="172" fontId="9" fillId="0" borderId="56" xfId="155" applyNumberFormat="1" applyBorder="1"/>
    <xf numFmtId="187" fontId="7" fillId="0" borderId="56" xfId="155" applyNumberFormat="1" applyFont="1" applyBorder="1"/>
    <xf numFmtId="172" fontId="92" fillId="0" borderId="57" xfId="307" applyNumberFormat="1" applyFont="1" applyBorder="1" applyAlignment="1">
      <alignment horizontal="center"/>
    </xf>
    <xf numFmtId="172" fontId="9" fillId="0" borderId="0" xfId="155" applyNumberFormat="1"/>
    <xf numFmtId="172" fontId="92" fillId="2" borderId="55" xfId="189" applyNumberFormat="1" applyFont="1" applyFill="1" applyBorder="1" applyAlignment="1">
      <alignment horizontal="center"/>
    </xf>
    <xf numFmtId="172" fontId="92" fillId="2" borderId="57" xfId="189" applyNumberFormat="1" applyFont="1" applyFill="1" applyBorder="1" applyAlignment="1">
      <alignment horizontal="center"/>
    </xf>
    <xf numFmtId="2" fontId="7" fillId="5" borderId="48" xfId="155" applyNumberFormat="1" applyFont="1" applyFill="1" applyBorder="1" applyAlignment="1">
      <alignment horizontal="center"/>
    </xf>
    <xf numFmtId="2" fontId="7" fillId="5" borderId="0" xfId="155" applyNumberFormat="1" applyFont="1" applyFill="1" applyAlignment="1">
      <alignment horizontal="center"/>
    </xf>
    <xf numFmtId="2" fontId="7" fillId="5" borderId="49" xfId="155" applyNumberFormat="1" applyFont="1" applyFill="1" applyBorder="1" applyAlignment="1">
      <alignment horizontal="right" indent="2"/>
    </xf>
    <xf numFmtId="0" fontId="0" fillId="0" borderId="58" xfId="0" applyBorder="1"/>
    <xf numFmtId="0" fontId="0" fillId="0" borderId="59" xfId="0" applyBorder="1"/>
    <xf numFmtId="10" fontId="0" fillId="0" borderId="59" xfId="1" applyNumberFormat="1" applyFont="1" applyBorder="1"/>
    <xf numFmtId="10" fontId="0" fillId="0" borderId="60" xfId="1" applyNumberFormat="1" applyFont="1" applyBorder="1"/>
    <xf numFmtId="0" fontId="0" fillId="0" borderId="18" xfId="0" applyFill="1" applyBorder="1"/>
    <xf numFmtId="10" fontId="0" fillId="0" borderId="39" xfId="1" applyNumberFormat="1" applyFont="1" applyFill="1" applyBorder="1"/>
    <xf numFmtId="0" fontId="0" fillId="0" borderId="61" xfId="0" applyFill="1" applyBorder="1"/>
    <xf numFmtId="0" fontId="0" fillId="0" borderId="17" xfId="0" applyFill="1" applyBorder="1"/>
    <xf numFmtId="10" fontId="0" fillId="0" borderId="17" xfId="1" applyNumberFormat="1" applyFont="1" applyFill="1" applyBorder="1"/>
    <xf numFmtId="10" fontId="0" fillId="2" borderId="17" xfId="1" applyNumberFormat="1" applyFont="1" applyFill="1" applyBorder="1"/>
    <xf numFmtId="10" fontId="0" fillId="2" borderId="62" xfId="1" applyNumberFormat="1" applyFont="1" applyFill="1" applyBorder="1"/>
    <xf numFmtId="0" fontId="0" fillId="0" borderId="63" xfId="0" applyBorder="1"/>
    <xf numFmtId="0" fontId="0" fillId="0" borderId="64" xfId="0" applyBorder="1"/>
    <xf numFmtId="10" fontId="0" fillId="0" borderId="64" xfId="1" applyNumberFormat="1" applyFont="1" applyBorder="1"/>
    <xf numFmtId="10" fontId="0" fillId="0" borderId="65" xfId="1" applyNumberFormat="1" applyFont="1" applyBorder="1"/>
    <xf numFmtId="10" fontId="0" fillId="0" borderId="63" xfId="0" applyNumberFormat="1" applyBorder="1"/>
    <xf numFmtId="10" fontId="0" fillId="0" borderId="64" xfId="0" applyNumberFormat="1" applyBorder="1"/>
    <xf numFmtId="10" fontId="0" fillId="56" borderId="0" xfId="0" applyNumberFormat="1" applyFill="1"/>
    <xf numFmtId="185" fontId="7" fillId="57" borderId="0" xfId="155" applyNumberFormat="1" applyFont="1" applyFill="1" applyAlignment="1">
      <alignment horizontal="center"/>
    </xf>
    <xf numFmtId="185" fontId="7" fillId="57" borderId="48" xfId="155" applyNumberFormat="1" applyFont="1" applyFill="1" applyBorder="1" applyAlignment="1">
      <alignment horizontal="center"/>
    </xf>
    <xf numFmtId="185" fontId="7" fillId="57" borderId="49" xfId="155" applyNumberFormat="1" applyFont="1" applyFill="1" applyBorder="1" applyAlignment="1">
      <alignment horizontal="right" indent="2"/>
    </xf>
    <xf numFmtId="0" fontId="2" fillId="0" borderId="26" xfId="0" applyFont="1" applyFill="1" applyBorder="1"/>
    <xf numFmtId="10" fontId="2" fillId="0" borderId="0" xfId="1" applyNumberFormat="1" applyFont="1" applyFill="1" applyBorder="1"/>
    <xf numFmtId="10" fontId="0" fillId="0" borderId="64" xfId="0" applyNumberFormat="1" applyFill="1" applyBorder="1"/>
    <xf numFmtId="10" fontId="0" fillId="0" borderId="65" xfId="0" applyNumberFormat="1" applyFill="1" applyBorder="1"/>
    <xf numFmtId="0" fontId="9" fillId="0" borderId="16" xfId="156" applyBorder="1" applyAlignment="1">
      <alignment horizontal="center" vertical="center"/>
    </xf>
    <xf numFmtId="0" fontId="9" fillId="0" borderId="0" xfId="156" applyAlignment="1">
      <alignment horizontal="left" vertical="top" wrapText="1"/>
    </xf>
    <xf numFmtId="0" fontId="9" fillId="0" borderId="0" xfId="156" applyAlignment="1">
      <alignment horizontal="left"/>
    </xf>
    <xf numFmtId="0" fontId="9" fillId="0" borderId="0" xfId="156" applyAlignment="1">
      <alignment horizontal="left" wrapText="1"/>
    </xf>
    <xf numFmtId="0" fontId="9" fillId="0" borderId="0" xfId="156"/>
    <xf numFmtId="0" fontId="9" fillId="0" borderId="0" xfId="155" applyAlignment="1">
      <alignment horizontal="center" wrapText="1"/>
    </xf>
  </cellXfs>
  <cellStyles count="308">
    <cellStyle name=" 1" xfId="7"/>
    <cellStyle name=" 1 2" xfId="8"/>
    <cellStyle name=" 1_29(d) - Gas extensions -tariffs" xfId="9"/>
    <cellStyle name="_Capex" xfId="10"/>
    <cellStyle name="_Capex 2" xfId="11"/>
    <cellStyle name="_Capex_29(d) - Gas extensions -tariffs" xfId="12"/>
    <cellStyle name="_UED AMP 2009-14 Final 250309 Less PU" xfId="13"/>
    <cellStyle name="_UED AMP 2009-14 Final 250309 Less PU_1011 monthly" xfId="14"/>
    <cellStyle name="20% - Accent1 2" xfId="15"/>
    <cellStyle name="20% - Accent1 2 2" xfId="264"/>
    <cellStyle name="20% - Accent2 2" xfId="16"/>
    <cellStyle name="20% - Accent2 2 2" xfId="265"/>
    <cellStyle name="20% - Accent3 2" xfId="17"/>
    <cellStyle name="20% - Accent3 2 2" xfId="266"/>
    <cellStyle name="20% - Accent4 2" xfId="18"/>
    <cellStyle name="20% - Accent4 2 2" xfId="267"/>
    <cellStyle name="20% - Accent5 2" xfId="19"/>
    <cellStyle name="20% - Accent6 2" xfId="20"/>
    <cellStyle name="20% - Accent6 2 2" xfId="268"/>
    <cellStyle name="40% - Accent1 2" xfId="21"/>
    <cellStyle name="40% - Accent1 2 2" xfId="269"/>
    <cellStyle name="40% - Accent2 2" xfId="22"/>
    <cellStyle name="40% - Accent3 2" xfId="23"/>
    <cellStyle name="40% - Accent3 2 2" xfId="270"/>
    <cellStyle name="40% - Accent4 2" xfId="24"/>
    <cellStyle name="40% - Accent4 2 2" xfId="271"/>
    <cellStyle name="40% - Accent5 2" xfId="25"/>
    <cellStyle name="40% - Accent5 2 2" xfId="272"/>
    <cellStyle name="40% - Accent6 2" xfId="26"/>
    <cellStyle name="40% - Accent6 2 2" xfId="273"/>
    <cellStyle name="60% - Accent1 2" xfId="27"/>
    <cellStyle name="60% - Accent1 2 2" xfId="274"/>
    <cellStyle name="60% - Accent2 2" xfId="28"/>
    <cellStyle name="60% - Accent2 2 2" xfId="275"/>
    <cellStyle name="60% - Accent3 2" xfId="29"/>
    <cellStyle name="60% - Accent3 2 2" xfId="276"/>
    <cellStyle name="60% - Accent4 2" xfId="30"/>
    <cellStyle name="60% - Accent4 2 2" xfId="277"/>
    <cellStyle name="60% - Accent5 2" xfId="31"/>
    <cellStyle name="60% - Accent5 2 2" xfId="278"/>
    <cellStyle name="60% - Accent6 2" xfId="32"/>
    <cellStyle name="60% - Accent6 2 2" xfId="279"/>
    <cellStyle name="Accent1 - 20%" xfId="33"/>
    <cellStyle name="Accent1 - 40%" xfId="34"/>
    <cellStyle name="Accent1 - 60%" xfId="35"/>
    <cellStyle name="Accent1 2" xfId="36"/>
    <cellStyle name="Accent1 2 2" xfId="280"/>
    <cellStyle name="Accent2 - 20%" xfId="37"/>
    <cellStyle name="Accent2 - 40%" xfId="38"/>
    <cellStyle name="Accent2 - 60%" xfId="39"/>
    <cellStyle name="Accent2 2" xfId="40"/>
    <cellStyle name="Accent2 2 2" xfId="281"/>
    <cellStyle name="Accent3 - 20%" xfId="41"/>
    <cellStyle name="Accent3 - 40%" xfId="42"/>
    <cellStyle name="Accent3 - 60%" xfId="43"/>
    <cellStyle name="Accent3 2" xfId="44"/>
    <cellStyle name="Accent3 2 2" xfId="282"/>
    <cellStyle name="Accent4 - 20%" xfId="45"/>
    <cellStyle name="Accent4 - 40%" xfId="46"/>
    <cellStyle name="Accent4 - 60%" xfId="47"/>
    <cellStyle name="Accent4 2" xfId="48"/>
    <cellStyle name="Accent4 2 2" xfId="283"/>
    <cellStyle name="Accent5 - 20%" xfId="49"/>
    <cellStyle name="Accent5 - 40%" xfId="50"/>
    <cellStyle name="Accent5 - 60%" xfId="51"/>
    <cellStyle name="Accent5 2" xfId="52"/>
    <cellStyle name="Accent6 - 20%" xfId="53"/>
    <cellStyle name="Accent6 - 40%" xfId="54"/>
    <cellStyle name="Accent6 - 60%" xfId="55"/>
    <cellStyle name="Accent6 2" xfId="56"/>
    <cellStyle name="Accent6 2 2" xfId="284"/>
    <cellStyle name="Agara" xfId="57"/>
    <cellStyle name="Assumptions Right Number" xfId="58"/>
    <cellStyle name="B79812_.wvu.PrintTitlest" xfId="59"/>
    <cellStyle name="Bad 2" xfId="60"/>
    <cellStyle name="Bad 2 2" xfId="285"/>
    <cellStyle name="Black" xfId="61"/>
    <cellStyle name="Blockout" xfId="62"/>
    <cellStyle name="Blockout 2" xfId="63"/>
    <cellStyle name="Blue" xfId="64"/>
    <cellStyle name="Calcs_Divider" xfId="65"/>
    <cellStyle name="Calculation 2" xfId="66"/>
    <cellStyle name="Calculation 2 2" xfId="286"/>
    <cellStyle name="Check" xfId="67"/>
    <cellStyle name="Check Cell 2" xfId="68"/>
    <cellStyle name="Column_Heading_1" xfId="69"/>
    <cellStyle name="Comma [0]7Z_87C" xfId="70"/>
    <cellStyle name="Comma 0" xfId="71"/>
    <cellStyle name="Comma 1" xfId="72"/>
    <cellStyle name="Comma 1 2" xfId="73"/>
    <cellStyle name="Comma 2" xfId="74"/>
    <cellStyle name="Comma 2 2" xfId="75"/>
    <cellStyle name="Comma 2 3" xfId="76"/>
    <cellStyle name="Comma 2 3 2" xfId="77"/>
    <cellStyle name="Comma 2 4" xfId="78"/>
    <cellStyle name="Comma 2 5" xfId="79"/>
    <cellStyle name="Comma 3" xfId="80"/>
    <cellStyle name="Comma 3 2" xfId="81"/>
    <cellStyle name="Comma 3 3" xfId="82"/>
    <cellStyle name="Comma 4" xfId="83"/>
    <cellStyle name="Comma 5" xfId="84"/>
    <cellStyle name="Comma 6" xfId="85"/>
    <cellStyle name="Comma 7" xfId="86"/>
    <cellStyle name="Comma 8" xfId="87"/>
    <cellStyle name="Comma0" xfId="88"/>
    <cellStyle name="Currency 11" xfId="89"/>
    <cellStyle name="Currency 11 2" xfId="90"/>
    <cellStyle name="Currency 2" xfId="91"/>
    <cellStyle name="Currency 2 2" xfId="92"/>
    <cellStyle name="Currency 3" xfId="93"/>
    <cellStyle name="Currency 3 2" xfId="94"/>
    <cellStyle name="Currency 4" xfId="95"/>
    <cellStyle name="Currency 4 2" xfId="96"/>
    <cellStyle name="Currency 5" xfId="97"/>
    <cellStyle name="D4_B8B1_005004B79812_.wvu.PrintTitlest" xfId="98"/>
    <cellStyle name="Date" xfId="99"/>
    <cellStyle name="Date 2" xfId="100"/>
    <cellStyle name="Emphasis 1" xfId="101"/>
    <cellStyle name="Emphasis 2" xfId="102"/>
    <cellStyle name="Emphasis 3" xfId="103"/>
    <cellStyle name="Empty_Cell" xfId="104"/>
    <cellStyle name="Euro" xfId="105"/>
    <cellStyle name="Explanatory Text 2" xfId="106"/>
    <cellStyle name="Fixed" xfId="107"/>
    <cellStyle name="Fixed 2" xfId="108"/>
    <cellStyle name="Gilsans" xfId="109"/>
    <cellStyle name="Gilsansl" xfId="110"/>
    <cellStyle name="Good 2" xfId="111"/>
    <cellStyle name="Good 2 2" xfId="287"/>
    <cellStyle name="Header1" xfId="112"/>
    <cellStyle name="Header2" xfId="113"/>
    <cellStyle name="Header3" xfId="114"/>
    <cellStyle name="Header4" xfId="115"/>
    <cellStyle name="Header5" xfId="116"/>
    <cellStyle name="Heading 1 2" xfId="117"/>
    <cellStyle name="Heading 1 2 2" xfId="118"/>
    <cellStyle name="Heading 1 3" xfId="119"/>
    <cellStyle name="Heading 2 2" xfId="120"/>
    <cellStyle name="Heading 2 2 2" xfId="121"/>
    <cellStyle name="Heading 2 3" xfId="122"/>
    <cellStyle name="Heading 3 2" xfId="123"/>
    <cellStyle name="Heading 3 2 2" xfId="124"/>
    <cellStyle name="Heading 3 3" xfId="125"/>
    <cellStyle name="Heading 4 2" xfId="126"/>
    <cellStyle name="Heading 4 2 2" xfId="127"/>
    <cellStyle name="Heading 4 3" xfId="128"/>
    <cellStyle name="Heading(4)" xfId="129"/>
    <cellStyle name="Hyperlink" xfId="306" builtinId="8"/>
    <cellStyle name="Hyperlink 2" xfId="5"/>
    <cellStyle name="Hyperlink Arrow" xfId="130"/>
    <cellStyle name="Hyperlink Text" xfId="131"/>
    <cellStyle name="Input 2" xfId="132"/>
    <cellStyle name="Input 2 2" xfId="288"/>
    <cellStyle name="Input|Date" xfId="133"/>
    <cellStyle name="Input1" xfId="134"/>
    <cellStyle name="Input1 2" xfId="135"/>
    <cellStyle name="Input2" xfId="136"/>
    <cellStyle name="Input2 2" xfId="137"/>
    <cellStyle name="Input3" xfId="138"/>
    <cellStyle name="Input3 2" xfId="139"/>
    <cellStyle name="Inputs_Divider" xfId="140"/>
    <cellStyle name="InSheet" xfId="141"/>
    <cellStyle name="Lines" xfId="142"/>
    <cellStyle name="Linked Cell 2" xfId="143"/>
    <cellStyle name="Linked Cell 2 2" xfId="289"/>
    <cellStyle name="Mine" xfId="144"/>
    <cellStyle name="Model Name" xfId="145"/>
    <cellStyle name="Neutral 2" xfId="146"/>
    <cellStyle name="Neutral 2 2" xfId="290"/>
    <cellStyle name="Normal" xfId="0" builtinId="0"/>
    <cellStyle name="Normal - Style1" xfId="147"/>
    <cellStyle name="Normal 10" xfId="148"/>
    <cellStyle name="Normal 13" xfId="149"/>
    <cellStyle name="Normal 13 2" xfId="150"/>
    <cellStyle name="Normal 13_29(d) - Gas extensions -tariffs" xfId="151"/>
    <cellStyle name="Normal 15" xfId="152"/>
    <cellStyle name="Normal 16" xfId="153"/>
    <cellStyle name="Normal 17" xfId="305"/>
    <cellStyle name="Normal 2" xfId="4"/>
    <cellStyle name="Normal 2 2" xfId="154"/>
    <cellStyle name="Normal 2 2 2" xfId="155"/>
    <cellStyle name="Normal 2 3" xfId="156"/>
    <cellStyle name="Normal 2 3 2" xfId="157"/>
    <cellStyle name="Normal 2 3_29(d) - Gas extensions -tariffs" xfId="158"/>
    <cellStyle name="Normal 2 4" xfId="159"/>
    <cellStyle name="Normal 2 5" xfId="160"/>
    <cellStyle name="Normal 2_29(d) - Gas extensions -tariffs" xfId="161"/>
    <cellStyle name="Normal 3" xfId="162"/>
    <cellStyle name="Normal 3 2" xfId="163"/>
    <cellStyle name="Normal 3 2 2" xfId="291"/>
    <cellStyle name="Normal 3 3" xfId="292"/>
    <cellStyle name="Normal 3_29(d) - Gas extensions -tariffs" xfId="164"/>
    <cellStyle name="Normal 34" xfId="293"/>
    <cellStyle name="Normal 38" xfId="165"/>
    <cellStyle name="Normal 38 2" xfId="166"/>
    <cellStyle name="Normal 38_29(d) - Gas extensions -tariffs" xfId="167"/>
    <cellStyle name="Normal 4" xfId="168"/>
    <cellStyle name="Normal 4 2" xfId="169"/>
    <cellStyle name="Normal 4 2 2" xfId="294"/>
    <cellStyle name="Normal 4 2 2 2" xfId="295"/>
    <cellStyle name="Normal 4 2 3" xfId="296"/>
    <cellStyle name="Normal 4 2 3 2" xfId="297"/>
    <cellStyle name="Normal 4 2 4" xfId="298"/>
    <cellStyle name="Normal 4 3" xfId="170"/>
    <cellStyle name="Normal 4_29(d) - Gas extensions -tariffs" xfId="171"/>
    <cellStyle name="Normal 40" xfId="172"/>
    <cellStyle name="Normal 40 2" xfId="173"/>
    <cellStyle name="Normal 40_29(d) - Gas extensions -tariffs" xfId="174"/>
    <cellStyle name="Normal 5" xfId="175"/>
    <cellStyle name="Normal 5 2" xfId="176"/>
    <cellStyle name="Normal 6" xfId="177"/>
    <cellStyle name="Normal 6 2" xfId="178"/>
    <cellStyle name="Normal 6 3" xfId="299"/>
    <cellStyle name="Normal 7" xfId="179"/>
    <cellStyle name="Normal 7 2" xfId="180"/>
    <cellStyle name="Normal 8" xfId="181"/>
    <cellStyle name="Normal 88" xfId="2"/>
    <cellStyle name="Normal 9" xfId="182"/>
    <cellStyle name="Normal_INFLN5_WAGES DATA" xfId="307"/>
    <cellStyle name="Note 2" xfId="183"/>
    <cellStyle name="Note 2 2" xfId="300"/>
    <cellStyle name="OffSheet" xfId="184"/>
    <cellStyle name="Output 2" xfId="185"/>
    <cellStyle name="Output 2 2" xfId="301"/>
    <cellStyle name="Percent" xfId="1" builtinId="5"/>
    <cellStyle name="Percent [2]" xfId="186"/>
    <cellStyle name="Percent [2] 2" xfId="187"/>
    <cellStyle name="Percent [2]_29(d) - Gas extensions -tariffs" xfId="188"/>
    <cellStyle name="Percent 2" xfId="6"/>
    <cellStyle name="Percent 2 2" xfId="189"/>
    <cellStyle name="Percent 3" xfId="190"/>
    <cellStyle name="Percent 3 2" xfId="191"/>
    <cellStyle name="Percent 4" xfId="192"/>
    <cellStyle name="Percent 5" xfId="193"/>
    <cellStyle name="Percent 7" xfId="194"/>
    <cellStyle name="Percent 8" xfId="302"/>
    <cellStyle name="Percentage" xfId="195"/>
    <cellStyle name="Period Title" xfId="196"/>
    <cellStyle name="PSChar" xfId="197"/>
    <cellStyle name="PSDate" xfId="198"/>
    <cellStyle name="PSDec" xfId="199"/>
    <cellStyle name="PSDetail" xfId="200"/>
    <cellStyle name="PSHeading" xfId="201"/>
    <cellStyle name="PSInt" xfId="202"/>
    <cellStyle name="PSSpacer" xfId="203"/>
    <cellStyle name="Ratio" xfId="204"/>
    <cellStyle name="Ratio 2" xfId="205"/>
    <cellStyle name="Ratio_29(d) - Gas extensions -tariffs" xfId="206"/>
    <cellStyle name="Right Date" xfId="207"/>
    <cellStyle name="Right Number" xfId="208"/>
    <cellStyle name="Right Year" xfId="209"/>
    <cellStyle name="SAPError" xfId="210"/>
    <cellStyle name="SAPError 2" xfId="211"/>
    <cellStyle name="SAPKey" xfId="212"/>
    <cellStyle name="SAPKey 2" xfId="213"/>
    <cellStyle name="SAPLocked" xfId="214"/>
    <cellStyle name="SAPLocked 2" xfId="215"/>
    <cellStyle name="SAPOutput" xfId="216"/>
    <cellStyle name="SAPOutput 2" xfId="217"/>
    <cellStyle name="SAPSpace" xfId="218"/>
    <cellStyle name="SAPSpace 2" xfId="219"/>
    <cellStyle name="SAPText" xfId="220"/>
    <cellStyle name="SAPText 2" xfId="221"/>
    <cellStyle name="SAPUnLocked" xfId="222"/>
    <cellStyle name="SAPUnLocked 2" xfId="223"/>
    <cellStyle name="Sheet Title" xfId="224"/>
    <cellStyle name="SheetHeader1" xfId="225"/>
    <cellStyle name="SheetHeader2" xfId="226"/>
    <cellStyle name="SheetHeader3" xfId="227"/>
    <cellStyle name="Style 1" xfId="228"/>
    <cellStyle name="Style 1 2" xfId="229"/>
    <cellStyle name="Style 1_29(d) - Gas extensions -tariffs" xfId="230"/>
    <cellStyle name="Style2" xfId="231"/>
    <cellStyle name="Style3" xfId="232"/>
    <cellStyle name="Style4" xfId="233"/>
    <cellStyle name="Style4 2" xfId="234"/>
    <cellStyle name="Style4_29(d) - Gas extensions -tariffs" xfId="235"/>
    <cellStyle name="Style5" xfId="236"/>
    <cellStyle name="Style5 2" xfId="237"/>
    <cellStyle name="Style5_29(d) - Gas extensions -tariffs" xfId="238"/>
    <cellStyle name="Table Head Green" xfId="239"/>
    <cellStyle name="Table Head_pldt" xfId="240"/>
    <cellStyle name="Table Source" xfId="241"/>
    <cellStyle name="Table Units" xfId="242"/>
    <cellStyle name="Table_Heading" xfId="243"/>
    <cellStyle name="TableLvl3" xfId="3"/>
    <cellStyle name="Technical_Input" xfId="244"/>
    <cellStyle name="Text" xfId="245"/>
    <cellStyle name="Text 2" xfId="246"/>
    <cellStyle name="Text 3" xfId="247"/>
    <cellStyle name="Text Head 1" xfId="248"/>
    <cellStyle name="Text Head 2" xfId="249"/>
    <cellStyle name="Text Indent 2" xfId="250"/>
    <cellStyle name="Theirs" xfId="251"/>
    <cellStyle name="Title 2" xfId="252"/>
    <cellStyle name="Title 2 2" xfId="303"/>
    <cellStyle name="TOC 1" xfId="253"/>
    <cellStyle name="TOC 2" xfId="254"/>
    <cellStyle name="TOC 3" xfId="255"/>
    <cellStyle name="Total 2" xfId="256"/>
    <cellStyle name="Total 2 2" xfId="304"/>
    <cellStyle name="Totals" xfId="257"/>
    <cellStyle name="unit" xfId="258"/>
    <cellStyle name="User_Input" xfId="259"/>
    <cellStyle name="Warning Text 2" xfId="260"/>
    <cellStyle name="year" xfId="261"/>
    <cellStyle name="year 2" xfId="262"/>
    <cellStyle name="year_29(d) - Gas extensions -tariffs" xfId="2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163285</xdr:rowOff>
    </xdr:from>
    <xdr:to>
      <xdr:col>21</xdr:col>
      <xdr:colOff>477047</xdr:colOff>
      <xdr:row>35</xdr:row>
      <xdr:rowOff>10429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F28811-2E4E-458A-8FC4-D663B0D60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4785"/>
          <a:ext cx="15390476" cy="3657143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18</xdr:row>
      <xdr:rowOff>0</xdr:rowOff>
    </xdr:from>
    <xdr:to>
      <xdr:col>38</xdr:col>
      <xdr:colOff>565452</xdr:colOff>
      <xdr:row>36</xdr:row>
      <xdr:rowOff>77143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F324FC-BE27-43E2-AA74-686F80635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81929" y="4426857"/>
          <a:ext cx="8466667" cy="3342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89535</xdr:colOff>
      <xdr:row>34</xdr:row>
      <xdr:rowOff>47625</xdr:rowOff>
    </xdr:from>
    <xdr:to>
      <xdr:col>21</xdr:col>
      <xdr:colOff>546735</xdr:colOff>
      <xdr:row>40</xdr:row>
      <xdr:rowOff>152400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11B195DF-9344-4718-A377-023066C75C01}"/>
            </a:ext>
          </a:extLst>
        </xdr:cNvPr>
        <xdr:cNvSpPr/>
      </xdr:nvSpPr>
      <xdr:spPr>
        <a:xfrm>
          <a:off x="15418435" y="5978525"/>
          <a:ext cx="457200" cy="12096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Review/2021-25%20EDPR/9.0%202021%20EDPR%20-%20Modelling/Proposal%20-%204th%20cut%20(Jul-19)/Capex/Capex%20Model_EDPR%202021-26_Proposal_Base%20Case%20(Jan-20%20Updat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arkin\Downloads\AER%20-%20SA%20Power%20Networks%202020&#8211;25%20-%20Draft%20decision%20-%20Opex%20model%20-%20October%202019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t%20RIN/Final%20RIN%20update%20Jan%202015/Victorian%20DNSP%202016-20%20-%20Reset%20RIN%20templates%20-%20January%202015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conomics\Subscriptions\FC\W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Lookups -&gt;"/>
      <sheetName val="Lab_Mat"/>
      <sheetName val="Escalators"/>
      <sheetName val="Lookups"/>
      <sheetName val="START"/>
      <sheetName val="Inputs -&gt;"/>
      <sheetName val="Augmentation"/>
      <sheetName val="Connections"/>
      <sheetName val="Major_Rebuilds"/>
      <sheetName val="Stations"/>
      <sheetName val="Lines"/>
      <sheetName val="PC&amp;A"/>
      <sheetName val="SCADA&amp;Comms"/>
      <sheetName val="ESL_1"/>
      <sheetName val="ESL_2"/>
      <sheetName val="REFCL"/>
      <sheetName val="ICT"/>
      <sheetName val="Metering_SCS"/>
      <sheetName val="Other_NN"/>
      <sheetName val="Downer_Contract"/>
      <sheetName val="Aggregations &amp; Alloc -&gt;"/>
      <sheetName val="Base_Forecast"/>
      <sheetName val="ESC_Tax_Capex"/>
      <sheetName val="Reg_Forecast"/>
      <sheetName val="Capex_by_Driver"/>
      <sheetName val="DER"/>
      <sheetName val="Safety"/>
      <sheetName val="RIN_Direct_Forecast"/>
      <sheetName val="REFCL_view"/>
      <sheetName val="AusNet_Overheads"/>
      <sheetName val="Tax analysis"/>
      <sheetName val="Outputs -&gt;"/>
      <sheetName val="RFM_PTRM"/>
      <sheetName val="TAB"/>
      <sheetName val="ESC_Cat"/>
      <sheetName val="Charts"/>
      <sheetName val="RIN Template -&gt;"/>
      <sheetName val="2.1 Exp Summary"/>
      <sheetName val="2.1.8 Cap Overheads"/>
      <sheetName val="2.6 Non-Network"/>
      <sheetName val="2.10 Overheads"/>
      <sheetName val="2.11 Labour"/>
      <sheetName val="2.12 Input Tables"/>
      <sheetName val="2.17 Step Changes"/>
      <sheetName val="Other -&gt;"/>
      <sheetName val="Repex_Analysis"/>
    </sheetNames>
    <sheetDataSet>
      <sheetData sheetId="0" refreshError="1"/>
      <sheetData sheetId="1" refreshError="1"/>
      <sheetData sheetId="2" refreshError="1"/>
      <sheetData sheetId="3" refreshError="1">
        <row r="5">
          <cell r="D5" t="str">
            <v>Direct Labour Cost</v>
          </cell>
          <cell r="E5" t="str">
            <v>Direct Material Cost</v>
          </cell>
          <cell r="F5" t="str">
            <v>Contracts Cost</v>
          </cell>
          <cell r="G5" t="str">
            <v>Other Cost</v>
          </cell>
        </row>
        <row r="6">
          <cell r="C6" t="str">
            <v>Subtransmission Substations, Switching Stations , Zone Substations</v>
          </cell>
          <cell r="D6">
            <v>0.15489332451817117</v>
          </cell>
          <cell r="E6">
            <v>0.30881909755197362</v>
          </cell>
          <cell r="F6">
            <v>0.42070477820427504</v>
          </cell>
          <cell r="G6">
            <v>0.11558279972558014</v>
          </cell>
        </row>
        <row r="7">
          <cell r="C7" t="str">
            <v>Subtransmission Lines</v>
          </cell>
          <cell r="D7">
            <v>0.15489332451817117</v>
          </cell>
          <cell r="E7">
            <v>0.30881909755197368</v>
          </cell>
          <cell r="F7">
            <v>0.42070477820427504</v>
          </cell>
          <cell r="G7">
            <v>0.11558279972558012</v>
          </cell>
        </row>
        <row r="8">
          <cell r="C8" t="str">
            <v>HV Feeders</v>
          </cell>
          <cell r="D8">
            <v>0.1548933245181712</v>
          </cell>
          <cell r="E8">
            <v>0.30881909755197368</v>
          </cell>
          <cell r="F8">
            <v>0.4207047782042751</v>
          </cell>
          <cell r="G8">
            <v>0.11558279972558015</v>
          </cell>
        </row>
        <row r="9">
          <cell r="C9" t="str">
            <v>Distribution Substations</v>
          </cell>
          <cell r="D9">
            <v>0.15489332451817117</v>
          </cell>
          <cell r="E9">
            <v>0.30881909755197368</v>
          </cell>
          <cell r="F9">
            <v>0.42070477820427504</v>
          </cell>
          <cell r="G9">
            <v>0.11558279972558014</v>
          </cell>
        </row>
        <row r="10">
          <cell r="C10" t="str">
            <v>LV Feeders</v>
          </cell>
          <cell r="D10">
            <v>0.15489332451817114</v>
          </cell>
          <cell r="E10">
            <v>0.30881909755197362</v>
          </cell>
          <cell r="F10">
            <v>0.42070477820427499</v>
          </cell>
          <cell r="G10">
            <v>0.11558279972558014</v>
          </cell>
        </row>
        <row r="11">
          <cell r="C11" t="str">
            <v>Other Assets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Simple and Complex Customer Connections</v>
          </cell>
          <cell r="D12">
            <v>0.1083177090788157</v>
          </cell>
          <cell r="E12">
            <v>0.12215934118391332</v>
          </cell>
          <cell r="F12">
            <v>0.7027694645437822</v>
          </cell>
          <cell r="G12">
            <v>6.6753485193488837E-2</v>
          </cell>
        </row>
        <row r="13">
          <cell r="C13" t="str">
            <v>Poles</v>
          </cell>
          <cell r="D13">
            <v>9.9857183765051566E-2</v>
          </cell>
          <cell r="E13">
            <v>0.21989912164615855</v>
          </cell>
          <cell r="F13">
            <v>0.58908054274122468</v>
          </cell>
          <cell r="G13">
            <v>9.1163151847565252E-2</v>
          </cell>
        </row>
        <row r="14">
          <cell r="C14" t="str">
            <v>Pole Top Structures</v>
          </cell>
          <cell r="D14">
            <v>9.9857183765051566E-2</v>
          </cell>
          <cell r="E14">
            <v>0.21989912164615852</v>
          </cell>
          <cell r="F14">
            <v>0.58908054274122468</v>
          </cell>
          <cell r="G14">
            <v>9.1163151847565266E-2</v>
          </cell>
        </row>
        <row r="15">
          <cell r="C15" t="str">
            <v>Overhead Conductors</v>
          </cell>
          <cell r="D15">
            <v>9.985718376505158E-2</v>
          </cell>
          <cell r="E15">
            <v>0.21989912164615855</v>
          </cell>
          <cell r="F15">
            <v>0.58908054274122468</v>
          </cell>
          <cell r="G15">
            <v>9.1163151847565266E-2</v>
          </cell>
        </row>
        <row r="16">
          <cell r="C16" t="str">
            <v>Underground Cables</v>
          </cell>
          <cell r="D16">
            <v>9.985718376505158E-2</v>
          </cell>
          <cell r="E16">
            <v>0.21989912164615857</v>
          </cell>
          <cell r="F16">
            <v>0.58908054274122468</v>
          </cell>
          <cell r="G16">
            <v>9.1163151847565266E-2</v>
          </cell>
        </row>
        <row r="17">
          <cell r="C17" t="str">
            <v>Service Lines</v>
          </cell>
          <cell r="D17">
            <v>9.9857183765051566E-2</v>
          </cell>
          <cell r="E17">
            <v>0.21989912164615852</v>
          </cell>
          <cell r="F17">
            <v>0.58908054274122457</v>
          </cell>
          <cell r="G17">
            <v>9.1163151847565252E-2</v>
          </cell>
        </row>
        <row r="18">
          <cell r="C18" t="str">
            <v>Transformers</v>
          </cell>
          <cell r="D18">
            <v>9.9857183765051566E-2</v>
          </cell>
          <cell r="E18">
            <v>0.21989912164615855</v>
          </cell>
          <cell r="F18">
            <v>0.58908054274122468</v>
          </cell>
          <cell r="G18">
            <v>9.1163151847565266E-2</v>
          </cell>
        </row>
        <row r="19">
          <cell r="C19" t="str">
            <v>Switchgear</v>
          </cell>
          <cell r="D19">
            <v>9.9857183765051566E-2</v>
          </cell>
          <cell r="E19">
            <v>0.21989912164615855</v>
          </cell>
          <cell r="F19">
            <v>0.58908054274122468</v>
          </cell>
          <cell r="G19">
            <v>9.1163151847565266E-2</v>
          </cell>
        </row>
        <row r="20">
          <cell r="C20" t="str">
            <v>Transformers &amp; Switchgear</v>
          </cell>
          <cell r="D20">
            <v>9.9857183765051566E-2</v>
          </cell>
          <cell r="E20">
            <v>0.21989912164615855</v>
          </cell>
          <cell r="F20">
            <v>0.58908054274122468</v>
          </cell>
          <cell r="G20">
            <v>9.1163151847565266E-2</v>
          </cell>
        </row>
        <row r="21">
          <cell r="C21" t="str">
            <v>SCADA network control and protection systems</v>
          </cell>
          <cell r="D21">
            <v>9.9857183765051566E-2</v>
          </cell>
          <cell r="E21">
            <v>0.21989912164615855</v>
          </cell>
          <cell r="F21">
            <v>0.58908054274122468</v>
          </cell>
          <cell r="G21">
            <v>9.1163151847565266E-2</v>
          </cell>
        </row>
        <row r="22">
          <cell r="C22" t="str">
            <v>Other</v>
          </cell>
          <cell r="D22">
            <v>9.9857183765051566E-2</v>
          </cell>
          <cell r="E22">
            <v>0.21989912164615852</v>
          </cell>
          <cell r="F22">
            <v>0.58908054274122468</v>
          </cell>
          <cell r="G22">
            <v>9.1163151847565266E-2</v>
          </cell>
        </row>
        <row r="23">
          <cell r="C23" t="str">
            <v>Other - Metering Comms Battery purchases</v>
          </cell>
          <cell r="D23">
            <v>0.2</v>
          </cell>
          <cell r="E23">
            <v>0.8</v>
          </cell>
          <cell r="F23">
            <v>0</v>
          </cell>
          <cell r="G23">
            <v>0</v>
          </cell>
        </row>
        <row r="24">
          <cell r="C24" t="str">
            <v>Other - Metering Business Communications</v>
          </cell>
          <cell r="D24">
            <v>0.19</v>
          </cell>
          <cell r="E24">
            <v>0.81</v>
          </cell>
          <cell r="F24">
            <v>0</v>
          </cell>
          <cell r="G24">
            <v>0</v>
          </cell>
        </row>
        <row r="25">
          <cell r="C25" t="str">
            <v>IT and Communications</v>
          </cell>
          <cell r="D25">
            <v>0.18059595131155939</v>
          </cell>
          <cell r="E25">
            <v>0.3444349339228841</v>
          </cell>
          <cell r="F25">
            <v>0.47496911476555648</v>
          </cell>
          <cell r="G25">
            <v>0</v>
          </cell>
        </row>
        <row r="26">
          <cell r="C26" t="str">
            <v>Motor Vehicles</v>
          </cell>
          <cell r="D26">
            <v>7.5602248903352409E-5</v>
          </cell>
          <cell r="E26">
            <v>0.31234844765683267</v>
          </cell>
          <cell r="F26">
            <v>-1.5861030210103227E-5</v>
          </cell>
          <cell r="G26">
            <v>0.68759181112447409</v>
          </cell>
        </row>
        <row r="27">
          <cell r="C27" t="str">
            <v>Buildings And Property</v>
          </cell>
          <cell r="D27">
            <v>0</v>
          </cell>
          <cell r="E27">
            <v>0.1234599702833751</v>
          </cell>
          <cell r="F27">
            <v>0.71805459816941353</v>
          </cell>
          <cell r="G27">
            <v>0.15848543154721134</v>
          </cell>
        </row>
        <row r="28">
          <cell r="C28" t="str">
            <v>Other</v>
          </cell>
          <cell r="D28">
            <v>4.1516835164001557E-2</v>
          </cell>
          <cell r="E28">
            <v>0.54643647744316437</v>
          </cell>
          <cell r="F28">
            <v>0.18816542802266789</v>
          </cell>
          <cell r="G28">
            <v>0.22388125937016617</v>
          </cell>
        </row>
        <row r="32">
          <cell r="D32" t="str">
            <v>Alum</v>
          </cell>
          <cell r="E32" t="str">
            <v>Copper</v>
          </cell>
          <cell r="F32" t="str">
            <v>Steel</v>
          </cell>
          <cell r="G32" t="str">
            <v>Crude Oil</v>
          </cell>
          <cell r="H32" t="str">
            <v>Other</v>
          </cell>
        </row>
        <row r="33">
          <cell r="C33" t="str">
            <v xml:space="preserve">New Zone Substation </v>
          </cell>
          <cell r="D33">
            <v>0.05</v>
          </cell>
          <cell r="E33">
            <v>0.15</v>
          </cell>
          <cell r="F33">
            <v>0.4</v>
          </cell>
          <cell r="G33">
            <v>0.05</v>
          </cell>
          <cell r="H33">
            <v>0.35</v>
          </cell>
        </row>
        <row r="34">
          <cell r="C34" t="str">
            <v>Zone Sub Transformers</v>
          </cell>
          <cell r="D34">
            <v>0.05</v>
          </cell>
          <cell r="E34">
            <v>0.2</v>
          </cell>
          <cell r="F34">
            <v>0.35</v>
          </cell>
          <cell r="G34">
            <v>0.05</v>
          </cell>
          <cell r="H34">
            <v>0.35</v>
          </cell>
        </row>
        <row r="35">
          <cell r="C35" t="str">
            <v>Distribution Sub Transformers (Pole Top &amp; Kiosk upgrades)</v>
          </cell>
          <cell r="D35">
            <v>0.67</v>
          </cell>
          <cell r="E35">
            <v>0</v>
          </cell>
          <cell r="F35">
            <v>0.13</v>
          </cell>
          <cell r="G35">
            <v>0</v>
          </cell>
          <cell r="H35">
            <v>0.2</v>
          </cell>
        </row>
        <row r="36">
          <cell r="C36" t="str">
            <v>Distribution Regulators</v>
          </cell>
          <cell r="D36">
            <v>0.17</v>
          </cell>
          <cell r="E36">
            <v>0.17</v>
          </cell>
          <cell r="F36">
            <v>0.42</v>
          </cell>
          <cell r="G36">
            <v>0.17</v>
          </cell>
          <cell r="H36">
            <v>7.0000000000000007E-2</v>
          </cell>
        </row>
        <row r="37">
          <cell r="C37" t="str">
            <v>Arc Suppression Coil</v>
          </cell>
          <cell r="D37">
            <v>0.05</v>
          </cell>
          <cell r="E37">
            <v>0.2</v>
          </cell>
          <cell r="F37">
            <v>0.35</v>
          </cell>
          <cell r="G37">
            <v>0.05</v>
          </cell>
          <cell r="H37">
            <v>0.35</v>
          </cell>
        </row>
        <row r="38">
          <cell r="C38" t="str">
            <v>Pole Top Capacitors</v>
          </cell>
          <cell r="D38">
            <v>0.2</v>
          </cell>
          <cell r="E38">
            <v>0.1</v>
          </cell>
          <cell r="F38">
            <v>0.3</v>
          </cell>
          <cell r="G38">
            <v>0.05</v>
          </cell>
          <cell r="H38">
            <v>0.35</v>
          </cell>
        </row>
        <row r="39">
          <cell r="C39" t="str">
            <v>Thermal Upgrade - 22kv LV Feeders</v>
          </cell>
          <cell r="D39">
            <v>0.67</v>
          </cell>
          <cell r="E39">
            <v>0</v>
          </cell>
          <cell r="F39">
            <v>0.13</v>
          </cell>
          <cell r="G39">
            <v>0</v>
          </cell>
          <cell r="H39">
            <v>0.2</v>
          </cell>
        </row>
        <row r="40">
          <cell r="C40" t="str">
            <v>Thermal Upgrade Voltage - 22kv LV Feeders</v>
          </cell>
          <cell r="D40">
            <v>0.67</v>
          </cell>
          <cell r="E40">
            <v>0</v>
          </cell>
          <cell r="F40">
            <v>0.13</v>
          </cell>
          <cell r="G40">
            <v>0</v>
          </cell>
          <cell r="H40">
            <v>0.2</v>
          </cell>
        </row>
        <row r="41">
          <cell r="C41" t="str">
            <v>66kv Feeders - HV</v>
          </cell>
          <cell r="D41">
            <v>0.67</v>
          </cell>
          <cell r="E41">
            <v>0</v>
          </cell>
          <cell r="F41">
            <v>0.13</v>
          </cell>
          <cell r="G41">
            <v>0</v>
          </cell>
          <cell r="H41">
            <v>0.2</v>
          </cell>
        </row>
        <row r="42">
          <cell r="C42" t="str">
            <v>New 66kV lines (kms)</v>
          </cell>
          <cell r="D42">
            <v>0.67</v>
          </cell>
          <cell r="E42">
            <v>0</v>
          </cell>
          <cell r="F42">
            <v>0.13</v>
          </cell>
          <cell r="G42">
            <v>0</v>
          </cell>
          <cell r="H42">
            <v>0.2</v>
          </cell>
        </row>
        <row r="43">
          <cell r="C43" t="str">
            <v>Reconductored 66kV lines (kms)</v>
          </cell>
          <cell r="D43">
            <v>0.67</v>
          </cell>
          <cell r="E43">
            <v>0</v>
          </cell>
          <cell r="F43">
            <v>0.13</v>
          </cell>
          <cell r="G43">
            <v>0</v>
          </cell>
          <cell r="H43">
            <v>0.2</v>
          </cell>
        </row>
        <row r="44">
          <cell r="C44" t="str">
            <v>Bird &amp; Animal proofing</v>
          </cell>
          <cell r="D44">
            <v>0.05</v>
          </cell>
          <cell r="E44">
            <v>0.15</v>
          </cell>
          <cell r="F44">
            <v>0.4</v>
          </cell>
          <cell r="G44">
            <v>0</v>
          </cell>
          <cell r="H44">
            <v>0.4</v>
          </cell>
        </row>
        <row r="45">
          <cell r="C45" t="str">
            <v>Other 56M Undergrounding</v>
          </cell>
          <cell r="D45">
            <v>0.75</v>
          </cell>
          <cell r="E45">
            <v>0</v>
          </cell>
          <cell r="F45">
            <v>0</v>
          </cell>
          <cell r="G45">
            <v>0.05</v>
          </cell>
          <cell r="H45">
            <v>0.2</v>
          </cell>
        </row>
        <row r="46">
          <cell r="C46" t="str">
            <v>Dampers &amp; Armour Rods</v>
          </cell>
          <cell r="D46">
            <v>0</v>
          </cell>
          <cell r="E46">
            <v>0</v>
          </cell>
          <cell r="F46">
            <v>1</v>
          </cell>
          <cell r="G46">
            <v>0</v>
          </cell>
          <cell r="H46">
            <v>0</v>
          </cell>
        </row>
        <row r="47">
          <cell r="C47" t="str">
            <v>Fall Arrests</v>
          </cell>
          <cell r="D47">
            <v>0</v>
          </cell>
          <cell r="E47">
            <v>0</v>
          </cell>
          <cell r="F47">
            <v>1</v>
          </cell>
          <cell r="G47">
            <v>0</v>
          </cell>
          <cell r="H47">
            <v>0</v>
          </cell>
        </row>
        <row r="48">
          <cell r="C48" t="str">
            <v>Other</v>
          </cell>
          <cell r="D48">
            <v>0.1</v>
          </cell>
          <cell r="E48">
            <v>0.1</v>
          </cell>
          <cell r="F48">
            <v>0.1</v>
          </cell>
          <cell r="G48">
            <v>0</v>
          </cell>
          <cell r="H48">
            <v>0.7</v>
          </cell>
        </row>
        <row r="49">
          <cell r="C49" t="str">
            <v>&lt;Spare&gt;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61">
          <cell r="C61" t="str">
            <v>Poles replaced</v>
          </cell>
          <cell r="D61">
            <v>0</v>
          </cell>
          <cell r="E61">
            <v>0</v>
          </cell>
          <cell r="F61">
            <v>0.1</v>
          </cell>
          <cell r="G61">
            <v>0</v>
          </cell>
          <cell r="H61">
            <v>0.9</v>
          </cell>
        </row>
        <row r="62">
          <cell r="C62" t="str">
            <v>Staked Poles</v>
          </cell>
          <cell r="D62">
            <v>0</v>
          </cell>
          <cell r="E62">
            <v>0</v>
          </cell>
          <cell r="F62">
            <v>1</v>
          </cell>
          <cell r="G62">
            <v>0</v>
          </cell>
          <cell r="H62">
            <v>0</v>
          </cell>
        </row>
        <row r="63">
          <cell r="C63" t="str">
            <v>Conductors - Steel</v>
          </cell>
          <cell r="D63">
            <v>0</v>
          </cell>
          <cell r="E63">
            <v>0</v>
          </cell>
          <cell r="F63">
            <v>1</v>
          </cell>
          <cell r="G63">
            <v>0</v>
          </cell>
          <cell r="H63">
            <v>0</v>
          </cell>
        </row>
        <row r="64">
          <cell r="C64" t="str">
            <v>Conductors - Copper</v>
          </cell>
          <cell r="D64">
            <v>0.67</v>
          </cell>
          <cell r="E64">
            <v>0</v>
          </cell>
          <cell r="F64">
            <v>0.13</v>
          </cell>
          <cell r="G64">
            <v>0</v>
          </cell>
          <cell r="H64">
            <v>0.2</v>
          </cell>
        </row>
        <row r="65">
          <cell r="C65" t="str">
            <v>Conductors - ACSR</v>
          </cell>
          <cell r="D65">
            <v>0.67</v>
          </cell>
          <cell r="E65">
            <v>0</v>
          </cell>
          <cell r="F65">
            <v>0.33</v>
          </cell>
          <cell r="G65">
            <v>0</v>
          </cell>
          <cell r="H65">
            <v>0</v>
          </cell>
        </row>
        <row r="66">
          <cell r="C66" t="str">
            <v>Conductors - Alum</v>
          </cell>
          <cell r="D66">
            <v>1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C67" t="str">
            <v>Conductors - SWER</v>
          </cell>
          <cell r="D67">
            <v>0.67</v>
          </cell>
          <cell r="E67">
            <v>0</v>
          </cell>
          <cell r="F67">
            <v>0.33</v>
          </cell>
          <cell r="G67">
            <v>0</v>
          </cell>
          <cell r="H67">
            <v>0</v>
          </cell>
        </row>
        <row r="68">
          <cell r="C68" t="str">
            <v>Crossarms</v>
          </cell>
          <cell r="D68">
            <v>0</v>
          </cell>
          <cell r="E68">
            <v>0</v>
          </cell>
          <cell r="F68">
            <v>0.7</v>
          </cell>
          <cell r="G68">
            <v>0</v>
          </cell>
          <cell r="H68">
            <v>0.3</v>
          </cell>
        </row>
        <row r="69">
          <cell r="C69" t="str">
            <v>Insulators</v>
          </cell>
          <cell r="D69">
            <v>0</v>
          </cell>
          <cell r="E69">
            <v>0</v>
          </cell>
          <cell r="F69">
            <v>1</v>
          </cell>
          <cell r="G69">
            <v>0</v>
          </cell>
          <cell r="H69">
            <v>0</v>
          </cell>
        </row>
        <row r="70">
          <cell r="C70" t="str">
            <v>Services - Unplanned</v>
          </cell>
          <cell r="D70">
            <v>0.67</v>
          </cell>
          <cell r="E70">
            <v>0</v>
          </cell>
          <cell r="F70">
            <v>0.13</v>
          </cell>
          <cell r="G70">
            <v>0</v>
          </cell>
          <cell r="H70">
            <v>0.2</v>
          </cell>
        </row>
        <row r="71">
          <cell r="C71" t="str">
            <v>Services - Planned</v>
          </cell>
          <cell r="D71">
            <v>0.67</v>
          </cell>
          <cell r="E71">
            <v>0</v>
          </cell>
          <cell r="F71">
            <v>0.13</v>
          </cell>
          <cell r="G71">
            <v>0</v>
          </cell>
          <cell r="H71">
            <v>0.2</v>
          </cell>
        </row>
        <row r="72">
          <cell r="C72" t="str">
            <v>Underground cables (Projects)</v>
          </cell>
          <cell r="D72">
            <v>0.67</v>
          </cell>
          <cell r="E72">
            <v>0</v>
          </cell>
          <cell r="F72">
            <v>0.13</v>
          </cell>
          <cell r="G72">
            <v>0</v>
          </cell>
          <cell r="H72">
            <v>0.2</v>
          </cell>
        </row>
        <row r="73">
          <cell r="C73" t="str">
            <v>Distribution Transformers</v>
          </cell>
          <cell r="D73">
            <v>0.17</v>
          </cell>
          <cell r="E73">
            <v>0.17</v>
          </cell>
          <cell r="F73">
            <v>0.42</v>
          </cell>
          <cell r="G73">
            <v>0.17</v>
          </cell>
          <cell r="H73">
            <v>7.0000000000000007E-2</v>
          </cell>
        </row>
        <row r="74">
          <cell r="C74" t="str">
            <v>Dist. Regulators</v>
          </cell>
          <cell r="D74">
            <v>0.17</v>
          </cell>
          <cell r="E74">
            <v>0.17</v>
          </cell>
          <cell r="F74">
            <v>0.42</v>
          </cell>
          <cell r="G74">
            <v>0.17</v>
          </cell>
          <cell r="H74">
            <v>7.0000000000000007E-2</v>
          </cell>
        </row>
        <row r="75">
          <cell r="C75" t="str">
            <v>Pole top Switches (Incl Gas)</v>
          </cell>
          <cell r="D75">
            <v>0.05</v>
          </cell>
          <cell r="E75">
            <v>0.05</v>
          </cell>
          <cell r="F75">
            <v>0.15</v>
          </cell>
          <cell r="G75">
            <v>0</v>
          </cell>
          <cell r="H75">
            <v>0.75</v>
          </cell>
        </row>
        <row r="76">
          <cell r="C76" t="str">
            <v>RMUs (Kiosk Substations)</v>
          </cell>
          <cell r="D76">
            <v>0</v>
          </cell>
          <cell r="E76">
            <v>0.05</v>
          </cell>
          <cell r="F76">
            <v>0.9</v>
          </cell>
          <cell r="G76">
            <v>0</v>
          </cell>
          <cell r="H76">
            <v>0.05</v>
          </cell>
        </row>
        <row r="77">
          <cell r="C77" t="str">
            <v>ACRs 3ph</v>
          </cell>
          <cell r="D77">
            <v>0.05</v>
          </cell>
          <cell r="E77">
            <v>0.05</v>
          </cell>
          <cell r="F77">
            <v>0.15</v>
          </cell>
          <cell r="G77">
            <v>0</v>
          </cell>
          <cell r="H77">
            <v>0.75</v>
          </cell>
        </row>
        <row r="78">
          <cell r="C78" t="str">
            <v>OCR 1ph</v>
          </cell>
          <cell r="D78">
            <v>0.05</v>
          </cell>
          <cell r="E78">
            <v>0.05</v>
          </cell>
          <cell r="F78">
            <v>0.15</v>
          </cell>
          <cell r="G78">
            <v>0</v>
          </cell>
          <cell r="H78">
            <v>0.75</v>
          </cell>
        </row>
        <row r="79">
          <cell r="C79" t="str">
            <v>HV Fuses</v>
          </cell>
          <cell r="D79">
            <v>0</v>
          </cell>
          <cell r="E79">
            <v>0</v>
          </cell>
          <cell r="F79">
            <v>0.7</v>
          </cell>
          <cell r="G79">
            <v>0</v>
          </cell>
          <cell r="H79">
            <v>0.3</v>
          </cell>
        </row>
        <row r="80">
          <cell r="C80" t="str">
            <v>Surge Diverters</v>
          </cell>
          <cell r="D80">
            <v>0</v>
          </cell>
          <cell r="E80">
            <v>0</v>
          </cell>
          <cell r="F80">
            <v>0.5</v>
          </cell>
          <cell r="G80">
            <v>0</v>
          </cell>
          <cell r="H80">
            <v>0.5</v>
          </cell>
        </row>
        <row r="81">
          <cell r="C81" t="str">
            <v>Zone Sub Transformers</v>
          </cell>
          <cell r="D81">
            <v>0</v>
          </cell>
          <cell r="E81">
            <v>0.3</v>
          </cell>
          <cell r="F81">
            <v>0.6</v>
          </cell>
          <cell r="G81">
            <v>0.1</v>
          </cell>
          <cell r="H81">
            <v>0</v>
          </cell>
        </row>
        <row r="82">
          <cell r="C82" t="str">
            <v>Instrument Transformers</v>
          </cell>
          <cell r="D82">
            <v>0.05</v>
          </cell>
          <cell r="E82">
            <v>0.05</v>
          </cell>
          <cell r="F82">
            <v>0.15</v>
          </cell>
          <cell r="G82">
            <v>0</v>
          </cell>
          <cell r="H82">
            <v>0.75</v>
          </cell>
        </row>
        <row r="83">
          <cell r="C83" t="str">
            <v>Circuit Breakers &amp; disconnectors 22 kV</v>
          </cell>
          <cell r="D83">
            <v>0.05</v>
          </cell>
          <cell r="E83">
            <v>0.05</v>
          </cell>
          <cell r="F83">
            <v>0.15</v>
          </cell>
          <cell r="G83">
            <v>0</v>
          </cell>
          <cell r="H83">
            <v>0.75</v>
          </cell>
        </row>
        <row r="84">
          <cell r="C84" t="str">
            <v>Circuit Breakers &amp; disconnectors  66kV</v>
          </cell>
          <cell r="D84">
            <v>0.05</v>
          </cell>
          <cell r="E84">
            <v>0.05</v>
          </cell>
          <cell r="F84">
            <v>0.15</v>
          </cell>
          <cell r="G84">
            <v>0</v>
          </cell>
          <cell r="H84">
            <v>0.75</v>
          </cell>
        </row>
        <row r="85">
          <cell r="C85" t="str">
            <v>Protection &amp; Control</v>
          </cell>
          <cell r="D85">
            <v>0</v>
          </cell>
          <cell r="E85">
            <v>0</v>
          </cell>
          <cell r="F85">
            <v>0.2</v>
          </cell>
          <cell r="G85">
            <v>0</v>
          </cell>
          <cell r="H85">
            <v>0.8</v>
          </cell>
        </row>
        <row r="86">
          <cell r="C86" t="str">
            <v>Enhanced Prot &amp; control 1ph &amp; 3ph</v>
          </cell>
          <cell r="D86">
            <v>0.05</v>
          </cell>
          <cell r="E86">
            <v>0.05</v>
          </cell>
          <cell r="F86">
            <v>0.15</v>
          </cell>
          <cell r="G86">
            <v>0</v>
          </cell>
          <cell r="H86">
            <v>0.75</v>
          </cell>
        </row>
        <row r="87">
          <cell r="C87" t="str">
            <v>Communication Systems</v>
          </cell>
          <cell r="D87">
            <v>0</v>
          </cell>
          <cell r="E87">
            <v>0</v>
          </cell>
          <cell r="F87">
            <v>0.2</v>
          </cell>
          <cell r="G87">
            <v>0</v>
          </cell>
          <cell r="H87">
            <v>0.8</v>
          </cell>
        </row>
        <row r="88">
          <cell r="C88" t="str">
            <v>SCADA Remote</v>
          </cell>
          <cell r="D88">
            <v>0</v>
          </cell>
          <cell r="E88">
            <v>0</v>
          </cell>
          <cell r="F88">
            <v>0.2</v>
          </cell>
          <cell r="G88">
            <v>0</v>
          </cell>
          <cell r="H88">
            <v>0.8</v>
          </cell>
        </row>
        <row r="89">
          <cell r="C89" t="str">
            <v>Cap Cans</v>
          </cell>
          <cell r="D89">
            <v>0</v>
          </cell>
          <cell r="E89">
            <v>0</v>
          </cell>
          <cell r="F89">
            <v>0.9</v>
          </cell>
          <cell r="G89">
            <v>0</v>
          </cell>
          <cell r="H89">
            <v>0.1</v>
          </cell>
        </row>
        <row r="90">
          <cell r="C90" t="str">
            <v>NER</v>
          </cell>
          <cell r="D90">
            <v>0</v>
          </cell>
          <cell r="E90">
            <v>0</v>
          </cell>
          <cell r="F90">
            <v>0.9</v>
          </cell>
          <cell r="G90">
            <v>0</v>
          </cell>
          <cell r="H90">
            <v>0.1</v>
          </cell>
        </row>
        <row r="91">
          <cell r="C91" t="str">
            <v>Buildings &amp; Civil infrastructure</v>
          </cell>
          <cell r="D91">
            <v>0</v>
          </cell>
          <cell r="E91">
            <v>0</v>
          </cell>
          <cell r="F91">
            <v>0.3</v>
          </cell>
          <cell r="G91">
            <v>0</v>
          </cell>
          <cell r="H91">
            <v>0.7</v>
          </cell>
        </row>
        <row r="92">
          <cell r="C92" t="str">
            <v>ZSS Major replacements</v>
          </cell>
          <cell r="D92">
            <v>0.05</v>
          </cell>
          <cell r="E92">
            <v>0.15</v>
          </cell>
          <cell r="F92">
            <v>0.4</v>
          </cell>
          <cell r="G92">
            <v>0</v>
          </cell>
          <cell r="H92">
            <v>0.4</v>
          </cell>
        </row>
        <row r="93">
          <cell r="C93" t="str">
            <v>Bird &amp; Animal proofing</v>
          </cell>
          <cell r="D93">
            <v>0.05</v>
          </cell>
          <cell r="E93">
            <v>0.15</v>
          </cell>
          <cell r="F93">
            <v>0.4</v>
          </cell>
          <cell r="G93">
            <v>0</v>
          </cell>
          <cell r="H93">
            <v>0.4</v>
          </cell>
        </row>
        <row r="94">
          <cell r="C94" t="str">
            <v>Other 56M Undergrounding</v>
          </cell>
          <cell r="D94">
            <v>0.75</v>
          </cell>
          <cell r="E94">
            <v>0</v>
          </cell>
          <cell r="F94">
            <v>0</v>
          </cell>
          <cell r="G94">
            <v>0.05</v>
          </cell>
          <cell r="H94">
            <v>0.2</v>
          </cell>
        </row>
        <row r="95">
          <cell r="C95" t="str">
            <v>Dampers &amp; Armour Rods</v>
          </cell>
          <cell r="D95">
            <v>0</v>
          </cell>
          <cell r="E95">
            <v>0</v>
          </cell>
          <cell r="F95">
            <v>1</v>
          </cell>
          <cell r="G95">
            <v>0</v>
          </cell>
          <cell r="H95">
            <v>0</v>
          </cell>
        </row>
        <row r="96">
          <cell r="C96" t="str">
            <v>Fall Arrests</v>
          </cell>
          <cell r="D96">
            <v>0</v>
          </cell>
          <cell r="E96">
            <v>0</v>
          </cell>
          <cell r="F96">
            <v>1</v>
          </cell>
          <cell r="G96">
            <v>0</v>
          </cell>
          <cell r="H96">
            <v>0</v>
          </cell>
        </row>
        <row r="97">
          <cell r="C97" t="str">
            <v>Other</v>
          </cell>
          <cell r="D97">
            <v>0.1</v>
          </cell>
          <cell r="E97">
            <v>0.1</v>
          </cell>
          <cell r="F97">
            <v>0.1</v>
          </cell>
          <cell r="G97">
            <v>0</v>
          </cell>
          <cell r="H97">
            <v>0.7</v>
          </cell>
        </row>
      </sheetData>
      <sheetData sheetId="4" refreshError="1"/>
      <sheetData sheetId="5" refreshError="1">
        <row r="30">
          <cell r="D30">
            <v>1000000</v>
          </cell>
        </row>
        <row r="31">
          <cell r="D31">
            <v>1000</v>
          </cell>
        </row>
      </sheetData>
      <sheetData sheetId="6" refreshError="1">
        <row r="5">
          <cell r="D5" t="str">
            <v>2022-26</v>
          </cell>
        </row>
        <row r="13">
          <cell r="D13">
            <v>43800</v>
          </cell>
          <cell r="E13">
            <v>44166</v>
          </cell>
          <cell r="F13">
            <v>44377</v>
          </cell>
          <cell r="G13">
            <v>44742</v>
          </cell>
          <cell r="H13">
            <v>45107</v>
          </cell>
          <cell r="I13">
            <v>45473</v>
          </cell>
          <cell r="J13">
            <v>45838</v>
          </cell>
          <cell r="K13">
            <v>46203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">
          <cell r="B1" t="str">
            <v>AER opex model</v>
          </cell>
        </row>
      </sheetData>
      <sheetData sheetId="1">
        <row r="9">
          <cell r="G9">
            <v>36678</v>
          </cell>
        </row>
        <row r="10">
          <cell r="G10">
            <v>2016</v>
          </cell>
        </row>
        <row r="11">
          <cell r="G11">
            <v>2019</v>
          </cell>
        </row>
        <row r="12">
          <cell r="G12">
            <v>2020</v>
          </cell>
        </row>
        <row r="13">
          <cell r="G13">
            <v>2021</v>
          </cell>
        </row>
        <row r="14">
          <cell r="G14">
            <v>2025</v>
          </cell>
        </row>
      </sheetData>
      <sheetData sheetId="2"/>
      <sheetData sheetId="3"/>
      <sheetData sheetId="4">
        <row r="25">
          <cell r="C25">
            <v>42156</v>
          </cell>
        </row>
        <row r="26">
          <cell r="C26">
            <v>42522</v>
          </cell>
        </row>
        <row r="27">
          <cell r="C27">
            <v>42887</v>
          </cell>
        </row>
        <row r="28">
          <cell r="C28">
            <v>43252</v>
          </cell>
        </row>
        <row r="29">
          <cell r="C29">
            <v>43617</v>
          </cell>
        </row>
        <row r="30">
          <cell r="C30">
            <v>43983</v>
          </cell>
        </row>
      </sheetData>
      <sheetData sheetId="5"/>
      <sheetData sheetId="6"/>
      <sheetData sheetId="7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structions"/>
      <sheetName val="1.0 Business &amp; other details"/>
      <sheetName val="2.1 Expenditure summary"/>
      <sheetName val="2.2 Repex"/>
      <sheetName val="2.3 Augex"/>
      <sheetName val="2.4 Augex model"/>
      <sheetName val="2.5 Connections"/>
      <sheetName val="2.6 Non-network"/>
      <sheetName val="2.10 Overheads"/>
      <sheetName val="2.11 Labour"/>
      <sheetName val="2.12 Input tables"/>
      <sheetName val="2.13 Provisions"/>
      <sheetName val="2.14 Forecast price changes"/>
      <sheetName val="2.15 Insurance &amp; Self-insurance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6 Quality of service"/>
      <sheetName val="3.7 Operating Environment"/>
      <sheetName val="4.1 Public lighting"/>
      <sheetName val="4.2 Metering"/>
      <sheetName val="4.3 Fee-based services"/>
      <sheetName val="4.4 Quoted services."/>
      <sheetName val="5.3 MD - Network level"/>
      <sheetName val="5.4 MD &amp; utilisation-Spatial"/>
      <sheetName val="6.1 Telephone answering"/>
      <sheetName val="6.2 Reliability &amp; Cust serv"/>
      <sheetName val="6.4 Historical MEDs"/>
      <sheetName val="7.1  Policies and Procedures"/>
      <sheetName val="7.2 Contingent projects"/>
      <sheetName val="7.3 Obligations"/>
      <sheetName val="7.4 Shared Assets"/>
      <sheetName val="7.5 EBSS"/>
      <sheetName val="7.6 Indicative bill impact"/>
      <sheetName val="Unprotected Worksheet"/>
    </sheetNames>
    <sheetDataSet>
      <sheetData sheetId="0"/>
      <sheetData sheetId="1"/>
      <sheetData sheetId="2">
        <row r="35">
          <cell r="C35" t="str">
            <v>2016</v>
          </cell>
          <cell r="D35" t="str">
            <v>2017</v>
          </cell>
          <cell r="E35" t="str">
            <v>2018</v>
          </cell>
          <cell r="F35" t="str">
            <v>2019</v>
          </cell>
          <cell r="G35" t="str">
            <v>2020</v>
          </cell>
        </row>
        <row r="38">
          <cell r="G38" t="str">
            <v>2015</v>
          </cell>
        </row>
        <row r="55">
          <cell r="C55" t="str">
            <v>December 2015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F 8.4"/>
      <sheetName val="LTF 8.2"/>
      <sheetName val="Wages Growth x Segment tabl"/>
      <sheetName val="Wx Segment 2001-19"/>
      <sheetName val="AWOTE x sector Table"/>
      <sheetName val="Coll. Aggree x Sector"/>
      <sheetName val="WagesbySegment_Ind"/>
      <sheetName val="Fed Min,DEWR xInd"/>
      <sheetName val="AWOTE and LPI industry lvls"/>
      <sheetName val="AWOTE and LPI industry lvls (2)"/>
      <sheetName val="Sheet1"/>
      <sheetName val="LPI x ind"/>
      <sheetName val="AWE x Sector"/>
      <sheetName val="Pay Method (2)"/>
      <sheetName val="Pay Method_2018"/>
      <sheetName val="Pay Method_May2010"/>
      <sheetName val="AWOTE and LPI industry lvls (3"/>
      <sheetName val="AWOTE summary"/>
      <sheetName val="AWOTE x ind to WHS"/>
      <sheetName val="AWOTE x ind to ED&amp;T"/>
      <sheetName val="AWOTE x ind to F&amp;I"/>
      <sheetName val="AWOTE x ind P&amp;Other"/>
      <sheetName val="LPI summary"/>
      <sheetName val="LPIxsectorxstate table"/>
      <sheetName val="LPI x occupation"/>
      <sheetName val="Wage fcs xInd"/>
      <sheetName val="Wage fcs xInd (2)"/>
      <sheetName val="Pay Method"/>
      <sheetName val="Chart1"/>
      <sheetName val="WagesbySegment_Ind (LTF2011)"/>
      <sheetName val="Coll. Aggree xANZSIC93"/>
      <sheetName val="DEWRxANZSIC93"/>
      <sheetName val="WagesbySegment_Ind (LTF FC)"/>
      <sheetName val="WagesbySegment_Ind (QR)"/>
      <sheetName val="WagesbySegment_Ind (LTF2010)"/>
      <sheetName val="DEWR xInd Old Method"/>
      <sheetName val="forecast - males"/>
      <sheetName val="forecast - pers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9">
          <cell r="C59">
            <v>1.4705882352941176E-2</v>
          </cell>
          <cell r="F59">
            <v>0.64583333333333337</v>
          </cell>
          <cell r="I59">
            <v>0.33946078431372551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abSelected="1" zoomScale="110" zoomScaleNormal="110" workbookViewId="0"/>
  </sheetViews>
  <sheetFormatPr defaultRowHeight="15"/>
  <cols>
    <col min="1" max="1" width="35.28515625" bestFit="1" customWidth="1"/>
    <col min="2" max="2" width="9.5703125" customWidth="1"/>
  </cols>
  <sheetData>
    <row r="1" spans="1:27">
      <c r="A1" s="1" t="s">
        <v>120</v>
      </c>
    </row>
    <row r="2" spans="1:27" ht="15.75" thickBot="1"/>
    <row r="3" spans="1:27">
      <c r="A3" s="7"/>
      <c r="B3" s="6"/>
      <c r="C3" s="6"/>
      <c r="D3" s="6"/>
      <c r="E3" s="6" t="s">
        <v>0</v>
      </c>
      <c r="F3" s="6" t="s">
        <v>1</v>
      </c>
      <c r="G3" s="6" t="s">
        <v>2</v>
      </c>
      <c r="H3" s="6" t="s">
        <v>3</v>
      </c>
      <c r="I3" s="6" t="s">
        <v>4</v>
      </c>
      <c r="J3" s="6" t="s">
        <v>5</v>
      </c>
      <c r="K3" s="8" t="s">
        <v>6</v>
      </c>
    </row>
    <row r="4" spans="1:27">
      <c r="A4" s="10" t="s">
        <v>55</v>
      </c>
      <c r="B4" s="10"/>
      <c r="C4" s="11"/>
      <c r="D4" s="11"/>
      <c r="E4" s="11">
        <f>'BIS Oxford'!H43/100</f>
        <v>9.0589835902927796E-3</v>
      </c>
      <c r="F4" s="11">
        <f>'BIS Oxford'!I43/100</f>
        <v>-6.5244961031456494E-3</v>
      </c>
      <c r="G4" s="11">
        <f>'BIS Oxford'!J43/100</f>
        <v>-1.2604614043034491E-3</v>
      </c>
      <c r="H4" s="11">
        <f>'BIS Oxford'!K43/100</f>
        <v>-9.522475234102556E-4</v>
      </c>
      <c r="I4" s="11">
        <f>'BIS Oxford'!L43/100</f>
        <v>1.1411075701596685E-3</v>
      </c>
      <c r="J4" s="11">
        <f>'BIS Oxford'!M43/100</f>
        <v>6.8124580005667866E-3</v>
      </c>
      <c r="K4" s="11">
        <f>'BIS Oxford'!N43/100</f>
        <v>7.667691387646499E-3</v>
      </c>
      <c r="L4" s="3"/>
      <c r="M4" s="3"/>
      <c r="N4" s="3"/>
      <c r="O4" s="4"/>
      <c r="P4" s="4"/>
      <c r="Q4" s="4"/>
      <c r="R4" s="4"/>
      <c r="S4" s="4"/>
      <c r="T4" s="4"/>
      <c r="U4" s="2"/>
      <c r="V4" s="2"/>
      <c r="W4" s="2"/>
      <c r="X4" s="2"/>
      <c r="Y4" s="2"/>
      <c r="Z4" s="2"/>
      <c r="AA4" s="2"/>
    </row>
    <row r="5" spans="1:27">
      <c r="A5" s="9" t="s">
        <v>118</v>
      </c>
      <c r="B5" s="10"/>
      <c r="C5" s="11"/>
      <c r="D5" s="11"/>
      <c r="E5" s="11">
        <f>'WPI - revised'!E4</f>
        <v>0</v>
      </c>
      <c r="F5" s="11">
        <f>'WPI - revised'!F4</f>
        <v>0</v>
      </c>
      <c r="G5" s="11">
        <f>'WPI - revised'!G4</f>
        <v>5.0000000000000001E-3</v>
      </c>
      <c r="H5" s="11">
        <f>'WPI - revised'!H4</f>
        <v>5.0000000000000001E-3</v>
      </c>
      <c r="I5" s="11">
        <f>'WPI - revised'!I4</f>
        <v>5.0000000000000001E-3</v>
      </c>
      <c r="J5" s="11">
        <f>'WPI - revised'!J4</f>
        <v>5.0000000000000001E-3</v>
      </c>
      <c r="K5" s="11">
        <f>'WPI - revised'!K4</f>
        <v>5.0000000000000001E-3</v>
      </c>
      <c r="L5" s="3"/>
      <c r="M5" s="3"/>
      <c r="N5" s="3"/>
      <c r="O5" s="4"/>
      <c r="P5" s="4"/>
      <c r="Q5" s="4"/>
      <c r="R5" s="4"/>
      <c r="S5" s="4"/>
      <c r="T5" s="4"/>
      <c r="U5" s="2"/>
      <c r="V5" s="2"/>
      <c r="W5" s="2"/>
      <c r="X5" s="2"/>
      <c r="Y5" s="2"/>
      <c r="Z5" s="2"/>
      <c r="AA5" s="2"/>
    </row>
    <row r="6" spans="1:27">
      <c r="A6" s="185" t="s">
        <v>119</v>
      </c>
      <c r="B6" s="10"/>
      <c r="C6" s="11"/>
      <c r="D6" s="11"/>
      <c r="E6" s="186">
        <f>E4+E5</f>
        <v>9.0589835902927796E-3</v>
      </c>
      <c r="F6" s="186">
        <f t="shared" ref="F6:K6" si="0">F4+F5</f>
        <v>-6.5244961031456494E-3</v>
      </c>
      <c r="G6" s="186">
        <f t="shared" si="0"/>
        <v>3.7395385956965508E-3</v>
      </c>
      <c r="H6" s="186">
        <f t="shared" si="0"/>
        <v>4.0477524765897442E-3</v>
      </c>
      <c r="I6" s="186">
        <f t="shared" si="0"/>
        <v>6.1411075701596684E-3</v>
      </c>
      <c r="J6" s="186">
        <f t="shared" si="0"/>
        <v>1.1812458000566788E-2</v>
      </c>
      <c r="K6" s="186">
        <f t="shared" si="0"/>
        <v>1.26676913876465E-2</v>
      </c>
      <c r="L6" s="3"/>
      <c r="M6" s="3"/>
      <c r="N6" s="3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</row>
    <row r="7" spans="1:27" ht="15.75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7">
      <c r="G8" s="12" t="s">
        <v>1</v>
      </c>
      <c r="H8" s="12" t="s">
        <v>2</v>
      </c>
      <c r="I8" s="12" t="s">
        <v>3</v>
      </c>
      <c r="J8" s="12" t="s">
        <v>4</v>
      </c>
      <c r="K8" s="12" t="s">
        <v>5</v>
      </c>
      <c r="L8" s="12" t="s">
        <v>6</v>
      </c>
      <c r="M8" s="12" t="s">
        <v>9</v>
      </c>
    </row>
    <row r="9" spans="1:27">
      <c r="A9" t="s">
        <v>8</v>
      </c>
      <c r="G9" s="5">
        <f>(3/12)*E6+(9/12)*F6</f>
        <v>-2.6286261797860422E-3</v>
      </c>
      <c r="H9" s="5">
        <f t="shared" ref="H9:L9" si="1">(3/12)*F6+(9/12)*G6</f>
        <v>1.1735299209860005E-3</v>
      </c>
      <c r="I9" s="5">
        <f t="shared" si="1"/>
        <v>3.9706990063664458E-3</v>
      </c>
      <c r="J9" s="5">
        <f t="shared" si="1"/>
        <v>5.6177687967671874E-3</v>
      </c>
      <c r="K9" s="5">
        <f t="shared" si="1"/>
        <v>1.0394620392965008E-2</v>
      </c>
      <c r="L9" s="5">
        <f t="shared" si="1"/>
        <v>1.2453883040876572E-2</v>
      </c>
      <c r="M9" s="181">
        <f>L9</f>
        <v>1.2453883040876572E-2</v>
      </c>
    </row>
    <row r="10" spans="1:27">
      <c r="I10" s="5"/>
      <c r="J10" s="5"/>
      <c r="K10" s="5"/>
      <c r="L10" s="5"/>
      <c r="M10" s="5"/>
    </row>
    <row r="11" spans="1:27">
      <c r="I11" s="5"/>
      <c r="J11" s="5"/>
      <c r="K11" s="5"/>
      <c r="L11" s="5"/>
      <c r="M11" s="5"/>
    </row>
    <row r="15" spans="1:27">
      <c r="Z15" t="s">
        <v>56</v>
      </c>
    </row>
    <row r="24" spans="1:1">
      <c r="A24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showGridLines="0" zoomScaleNormal="100" workbookViewId="0"/>
  </sheetViews>
  <sheetFormatPr defaultRowHeight="15"/>
  <cols>
    <col min="1" max="2" width="20.7109375" customWidth="1"/>
    <col min="15" max="15" width="15.28515625" bestFit="1" customWidth="1"/>
  </cols>
  <sheetData>
    <row r="1" spans="1:27">
      <c r="A1" s="1" t="s">
        <v>98</v>
      </c>
    </row>
    <row r="2" spans="1:27" ht="15.75" thickBot="1">
      <c r="A2" s="1"/>
    </row>
    <row r="3" spans="1:27">
      <c r="A3" s="7"/>
      <c r="B3" s="6"/>
      <c r="C3" s="6"/>
      <c r="D3" s="6"/>
      <c r="E3" s="6" t="s">
        <v>0</v>
      </c>
      <c r="F3" s="6" t="s">
        <v>1</v>
      </c>
      <c r="G3" s="6" t="s">
        <v>2</v>
      </c>
      <c r="H3" s="6" t="s">
        <v>3</v>
      </c>
      <c r="I3" s="6" t="s">
        <v>4</v>
      </c>
      <c r="J3" s="6" t="s">
        <v>5</v>
      </c>
      <c r="K3" s="8" t="s">
        <v>6</v>
      </c>
    </row>
    <row r="4" spans="1:27">
      <c r="A4" s="175" t="s">
        <v>118</v>
      </c>
      <c r="B4" s="176"/>
      <c r="C4" s="177"/>
      <c r="D4" s="177"/>
      <c r="E4" s="177">
        <v>0</v>
      </c>
      <c r="F4" s="177">
        <v>0</v>
      </c>
      <c r="G4" s="177">
        <v>5.0000000000000001E-3</v>
      </c>
      <c r="H4" s="177">
        <v>5.0000000000000001E-3</v>
      </c>
      <c r="I4" s="177">
        <v>5.0000000000000001E-3</v>
      </c>
      <c r="J4" s="177">
        <v>5.0000000000000001E-3</v>
      </c>
      <c r="K4" s="178">
        <v>5.0000000000000001E-3</v>
      </c>
    </row>
    <row r="5" spans="1:27" ht="15.75" thickBot="1"/>
    <row r="6" spans="1:27">
      <c r="A6" s="7"/>
      <c r="B6" s="6"/>
      <c r="C6" s="6"/>
      <c r="D6" s="6"/>
      <c r="E6" s="6" t="s">
        <v>0</v>
      </c>
      <c r="F6" s="6" t="s">
        <v>1</v>
      </c>
      <c r="G6" s="6" t="s">
        <v>2</v>
      </c>
      <c r="H6" s="6" t="s">
        <v>3</v>
      </c>
      <c r="I6" s="6" t="s">
        <v>4</v>
      </c>
      <c r="J6" s="6" t="s">
        <v>5</v>
      </c>
      <c r="K6" s="8" t="s">
        <v>6</v>
      </c>
      <c r="O6" s="2"/>
      <c r="P6" s="2"/>
      <c r="Q6" s="2"/>
      <c r="R6" s="2"/>
      <c r="S6" s="2"/>
      <c r="T6" s="2"/>
      <c r="U6" s="2"/>
      <c r="V6" s="2"/>
      <c r="W6" s="2"/>
    </row>
    <row r="7" spans="1:27">
      <c r="A7" s="164" t="s">
        <v>54</v>
      </c>
      <c r="B7" s="165"/>
      <c r="C7" s="166"/>
      <c r="D7" s="166"/>
      <c r="E7" s="166">
        <f>(DAE!O26/2)+(DAE!P26/2)</f>
        <v>1.1121347699050155E-3</v>
      </c>
      <c r="F7" s="166">
        <f>DAE!P26*2</f>
        <v>-4.5483608253318319E-3</v>
      </c>
      <c r="G7" s="166">
        <f>DAE!Q26</f>
        <v>2.3867759115823129E-3</v>
      </c>
      <c r="H7" s="166">
        <f>DAE!R26</f>
        <v>-2.4977364300287118E-3</v>
      </c>
      <c r="I7" s="166">
        <f>DAE!S26</f>
        <v>-7.2630656307249187E-4</v>
      </c>
      <c r="J7" s="166">
        <f>DAE!T26</f>
        <v>3.67274824937613E-3</v>
      </c>
      <c r="K7" s="167">
        <f>DAE!U26</f>
        <v>9.965933609387018E-3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>
      <c r="A8" s="168" t="s">
        <v>55</v>
      </c>
      <c r="B8" s="10"/>
      <c r="C8" s="11"/>
      <c r="D8" s="11"/>
      <c r="E8" s="11">
        <f>E4+'BIS Oxford'!H33/100</f>
        <v>1.9290280459986375E-2</v>
      </c>
      <c r="F8" s="11">
        <f>F4+'BIS Oxford'!I33/100</f>
        <v>7.5050233963260826E-3</v>
      </c>
      <c r="G8" s="11">
        <f>G4+'BIS Oxford'!J33/100</f>
        <v>1.3137498473678212E-2</v>
      </c>
      <c r="H8" s="11">
        <f>H4+'BIS Oxford'!K33/100</f>
        <v>1.1178774493969014E-2</v>
      </c>
      <c r="I8" s="11">
        <f>I4+'BIS Oxford'!L33/100</f>
        <v>1.1187902401745452E-2</v>
      </c>
      <c r="J8" s="11">
        <f>J4+'BIS Oxford'!M33/100</f>
        <v>1.3632973154945004E-2</v>
      </c>
      <c r="K8" s="169">
        <f>K4+'BIS Oxford'!N33/100</f>
        <v>1.362135439478258E-2</v>
      </c>
      <c r="L8" s="3"/>
      <c r="M8" s="3"/>
      <c r="N8" s="3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>
      <c r="A9" s="170" t="s">
        <v>7</v>
      </c>
      <c r="B9" s="171"/>
      <c r="C9" s="172"/>
      <c r="D9" s="172"/>
      <c r="E9" s="172">
        <f>AVERAGE(E7:E8)</f>
        <v>1.0201207614945695E-2</v>
      </c>
      <c r="F9" s="172">
        <f t="shared" ref="F9:I9" si="0">AVERAGE(F7:F8)</f>
        <v>1.4783312854971253E-3</v>
      </c>
      <c r="G9" s="173">
        <f t="shared" si="0"/>
        <v>7.762137192630263E-3</v>
      </c>
      <c r="H9" s="173">
        <f t="shared" si="0"/>
        <v>4.3405190319701515E-3</v>
      </c>
      <c r="I9" s="173">
        <f t="shared" si="0"/>
        <v>5.2307979193364799E-3</v>
      </c>
      <c r="J9" s="173">
        <f>AVERAGE(J7:J8)</f>
        <v>8.6528607021605676E-3</v>
      </c>
      <c r="K9" s="174">
        <f>AVERAGE(K7:K8)</f>
        <v>1.17936440020848E-2</v>
      </c>
      <c r="L9" s="3"/>
      <c r="M9" s="3"/>
      <c r="N9" s="3"/>
      <c r="O9" s="2"/>
      <c r="P9" s="2"/>
      <c r="Q9" s="2"/>
      <c r="R9" s="2"/>
      <c r="S9" s="2"/>
      <c r="T9" s="2"/>
      <c r="U9" s="2"/>
      <c r="V9" s="2"/>
      <c r="W9" s="2"/>
    </row>
    <row r="10" spans="1:27" ht="15.75" thickBo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2"/>
      <c r="P10" s="2"/>
      <c r="Q10" s="2"/>
      <c r="R10" s="2"/>
      <c r="S10" s="2"/>
      <c r="T10" s="2"/>
      <c r="U10" s="2"/>
      <c r="V10" s="2"/>
      <c r="W10" s="2"/>
    </row>
    <row r="11" spans="1:27">
      <c r="A11" t="s">
        <v>8</v>
      </c>
      <c r="F11" s="12" t="s">
        <v>1</v>
      </c>
      <c r="G11" s="12" t="s">
        <v>2</v>
      </c>
      <c r="H11" s="12" t="s">
        <v>3</v>
      </c>
      <c r="I11" s="12" t="s">
        <v>4</v>
      </c>
      <c r="J11" s="12" t="s">
        <v>5</v>
      </c>
      <c r="K11" s="12" t="s">
        <v>6</v>
      </c>
      <c r="L11" s="12" t="s">
        <v>9</v>
      </c>
      <c r="O11" s="2"/>
      <c r="P11" s="2"/>
      <c r="Q11" s="2"/>
      <c r="R11" s="2"/>
      <c r="S11" s="2"/>
      <c r="T11" s="2"/>
      <c r="U11" s="2"/>
      <c r="V11" s="2"/>
      <c r="W11" s="2"/>
    </row>
    <row r="12" spans="1:27">
      <c r="F12" s="179">
        <f t="shared" ref="F12:K12" si="1">(3/12)*E9+(9/12)*F9</f>
        <v>3.6590503678592678E-3</v>
      </c>
      <c r="G12" s="180">
        <f t="shared" si="1"/>
        <v>6.191185715846979E-3</v>
      </c>
      <c r="H12" s="187">
        <f t="shared" si="1"/>
        <v>5.1959235721351794E-3</v>
      </c>
      <c r="I12" s="187">
        <f t="shared" si="1"/>
        <v>5.0082281974948972E-3</v>
      </c>
      <c r="J12" s="187">
        <f t="shared" si="1"/>
        <v>7.7973450064545459E-3</v>
      </c>
      <c r="K12" s="187">
        <f t="shared" si="1"/>
        <v>1.1008448177103742E-2</v>
      </c>
      <c r="L12" s="188">
        <f>K12</f>
        <v>1.1008448177103742E-2</v>
      </c>
      <c r="O12" s="2"/>
      <c r="P12" s="2"/>
      <c r="Q12" s="2"/>
      <c r="R12" s="2"/>
      <c r="S12" s="2"/>
      <c r="T12" s="2"/>
      <c r="U12" s="2"/>
      <c r="V12" s="2"/>
      <c r="W12" s="2"/>
    </row>
    <row r="13" spans="1:27">
      <c r="A13" s="3"/>
      <c r="I13" s="5"/>
      <c r="J13" s="5"/>
      <c r="K13" s="5"/>
      <c r="L13" s="5"/>
      <c r="M13" s="5"/>
    </row>
    <row r="14" spans="1:27">
      <c r="I14" s="5"/>
      <c r="J14" s="5"/>
      <c r="K14" s="5"/>
      <c r="L14" s="5"/>
      <c r="M14" s="5"/>
    </row>
    <row r="15" spans="1:27">
      <c r="A15" t="s">
        <v>57</v>
      </c>
    </row>
    <row r="18" spans="1:26">
      <c r="Z18" t="s">
        <v>56</v>
      </c>
    </row>
    <row r="27" spans="1:26">
      <c r="A27" s="1"/>
    </row>
  </sheetData>
  <phoneticPr fontId="81" type="noConversion"/>
  <pageMargins left="0.7" right="0.7" top="0.75" bottom="0.75" header="0.3" footer="0.3"/>
  <pageSetup paperSize="9"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Z56"/>
  <sheetViews>
    <sheetView zoomScaleNormal="100" workbookViewId="0"/>
  </sheetViews>
  <sheetFormatPr defaultColWidth="8.85546875" defaultRowHeight="15" outlineLevelRow="1" outlineLevelCol="1"/>
  <cols>
    <col min="1" max="1" width="4.5703125" style="69" customWidth="1"/>
    <col min="2" max="2" width="5.42578125" style="69" customWidth="1"/>
    <col min="3" max="3" width="48.5703125" style="69" customWidth="1"/>
    <col min="4" max="10" width="8.5703125" style="69" customWidth="1" outlineLevel="1"/>
    <col min="11" max="15" width="8.5703125" style="69" customWidth="1"/>
    <col min="16" max="16" width="12" style="69" customWidth="1"/>
    <col min="17" max="17" width="12.140625" style="69" customWidth="1"/>
    <col min="18" max="22" width="8.5703125" style="69" customWidth="1"/>
    <col min="23" max="16384" width="8.85546875" style="69"/>
  </cols>
  <sheetData>
    <row r="1" spans="2:26" ht="21">
      <c r="B1" s="68" t="s">
        <v>58</v>
      </c>
    </row>
    <row r="2" spans="2:26">
      <c r="B2" s="70" t="s">
        <v>59</v>
      </c>
    </row>
    <row r="4" spans="2:26">
      <c r="B4" s="71" t="s">
        <v>60</v>
      </c>
      <c r="J4" s="72"/>
      <c r="K4" s="72"/>
    </row>
    <row r="5" spans="2:26">
      <c r="B5" s="71"/>
      <c r="L5" s="73"/>
    </row>
    <row r="6" spans="2:26">
      <c r="B6" s="71"/>
      <c r="C6" s="74" t="s">
        <v>61</v>
      </c>
      <c r="D6" s="75">
        <v>39721</v>
      </c>
      <c r="E6" s="75">
        <f>EDATE(D6,12)</f>
        <v>40086</v>
      </c>
      <c r="F6" s="75">
        <f t="shared" ref="F6:I6" si="0">EDATE(E6,12)</f>
        <v>40451</v>
      </c>
      <c r="G6" s="75">
        <f t="shared" si="0"/>
        <v>40816</v>
      </c>
      <c r="H6" s="75">
        <f t="shared" si="0"/>
        <v>41182</v>
      </c>
      <c r="I6" s="75">
        <f t="shared" si="0"/>
        <v>41547</v>
      </c>
      <c r="J6" s="75">
        <f>EDATE(I6,12)</f>
        <v>41912</v>
      </c>
      <c r="K6" s="75">
        <v>42156</v>
      </c>
      <c r="L6" s="75">
        <f>EDATE(K6,12)</f>
        <v>42522</v>
      </c>
      <c r="M6" s="75">
        <f t="shared" ref="M6:O6" si="1">EDATE(L6,12)</f>
        <v>42887</v>
      </c>
      <c r="N6" s="75">
        <f t="shared" si="1"/>
        <v>43252</v>
      </c>
      <c r="O6" s="75">
        <f t="shared" si="1"/>
        <v>43617</v>
      </c>
      <c r="P6" s="75">
        <f>EDATE(O6,12)</f>
        <v>43983</v>
      </c>
      <c r="Q6" s="75">
        <f t="shared" ref="Q6:U6" si="2">EDATE(P6,12)</f>
        <v>44348</v>
      </c>
      <c r="R6" s="75">
        <f t="shared" si="2"/>
        <v>44713</v>
      </c>
      <c r="S6" s="75">
        <f t="shared" si="2"/>
        <v>45078</v>
      </c>
      <c r="T6" s="75">
        <f t="shared" si="2"/>
        <v>45444</v>
      </c>
      <c r="U6" s="75">
        <f t="shared" si="2"/>
        <v>45809</v>
      </c>
    </row>
    <row r="7" spans="2:26">
      <c r="B7" s="71"/>
      <c r="C7" s="74"/>
      <c r="D7" s="75" t="s">
        <v>62</v>
      </c>
      <c r="E7" s="75" t="s">
        <v>62</v>
      </c>
      <c r="F7" s="75" t="s">
        <v>62</v>
      </c>
      <c r="G7" s="75" t="s">
        <v>62</v>
      </c>
      <c r="H7" s="75" t="s">
        <v>62</v>
      </c>
      <c r="I7" s="75" t="s">
        <v>62</v>
      </c>
      <c r="J7" s="75" t="s">
        <v>62</v>
      </c>
      <c r="K7" s="75" t="s">
        <v>62</v>
      </c>
      <c r="L7" s="75" t="s">
        <v>62</v>
      </c>
      <c r="M7" s="75" t="s">
        <v>62</v>
      </c>
      <c r="N7" s="75" t="s">
        <v>62</v>
      </c>
      <c r="O7" s="75" t="s">
        <v>62</v>
      </c>
      <c r="P7" s="76" t="s">
        <v>62</v>
      </c>
      <c r="Q7" s="75" t="s">
        <v>63</v>
      </c>
      <c r="R7" s="75" t="s">
        <v>63</v>
      </c>
      <c r="S7" s="75" t="s">
        <v>63</v>
      </c>
      <c r="T7" s="75" t="s">
        <v>63</v>
      </c>
      <c r="U7" s="75" t="s">
        <v>63</v>
      </c>
    </row>
    <row r="8" spans="2:26">
      <c r="B8" s="71"/>
      <c r="C8" s="77" t="s">
        <v>64</v>
      </c>
      <c r="D8" s="78">
        <v>2009</v>
      </c>
      <c r="E8" s="78">
        <v>2010</v>
      </c>
      <c r="F8" s="78">
        <v>2011</v>
      </c>
      <c r="G8" s="78">
        <v>2012</v>
      </c>
      <c r="H8" s="78">
        <v>2013</v>
      </c>
      <c r="I8" s="78">
        <v>2014</v>
      </c>
      <c r="J8" s="78">
        <v>2015</v>
      </c>
      <c r="K8" s="78">
        <v>2016</v>
      </c>
      <c r="L8" s="78">
        <v>2017</v>
      </c>
      <c r="M8" s="78">
        <v>2018</v>
      </c>
      <c r="N8" s="78">
        <v>2019</v>
      </c>
      <c r="O8" s="78">
        <v>2020</v>
      </c>
      <c r="P8" s="79" t="s">
        <v>65</v>
      </c>
      <c r="Q8" s="78" t="s">
        <v>18</v>
      </c>
      <c r="R8" s="78" t="s">
        <v>19</v>
      </c>
      <c r="S8" s="78" t="s">
        <v>20</v>
      </c>
      <c r="T8" s="78" t="s">
        <v>21</v>
      </c>
      <c r="U8" s="78" t="s">
        <v>22</v>
      </c>
    </row>
    <row r="9" spans="2:26" hidden="1" outlineLevel="1">
      <c r="B9" s="71"/>
      <c r="C9" s="74" t="s">
        <v>66</v>
      </c>
      <c r="D9" s="74">
        <v>166.5</v>
      </c>
      <c r="E9" s="74">
        <v>168.6</v>
      </c>
      <c r="F9" s="74">
        <v>173.3</v>
      </c>
      <c r="G9" s="74">
        <v>179.4</v>
      </c>
      <c r="H9" s="80"/>
      <c r="I9" s="80"/>
      <c r="J9" s="80"/>
      <c r="K9" s="80"/>
      <c r="L9" s="80"/>
      <c r="M9" s="80"/>
      <c r="N9" s="80"/>
      <c r="O9" s="80"/>
      <c r="P9" s="81"/>
      <c r="Q9" s="80"/>
      <c r="R9" s="80"/>
      <c r="S9" s="80"/>
      <c r="T9" s="80"/>
      <c r="U9" s="80"/>
    </row>
    <row r="10" spans="2:26" hidden="1" outlineLevel="1">
      <c r="B10" s="71"/>
      <c r="C10" s="74" t="s">
        <v>67</v>
      </c>
      <c r="D10" s="82"/>
      <c r="E10" s="82"/>
      <c r="F10" s="82"/>
      <c r="G10" s="83">
        <v>99.8</v>
      </c>
      <c r="H10" s="83">
        <v>101.8</v>
      </c>
      <c r="I10" s="83">
        <v>104</v>
      </c>
      <c r="J10" s="83">
        <v>106.4</v>
      </c>
      <c r="K10" s="84"/>
      <c r="L10" s="84"/>
      <c r="M10" s="84"/>
      <c r="N10" s="84"/>
      <c r="O10" s="84"/>
      <c r="P10" s="85"/>
      <c r="Q10" s="84"/>
      <c r="R10" s="84"/>
      <c r="S10" s="84"/>
      <c r="T10" s="84"/>
      <c r="U10" s="84"/>
    </row>
    <row r="11" spans="2:26" collapsed="1">
      <c r="B11" s="71"/>
      <c r="C11" s="74" t="s">
        <v>68</v>
      </c>
      <c r="D11" s="82"/>
      <c r="E11" s="82"/>
      <c r="F11" s="82"/>
      <c r="G11" s="86"/>
      <c r="H11" s="86"/>
      <c r="I11" s="86"/>
      <c r="J11" s="86"/>
      <c r="K11" s="87">
        <v>107.5</v>
      </c>
      <c r="L11" s="83">
        <v>108.6</v>
      </c>
      <c r="M11" s="83">
        <v>110.7</v>
      </c>
      <c r="N11" s="83">
        <v>113</v>
      </c>
      <c r="O11" s="83">
        <v>114.8</v>
      </c>
      <c r="P11" s="88">
        <f t="shared" ref="P11:U11" si="3">O11*(1+P12)</f>
        <v>116.2</v>
      </c>
      <c r="Q11" s="83">
        <f t="shared" si="3"/>
        <v>118.9589466848944</v>
      </c>
      <c r="R11" s="83">
        <f t="shared" si="3"/>
        <v>121.78339928037477</v>
      </c>
      <c r="S11" s="83">
        <f t="shared" si="3"/>
        <v>124.67491309896134</v>
      </c>
      <c r="T11" s="83">
        <f t="shared" si="3"/>
        <v>127.63508038109453</v>
      </c>
      <c r="U11" s="83">
        <f t="shared" si="3"/>
        <v>130.66553117191768</v>
      </c>
    </row>
    <row r="12" spans="2:26">
      <c r="B12" s="71"/>
      <c r="C12" s="74" t="s">
        <v>69</v>
      </c>
      <c r="D12" s="89">
        <f>D9/158.6-1</f>
        <v>4.9810844892812067E-2</v>
      </c>
      <c r="E12" s="89">
        <f>E9/D9-1</f>
        <v>1.2612612612612484E-2</v>
      </c>
      <c r="F12" s="89">
        <f t="shared" ref="F12:G12" si="4">F9/E9-1</f>
        <v>2.7876631079478242E-2</v>
      </c>
      <c r="G12" s="89">
        <f t="shared" si="4"/>
        <v>3.5199076745527913E-2</v>
      </c>
      <c r="H12" s="89">
        <f>H10/G10-1</f>
        <v>2.0040080160320661E-2</v>
      </c>
      <c r="I12" s="89">
        <f t="shared" ref="I12:J12" si="5">I10/H10-1</f>
        <v>2.16110019646365E-2</v>
      </c>
      <c r="J12" s="89">
        <f t="shared" si="5"/>
        <v>2.3076923076923217E-2</v>
      </c>
      <c r="K12" s="89">
        <v>1.5108593012275628E-2</v>
      </c>
      <c r="L12" s="89">
        <v>1.0232558139534831E-2</v>
      </c>
      <c r="M12" s="89">
        <v>1.9337016574585641E-2</v>
      </c>
      <c r="N12" s="89">
        <v>2.0776874435411097E-2</v>
      </c>
      <c r="O12" s="89">
        <v>1.5929203539823078E-2</v>
      </c>
      <c r="P12" s="90">
        <f>116.2/114.8-1</f>
        <v>1.2195121951219523E-2</v>
      </c>
      <c r="Q12" s="90">
        <v>2.3743086789108414E-2</v>
      </c>
      <c r="R12" s="90">
        <v>2.3743086789108414E-2</v>
      </c>
      <c r="S12" s="90">
        <v>2.3743086789108414E-2</v>
      </c>
      <c r="T12" s="90">
        <v>2.3743086789108414E-2</v>
      </c>
      <c r="U12" s="90">
        <v>2.3743086789108414E-2</v>
      </c>
    </row>
    <row r="13" spans="2:26">
      <c r="B13" s="71"/>
      <c r="C13" s="74" t="s">
        <v>70</v>
      </c>
      <c r="D13" s="91"/>
      <c r="E13" s="91"/>
      <c r="F13" s="91"/>
      <c r="G13" s="91"/>
      <c r="H13" s="91"/>
      <c r="I13" s="92"/>
      <c r="J13" s="92">
        <v>1</v>
      </c>
      <c r="K13" s="93">
        <f>J13*(1+K12)</f>
        <v>1.0151085930122756</v>
      </c>
      <c r="L13" s="93">
        <f t="shared" ref="L13:U13" si="6">K13*(1+L12)</f>
        <v>1.0254957507082152</v>
      </c>
      <c r="M13" s="93">
        <f t="shared" si="6"/>
        <v>1.0453257790368271</v>
      </c>
      <c r="N13" s="93">
        <f t="shared" si="6"/>
        <v>1.0670443814919734</v>
      </c>
      <c r="O13" s="93">
        <f t="shared" si="6"/>
        <v>1.0840415486307837</v>
      </c>
      <c r="P13" s="93">
        <f t="shared" si="6"/>
        <v>1.0972615675165249</v>
      </c>
      <c r="Q13" s="93">
        <f t="shared" si="6"/>
        <v>1.1233139441444229</v>
      </c>
      <c r="R13" s="93">
        <f t="shared" si="6"/>
        <v>1.1499848846116596</v>
      </c>
      <c r="S13" s="93">
        <f t="shared" si="6"/>
        <v>1.1772890755331571</v>
      </c>
      <c r="T13" s="93">
        <f t="shared" si="6"/>
        <v>1.20524155222941</v>
      </c>
      <c r="U13" s="93">
        <f t="shared" si="6"/>
        <v>1.2338577070058325</v>
      </c>
    </row>
    <row r="14" spans="2:26">
      <c r="B14" s="71"/>
      <c r="C14" s="74" t="s">
        <v>71</v>
      </c>
      <c r="D14" s="91"/>
      <c r="E14" s="91"/>
      <c r="F14" s="91"/>
      <c r="G14" s="93"/>
      <c r="H14" s="93"/>
      <c r="I14" s="93"/>
      <c r="J14" s="93"/>
      <c r="K14" s="93"/>
      <c r="L14" s="93"/>
      <c r="M14" s="93">
        <v>1</v>
      </c>
      <c r="N14" s="93">
        <f>M14*(1+N12)</f>
        <v>1.0207768744354111</v>
      </c>
      <c r="O14" s="93">
        <f t="shared" ref="O14" si="7">N14*(1+O12)</f>
        <v>1.0370370370370372</v>
      </c>
      <c r="P14" s="93">
        <f>O14*(1+P12)*(1+Q12)^0.5</f>
        <v>1.0620720947761066</v>
      </c>
      <c r="Q14" s="93">
        <f t="shared" ref="Q14:U14" si="8">P14*(1+Q12)</f>
        <v>1.0872889646986659</v>
      </c>
      <c r="R14" s="93">
        <f t="shared" si="8"/>
        <v>1.1131045609523462</v>
      </c>
      <c r="S14" s="93">
        <f t="shared" si="8"/>
        <v>1.1395330991483903</v>
      </c>
      <c r="T14" s="93">
        <f t="shared" si="8"/>
        <v>1.1665891324205322</v>
      </c>
      <c r="U14" s="93">
        <f t="shared" si="8"/>
        <v>1.1942875594388236</v>
      </c>
    </row>
    <row r="15" spans="2:26">
      <c r="B15" s="71"/>
      <c r="C15" s="74" t="s">
        <v>72</v>
      </c>
      <c r="D15" s="91"/>
      <c r="E15" s="89"/>
      <c r="F15" s="89"/>
      <c r="G15" s="89"/>
      <c r="H15" s="89"/>
      <c r="I15" s="94"/>
      <c r="J15" s="92"/>
      <c r="K15" s="92"/>
      <c r="L15" s="92"/>
      <c r="M15" s="92"/>
      <c r="N15" s="92"/>
      <c r="O15" s="92">
        <v>1</v>
      </c>
      <c r="P15" s="92">
        <f>P11/$O$11</f>
        <v>1.0121951219512195</v>
      </c>
      <c r="Q15" s="92">
        <f t="shared" ref="Q15:U15" si="9">Q11/$O$11</f>
        <v>1.0362277585792194</v>
      </c>
      <c r="R15" s="92">
        <f t="shared" si="9"/>
        <v>1.0608310041844493</v>
      </c>
      <c r="S15" s="92">
        <f t="shared" si="9"/>
        <v>1.0860184067853775</v>
      </c>
      <c r="T15" s="92">
        <f t="shared" si="9"/>
        <v>1.111803836072252</v>
      </c>
      <c r="U15" s="92">
        <f t="shared" si="9"/>
        <v>1.138201491044579</v>
      </c>
      <c r="Z15" s="95"/>
    </row>
    <row r="16" spans="2:26">
      <c r="B16" s="71"/>
      <c r="C16" s="74" t="s">
        <v>73</v>
      </c>
      <c r="D16" s="93">
        <f t="shared" ref="D16:N16" si="10">(1+E$12)*E16</f>
        <v>1.2452748456018454</v>
      </c>
      <c r="E16" s="93">
        <f t="shared" si="10"/>
        <v>1.2297643048203279</v>
      </c>
      <c r="F16" s="93">
        <f t="shared" si="10"/>
        <v>1.1964123588730944</v>
      </c>
      <c r="G16" s="93">
        <f t="shared" si="10"/>
        <v>1.1557316710853247</v>
      </c>
      <c r="H16" s="93">
        <f t="shared" si="10"/>
        <v>1.133025744344945</v>
      </c>
      <c r="I16" s="93">
        <f t="shared" si="10"/>
        <v>1.109057892060725</v>
      </c>
      <c r="J16" s="93">
        <f t="shared" si="10"/>
        <v>1.0840415486307837</v>
      </c>
      <c r="K16" s="93">
        <f t="shared" si="10"/>
        <v>1.0679069767441862</v>
      </c>
      <c r="L16" s="93">
        <f t="shared" si="10"/>
        <v>1.0570902394106816</v>
      </c>
      <c r="M16" s="93">
        <f t="shared" si="10"/>
        <v>1.0370370370370372</v>
      </c>
      <c r="N16" s="93">
        <f t="shared" si="10"/>
        <v>1.0159292035398231</v>
      </c>
      <c r="O16" s="93">
        <v>1</v>
      </c>
      <c r="P16" s="74"/>
      <c r="Q16" s="74"/>
      <c r="R16" s="74"/>
      <c r="S16" s="74"/>
      <c r="T16" s="74"/>
      <c r="U16" s="74"/>
    </row>
    <row r="17" spans="2:21">
      <c r="B17" s="71"/>
      <c r="C17" s="74" t="s">
        <v>74</v>
      </c>
      <c r="D17" s="93"/>
      <c r="E17" s="93"/>
      <c r="F17" s="93"/>
      <c r="G17" s="93"/>
      <c r="H17" s="93"/>
      <c r="I17" s="93"/>
      <c r="J17" s="93"/>
      <c r="K17" s="93">
        <f>$P$11/K11</f>
        <v>1.0809302325581396</v>
      </c>
      <c r="L17" s="93">
        <f>$P$11/L11</f>
        <v>1.0699815837937385</v>
      </c>
      <c r="M17" s="93">
        <f>$P$11/M11</f>
        <v>1.0496838301716351</v>
      </c>
      <c r="N17" s="93">
        <f>$P$11/N11</f>
        <v>1.0283185840707965</v>
      </c>
      <c r="O17" s="93">
        <f>$P$11/O11</f>
        <v>1.0121951219512195</v>
      </c>
      <c r="P17" s="92">
        <v>1</v>
      </c>
      <c r="Q17" s="92">
        <f>$P$11/Q11</f>
        <v>0.97680757301758514</v>
      </c>
      <c r="R17" s="92">
        <f>$P$11/R11</f>
        <v>0.95415303470450497</v>
      </c>
      <c r="S17" s="92">
        <f>$P$11/S11</f>
        <v>0.9320239101170712</v>
      </c>
      <c r="T17" s="92">
        <f>$P$11/T11</f>
        <v>0.91040801363581625</v>
      </c>
      <c r="U17" s="92">
        <f>$P$11/U11</f>
        <v>0.88929344225536222</v>
      </c>
    </row>
    <row r="18" spans="2:21">
      <c r="B18" s="71"/>
      <c r="C18" s="74" t="s">
        <v>75</v>
      </c>
      <c r="D18" s="92">
        <f t="shared" ref="D18:F18" si="11">(1+E$12)*E18</f>
        <v>1.1228222210186136</v>
      </c>
      <c r="E18" s="92">
        <f t="shared" si="11"/>
        <v>1.1088368908635777</v>
      </c>
      <c r="F18" s="92">
        <f t="shared" si="11"/>
        <v>1.0787645689532555</v>
      </c>
      <c r="G18" s="92">
        <f>(1+H$12)*H18</f>
        <v>1.0420841683366733</v>
      </c>
      <c r="H18" s="92">
        <f>1*(1+I$12)</f>
        <v>1.0216110019646365</v>
      </c>
      <c r="I18" s="92">
        <v>1</v>
      </c>
      <c r="J18" s="92">
        <f>I18/(1+J12)</f>
        <v>0.97744360902255623</v>
      </c>
      <c r="K18" s="92">
        <f t="shared" ref="K18:O18" si="12">J18/(1+K12)</f>
        <v>0.96289561112082522</v>
      </c>
      <c r="L18" s="92">
        <f t="shared" si="12"/>
        <v>0.95314252482033812</v>
      </c>
      <c r="M18" s="92">
        <f t="shared" si="12"/>
        <v>0.93506123031155119</v>
      </c>
      <c r="N18" s="92">
        <f t="shared" si="12"/>
        <v>0.91602901057954611</v>
      </c>
      <c r="O18" s="92">
        <f t="shared" si="12"/>
        <v>0.90166618637185281</v>
      </c>
      <c r="P18" s="92"/>
      <c r="Q18" s="92"/>
      <c r="R18" s="92"/>
      <c r="S18" s="92"/>
      <c r="T18" s="92"/>
      <c r="U18" s="92"/>
    </row>
    <row r="19" spans="2:21" ht="11.25" customHeight="1">
      <c r="B19" s="71"/>
      <c r="C19" s="96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</row>
    <row r="20" spans="2:21">
      <c r="B20" s="71"/>
      <c r="C20" s="96" t="s">
        <v>76</v>
      </c>
      <c r="P20" s="98"/>
      <c r="Q20" s="98"/>
      <c r="R20" s="98"/>
    </row>
    <row r="21" spans="2:21">
      <c r="B21" s="71"/>
      <c r="C21" s="99"/>
      <c r="G21" s="69" t="s">
        <v>77</v>
      </c>
      <c r="J21" s="100">
        <f>(1+K12)^0.5*(1+L12)*(1+M12)</f>
        <v>1.0375174472699489</v>
      </c>
    </row>
    <row r="22" spans="2:21">
      <c r="B22" s="71"/>
      <c r="C22" s="96"/>
      <c r="G22" s="69" t="s">
        <v>78</v>
      </c>
      <c r="J22" s="100">
        <f>J21*M16</f>
        <v>1.0759440193910583</v>
      </c>
    </row>
    <row r="23" spans="2:21">
      <c r="B23" s="71" t="s">
        <v>79</v>
      </c>
    </row>
    <row r="24" spans="2:21">
      <c r="B24" s="71"/>
      <c r="F24" s="101"/>
      <c r="G24" s="101"/>
      <c r="H24" s="101"/>
      <c r="I24" s="101"/>
      <c r="K24" s="101"/>
      <c r="O24" s="98">
        <f>(O26/2)+(N26/2)</f>
        <v>8.9446324151575274E-3</v>
      </c>
    </row>
    <row r="25" spans="2:21">
      <c r="B25" s="71"/>
      <c r="C25" s="74" t="s">
        <v>80</v>
      </c>
      <c r="D25" s="74"/>
      <c r="E25" s="74"/>
      <c r="F25" s="74"/>
      <c r="G25" s="74"/>
      <c r="H25" s="74"/>
      <c r="I25" s="102">
        <v>2014</v>
      </c>
      <c r="J25" s="102">
        <v>2015</v>
      </c>
      <c r="K25" s="75">
        <f t="shared" ref="K25:L25" si="13">EDATE(L25,-12)</f>
        <v>42705</v>
      </c>
      <c r="L25" s="75">
        <f t="shared" si="13"/>
        <v>43070</v>
      </c>
      <c r="M25" s="75">
        <f>EDATE(N25,-12)</f>
        <v>43435</v>
      </c>
      <c r="N25" s="75">
        <f>CP_Yr_4</f>
        <v>43800</v>
      </c>
      <c r="O25" s="75">
        <f>CP_Yr_5</f>
        <v>44166</v>
      </c>
      <c r="P25" s="75">
        <f>Stub</f>
        <v>44377</v>
      </c>
      <c r="Q25" s="75">
        <f>Yr_1</f>
        <v>44742</v>
      </c>
      <c r="R25" s="75">
        <f>Yr_2</f>
        <v>45107</v>
      </c>
      <c r="S25" s="75">
        <f>Yr_3</f>
        <v>45473</v>
      </c>
      <c r="T25" s="75">
        <f>Yr_4</f>
        <v>45838</v>
      </c>
      <c r="U25" s="75">
        <f>Yr_5</f>
        <v>46203</v>
      </c>
    </row>
    <row r="26" spans="2:21">
      <c r="B26" s="71"/>
      <c r="C26" s="74" t="s">
        <v>81</v>
      </c>
      <c r="D26" s="74"/>
      <c r="E26" s="74"/>
      <c r="F26" s="74"/>
      <c r="G26" s="74"/>
      <c r="H26" s="74"/>
      <c r="I26" s="103"/>
      <c r="J26" s="104"/>
      <c r="K26" s="104"/>
      <c r="L26" s="104"/>
      <c r="M26" s="104"/>
      <c r="N26" s="105">
        <v>1.3390814877839108E-2</v>
      </c>
      <c r="O26" s="105">
        <v>4.4984499524759469E-3</v>
      </c>
      <c r="P26" s="105">
        <v>-2.274180412665916E-3</v>
      </c>
      <c r="Q26" s="105">
        <v>2.3867759115823129E-3</v>
      </c>
      <c r="R26" s="105">
        <v>-2.4977364300287118E-3</v>
      </c>
      <c r="S26" s="105">
        <v>-7.2630656307249187E-4</v>
      </c>
      <c r="T26" s="105">
        <v>3.67274824937613E-3</v>
      </c>
      <c r="U26" s="105">
        <v>9.965933609387018E-3</v>
      </c>
    </row>
    <row r="27" spans="2:21">
      <c r="B27" s="71"/>
      <c r="C27" s="74" t="s">
        <v>82</v>
      </c>
      <c r="D27" s="74"/>
      <c r="E27" s="74"/>
      <c r="F27" s="74"/>
      <c r="G27" s="74"/>
      <c r="H27" s="74"/>
      <c r="I27" s="106"/>
      <c r="J27" s="106"/>
      <c r="K27" s="106"/>
      <c r="L27" s="106"/>
      <c r="M27" s="92">
        <v>1</v>
      </c>
      <c r="N27" s="92">
        <f t="shared" ref="N27:U27" si="14">(1+N26)*M27</f>
        <v>1.0133908148778392</v>
      </c>
      <c r="O27" s="92">
        <f t="shared" si="14"/>
        <v>1.017949502740866</v>
      </c>
      <c r="P27" s="92">
        <f t="shared" si="14"/>
        <v>1.0156345019206499</v>
      </c>
      <c r="Q27" s="92">
        <f t="shared" si="14"/>
        <v>1.0180585938848059</v>
      </c>
      <c r="R27" s="92">
        <f t="shared" si="14"/>
        <v>1.015515751846956</v>
      </c>
      <c r="S27" s="92">
        <f t="shared" si="14"/>
        <v>1.014778176091486</v>
      </c>
      <c r="T27" s="92">
        <f t="shared" si="14"/>
        <v>1.0185052008612312</v>
      </c>
      <c r="U27" s="92">
        <f t="shared" si="14"/>
        <v>1.0286555560738295</v>
      </c>
    </row>
    <row r="28" spans="2:21">
      <c r="B28" s="71"/>
      <c r="C28" s="74" t="s">
        <v>83</v>
      </c>
      <c r="D28" s="74"/>
      <c r="E28" s="74"/>
      <c r="F28" s="74"/>
      <c r="G28" s="74"/>
      <c r="H28" s="74"/>
      <c r="I28" s="92"/>
      <c r="J28" s="92">
        <v>1</v>
      </c>
      <c r="K28" s="92">
        <f>J28*(1+K26)</f>
        <v>1</v>
      </c>
      <c r="L28" s="92">
        <f>K28*(1+L26)</f>
        <v>1</v>
      </c>
      <c r="M28" s="92">
        <f>L28*(1+M26)</f>
        <v>1</v>
      </c>
      <c r="N28" s="92">
        <f t="shared" ref="N28:U28" si="15">M28*(1+N26)</f>
        <v>1.0133908148778392</v>
      </c>
      <c r="O28" s="92">
        <f t="shared" si="15"/>
        <v>1.017949502740866</v>
      </c>
      <c r="P28" s="92">
        <f t="shared" si="15"/>
        <v>1.0156345019206499</v>
      </c>
      <c r="Q28" s="92">
        <f t="shared" si="15"/>
        <v>1.0180585938848059</v>
      </c>
      <c r="R28" s="92">
        <f t="shared" si="15"/>
        <v>1.015515751846956</v>
      </c>
      <c r="S28" s="92">
        <f t="shared" si="15"/>
        <v>1.014778176091486</v>
      </c>
      <c r="T28" s="92">
        <f t="shared" si="15"/>
        <v>1.0185052008612312</v>
      </c>
      <c r="U28" s="92">
        <f t="shared" si="15"/>
        <v>1.0286555560738295</v>
      </c>
    </row>
    <row r="29" spans="2:21">
      <c r="B29" s="71"/>
      <c r="C29" s="74" t="s">
        <v>84</v>
      </c>
      <c r="D29" s="74"/>
      <c r="E29" s="74"/>
      <c r="F29" s="74"/>
      <c r="G29" s="74"/>
      <c r="H29" s="74"/>
      <c r="I29" s="103"/>
      <c r="J29" s="104"/>
      <c r="K29" s="104"/>
      <c r="L29" s="104"/>
      <c r="M29" s="104"/>
      <c r="N29" s="105">
        <v>0</v>
      </c>
      <c r="O29" s="105">
        <v>0</v>
      </c>
      <c r="P29" s="105">
        <v>0</v>
      </c>
      <c r="Q29" s="105">
        <v>0</v>
      </c>
      <c r="R29" s="105">
        <v>0</v>
      </c>
      <c r="S29" s="105">
        <v>0</v>
      </c>
      <c r="T29" s="105">
        <v>0</v>
      </c>
      <c r="U29" s="105">
        <v>0</v>
      </c>
    </row>
    <row r="30" spans="2:21">
      <c r="B30" s="71"/>
      <c r="C30" s="74" t="s">
        <v>85</v>
      </c>
      <c r="D30" s="74"/>
      <c r="E30" s="74"/>
      <c r="F30" s="74"/>
      <c r="G30" s="74"/>
      <c r="H30" s="74"/>
      <c r="I30" s="106"/>
      <c r="J30" s="106"/>
      <c r="K30" s="106"/>
      <c r="L30" s="106"/>
      <c r="M30" s="92">
        <v>1</v>
      </c>
      <c r="N30" s="92">
        <f t="shared" ref="N30:U30" si="16">(1+N29)*M30</f>
        <v>1</v>
      </c>
      <c r="O30" s="92">
        <f t="shared" si="16"/>
        <v>1</v>
      </c>
      <c r="P30" s="92">
        <f t="shared" si="16"/>
        <v>1</v>
      </c>
      <c r="Q30" s="92">
        <f t="shared" si="16"/>
        <v>1</v>
      </c>
      <c r="R30" s="92">
        <f t="shared" si="16"/>
        <v>1</v>
      </c>
      <c r="S30" s="92">
        <f t="shared" si="16"/>
        <v>1</v>
      </c>
      <c r="T30" s="92">
        <f t="shared" si="16"/>
        <v>1</v>
      </c>
      <c r="U30" s="92">
        <f t="shared" si="16"/>
        <v>1</v>
      </c>
    </row>
    <row r="31" spans="2:21">
      <c r="B31" s="71"/>
      <c r="C31" s="74" t="s">
        <v>86</v>
      </c>
      <c r="D31" s="74"/>
      <c r="E31" s="74"/>
      <c r="F31" s="74"/>
      <c r="G31" s="74"/>
      <c r="H31" s="74"/>
      <c r="I31" s="92"/>
      <c r="J31" s="92">
        <v>1</v>
      </c>
      <c r="K31" s="92">
        <f>J31*(1+K29)</f>
        <v>1</v>
      </c>
      <c r="L31" s="92">
        <f>K31*(1+L29)</f>
        <v>1</v>
      </c>
      <c r="M31" s="92">
        <f t="shared" ref="M31:U31" si="17">L31*(1+M29)</f>
        <v>1</v>
      </c>
      <c r="N31" s="92">
        <f t="shared" si="17"/>
        <v>1</v>
      </c>
      <c r="O31" s="92">
        <f t="shared" si="17"/>
        <v>1</v>
      </c>
      <c r="P31" s="92">
        <f t="shared" si="17"/>
        <v>1</v>
      </c>
      <c r="Q31" s="92">
        <f t="shared" si="17"/>
        <v>1</v>
      </c>
      <c r="R31" s="92">
        <f t="shared" si="17"/>
        <v>1</v>
      </c>
      <c r="S31" s="92">
        <f t="shared" si="17"/>
        <v>1</v>
      </c>
      <c r="T31" s="92">
        <f t="shared" si="17"/>
        <v>1</v>
      </c>
      <c r="U31" s="92">
        <f t="shared" si="17"/>
        <v>1</v>
      </c>
    </row>
    <row r="32" spans="2:21">
      <c r="B32" s="71"/>
      <c r="C32" s="107" t="s">
        <v>87</v>
      </c>
      <c r="D32" s="96"/>
      <c r="E32" s="96"/>
      <c r="F32" s="96"/>
      <c r="G32" s="96"/>
      <c r="H32" s="96"/>
    </row>
    <row r="33" spans="2:23">
      <c r="B33" s="71"/>
      <c r="C33" s="96"/>
      <c r="D33" s="96"/>
      <c r="E33" s="96"/>
      <c r="F33" s="96"/>
      <c r="G33" s="96"/>
      <c r="H33" s="96"/>
      <c r="K33" s="98"/>
      <c r="L33" s="98"/>
      <c r="M33" s="98"/>
      <c r="N33" s="108"/>
      <c r="O33" s="108"/>
      <c r="P33" s="108"/>
      <c r="Q33" s="108"/>
      <c r="R33" s="108"/>
      <c r="S33" s="108"/>
      <c r="T33" s="108"/>
      <c r="U33" s="108"/>
    </row>
    <row r="34" spans="2:23">
      <c r="B34" s="71" t="s">
        <v>88</v>
      </c>
    </row>
    <row r="35" spans="2:23">
      <c r="B35" s="71"/>
      <c r="C35" s="74" t="s">
        <v>89</v>
      </c>
      <c r="D35" s="74"/>
      <c r="E35" s="74"/>
      <c r="F35" s="74"/>
      <c r="G35" s="74"/>
      <c r="H35" s="74"/>
      <c r="I35" s="102">
        <v>2014</v>
      </c>
      <c r="J35" s="102">
        <v>2015</v>
      </c>
      <c r="K35" s="75">
        <f t="shared" ref="K35:L35" si="18">EDATE(L35,-12)</f>
        <v>42705</v>
      </c>
      <c r="L35" s="75">
        <f t="shared" si="18"/>
        <v>43070</v>
      </c>
      <c r="M35" s="75">
        <f>EDATE(N35,-12)</f>
        <v>43435</v>
      </c>
      <c r="N35" s="75">
        <f>CP_Yr_4</f>
        <v>43800</v>
      </c>
      <c r="O35" s="75">
        <f>CP_Yr_5</f>
        <v>44166</v>
      </c>
      <c r="P35" s="75">
        <f>Stub</f>
        <v>44377</v>
      </c>
      <c r="Q35" s="75">
        <f>Yr_1</f>
        <v>44742</v>
      </c>
      <c r="R35" s="75">
        <f>Yr_2</f>
        <v>45107</v>
      </c>
      <c r="S35" s="75">
        <f>Yr_3</f>
        <v>45473</v>
      </c>
      <c r="T35" s="75">
        <f>Yr_4</f>
        <v>45838</v>
      </c>
      <c r="U35" s="75">
        <f>Yr_5</f>
        <v>46203</v>
      </c>
    </row>
    <row r="36" spans="2:23">
      <c r="B36" s="71"/>
      <c r="C36" s="74" t="s">
        <v>90</v>
      </c>
      <c r="D36" s="74"/>
      <c r="E36" s="74"/>
      <c r="F36" s="74"/>
      <c r="G36" s="74"/>
      <c r="H36" s="74"/>
      <c r="I36" s="89">
        <v>0</v>
      </c>
      <c r="J36" s="89">
        <v>0</v>
      </c>
      <c r="K36" s="89">
        <v>0</v>
      </c>
      <c r="L36" s="89">
        <v>0</v>
      </c>
      <c r="M36" s="89">
        <v>0</v>
      </c>
      <c r="N36" s="89">
        <v>0</v>
      </c>
      <c r="O36" s="89">
        <v>0</v>
      </c>
      <c r="P36" s="89">
        <v>0</v>
      </c>
      <c r="Q36" s="89">
        <v>0</v>
      </c>
      <c r="R36" s="89">
        <v>0</v>
      </c>
      <c r="S36" s="89">
        <v>0</v>
      </c>
      <c r="T36" s="89">
        <v>0</v>
      </c>
      <c r="U36" s="89">
        <v>0</v>
      </c>
    </row>
    <row r="37" spans="2:23">
      <c r="B37" s="71"/>
      <c r="C37" s="74" t="s">
        <v>91</v>
      </c>
      <c r="D37" s="74"/>
      <c r="E37" s="74"/>
      <c r="F37" s="74"/>
      <c r="G37" s="74"/>
      <c r="H37" s="74"/>
      <c r="I37" s="89">
        <v>0</v>
      </c>
      <c r="J37" s="89">
        <v>0</v>
      </c>
      <c r="K37" s="89">
        <v>0</v>
      </c>
      <c r="L37" s="89">
        <v>0</v>
      </c>
      <c r="M37" s="89">
        <v>0</v>
      </c>
      <c r="N37" s="89">
        <v>0</v>
      </c>
      <c r="O37" s="89">
        <v>0</v>
      </c>
      <c r="P37" s="89">
        <v>0</v>
      </c>
      <c r="Q37" s="89">
        <v>0</v>
      </c>
      <c r="R37" s="89">
        <v>0</v>
      </c>
      <c r="S37" s="89">
        <v>0</v>
      </c>
      <c r="T37" s="89">
        <v>0</v>
      </c>
      <c r="U37" s="89">
        <v>0</v>
      </c>
    </row>
    <row r="38" spans="2:23">
      <c r="B38" s="71"/>
      <c r="C38" s="74" t="s">
        <v>92</v>
      </c>
      <c r="D38" s="74"/>
      <c r="E38" s="74"/>
      <c r="F38" s="74"/>
      <c r="G38" s="74"/>
      <c r="H38" s="74"/>
      <c r="I38" s="89">
        <v>0</v>
      </c>
      <c r="J38" s="89">
        <v>0</v>
      </c>
      <c r="K38" s="89">
        <v>0</v>
      </c>
      <c r="L38" s="89">
        <v>0</v>
      </c>
      <c r="M38" s="89">
        <v>0</v>
      </c>
      <c r="N38" s="89">
        <v>0</v>
      </c>
      <c r="O38" s="89">
        <v>0</v>
      </c>
      <c r="P38" s="89">
        <v>0</v>
      </c>
      <c r="Q38" s="89">
        <v>0</v>
      </c>
      <c r="R38" s="89">
        <v>0</v>
      </c>
      <c r="S38" s="89">
        <v>0</v>
      </c>
      <c r="T38" s="89">
        <v>0</v>
      </c>
      <c r="U38" s="89">
        <v>0</v>
      </c>
      <c r="W38" s="69" t="s">
        <v>93</v>
      </c>
    </row>
    <row r="39" spans="2:23">
      <c r="B39" s="71"/>
      <c r="C39" s="74" t="s">
        <v>94</v>
      </c>
      <c r="D39" s="74"/>
      <c r="E39" s="74"/>
      <c r="F39" s="74"/>
      <c r="G39" s="74"/>
      <c r="H39" s="74"/>
      <c r="I39" s="89">
        <v>0</v>
      </c>
      <c r="J39" s="89">
        <v>0</v>
      </c>
      <c r="K39" s="89">
        <v>0</v>
      </c>
      <c r="L39" s="89">
        <v>0</v>
      </c>
      <c r="M39" s="89">
        <v>0</v>
      </c>
      <c r="N39" s="89">
        <v>0</v>
      </c>
      <c r="O39" s="89">
        <v>0</v>
      </c>
      <c r="P39" s="89">
        <v>0</v>
      </c>
      <c r="Q39" s="89">
        <v>0</v>
      </c>
      <c r="R39" s="89">
        <v>0</v>
      </c>
      <c r="S39" s="89">
        <v>0</v>
      </c>
      <c r="T39" s="89">
        <v>0</v>
      </c>
      <c r="U39" s="89">
        <v>0</v>
      </c>
    </row>
    <row r="40" spans="2:23">
      <c r="B40" s="71"/>
      <c r="C40" s="74" t="s">
        <v>95</v>
      </c>
      <c r="D40" s="74"/>
      <c r="E40" s="74"/>
      <c r="F40" s="74"/>
      <c r="G40" s="74"/>
      <c r="H40" s="74"/>
      <c r="I40" s="89">
        <v>0</v>
      </c>
      <c r="J40" s="89">
        <v>0</v>
      </c>
      <c r="K40" s="89">
        <v>0</v>
      </c>
      <c r="L40" s="89">
        <v>0</v>
      </c>
      <c r="M40" s="89">
        <v>0</v>
      </c>
      <c r="N40" s="89">
        <v>0</v>
      </c>
      <c r="O40" s="89">
        <v>0</v>
      </c>
      <c r="P40" s="89">
        <v>0</v>
      </c>
      <c r="Q40" s="89">
        <v>0</v>
      </c>
      <c r="R40" s="89">
        <v>0</v>
      </c>
      <c r="S40" s="89">
        <v>0</v>
      </c>
      <c r="T40" s="89">
        <v>0</v>
      </c>
      <c r="U40" s="89">
        <v>0</v>
      </c>
    </row>
    <row r="41" spans="2:23">
      <c r="B41" s="71"/>
      <c r="C41" s="74" t="s">
        <v>96</v>
      </c>
      <c r="D41" s="74"/>
      <c r="E41" s="74"/>
      <c r="F41" s="74"/>
      <c r="G41" s="74"/>
      <c r="H41" s="74"/>
      <c r="I41" s="89">
        <v>0</v>
      </c>
      <c r="J41" s="89">
        <v>0</v>
      </c>
      <c r="K41" s="89">
        <v>0</v>
      </c>
      <c r="L41" s="89">
        <v>0</v>
      </c>
      <c r="M41" s="89">
        <v>0</v>
      </c>
      <c r="N41" s="89">
        <v>0</v>
      </c>
      <c r="O41" s="89">
        <v>0</v>
      </c>
      <c r="P41" s="89">
        <v>0</v>
      </c>
      <c r="Q41" s="89">
        <v>0</v>
      </c>
      <c r="R41" s="89">
        <v>0</v>
      </c>
      <c r="S41" s="89">
        <v>0</v>
      </c>
      <c r="T41" s="89">
        <v>0</v>
      </c>
      <c r="U41" s="89">
        <v>0</v>
      </c>
    </row>
    <row r="42" spans="2:23">
      <c r="B42" s="71"/>
    </row>
    <row r="43" spans="2:23">
      <c r="B43" s="71"/>
      <c r="C43" s="74" t="s">
        <v>97</v>
      </c>
      <c r="D43" s="74"/>
      <c r="E43" s="74"/>
      <c r="F43" s="74"/>
      <c r="G43" s="74"/>
      <c r="H43" s="74"/>
      <c r="I43" s="102">
        <v>2014</v>
      </c>
      <c r="J43" s="102">
        <v>2015</v>
      </c>
      <c r="K43" s="75">
        <f t="shared" ref="K43:L43" si="19">EDATE(L43,-12)</f>
        <v>42705</v>
      </c>
      <c r="L43" s="75">
        <f t="shared" si="19"/>
        <v>43070</v>
      </c>
      <c r="M43" s="75">
        <f>EDATE(N43,-12)</f>
        <v>43435</v>
      </c>
      <c r="N43" s="75">
        <f>CP_Yr_4</f>
        <v>43800</v>
      </c>
      <c r="O43" s="75">
        <f>CP_Yr_5</f>
        <v>44166</v>
      </c>
      <c r="P43" s="75">
        <f>Stub</f>
        <v>44377</v>
      </c>
      <c r="Q43" s="75">
        <f>Yr_1</f>
        <v>44742</v>
      </c>
      <c r="R43" s="75">
        <f>Yr_2</f>
        <v>45107</v>
      </c>
      <c r="S43" s="75">
        <f>Yr_3</f>
        <v>45473</v>
      </c>
      <c r="T43" s="75">
        <f>Yr_4</f>
        <v>45838</v>
      </c>
      <c r="U43" s="75">
        <f>Yr_5</f>
        <v>46203</v>
      </c>
    </row>
    <row r="44" spans="2:23">
      <c r="B44" s="71"/>
      <c r="C44" s="74" t="s">
        <v>90</v>
      </c>
      <c r="D44" s="74"/>
      <c r="E44" s="74"/>
      <c r="F44" s="74"/>
      <c r="G44" s="74"/>
      <c r="H44" s="74"/>
      <c r="I44" s="92"/>
      <c r="J44" s="92"/>
      <c r="K44" s="92"/>
      <c r="L44" s="92"/>
      <c r="M44" s="92">
        <v>1</v>
      </c>
      <c r="N44" s="92">
        <f t="shared" ref="N44:U48" si="20">(1+N36)*M44</f>
        <v>1</v>
      </c>
      <c r="O44" s="92">
        <f t="shared" si="20"/>
        <v>1</v>
      </c>
      <c r="P44" s="92">
        <f t="shared" si="20"/>
        <v>1</v>
      </c>
      <c r="Q44" s="92">
        <f t="shared" si="20"/>
        <v>1</v>
      </c>
      <c r="R44" s="92">
        <f t="shared" si="20"/>
        <v>1</v>
      </c>
      <c r="S44" s="92">
        <f t="shared" si="20"/>
        <v>1</v>
      </c>
      <c r="T44" s="92">
        <f t="shared" si="20"/>
        <v>1</v>
      </c>
      <c r="U44" s="92">
        <f t="shared" si="20"/>
        <v>1</v>
      </c>
    </row>
    <row r="45" spans="2:23">
      <c r="B45" s="71"/>
      <c r="C45" s="74" t="s">
        <v>91</v>
      </c>
      <c r="D45" s="74"/>
      <c r="E45" s="74"/>
      <c r="F45" s="74"/>
      <c r="G45" s="74"/>
      <c r="H45" s="74"/>
      <c r="I45" s="92"/>
      <c r="J45" s="92"/>
      <c r="K45" s="92"/>
      <c r="L45" s="92"/>
      <c r="M45" s="92">
        <v>1</v>
      </c>
      <c r="N45" s="92">
        <f t="shared" si="20"/>
        <v>1</v>
      </c>
      <c r="O45" s="92">
        <f t="shared" si="20"/>
        <v>1</v>
      </c>
      <c r="P45" s="92">
        <f t="shared" si="20"/>
        <v>1</v>
      </c>
      <c r="Q45" s="92">
        <f t="shared" si="20"/>
        <v>1</v>
      </c>
      <c r="R45" s="92">
        <f t="shared" si="20"/>
        <v>1</v>
      </c>
      <c r="S45" s="92">
        <f t="shared" si="20"/>
        <v>1</v>
      </c>
      <c r="T45" s="92">
        <f t="shared" si="20"/>
        <v>1</v>
      </c>
      <c r="U45" s="92">
        <f t="shared" si="20"/>
        <v>1</v>
      </c>
    </row>
    <row r="46" spans="2:23">
      <c r="B46" s="71"/>
      <c r="C46" s="74" t="s">
        <v>92</v>
      </c>
      <c r="D46" s="74"/>
      <c r="E46" s="74"/>
      <c r="F46" s="74"/>
      <c r="G46" s="74"/>
      <c r="H46" s="74"/>
      <c r="I46" s="92"/>
      <c r="J46" s="92"/>
      <c r="K46" s="92"/>
      <c r="L46" s="92"/>
      <c r="M46" s="92">
        <v>1</v>
      </c>
      <c r="N46" s="92">
        <f t="shared" si="20"/>
        <v>1</v>
      </c>
      <c r="O46" s="92">
        <f t="shared" si="20"/>
        <v>1</v>
      </c>
      <c r="P46" s="92">
        <f t="shared" si="20"/>
        <v>1</v>
      </c>
      <c r="Q46" s="92">
        <f t="shared" si="20"/>
        <v>1</v>
      </c>
      <c r="R46" s="92">
        <f t="shared" si="20"/>
        <v>1</v>
      </c>
      <c r="S46" s="92">
        <f t="shared" si="20"/>
        <v>1</v>
      </c>
      <c r="T46" s="92">
        <f t="shared" si="20"/>
        <v>1</v>
      </c>
      <c r="U46" s="92">
        <f t="shared" si="20"/>
        <v>1</v>
      </c>
    </row>
    <row r="47" spans="2:23">
      <c r="B47" s="71"/>
      <c r="C47" s="74" t="s">
        <v>94</v>
      </c>
      <c r="D47" s="74"/>
      <c r="E47" s="74"/>
      <c r="F47" s="74"/>
      <c r="G47" s="74"/>
      <c r="H47" s="74"/>
      <c r="I47" s="92"/>
      <c r="J47" s="92"/>
      <c r="K47" s="92"/>
      <c r="L47" s="92"/>
      <c r="M47" s="92">
        <v>1</v>
      </c>
      <c r="N47" s="92">
        <f t="shared" si="20"/>
        <v>1</v>
      </c>
      <c r="O47" s="92">
        <f t="shared" si="20"/>
        <v>1</v>
      </c>
      <c r="P47" s="92">
        <f t="shared" si="20"/>
        <v>1</v>
      </c>
      <c r="Q47" s="92">
        <f t="shared" si="20"/>
        <v>1</v>
      </c>
      <c r="R47" s="92">
        <f t="shared" si="20"/>
        <v>1</v>
      </c>
      <c r="S47" s="92">
        <f t="shared" si="20"/>
        <v>1</v>
      </c>
      <c r="T47" s="92">
        <f t="shared" si="20"/>
        <v>1</v>
      </c>
      <c r="U47" s="92">
        <f t="shared" si="20"/>
        <v>1</v>
      </c>
    </row>
    <row r="48" spans="2:23">
      <c r="B48" s="71"/>
      <c r="C48" s="74" t="s">
        <v>95</v>
      </c>
      <c r="D48" s="74"/>
      <c r="E48" s="74"/>
      <c r="F48" s="74"/>
      <c r="G48" s="74"/>
      <c r="H48" s="74"/>
      <c r="I48" s="92"/>
      <c r="J48" s="92"/>
      <c r="K48" s="92"/>
      <c r="L48" s="92"/>
      <c r="M48" s="92">
        <v>1</v>
      </c>
      <c r="N48" s="92">
        <f t="shared" si="20"/>
        <v>1</v>
      </c>
      <c r="O48" s="92">
        <f t="shared" si="20"/>
        <v>1</v>
      </c>
      <c r="P48" s="92">
        <f t="shared" si="20"/>
        <v>1</v>
      </c>
      <c r="Q48" s="92">
        <f t="shared" si="20"/>
        <v>1</v>
      </c>
      <c r="R48" s="92">
        <f t="shared" si="20"/>
        <v>1</v>
      </c>
      <c r="S48" s="92">
        <f t="shared" si="20"/>
        <v>1</v>
      </c>
      <c r="T48" s="92">
        <f t="shared" si="20"/>
        <v>1</v>
      </c>
      <c r="U48" s="92">
        <f t="shared" si="20"/>
        <v>1</v>
      </c>
    </row>
    <row r="49" spans="2:21">
      <c r="B49" s="71"/>
      <c r="C49" s="74" t="str">
        <f>C41</f>
        <v>Spare</v>
      </c>
      <c r="D49" s="74"/>
      <c r="E49" s="74"/>
      <c r="F49" s="74"/>
      <c r="G49" s="74"/>
      <c r="H49" s="74"/>
      <c r="I49" s="92"/>
      <c r="J49" s="92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</row>
    <row r="50" spans="2:21">
      <c r="C50" s="96"/>
    </row>
    <row r="53" spans="2:21">
      <c r="B53" s="71"/>
    </row>
    <row r="54" spans="2:21" ht="11.25" customHeight="1">
      <c r="B54" s="71"/>
    </row>
    <row r="55" spans="2:21">
      <c r="D55" s="109"/>
      <c r="E55" s="72"/>
    </row>
    <row r="56" spans="2:21">
      <c r="D56" s="110"/>
    </row>
  </sheetData>
  <hyperlinks>
    <hyperlink ref="B2" location="Contents!A1" display="Table of Contents"/>
  </hyperlink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31"/>
  <sheetViews>
    <sheetView zoomScale="90" zoomScaleNormal="90" workbookViewId="0"/>
  </sheetViews>
  <sheetFormatPr defaultColWidth="9.140625" defaultRowHeight="12.75"/>
  <cols>
    <col min="1" max="1" width="2.42578125" style="19" customWidth="1"/>
    <col min="2" max="2" width="38.5703125" style="19" customWidth="1"/>
    <col min="3" max="3" width="8.85546875" style="19" hidden="1" customWidth="1"/>
    <col min="4" max="7" width="9.140625" style="19"/>
    <col min="8" max="8" width="9.140625" style="19" customWidth="1"/>
    <col min="9" max="9" width="9.140625" style="19"/>
    <col min="10" max="10" width="9.42578125" style="19" customWidth="1"/>
    <col min="11" max="14" width="9.140625" style="19"/>
    <col min="15" max="15" width="10.5703125" style="19" customWidth="1"/>
    <col min="16" max="16" width="2.5703125" style="19" customWidth="1"/>
    <col min="17" max="16384" width="9.140625" style="19"/>
  </cols>
  <sheetData>
    <row r="1" spans="2:15">
      <c r="B1" s="13"/>
      <c r="O1" s="14" t="s">
        <v>100</v>
      </c>
    </row>
    <row r="2" spans="2:15">
      <c r="B2" s="13"/>
      <c r="O2" s="14"/>
    </row>
    <row r="3" spans="2:15" ht="15.75">
      <c r="B3" s="15" t="s">
        <v>101</v>
      </c>
      <c r="O3" s="14"/>
    </row>
    <row r="4" spans="2:15" ht="13.5" thickBot="1">
      <c r="B4" s="18"/>
      <c r="G4" s="114"/>
      <c r="H4" s="189" t="s">
        <v>10</v>
      </c>
      <c r="I4" s="189"/>
      <c r="J4" s="189"/>
      <c r="K4" s="189"/>
      <c r="L4" s="189"/>
      <c r="O4" s="14"/>
    </row>
    <row r="5" spans="2:15" ht="16.5" customHeight="1" thickBot="1">
      <c r="B5" s="20"/>
      <c r="D5" s="22" t="s">
        <v>12</v>
      </c>
      <c r="E5" s="22" t="s">
        <v>13</v>
      </c>
      <c r="F5" s="22" t="s">
        <v>14</v>
      </c>
      <c r="G5" s="22" t="s">
        <v>15</v>
      </c>
      <c r="H5" s="22" t="s">
        <v>16</v>
      </c>
      <c r="I5" s="115" t="s">
        <v>17</v>
      </c>
      <c r="J5" s="22" t="s">
        <v>18</v>
      </c>
      <c r="K5" s="22" t="s">
        <v>19</v>
      </c>
      <c r="L5" s="22" t="s">
        <v>20</v>
      </c>
      <c r="M5" s="22" t="s">
        <v>21</v>
      </c>
      <c r="N5" s="22" t="s">
        <v>22</v>
      </c>
      <c r="O5" s="25" t="s">
        <v>23</v>
      </c>
    </row>
    <row r="6" spans="2:15" ht="15">
      <c r="B6" s="27"/>
      <c r="D6" s="116"/>
      <c r="E6" s="116"/>
      <c r="F6" s="117" t="s">
        <v>24</v>
      </c>
      <c r="G6" s="116"/>
      <c r="H6" s="116"/>
      <c r="I6" s="118" t="s">
        <v>25</v>
      </c>
      <c r="J6" s="119" t="s">
        <v>26</v>
      </c>
      <c r="K6" s="119"/>
      <c r="L6" s="119"/>
      <c r="M6" s="119"/>
      <c r="N6" s="119"/>
      <c r="O6" s="120"/>
    </row>
    <row r="7" spans="2:15">
      <c r="B7" s="29" t="s">
        <v>27</v>
      </c>
      <c r="I7" s="121"/>
      <c r="O7" s="122"/>
    </row>
    <row r="8" spans="2:15" ht="4.3499999999999996" customHeight="1">
      <c r="B8" s="29"/>
      <c r="I8" s="121"/>
      <c r="O8" s="122"/>
    </row>
    <row r="9" spans="2:15">
      <c r="B9" s="33" t="s">
        <v>28</v>
      </c>
      <c r="I9" s="121"/>
      <c r="O9" s="122"/>
    </row>
    <row r="10" spans="2:15" ht="4.5" customHeight="1">
      <c r="B10" s="33"/>
      <c r="I10" s="121"/>
      <c r="O10" s="122"/>
    </row>
    <row r="11" spans="2:15">
      <c r="B11" s="34" t="s">
        <v>29</v>
      </c>
      <c r="D11" s="123">
        <f>D65</f>
        <v>3.277378097521999</v>
      </c>
      <c r="E11" s="123">
        <f t="shared" ref="E11:I12" si="0">E65</f>
        <v>2.9024767801857365</v>
      </c>
      <c r="F11" s="123">
        <f t="shared" si="0"/>
        <v>2.7830011282437228</v>
      </c>
      <c r="G11" s="123">
        <f t="shared" si="0"/>
        <v>3.0032822830972528</v>
      </c>
      <c r="H11" s="123">
        <f t="shared" si="0"/>
        <v>3.2652821533370791</v>
      </c>
      <c r="I11" s="124">
        <f t="shared" si="0"/>
        <v>2.2112227163854747</v>
      </c>
      <c r="J11" s="123">
        <f>J65-$M$121</f>
        <v>2.1373281800624961</v>
      </c>
      <c r="K11" s="123">
        <f t="shared" ref="K11:N12" si="1">K65-$M$121</f>
        <v>2.3920839192905814</v>
      </c>
      <c r="L11" s="123">
        <f t="shared" si="1"/>
        <v>2.7949586517841003</v>
      </c>
      <c r="M11" s="123">
        <f t="shared" si="1"/>
        <v>3.0394657271040555</v>
      </c>
      <c r="N11" s="123">
        <f t="shared" si="1"/>
        <v>3.0383038510878131</v>
      </c>
      <c r="O11" s="125">
        <f>AVERAGE(J11:N11)</f>
        <v>2.6804280658658088</v>
      </c>
    </row>
    <row r="12" spans="2:15">
      <c r="B12" s="38" t="s">
        <v>30</v>
      </c>
      <c r="D12" s="126">
        <f>D66</f>
        <v>2.4091547881951447</v>
      </c>
      <c r="E12" s="126">
        <f t="shared" si="0"/>
        <v>2.1956479121740591</v>
      </c>
      <c r="F12" s="126">
        <f t="shared" si="0"/>
        <v>1.975829656627659</v>
      </c>
      <c r="G12" s="126">
        <f t="shared" si="0"/>
        <v>2.7840481565086561</v>
      </c>
      <c r="H12" s="126">
        <f t="shared" si="0"/>
        <v>2.6537335285505392</v>
      </c>
      <c r="I12" s="127">
        <f t="shared" si="0"/>
        <v>1.8850260125353513</v>
      </c>
      <c r="J12" s="126">
        <f>J66-$M$121</f>
        <v>1.8971508632307938</v>
      </c>
      <c r="K12" s="126">
        <f t="shared" si="1"/>
        <v>2.2022477834631666</v>
      </c>
      <c r="L12" s="126">
        <f t="shared" si="1"/>
        <v>2.671227441676209</v>
      </c>
      <c r="M12" s="126">
        <f t="shared" si="1"/>
        <v>2.9364372286327529</v>
      </c>
      <c r="N12" s="126">
        <f t="shared" si="1"/>
        <v>2.914699919782064</v>
      </c>
      <c r="O12" s="128">
        <f>AVERAGE(J12:N12)</f>
        <v>2.5243526473569977</v>
      </c>
    </row>
    <row r="13" spans="2:15" hidden="1">
      <c r="B13" s="38" t="s">
        <v>31</v>
      </c>
      <c r="I13" s="121"/>
      <c r="O13" s="122"/>
    </row>
    <row r="14" spans="2:15" ht="6.95" customHeight="1"/>
    <row r="15" spans="2:15">
      <c r="B15" s="33" t="s">
        <v>121</v>
      </c>
      <c r="I15" s="121"/>
      <c r="O15" s="122"/>
    </row>
    <row r="16" spans="2:15">
      <c r="B16" s="34" t="s">
        <v>37</v>
      </c>
      <c r="D16" s="123">
        <f t="shared" ref="D16:I17" si="2">D75</f>
        <v>2.3492723492723577</v>
      </c>
      <c r="E16" s="123">
        <f t="shared" si="2"/>
        <v>1.9297176518383141</v>
      </c>
      <c r="F16" s="123">
        <f t="shared" si="2"/>
        <v>2.3316062176165886</v>
      </c>
      <c r="G16" s="123">
        <f t="shared" si="2"/>
        <v>2.6484907497565713</v>
      </c>
      <c r="H16" s="123">
        <f t="shared" si="2"/>
        <v>2.4283817112502382</v>
      </c>
      <c r="I16" s="124">
        <f t="shared" si="2"/>
        <v>0.9055602927690698</v>
      </c>
      <c r="J16" s="123">
        <f t="shared" ref="J16:N17" si="3">J75-$M$131</f>
        <v>1.1897086005385558</v>
      </c>
      <c r="K16" s="123">
        <f t="shared" si="3"/>
        <v>1.6583296548610158</v>
      </c>
      <c r="L16" s="123">
        <f t="shared" si="3"/>
        <v>2.2285069507160391</v>
      </c>
      <c r="M16" s="123">
        <f t="shared" si="3"/>
        <v>2.54185723655003</v>
      </c>
      <c r="N16" s="123">
        <f t="shared" si="3"/>
        <v>2.5255385644482184</v>
      </c>
      <c r="O16" s="125">
        <f>AVERAGE(J16:N16)</f>
        <v>2.0287882014227718</v>
      </c>
    </row>
    <row r="17" spans="2:15">
      <c r="B17" s="38" t="s">
        <v>38</v>
      </c>
      <c r="D17" s="126">
        <f t="shared" si="2"/>
        <v>2.1179401993355551</v>
      </c>
      <c r="E17" s="126">
        <f t="shared" si="2"/>
        <v>1.9520130134200731</v>
      </c>
      <c r="F17" s="126">
        <f t="shared" si="2"/>
        <v>2.0542481053051453</v>
      </c>
      <c r="G17" s="126">
        <f t="shared" si="2"/>
        <v>2.3255813953488413</v>
      </c>
      <c r="H17" s="126">
        <f t="shared" si="2"/>
        <v>2.1008403361344463</v>
      </c>
      <c r="I17" s="127">
        <f t="shared" si="2"/>
        <v>1.1302187488933413</v>
      </c>
      <c r="J17" s="126">
        <f t="shared" si="3"/>
        <v>1.3711250789755911</v>
      </c>
      <c r="K17" s="126">
        <f t="shared" si="3"/>
        <v>1.7693164961564842</v>
      </c>
      <c r="L17" s="126">
        <f t="shared" si="3"/>
        <v>2.2736241157989698</v>
      </c>
      <c r="M17" s="126">
        <f t="shared" si="3"/>
        <v>2.5252863405881318</v>
      </c>
      <c r="N17" s="126">
        <f t="shared" si="3"/>
        <v>2.5055023777159433</v>
      </c>
      <c r="O17" s="128">
        <f>AVERAGE(J17:N17)</f>
        <v>2.0889708818470241</v>
      </c>
    </row>
    <row r="18" spans="2:15" hidden="1">
      <c r="B18" s="38" t="s">
        <v>39</v>
      </c>
      <c r="I18" s="121"/>
      <c r="O18" s="122"/>
    </row>
    <row r="19" spans="2:15" ht="4.7" customHeight="1">
      <c r="B19" s="38"/>
      <c r="I19" s="121"/>
      <c r="O19" s="122"/>
    </row>
    <row r="20" spans="2:15">
      <c r="B20" s="27"/>
      <c r="I20" s="121"/>
      <c r="O20" s="122"/>
    </row>
    <row r="21" spans="2:15">
      <c r="B21" s="33" t="s">
        <v>122</v>
      </c>
      <c r="I21" s="121"/>
      <c r="O21" s="122"/>
    </row>
    <row r="22" spans="2:15">
      <c r="B22" s="34" t="s">
        <v>33</v>
      </c>
      <c r="D22" s="123">
        <f t="shared" ref="D22:I23" si="4">D70</f>
        <v>2.4822695035461084</v>
      </c>
      <c r="E22" s="123">
        <f t="shared" si="4"/>
        <v>2.8066128412149061</v>
      </c>
      <c r="F22" s="123">
        <f t="shared" si="4"/>
        <v>1.832460732984309</v>
      </c>
      <c r="G22" s="123">
        <f t="shared" si="4"/>
        <v>2.3687109805361706</v>
      </c>
      <c r="H22" s="123">
        <f t="shared" si="4"/>
        <v>2.2421524663677195</v>
      </c>
      <c r="I22" s="124">
        <f t="shared" si="4"/>
        <v>0.80827076643830154</v>
      </c>
      <c r="J22" s="123">
        <f t="shared" ref="J22:N23" si="5">J70-$M$126</f>
        <v>1.1975321922643301</v>
      </c>
      <c r="K22" s="123">
        <f t="shared" si="5"/>
        <v>1.6789817175526545</v>
      </c>
      <c r="L22" s="123">
        <f t="shared" si="5"/>
        <v>2.2902791686255219</v>
      </c>
      <c r="M22" s="123">
        <f t="shared" si="5"/>
        <v>2.8574142116662338</v>
      </c>
      <c r="N22" s="123">
        <f t="shared" si="5"/>
        <v>2.942937550374205</v>
      </c>
      <c r="O22" s="125">
        <f>AVERAGE(J22:N22)</f>
        <v>2.193428968096589</v>
      </c>
    </row>
    <row r="23" spans="2:15">
      <c r="B23" s="38" t="s">
        <v>34</v>
      </c>
      <c r="D23" s="126">
        <f t="shared" si="4"/>
        <v>1.5856672158155005</v>
      </c>
      <c r="E23" s="126">
        <f t="shared" si="4"/>
        <v>1.723089397932287</v>
      </c>
      <c r="F23" s="126">
        <f t="shared" si="4"/>
        <v>1.8732562774013584</v>
      </c>
      <c r="G23" s="126">
        <f t="shared" si="4"/>
        <v>1.8583724569640081</v>
      </c>
      <c r="H23" s="126">
        <f t="shared" si="4"/>
        <v>1.5171884002304514</v>
      </c>
      <c r="I23" s="127">
        <f t="shared" si="4"/>
        <v>0.67796902948120685</v>
      </c>
      <c r="J23" s="126">
        <f t="shared" si="5"/>
        <v>1.293569292790544</v>
      </c>
      <c r="K23" s="126">
        <f t="shared" si="5"/>
        <v>1.8147314752094101</v>
      </c>
      <c r="L23" s="126">
        <f t="shared" si="5"/>
        <v>2.4005068625368575</v>
      </c>
      <c r="M23" s="126">
        <f t="shared" si="5"/>
        <v>2.7993221687965053</v>
      </c>
      <c r="N23" s="126">
        <f t="shared" si="5"/>
        <v>2.8763572519643366</v>
      </c>
      <c r="O23" s="128">
        <f>AVERAGE(J23:N23)</f>
        <v>2.2368974102595307</v>
      </c>
    </row>
    <row r="24" spans="2:15" ht="4.5" customHeight="1" thickBot="1">
      <c r="B24" s="27"/>
      <c r="D24" s="39"/>
      <c r="E24" s="46"/>
      <c r="F24" s="46"/>
      <c r="G24" s="39"/>
      <c r="H24" s="39"/>
      <c r="I24" s="129"/>
      <c r="J24" s="39"/>
      <c r="K24" s="39"/>
      <c r="L24" s="39"/>
      <c r="M24" s="39"/>
      <c r="N24" s="39"/>
      <c r="O24" s="128"/>
    </row>
    <row r="25" spans="2:15" ht="4.7" customHeight="1">
      <c r="B25" s="47"/>
      <c r="D25" s="48"/>
      <c r="E25" s="48"/>
      <c r="F25" s="48"/>
      <c r="G25" s="48"/>
      <c r="H25" s="48"/>
      <c r="I25" s="130"/>
      <c r="J25" s="48"/>
      <c r="K25" s="48"/>
      <c r="L25" s="48"/>
      <c r="M25" s="48"/>
      <c r="N25" s="48"/>
      <c r="O25" s="131"/>
    </row>
    <row r="26" spans="2:15">
      <c r="B26" s="27" t="s">
        <v>40</v>
      </c>
      <c r="D26" s="39">
        <v>1.3807629300257585</v>
      </c>
      <c r="E26" s="39">
        <v>1.7082179132040354</v>
      </c>
      <c r="F26" s="39">
        <v>1.9291874716296009</v>
      </c>
      <c r="G26" s="39">
        <v>1.6477399242930346</v>
      </c>
      <c r="H26" s="39">
        <v>1.3362541073384415</v>
      </c>
      <c r="I26" s="129">
        <v>1.4607203767528665</v>
      </c>
      <c r="J26" s="39">
        <v>1.3235783326946748</v>
      </c>
      <c r="K26" s="39">
        <v>1.7742064698936799</v>
      </c>
      <c r="L26" s="39">
        <v>2.176168411609555</v>
      </c>
      <c r="M26" s="39">
        <v>2.176168411609555</v>
      </c>
      <c r="N26" s="39">
        <v>2.176168411609555</v>
      </c>
      <c r="O26" s="128">
        <f>AVERAGE(J26:N26)</f>
        <v>1.925258007483404</v>
      </c>
    </row>
    <row r="27" spans="2:15" ht="4.3499999999999996" customHeight="1" thickBot="1">
      <c r="B27" s="52"/>
      <c r="D27" s="46"/>
      <c r="E27" s="46"/>
      <c r="F27" s="46"/>
      <c r="G27" s="46"/>
      <c r="H27" s="46"/>
      <c r="I27" s="132"/>
      <c r="J27" s="46"/>
      <c r="K27" s="46"/>
      <c r="L27" s="46"/>
      <c r="M27" s="46"/>
      <c r="N27" s="46"/>
      <c r="O27" s="133"/>
    </row>
    <row r="28" spans="2:15" ht="6.2" customHeight="1">
      <c r="B28" s="27"/>
      <c r="D28" s="39"/>
      <c r="E28" s="39"/>
      <c r="F28" s="39"/>
      <c r="G28" s="39"/>
      <c r="H28" s="39"/>
      <c r="I28" s="129"/>
      <c r="J28" s="39"/>
      <c r="K28" s="39"/>
      <c r="L28" s="39"/>
      <c r="M28" s="39"/>
      <c r="N28" s="39"/>
      <c r="O28" s="128"/>
    </row>
    <row r="29" spans="2:15">
      <c r="B29" s="29" t="s">
        <v>41</v>
      </c>
      <c r="I29" s="121"/>
      <c r="O29" s="122"/>
    </row>
    <row r="30" spans="2:15" ht="4.3499999999999996" customHeight="1">
      <c r="B30" s="29"/>
      <c r="I30" s="121"/>
      <c r="O30" s="122"/>
    </row>
    <row r="31" spans="2:15">
      <c r="B31" s="33" t="s">
        <v>28</v>
      </c>
      <c r="I31" s="121"/>
      <c r="O31" s="122"/>
    </row>
    <row r="32" spans="2:15" ht="4.7" customHeight="1">
      <c r="B32" s="33"/>
      <c r="I32" s="121"/>
      <c r="O32" s="122"/>
    </row>
    <row r="33" spans="2:30">
      <c r="B33" s="34" t="s">
        <v>42</v>
      </c>
      <c r="D33" s="123">
        <f>D87</f>
        <v>1.8966151674962406</v>
      </c>
      <c r="E33" s="123">
        <f t="shared" ref="E33:I34" si="6">E87</f>
        <v>1.1942588669817011</v>
      </c>
      <c r="F33" s="123">
        <f t="shared" si="6"/>
        <v>0.8538136566141219</v>
      </c>
      <c r="G33" s="123">
        <f t="shared" si="6"/>
        <v>1.3555423588042181</v>
      </c>
      <c r="H33" s="123">
        <f t="shared" si="6"/>
        <v>1.9290280459986375</v>
      </c>
      <c r="I33" s="161">
        <f t="shared" si="6"/>
        <v>0.75050233963260826</v>
      </c>
      <c r="J33" s="162">
        <f>J87-$M$121</f>
        <v>0.8137498473678213</v>
      </c>
      <c r="K33" s="162">
        <f t="shared" ref="K33:N34" si="7">K87-$M$121</f>
        <v>0.61787744939690148</v>
      </c>
      <c r="L33" s="162">
        <f t="shared" si="7"/>
        <v>0.61879024017454531</v>
      </c>
      <c r="M33" s="162">
        <f t="shared" si="7"/>
        <v>0.86329731549450051</v>
      </c>
      <c r="N33" s="162">
        <f t="shared" si="7"/>
        <v>0.8621354394782581</v>
      </c>
      <c r="O33" s="163">
        <f>AVERAGE(J33:N33)</f>
        <v>0.75517005838240536</v>
      </c>
    </row>
    <row r="34" spans="2:30">
      <c r="B34" s="38" t="s">
        <v>43</v>
      </c>
      <c r="D34" s="126">
        <f>D88</f>
        <v>1.0283918581693863</v>
      </c>
      <c r="E34" s="126">
        <f t="shared" si="6"/>
        <v>0.4874299989700237</v>
      </c>
      <c r="F34" s="126">
        <f t="shared" si="6"/>
        <v>4.6642184998058056E-2</v>
      </c>
      <c r="G34" s="126">
        <f t="shared" si="6"/>
        <v>1.1363082322156215</v>
      </c>
      <c r="H34" s="126">
        <f t="shared" si="6"/>
        <v>1.3174794212120977</v>
      </c>
      <c r="I34" s="127">
        <f t="shared" si="6"/>
        <v>0.42430563578248481</v>
      </c>
      <c r="J34" s="126">
        <f>J88-$M$121</f>
        <v>0.57357253053611901</v>
      </c>
      <c r="K34" s="126">
        <f t="shared" si="7"/>
        <v>0.42804131356948677</v>
      </c>
      <c r="L34" s="126">
        <f t="shared" si="7"/>
        <v>0.49505903006665403</v>
      </c>
      <c r="M34" s="126">
        <f t="shared" si="7"/>
        <v>0.76026881702319793</v>
      </c>
      <c r="N34" s="126">
        <f t="shared" si="7"/>
        <v>0.73853150817250901</v>
      </c>
      <c r="O34" s="128">
        <f>AVERAGE(J34:N34)</f>
        <v>0.59909463987359335</v>
      </c>
    </row>
    <row r="35" spans="2:30" hidden="1">
      <c r="B35" s="38" t="s">
        <v>44</v>
      </c>
      <c r="I35" s="121"/>
      <c r="O35" s="122"/>
    </row>
    <row r="36" spans="2:30" ht="4.7" customHeight="1">
      <c r="B36" s="27"/>
      <c r="I36" s="121"/>
      <c r="O36" s="122"/>
    </row>
    <row r="37" spans="2:30">
      <c r="B37" s="33" t="s">
        <v>121</v>
      </c>
      <c r="I37" s="121"/>
      <c r="O37" s="122"/>
    </row>
    <row r="38" spans="2:30">
      <c r="B38" s="34" t="s">
        <v>102</v>
      </c>
      <c r="D38" s="123">
        <f t="shared" ref="D38:I39" si="8">D97</f>
        <v>0.96850941924659928</v>
      </c>
      <c r="E38" s="123">
        <f t="shared" si="8"/>
        <v>0.22149973863427874</v>
      </c>
      <c r="F38" s="123">
        <f t="shared" si="8"/>
        <v>0.40241874598698768</v>
      </c>
      <c r="G38" s="123">
        <f t="shared" si="8"/>
        <v>1.0007508254635367</v>
      </c>
      <c r="H38" s="123">
        <f t="shared" si="8"/>
        <v>1.0921276039117966</v>
      </c>
      <c r="I38" s="124">
        <f t="shared" si="8"/>
        <v>-0.55516008398379668</v>
      </c>
      <c r="J38" s="123">
        <f t="shared" ref="J38:N39" si="9">J97-$M$131</f>
        <v>-0.13386973215611903</v>
      </c>
      <c r="K38" s="123">
        <f t="shared" si="9"/>
        <v>-0.11587681503266406</v>
      </c>
      <c r="L38" s="123">
        <f t="shared" si="9"/>
        <v>5.2338539106484172E-2</v>
      </c>
      <c r="M38" s="123">
        <f t="shared" si="9"/>
        <v>0.36568882494047511</v>
      </c>
      <c r="N38" s="123">
        <f t="shared" si="9"/>
        <v>0.34937015283866352</v>
      </c>
      <c r="O38" s="125">
        <f>AVERAGE(J38:N38)</f>
        <v>0.10353019393936794</v>
      </c>
    </row>
    <row r="39" spans="2:30">
      <c r="B39" s="38" t="s">
        <v>38</v>
      </c>
      <c r="D39" s="126">
        <f t="shared" si="8"/>
        <v>0.73717726930979666</v>
      </c>
      <c r="E39" s="126">
        <f t="shared" si="8"/>
        <v>0.24379510021603767</v>
      </c>
      <c r="F39" s="126">
        <f t="shared" si="8"/>
        <v>0.12506063367554443</v>
      </c>
      <c r="G39" s="126">
        <f t="shared" si="8"/>
        <v>0.67784147105580672</v>
      </c>
      <c r="H39" s="126">
        <f t="shared" si="8"/>
        <v>0.7645862287960048</v>
      </c>
      <c r="I39" s="127">
        <f t="shared" si="8"/>
        <v>-0.33050162785952519</v>
      </c>
      <c r="J39" s="126">
        <f t="shared" si="9"/>
        <v>4.7546746280916319E-2</v>
      </c>
      <c r="K39" s="126">
        <f t="shared" si="9"/>
        <v>-4.8899737371956298E-3</v>
      </c>
      <c r="L39" s="126">
        <f t="shared" si="9"/>
        <v>9.7455704189414905E-2</v>
      </c>
      <c r="M39" s="126">
        <f t="shared" si="9"/>
        <v>0.34911792897857691</v>
      </c>
      <c r="N39" s="126">
        <f t="shared" si="9"/>
        <v>0.32933396610638838</v>
      </c>
      <c r="O39" s="128">
        <f>AVERAGE(J39:N39)</f>
        <v>0.16371287436362017</v>
      </c>
    </row>
    <row r="40" spans="2:30" hidden="1">
      <c r="Q40" s="38" t="s">
        <v>47</v>
      </c>
      <c r="X40" s="121"/>
      <c r="AD40" s="122"/>
    </row>
    <row r="41" spans="2:30" ht="4.5" customHeight="1">
      <c r="B41" s="38"/>
      <c r="I41" s="121"/>
      <c r="AD41" s="122"/>
    </row>
    <row r="42" spans="2:30">
      <c r="B42" s="33" t="s">
        <v>122</v>
      </c>
      <c r="I42" s="121"/>
      <c r="O42" s="122"/>
    </row>
    <row r="43" spans="2:30">
      <c r="B43" s="34" t="s">
        <v>45</v>
      </c>
      <c r="D43" s="123">
        <f t="shared" ref="D43:I44" si="10">D92</f>
        <v>1.10150657352035</v>
      </c>
      <c r="E43" s="123">
        <f t="shared" si="10"/>
        <v>1.0983949280108707</v>
      </c>
      <c r="F43" s="123">
        <f t="shared" si="10"/>
        <v>-9.672673864529191E-2</v>
      </c>
      <c r="G43" s="123">
        <f t="shared" si="10"/>
        <v>0.72097105624313595</v>
      </c>
      <c r="H43" s="182">
        <f t="shared" si="10"/>
        <v>0.90589835902927796</v>
      </c>
      <c r="I43" s="183">
        <f t="shared" si="10"/>
        <v>-0.65244961031456494</v>
      </c>
      <c r="J43" s="182">
        <f t="shared" ref="J43:N44" si="11">J92-$M$126</f>
        <v>-0.1260461404303449</v>
      </c>
      <c r="K43" s="182">
        <f t="shared" si="11"/>
        <v>-9.5224752341025565E-2</v>
      </c>
      <c r="L43" s="182">
        <f t="shared" si="11"/>
        <v>0.11411075701596685</v>
      </c>
      <c r="M43" s="182">
        <f t="shared" si="11"/>
        <v>0.68124580005667867</v>
      </c>
      <c r="N43" s="182">
        <f t="shared" si="11"/>
        <v>0.76676913876464992</v>
      </c>
      <c r="O43" s="184">
        <f>AVERAGE(J43:N43)</f>
        <v>0.26817096061318502</v>
      </c>
    </row>
    <row r="44" spans="2:30">
      <c r="B44" s="38" t="s">
        <v>46</v>
      </c>
      <c r="D44" s="126">
        <f t="shared" si="10"/>
        <v>0.20490428578974207</v>
      </c>
      <c r="E44" s="126">
        <f t="shared" si="10"/>
        <v>1.4871484728251616E-2</v>
      </c>
      <c r="F44" s="126">
        <f t="shared" si="10"/>
        <v>-5.5931194228242553E-2</v>
      </c>
      <c r="G44" s="126">
        <f t="shared" si="10"/>
        <v>0.21063253267097348</v>
      </c>
      <c r="H44" s="126">
        <f t="shared" si="10"/>
        <v>0.18093429289200991</v>
      </c>
      <c r="I44" s="127">
        <f t="shared" si="10"/>
        <v>-0.78275134727165963</v>
      </c>
      <c r="J44" s="126">
        <f t="shared" si="11"/>
        <v>-3.0009039904130952E-2</v>
      </c>
      <c r="K44" s="126">
        <f t="shared" si="11"/>
        <v>4.0525005315730112E-2</v>
      </c>
      <c r="L44" s="126">
        <f t="shared" si="11"/>
        <v>0.22433845092730242</v>
      </c>
      <c r="M44" s="126">
        <f t="shared" si="11"/>
        <v>0.62315375718695021</v>
      </c>
      <c r="N44" s="126">
        <f t="shared" si="11"/>
        <v>0.70018884035478146</v>
      </c>
      <c r="O44" s="128">
        <f>AVERAGE(J44:N44)</f>
        <v>0.31163940277612667</v>
      </c>
    </row>
    <row r="45" spans="2:30" hidden="1">
      <c r="B45" s="38" t="s">
        <v>39</v>
      </c>
      <c r="I45" s="121"/>
      <c r="O45" s="122"/>
    </row>
    <row r="46" spans="2:30" ht="4.7" customHeight="1" thickBot="1">
      <c r="B46" s="61"/>
      <c r="C46" s="62"/>
      <c r="D46" s="39"/>
      <c r="E46" s="39"/>
      <c r="F46" s="46"/>
      <c r="G46" s="46"/>
      <c r="H46" s="46"/>
      <c r="I46" s="132"/>
      <c r="J46" s="46"/>
      <c r="K46" s="39"/>
      <c r="L46" s="39"/>
      <c r="M46" s="39"/>
      <c r="N46" s="39"/>
      <c r="O46" s="133"/>
    </row>
    <row r="47" spans="2:30" ht="15.2" customHeight="1">
      <c r="B47" s="63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64" t="s">
        <v>49</v>
      </c>
    </row>
    <row r="48" spans="2:30">
      <c r="B48" s="193" t="s">
        <v>50</v>
      </c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</row>
    <row r="49" spans="2:19" ht="26.85" customHeight="1">
      <c r="B49" s="190" t="s">
        <v>103</v>
      </c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12"/>
      <c r="P49" s="112"/>
      <c r="Q49" s="112"/>
      <c r="R49" s="112"/>
      <c r="S49" s="112"/>
    </row>
    <row r="50" spans="2:19">
      <c r="B50" s="191" t="s">
        <v>104</v>
      </c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11"/>
      <c r="P50" s="111"/>
      <c r="Q50" s="111"/>
      <c r="R50" s="111"/>
      <c r="S50" s="111"/>
    </row>
    <row r="51" spans="2:19" ht="39.950000000000003" customHeight="1">
      <c r="B51" s="192" t="s">
        <v>51</v>
      </c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13"/>
      <c r="P51" s="113"/>
      <c r="Q51" s="113"/>
      <c r="R51" s="113"/>
      <c r="S51" s="113"/>
    </row>
    <row r="52" spans="2:19">
      <c r="B52" s="193" t="s">
        <v>52</v>
      </c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</row>
    <row r="53" spans="2:19">
      <c r="B53" s="193" t="s">
        <v>53</v>
      </c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</row>
    <row r="54" spans="2:19">
      <c r="B54" s="13"/>
      <c r="O54" s="14"/>
    </row>
    <row r="55" spans="2:19">
      <c r="B55" s="134" t="s">
        <v>105</v>
      </c>
    </row>
    <row r="56" spans="2:19">
      <c r="B56" s="135"/>
    </row>
    <row r="57" spans="2:19" ht="15" customHeight="1">
      <c r="B57" s="15" t="s">
        <v>106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7"/>
      <c r="Q57" s="17"/>
    </row>
    <row r="58" spans="2:19" ht="15" customHeight="1" thickBot="1">
      <c r="B58" s="18" t="s">
        <v>10</v>
      </c>
      <c r="P58" s="17"/>
      <c r="Q58" s="17"/>
    </row>
    <row r="59" spans="2:19" s="136" customFormat="1" ht="20.25" customHeight="1" thickBot="1">
      <c r="B59" s="20"/>
      <c r="C59" s="21" t="s">
        <v>11</v>
      </c>
      <c r="D59" s="22" t="s">
        <v>12</v>
      </c>
      <c r="E59" s="22" t="s">
        <v>13</v>
      </c>
      <c r="F59" s="22" t="s">
        <v>14</v>
      </c>
      <c r="G59" s="22" t="s">
        <v>15</v>
      </c>
      <c r="H59" s="23" t="s">
        <v>16</v>
      </c>
      <c r="I59" s="22" t="s">
        <v>17</v>
      </c>
      <c r="J59" s="24" t="s">
        <v>18</v>
      </c>
      <c r="K59" s="22" t="s">
        <v>19</v>
      </c>
      <c r="L59" s="22" t="s">
        <v>20</v>
      </c>
      <c r="M59" s="22" t="s">
        <v>21</v>
      </c>
      <c r="N59" s="22" t="s">
        <v>22</v>
      </c>
      <c r="O59" s="25" t="s">
        <v>23</v>
      </c>
      <c r="P59" s="26"/>
      <c r="Q59" s="17"/>
      <c r="R59" s="19"/>
    </row>
    <row r="60" spans="2:19" ht="15">
      <c r="B60" s="27"/>
      <c r="C60" s="137"/>
      <c r="D60" s="116"/>
      <c r="E60" s="116"/>
      <c r="F60" s="117" t="s">
        <v>24</v>
      </c>
      <c r="G60" s="116"/>
      <c r="H60" s="138"/>
      <c r="I60" s="139" t="s">
        <v>25</v>
      </c>
      <c r="J60" s="140" t="s">
        <v>26</v>
      </c>
      <c r="K60" s="119"/>
      <c r="L60" s="119"/>
      <c r="M60" s="119"/>
      <c r="N60" s="141"/>
      <c r="O60" s="28"/>
      <c r="P60" s="17"/>
      <c r="Q60" s="17"/>
    </row>
    <row r="61" spans="2:19">
      <c r="B61" s="29" t="s">
        <v>27</v>
      </c>
      <c r="H61" s="30"/>
      <c r="J61" s="31"/>
      <c r="O61" s="32"/>
      <c r="P61" s="17"/>
      <c r="Q61" s="17"/>
    </row>
    <row r="62" spans="2:19" ht="4.5" customHeight="1">
      <c r="B62" s="29"/>
      <c r="H62" s="30"/>
      <c r="J62" s="31"/>
      <c r="O62" s="32"/>
      <c r="P62" s="17"/>
      <c r="Q62" s="17"/>
    </row>
    <row r="63" spans="2:19">
      <c r="B63" s="33" t="s">
        <v>28</v>
      </c>
      <c r="H63" s="30"/>
      <c r="J63" s="31"/>
      <c r="O63" s="32"/>
      <c r="P63" s="17"/>
      <c r="Q63" s="17"/>
    </row>
    <row r="64" spans="2:19" ht="6.75" customHeight="1">
      <c r="B64" s="33"/>
      <c r="H64" s="30"/>
      <c r="J64" s="31"/>
      <c r="O64" s="32"/>
      <c r="P64" s="17"/>
      <c r="Q64" s="17"/>
    </row>
    <row r="65" spans="2:18" ht="18" customHeight="1">
      <c r="B65" s="34" t="s">
        <v>29</v>
      </c>
      <c r="C65" s="35">
        <v>3.5167563094745447</v>
      </c>
      <c r="D65" s="35">
        <v>3.277378097521999</v>
      </c>
      <c r="E65" s="35">
        <v>2.9024767801857365</v>
      </c>
      <c r="F65" s="35">
        <v>2.7830011282437228</v>
      </c>
      <c r="G65" s="35">
        <v>3.0032822830972528</v>
      </c>
      <c r="H65" s="36">
        <v>3.2652821533370791</v>
      </c>
      <c r="I65" s="35">
        <v>2.2112227163854747</v>
      </c>
      <c r="J65" s="37">
        <v>2.4404531800624962</v>
      </c>
      <c r="K65" s="35">
        <v>2.6952089192905815</v>
      </c>
      <c r="L65" s="35">
        <v>3.0980836517841004</v>
      </c>
      <c r="M65" s="35">
        <v>3.3425907271040556</v>
      </c>
      <c r="N65" s="35">
        <v>3.3414288510878132</v>
      </c>
      <c r="O65" s="45">
        <f>AVERAGE(J65:N65)</f>
        <v>2.9835530658658094</v>
      </c>
      <c r="P65" s="17"/>
      <c r="Q65" s="17"/>
    </row>
    <row r="66" spans="2:18" ht="20.25" customHeight="1">
      <c r="B66" s="38" t="s">
        <v>30</v>
      </c>
      <c r="C66" s="39">
        <v>2.8494734668593757</v>
      </c>
      <c r="D66" s="39">
        <v>2.4091547881951447</v>
      </c>
      <c r="E66" s="39">
        <v>2.1956479121740591</v>
      </c>
      <c r="F66" s="39">
        <v>1.975829656627659</v>
      </c>
      <c r="G66" s="39">
        <v>2.7840481565086561</v>
      </c>
      <c r="H66" s="40">
        <v>2.6537335285505392</v>
      </c>
      <c r="I66" s="39">
        <v>1.8850260125353513</v>
      </c>
      <c r="J66" s="41">
        <v>2.2002758632307939</v>
      </c>
      <c r="K66" s="39">
        <v>2.5053727834631667</v>
      </c>
      <c r="L66" s="39">
        <v>2.974352441676209</v>
      </c>
      <c r="M66" s="39">
        <v>3.239562228632753</v>
      </c>
      <c r="N66" s="39">
        <v>3.2178249197820641</v>
      </c>
      <c r="O66" s="42">
        <f>AVERAGE(J66:N66)</f>
        <v>2.8274776473569974</v>
      </c>
      <c r="P66" s="17"/>
      <c r="Q66" s="17"/>
    </row>
    <row r="67" spans="2:18">
      <c r="B67" s="38" t="s">
        <v>31</v>
      </c>
      <c r="C67" s="39">
        <v>0.67508677502716719</v>
      </c>
      <c r="D67" s="39">
        <v>3.5494870178689242</v>
      </c>
      <c r="E67" s="39">
        <v>4.2748707418136522</v>
      </c>
      <c r="F67" s="39">
        <v>2.3047600292578574</v>
      </c>
      <c r="G67" s="39">
        <v>1.3268161225345576</v>
      </c>
      <c r="H67" s="40">
        <v>2.9194455563772648</v>
      </c>
      <c r="I67" s="39">
        <v>2.2955291815906831</v>
      </c>
      <c r="J67" s="41">
        <v>2.4891697257129364</v>
      </c>
      <c r="K67" s="39">
        <v>2.6857285218762295</v>
      </c>
      <c r="L67" s="39">
        <v>3.1329022283579588</v>
      </c>
      <c r="M67" s="39">
        <v>3.3770546447714711</v>
      </c>
      <c r="N67" s="39">
        <v>3.4976726575318917</v>
      </c>
      <c r="O67" s="42">
        <f>AVERAGE(J67:N67)</f>
        <v>3.0365055556500975</v>
      </c>
      <c r="P67" s="17"/>
      <c r="Q67" s="17"/>
    </row>
    <row r="68" spans="2:18" ht="7.5" customHeight="1">
      <c r="B68" s="27"/>
      <c r="C68" s="39"/>
      <c r="D68" s="39"/>
      <c r="E68" s="39"/>
      <c r="F68" s="39"/>
      <c r="G68" s="39"/>
      <c r="H68" s="40"/>
      <c r="I68" s="39"/>
      <c r="J68" s="41"/>
      <c r="K68" s="39"/>
      <c r="L68" s="39"/>
      <c r="M68" s="39"/>
      <c r="N68" s="39"/>
      <c r="O68" s="42"/>
      <c r="P68" s="17"/>
      <c r="Q68" s="17"/>
    </row>
    <row r="69" spans="2:18">
      <c r="B69" s="33" t="s">
        <v>32</v>
      </c>
      <c r="C69" s="35"/>
      <c r="D69" s="35"/>
      <c r="E69" s="35"/>
      <c r="F69" s="35"/>
      <c r="G69" s="35"/>
      <c r="H69" s="36"/>
      <c r="I69" s="35"/>
      <c r="J69" s="37"/>
      <c r="K69" s="35"/>
      <c r="L69" s="35"/>
      <c r="M69" s="35"/>
      <c r="N69" s="35"/>
      <c r="O69" s="42"/>
      <c r="P69" s="43"/>
      <c r="Q69" s="44"/>
    </row>
    <row r="70" spans="2:18" ht="21" customHeight="1">
      <c r="B70" s="34" t="s">
        <v>33</v>
      </c>
      <c r="C70" s="35">
        <v>3.024152628374277</v>
      </c>
      <c r="D70" s="35">
        <v>2.4822695035461084</v>
      </c>
      <c r="E70" s="35">
        <v>2.8066128412149061</v>
      </c>
      <c r="F70" s="35">
        <v>1.832460732984309</v>
      </c>
      <c r="G70" s="35">
        <v>2.3687109805361706</v>
      </c>
      <c r="H70" s="36">
        <v>2.2421524663677195</v>
      </c>
      <c r="I70" s="35">
        <v>0.80827076643830154</v>
      </c>
      <c r="J70" s="37">
        <v>1.5125571922643299</v>
      </c>
      <c r="K70" s="35">
        <v>1.9940067175526544</v>
      </c>
      <c r="L70" s="35">
        <v>2.6053041686255218</v>
      </c>
      <c r="M70" s="35">
        <v>3.1724392116662337</v>
      </c>
      <c r="N70" s="35">
        <v>3.2579625503742049</v>
      </c>
      <c r="O70" s="45">
        <f>AVERAGE(J70:N70)</f>
        <v>2.5084539680965889</v>
      </c>
      <c r="P70" s="43"/>
      <c r="Q70" s="17"/>
    </row>
    <row r="71" spans="2:18" ht="22.5" customHeight="1">
      <c r="B71" s="38" t="s">
        <v>34</v>
      </c>
      <c r="C71" s="39">
        <v>2.1026072329688894</v>
      </c>
      <c r="D71" s="39">
        <v>1.5856672158155005</v>
      </c>
      <c r="E71" s="39">
        <v>1.723089397932287</v>
      </c>
      <c r="F71" s="39">
        <v>1.8732562774013584</v>
      </c>
      <c r="G71" s="39">
        <v>1.8583724569640081</v>
      </c>
      <c r="H71" s="40">
        <v>1.5171884002304514</v>
      </c>
      <c r="I71" s="39">
        <v>0.67796902948120685</v>
      </c>
      <c r="J71" s="41">
        <v>1.6085942927905439</v>
      </c>
      <c r="K71" s="39">
        <v>2.12975647520941</v>
      </c>
      <c r="L71" s="39">
        <v>2.7155318625368574</v>
      </c>
      <c r="M71" s="39">
        <v>3.1143471687965052</v>
      </c>
      <c r="N71" s="39">
        <v>3.1913822519643364</v>
      </c>
      <c r="O71" s="42">
        <f>AVERAGE(J71:N71)</f>
        <v>2.5519224102595306</v>
      </c>
      <c r="P71" s="43"/>
      <c r="Q71" s="44"/>
    </row>
    <row r="72" spans="2:18">
      <c r="B72" s="38" t="s">
        <v>35</v>
      </c>
      <c r="C72" s="39">
        <v>2.2139552547990604</v>
      </c>
      <c r="D72" s="39">
        <v>1.4060006248891588</v>
      </c>
      <c r="E72" s="39">
        <v>2.2200756124777454</v>
      </c>
      <c r="F72" s="39">
        <v>0.99061522419185977</v>
      </c>
      <c r="G72" s="39">
        <v>-0.58160170366544639</v>
      </c>
      <c r="H72" s="40">
        <v>7.2448010904930804</v>
      </c>
      <c r="I72" s="39">
        <v>3.6322048803958618</v>
      </c>
      <c r="J72" s="41">
        <v>2.4308160422148894</v>
      </c>
      <c r="K72" s="39">
        <v>2.5029591544138752</v>
      </c>
      <c r="L72" s="39">
        <v>3.1944523288092608</v>
      </c>
      <c r="M72" s="39">
        <v>3.4086090999705831</v>
      </c>
      <c r="N72" s="39">
        <v>3.4268684627542845</v>
      </c>
      <c r="O72" s="42">
        <f>AVERAGE(J72:N72)</f>
        <v>2.9927410176325786</v>
      </c>
      <c r="P72" s="43"/>
      <c r="Q72" s="44"/>
    </row>
    <row r="73" spans="2:18" ht="8.25" customHeight="1">
      <c r="B73" s="38"/>
      <c r="C73" s="39"/>
      <c r="D73" s="39"/>
      <c r="E73" s="39"/>
      <c r="F73" s="39"/>
      <c r="G73" s="39"/>
      <c r="H73" s="40"/>
      <c r="I73" s="39"/>
      <c r="J73" s="41"/>
      <c r="K73" s="39"/>
      <c r="L73" s="39"/>
      <c r="M73" s="39"/>
      <c r="N73" s="39"/>
      <c r="O73" s="42"/>
      <c r="P73" s="43"/>
      <c r="Q73" s="44"/>
    </row>
    <row r="74" spans="2:18" ht="12" customHeight="1">
      <c r="B74" s="33" t="s">
        <v>36</v>
      </c>
      <c r="C74" s="39"/>
      <c r="D74" s="39"/>
      <c r="E74" s="39"/>
      <c r="F74" s="39"/>
      <c r="G74" s="39"/>
      <c r="H74" s="40"/>
      <c r="I74" s="39"/>
      <c r="J74" s="41"/>
      <c r="K74" s="39"/>
      <c r="L74" s="39"/>
      <c r="M74" s="39"/>
      <c r="N74" s="39"/>
      <c r="O74" s="42"/>
      <c r="P74" s="43"/>
      <c r="Q74" s="44"/>
    </row>
    <row r="75" spans="2:18" ht="21" customHeight="1">
      <c r="B75" s="34" t="s">
        <v>37</v>
      </c>
      <c r="C75" s="35">
        <v>2.6900085397096651</v>
      </c>
      <c r="D75" s="35">
        <v>2.3492723492723577</v>
      </c>
      <c r="E75" s="35">
        <v>1.9297176518383141</v>
      </c>
      <c r="F75" s="35">
        <v>2.3316062176165886</v>
      </c>
      <c r="G75" s="35">
        <v>2.6484907497565713</v>
      </c>
      <c r="H75" s="36">
        <v>2.4283817112502382</v>
      </c>
      <c r="I75" s="35">
        <v>0.9055602927690698</v>
      </c>
      <c r="J75" s="37">
        <v>1.589715783543566</v>
      </c>
      <c r="K75" s="35">
        <v>2.0583368378660261</v>
      </c>
      <c r="L75" s="35">
        <v>2.6285141337210494</v>
      </c>
      <c r="M75" s="35">
        <v>2.9418644195550403</v>
      </c>
      <c r="N75" s="35">
        <v>2.9255457474532287</v>
      </c>
      <c r="O75" s="45">
        <f>AVERAGE(J75:N75)</f>
        <v>2.4287953844277821</v>
      </c>
      <c r="P75" s="43"/>
      <c r="Q75" s="17"/>
    </row>
    <row r="76" spans="2:18" ht="18" customHeight="1">
      <c r="B76" s="38" t="s">
        <v>38</v>
      </c>
      <c r="C76" s="39">
        <v>2.4027216670210461</v>
      </c>
      <c r="D76" s="39">
        <v>2.1179401993355551</v>
      </c>
      <c r="E76" s="39">
        <v>1.9520130134200731</v>
      </c>
      <c r="F76" s="39">
        <v>2.0542481053051453</v>
      </c>
      <c r="G76" s="39">
        <v>2.3255813953488413</v>
      </c>
      <c r="H76" s="40">
        <v>2.1008403361344463</v>
      </c>
      <c r="I76" s="39">
        <v>1.1302187488933413</v>
      </c>
      <c r="J76" s="41">
        <v>1.7711322619806014</v>
      </c>
      <c r="K76" s="39">
        <v>2.1693236791614945</v>
      </c>
      <c r="L76" s="39">
        <v>2.6736312988039801</v>
      </c>
      <c r="M76" s="39">
        <v>2.9252935235931421</v>
      </c>
      <c r="N76" s="39">
        <v>2.9055095607209536</v>
      </c>
      <c r="O76" s="42">
        <f>AVERAGE(J76:N76)</f>
        <v>2.4889780648520343</v>
      </c>
      <c r="P76" s="43"/>
      <c r="Q76" s="44"/>
    </row>
    <row r="77" spans="2:18">
      <c r="B77" s="38" t="s">
        <v>39</v>
      </c>
      <c r="C77" s="39">
        <v>2.4299442354208001</v>
      </c>
      <c r="D77" s="39">
        <v>1.8769903713234282</v>
      </c>
      <c r="E77" s="39">
        <v>2.0452103084955597</v>
      </c>
      <c r="F77" s="39">
        <v>2.4292712944014694</v>
      </c>
      <c r="G77" s="39">
        <v>2.6571085667635996</v>
      </c>
      <c r="H77" s="40">
        <v>3.8599908160726004</v>
      </c>
      <c r="I77" s="39">
        <v>3.4258790961050112</v>
      </c>
      <c r="J77" s="41">
        <v>2.0157762792296197</v>
      </c>
      <c r="K77" s="39">
        <v>2.4807123283069998</v>
      </c>
      <c r="L77" s="39">
        <v>3.0424704293999572</v>
      </c>
      <c r="M77" s="39">
        <v>3.215944040647134</v>
      </c>
      <c r="N77" s="39">
        <v>3.4102809037273696</v>
      </c>
      <c r="O77" s="42">
        <f>AVERAGE(J77:N77)</f>
        <v>2.8330367962622161</v>
      </c>
      <c r="P77" s="43"/>
      <c r="Q77" s="44"/>
    </row>
    <row r="78" spans="2:18" ht="6.75" customHeight="1" thickBot="1">
      <c r="B78" s="27"/>
      <c r="C78" s="39"/>
      <c r="D78" s="39"/>
      <c r="E78" s="46"/>
      <c r="F78" s="46"/>
      <c r="G78" s="39"/>
      <c r="H78" s="40"/>
      <c r="I78" s="39"/>
      <c r="J78" s="41"/>
      <c r="K78" s="39"/>
      <c r="L78" s="39"/>
      <c r="M78" s="39"/>
      <c r="N78" s="39"/>
      <c r="O78" s="42"/>
      <c r="P78" s="43"/>
      <c r="Q78" s="44"/>
    </row>
    <row r="79" spans="2:18" ht="5.25" customHeight="1">
      <c r="B79" s="47"/>
      <c r="C79" s="48"/>
      <c r="D79" s="48"/>
      <c r="E79" s="48"/>
      <c r="F79" s="48"/>
      <c r="G79" s="48"/>
      <c r="H79" s="49"/>
      <c r="I79" s="48"/>
      <c r="J79" s="50"/>
      <c r="K79" s="48"/>
      <c r="L79" s="48"/>
      <c r="M79" s="48"/>
      <c r="N79" s="48"/>
      <c r="O79" s="51"/>
      <c r="P79" s="43"/>
      <c r="Q79" s="44"/>
    </row>
    <row r="80" spans="2:18" ht="15">
      <c r="B80" s="27" t="s">
        <v>40</v>
      </c>
      <c r="C80" s="39">
        <v>1.7138776481790075</v>
      </c>
      <c r="D80" s="39">
        <v>1.3807629300257585</v>
      </c>
      <c r="E80" s="39">
        <v>1.7082179132040354</v>
      </c>
      <c r="F80" s="39">
        <v>1.9291874716296009</v>
      </c>
      <c r="G80" s="39">
        <v>1.6477399242930346</v>
      </c>
      <c r="H80" s="40">
        <v>1.3362541073384415</v>
      </c>
      <c r="I80" s="39">
        <v>1.4607203767528665</v>
      </c>
      <c r="J80" s="41">
        <v>1.3235783326946748</v>
      </c>
      <c r="K80" s="39">
        <v>1.7742064698936799</v>
      </c>
      <c r="L80" s="39">
        <v>2.176168411609555</v>
      </c>
      <c r="M80" s="39">
        <v>2.176168411609555</v>
      </c>
      <c r="N80" s="39">
        <v>2.176168411609555</v>
      </c>
      <c r="O80" s="42">
        <f>AVERAGE(J80:N80)</f>
        <v>1.925258007483404</v>
      </c>
      <c r="P80" s="43"/>
      <c r="Q80" s="43"/>
      <c r="R80" s="142"/>
    </row>
    <row r="81" spans="2:17" ht="3.75" customHeight="1" thickBot="1">
      <c r="B81" s="52"/>
      <c r="C81" s="46"/>
      <c r="D81" s="46"/>
      <c r="E81" s="46"/>
      <c r="F81" s="46"/>
      <c r="G81" s="46"/>
      <c r="H81" s="53"/>
      <c r="I81" s="46"/>
      <c r="J81" s="54"/>
      <c r="K81" s="46"/>
      <c r="L81" s="46"/>
      <c r="M81" s="46"/>
      <c r="N81" s="46"/>
      <c r="O81" s="55"/>
      <c r="P81" s="43"/>
      <c r="Q81" s="17"/>
    </row>
    <row r="82" spans="2:17" ht="3.75" customHeight="1">
      <c r="B82" s="27"/>
      <c r="C82" s="39"/>
      <c r="D82" s="39"/>
      <c r="E82" s="39"/>
      <c r="F82" s="39"/>
      <c r="G82" s="39"/>
      <c r="H82" s="40"/>
      <c r="I82" s="39"/>
      <c r="J82" s="41"/>
      <c r="K82" s="39"/>
      <c r="L82" s="39"/>
      <c r="M82" s="39"/>
      <c r="N82" s="39"/>
      <c r="O82" s="42"/>
      <c r="P82" s="43"/>
      <c r="Q82" s="17"/>
    </row>
    <row r="83" spans="2:17">
      <c r="B83" s="29" t="s">
        <v>41</v>
      </c>
      <c r="C83" s="56"/>
      <c r="D83" s="57"/>
      <c r="E83" s="57"/>
      <c r="F83" s="57"/>
      <c r="G83" s="57"/>
      <c r="H83" s="58"/>
      <c r="I83" s="57"/>
      <c r="J83" s="59"/>
      <c r="K83" s="57"/>
      <c r="L83" s="57"/>
      <c r="M83" s="57"/>
      <c r="N83" s="57"/>
      <c r="O83" s="42"/>
      <c r="P83" s="17"/>
      <c r="Q83" s="17"/>
    </row>
    <row r="84" spans="2:17" ht="6" customHeight="1">
      <c r="B84" s="29"/>
      <c r="C84" s="56"/>
      <c r="D84" s="57"/>
      <c r="E84" s="57"/>
      <c r="F84" s="57"/>
      <c r="G84" s="57"/>
      <c r="H84" s="58"/>
      <c r="I84" s="57"/>
      <c r="J84" s="59"/>
      <c r="K84" s="57"/>
      <c r="L84" s="57"/>
      <c r="M84" s="57"/>
      <c r="N84" s="57"/>
      <c r="O84" s="42"/>
      <c r="P84" s="17"/>
      <c r="Q84" s="17"/>
    </row>
    <row r="85" spans="2:17">
      <c r="B85" s="33" t="s">
        <v>28</v>
      </c>
      <c r="C85" s="56"/>
      <c r="D85" s="57"/>
      <c r="E85" s="57"/>
      <c r="F85" s="57"/>
      <c r="G85" s="57"/>
      <c r="H85" s="58"/>
      <c r="I85" s="57"/>
      <c r="J85" s="59"/>
      <c r="K85" s="57"/>
      <c r="L85" s="57"/>
      <c r="M85" s="57"/>
      <c r="N85" s="57"/>
      <c r="O85" s="42"/>
      <c r="P85" s="17"/>
      <c r="Q85" s="17"/>
    </row>
    <row r="86" spans="2:17" ht="3.75" customHeight="1">
      <c r="B86" s="33"/>
      <c r="C86" s="56"/>
      <c r="D86" s="57"/>
      <c r="E86" s="57"/>
      <c r="F86" s="57"/>
      <c r="G86" s="57"/>
      <c r="H86" s="58"/>
      <c r="I86" s="57"/>
      <c r="J86" s="59"/>
      <c r="K86" s="57"/>
      <c r="L86" s="57"/>
      <c r="M86" s="57"/>
      <c r="N86" s="57"/>
      <c r="O86" s="42"/>
      <c r="P86" s="17"/>
      <c r="Q86" s="17"/>
    </row>
    <row r="87" spans="2:17" ht="21" customHeight="1">
      <c r="B87" s="34" t="s">
        <v>42</v>
      </c>
      <c r="C87" s="35">
        <f>C65-C$80</f>
        <v>1.8028786612955372</v>
      </c>
      <c r="D87" s="35">
        <f t="shared" ref="D87:N87" si="12">D65-D$80</f>
        <v>1.8966151674962406</v>
      </c>
      <c r="E87" s="35">
        <f t="shared" si="12"/>
        <v>1.1942588669817011</v>
      </c>
      <c r="F87" s="35">
        <f t="shared" si="12"/>
        <v>0.8538136566141219</v>
      </c>
      <c r="G87" s="35">
        <f t="shared" si="12"/>
        <v>1.3555423588042181</v>
      </c>
      <c r="H87" s="36">
        <f t="shared" si="12"/>
        <v>1.9290280459986375</v>
      </c>
      <c r="I87" s="35">
        <f t="shared" si="12"/>
        <v>0.75050233963260826</v>
      </c>
      <c r="J87" s="37">
        <f t="shared" si="12"/>
        <v>1.1168748473678214</v>
      </c>
      <c r="K87" s="35">
        <f t="shared" si="12"/>
        <v>0.92100244939690157</v>
      </c>
      <c r="L87" s="35">
        <f t="shared" si="12"/>
        <v>0.9219152401745454</v>
      </c>
      <c r="M87" s="35">
        <f t="shared" si="12"/>
        <v>1.1664223154945006</v>
      </c>
      <c r="N87" s="35">
        <f t="shared" si="12"/>
        <v>1.1652604394782582</v>
      </c>
      <c r="O87" s="45">
        <f>AVERAGE(J87:N87)</f>
        <v>1.0582950583824053</v>
      </c>
      <c r="P87" s="17"/>
      <c r="Q87" s="17"/>
    </row>
    <row r="88" spans="2:17" ht="22.5" customHeight="1">
      <c r="B88" s="38" t="s">
        <v>43</v>
      </c>
      <c r="C88" s="39">
        <f t="shared" ref="C88:N89" si="13">C66-C$80</f>
        <v>1.1355958186803683</v>
      </c>
      <c r="D88" s="39">
        <f t="shared" si="13"/>
        <v>1.0283918581693863</v>
      </c>
      <c r="E88" s="39">
        <f t="shared" si="13"/>
        <v>0.4874299989700237</v>
      </c>
      <c r="F88" s="39">
        <f t="shared" si="13"/>
        <v>4.6642184998058056E-2</v>
      </c>
      <c r="G88" s="39">
        <f t="shared" si="13"/>
        <v>1.1363082322156215</v>
      </c>
      <c r="H88" s="40">
        <f t="shared" si="13"/>
        <v>1.3174794212120977</v>
      </c>
      <c r="I88" s="39">
        <f t="shared" si="13"/>
        <v>0.42430563578248481</v>
      </c>
      <c r="J88" s="41">
        <f t="shared" si="13"/>
        <v>0.8766975305361191</v>
      </c>
      <c r="K88" s="39">
        <f t="shared" si="13"/>
        <v>0.7311663135694868</v>
      </c>
      <c r="L88" s="39">
        <f t="shared" si="13"/>
        <v>0.79818403006665406</v>
      </c>
      <c r="M88" s="39">
        <f t="shared" si="13"/>
        <v>1.063393817023198</v>
      </c>
      <c r="N88" s="39">
        <f t="shared" si="13"/>
        <v>1.0416565081725091</v>
      </c>
      <c r="O88" s="42">
        <f>AVERAGE(J88:N88)</f>
        <v>0.90221963987359344</v>
      </c>
      <c r="P88" s="17"/>
      <c r="Q88" s="17"/>
    </row>
    <row r="89" spans="2:17">
      <c r="B89" s="38" t="s">
        <v>44</v>
      </c>
      <c r="C89" s="39">
        <f t="shared" si="13"/>
        <v>-1.0387908731518403</v>
      </c>
      <c r="D89" s="39">
        <f t="shared" si="13"/>
        <v>2.1687240878431657</v>
      </c>
      <c r="E89" s="39">
        <f t="shared" si="13"/>
        <v>2.5666528286096169</v>
      </c>
      <c r="F89" s="39">
        <f t="shared" si="13"/>
        <v>0.37557255762825648</v>
      </c>
      <c r="G89" s="39">
        <f t="shared" si="13"/>
        <v>-0.32092380175847701</v>
      </c>
      <c r="H89" s="40">
        <f t="shared" si="13"/>
        <v>1.5831914490388233</v>
      </c>
      <c r="I89" s="39">
        <f t="shared" si="13"/>
        <v>0.83480880483781661</v>
      </c>
      <c r="J89" s="41">
        <f t="shared" si="13"/>
        <v>1.1655913930182615</v>
      </c>
      <c r="K89" s="39">
        <f t="shared" si="13"/>
        <v>0.91152205198254954</v>
      </c>
      <c r="L89" s="39">
        <f t="shared" si="13"/>
        <v>0.95673381674840385</v>
      </c>
      <c r="M89" s="39">
        <f t="shared" si="13"/>
        <v>1.2008862331619161</v>
      </c>
      <c r="N89" s="39">
        <f t="shared" si="13"/>
        <v>1.3215042459223367</v>
      </c>
      <c r="O89" s="42">
        <f>AVERAGE(J89:N89)</f>
        <v>1.1112475481666935</v>
      </c>
      <c r="P89" s="17"/>
      <c r="Q89" s="17"/>
    </row>
    <row r="90" spans="2:17" ht="5.25" customHeight="1">
      <c r="B90" s="27"/>
      <c r="C90" s="39"/>
      <c r="D90" s="39"/>
      <c r="E90" s="39"/>
      <c r="F90" s="39"/>
      <c r="G90" s="39"/>
      <c r="H90" s="40"/>
      <c r="I90" s="39"/>
      <c r="J90" s="41"/>
      <c r="K90" s="39"/>
      <c r="L90" s="39"/>
      <c r="M90" s="39"/>
      <c r="N90" s="39"/>
      <c r="O90" s="42"/>
      <c r="P90" s="43"/>
      <c r="Q90" s="17"/>
    </row>
    <row r="91" spans="2:17">
      <c r="B91" s="33" t="s">
        <v>32</v>
      </c>
      <c r="C91" s="39"/>
      <c r="D91" s="39"/>
      <c r="E91" s="39"/>
      <c r="F91" s="39"/>
      <c r="G91" s="39"/>
      <c r="H91" s="40"/>
      <c r="I91" s="39"/>
      <c r="J91" s="41"/>
      <c r="K91" s="39"/>
      <c r="L91" s="39"/>
      <c r="M91" s="39"/>
      <c r="N91" s="39"/>
      <c r="O91" s="45"/>
      <c r="P91" s="43"/>
      <c r="Q91" s="17"/>
    </row>
    <row r="92" spans="2:17" ht="23.25" customHeight="1">
      <c r="B92" s="34" t="s">
        <v>45</v>
      </c>
      <c r="C92" s="35">
        <f t="shared" ref="C92:N94" si="14">C70-C$80</f>
        <v>1.3102749801952696</v>
      </c>
      <c r="D92" s="35">
        <f t="shared" si="14"/>
        <v>1.10150657352035</v>
      </c>
      <c r="E92" s="35">
        <f t="shared" si="14"/>
        <v>1.0983949280108707</v>
      </c>
      <c r="F92" s="35">
        <f t="shared" si="14"/>
        <v>-9.672673864529191E-2</v>
      </c>
      <c r="G92" s="35">
        <f t="shared" si="14"/>
        <v>0.72097105624313595</v>
      </c>
      <c r="H92" s="36">
        <f t="shared" si="14"/>
        <v>0.90589835902927796</v>
      </c>
      <c r="I92" s="35">
        <f t="shared" si="14"/>
        <v>-0.65244961031456494</v>
      </c>
      <c r="J92" s="37">
        <f t="shared" si="14"/>
        <v>0.1889788595696551</v>
      </c>
      <c r="K92" s="35">
        <f t="shared" si="14"/>
        <v>0.21980024765897443</v>
      </c>
      <c r="L92" s="35">
        <f t="shared" si="14"/>
        <v>0.42913575701596685</v>
      </c>
      <c r="M92" s="35">
        <f t="shared" si="14"/>
        <v>0.99627080005667867</v>
      </c>
      <c r="N92" s="35">
        <f t="shared" si="14"/>
        <v>1.0817941387646499</v>
      </c>
      <c r="O92" s="45">
        <f>AVERAGE(J92:N92)</f>
        <v>0.58319596061318502</v>
      </c>
      <c r="P92" s="43"/>
      <c r="Q92" s="17"/>
    </row>
    <row r="93" spans="2:17" ht="21" customHeight="1">
      <c r="B93" s="38" t="s">
        <v>46</v>
      </c>
      <c r="C93" s="39">
        <f t="shared" si="14"/>
        <v>0.38872958478988195</v>
      </c>
      <c r="D93" s="39">
        <f t="shared" si="14"/>
        <v>0.20490428578974207</v>
      </c>
      <c r="E93" s="39">
        <f t="shared" si="14"/>
        <v>1.4871484728251616E-2</v>
      </c>
      <c r="F93" s="39">
        <f t="shared" si="14"/>
        <v>-5.5931194228242553E-2</v>
      </c>
      <c r="G93" s="39">
        <f t="shared" si="14"/>
        <v>0.21063253267097348</v>
      </c>
      <c r="H93" s="40">
        <f t="shared" si="14"/>
        <v>0.18093429289200991</v>
      </c>
      <c r="I93" s="39">
        <f t="shared" si="14"/>
        <v>-0.78275134727165963</v>
      </c>
      <c r="J93" s="41">
        <f t="shared" si="14"/>
        <v>0.28501596009586905</v>
      </c>
      <c r="K93" s="39">
        <f t="shared" si="14"/>
        <v>0.35555000531573011</v>
      </c>
      <c r="L93" s="39">
        <f t="shared" si="14"/>
        <v>0.53936345092730242</v>
      </c>
      <c r="M93" s="39">
        <f t="shared" si="14"/>
        <v>0.93817875718695021</v>
      </c>
      <c r="N93" s="39">
        <f t="shared" si="14"/>
        <v>1.0152138403547815</v>
      </c>
      <c r="O93" s="42">
        <f>AVERAGE(J93:N93)</f>
        <v>0.62666440277612667</v>
      </c>
      <c r="P93" s="43"/>
      <c r="Q93" s="17"/>
    </row>
    <row r="94" spans="2:17">
      <c r="B94" s="38" t="s">
        <v>47</v>
      </c>
      <c r="C94" s="39">
        <f t="shared" si="14"/>
        <v>0.50007760662005296</v>
      </c>
      <c r="D94" s="39">
        <f t="shared" si="14"/>
        <v>2.5237694863400328E-2</v>
      </c>
      <c r="E94" s="39">
        <f t="shared" si="14"/>
        <v>0.51185769927371005</v>
      </c>
      <c r="F94" s="39">
        <f t="shared" si="14"/>
        <v>-0.93857224743774115</v>
      </c>
      <c r="G94" s="39">
        <f t="shared" si="14"/>
        <v>-2.229341627958481</v>
      </c>
      <c r="H94" s="40">
        <f t="shared" si="14"/>
        <v>5.9085469831546389</v>
      </c>
      <c r="I94" s="39">
        <f t="shared" si="14"/>
        <v>2.1714845036429953</v>
      </c>
      <c r="J94" s="41">
        <f t="shared" si="14"/>
        <v>1.1072377095202146</v>
      </c>
      <c r="K94" s="39">
        <f t="shared" si="14"/>
        <v>0.72875268452019526</v>
      </c>
      <c r="L94" s="39">
        <f t="shared" si="14"/>
        <v>1.0182839171997058</v>
      </c>
      <c r="M94" s="39">
        <f t="shared" si="14"/>
        <v>1.2324406883610282</v>
      </c>
      <c r="N94" s="39">
        <f t="shared" si="14"/>
        <v>1.2507000511447295</v>
      </c>
      <c r="O94" s="42">
        <f>AVERAGE(J94:N94)</f>
        <v>1.0674830101491746</v>
      </c>
      <c r="P94" s="43"/>
      <c r="Q94" s="17"/>
    </row>
    <row r="95" spans="2:17" ht="7.5" customHeight="1">
      <c r="B95" s="38"/>
      <c r="C95" s="60"/>
      <c r="D95" s="39"/>
      <c r="E95" s="39"/>
      <c r="F95" s="39"/>
      <c r="G95" s="39"/>
      <c r="H95" s="40"/>
      <c r="I95" s="39"/>
      <c r="J95" s="41"/>
      <c r="K95" s="39"/>
      <c r="L95" s="39"/>
      <c r="M95" s="39"/>
      <c r="N95" s="39"/>
      <c r="O95" s="42"/>
    </row>
    <row r="96" spans="2:17" ht="12" customHeight="1">
      <c r="B96" s="33" t="s">
        <v>36</v>
      </c>
      <c r="C96" s="39"/>
      <c r="D96" s="39"/>
      <c r="E96" s="39"/>
      <c r="F96" s="39"/>
      <c r="G96" s="39"/>
      <c r="H96" s="40"/>
      <c r="I96" s="39"/>
      <c r="J96" s="41"/>
      <c r="K96" s="39"/>
      <c r="L96" s="39"/>
      <c r="M96" s="39"/>
      <c r="N96" s="39"/>
      <c r="O96" s="42"/>
    </row>
    <row r="97" spans="2:19" ht="19.5" customHeight="1">
      <c r="B97" s="34" t="s">
        <v>48</v>
      </c>
      <c r="C97" s="35">
        <f t="shared" ref="C97:N99" si="15">C75-C$80</f>
        <v>0.97613089153065768</v>
      </c>
      <c r="D97" s="35">
        <f t="shared" si="15"/>
        <v>0.96850941924659928</v>
      </c>
      <c r="E97" s="35">
        <f t="shared" si="15"/>
        <v>0.22149973863427874</v>
      </c>
      <c r="F97" s="35">
        <f t="shared" si="15"/>
        <v>0.40241874598698768</v>
      </c>
      <c r="G97" s="35">
        <f t="shared" si="15"/>
        <v>1.0007508254635367</v>
      </c>
      <c r="H97" s="36">
        <f t="shared" si="15"/>
        <v>1.0921276039117966</v>
      </c>
      <c r="I97" s="35">
        <f t="shared" si="15"/>
        <v>-0.55516008398379668</v>
      </c>
      <c r="J97" s="37">
        <f t="shared" si="15"/>
        <v>0.26613745084889118</v>
      </c>
      <c r="K97" s="35">
        <f t="shared" si="15"/>
        <v>0.28413036797234614</v>
      </c>
      <c r="L97" s="35">
        <f t="shared" si="15"/>
        <v>0.45234572211149437</v>
      </c>
      <c r="M97" s="35">
        <f t="shared" si="15"/>
        <v>0.76569600794548531</v>
      </c>
      <c r="N97" s="35">
        <f t="shared" si="15"/>
        <v>0.74937733584367372</v>
      </c>
      <c r="O97" s="45">
        <f>AVERAGE(J97:N97)</f>
        <v>0.50353737694437817</v>
      </c>
      <c r="P97" s="43"/>
      <c r="Q97" s="44"/>
    </row>
    <row r="98" spans="2:19" ht="15.75" customHeight="1">
      <c r="B98" s="38" t="s">
        <v>38</v>
      </c>
      <c r="C98" s="39">
        <f t="shared" si="15"/>
        <v>0.68884401884203861</v>
      </c>
      <c r="D98" s="39">
        <f t="shared" si="15"/>
        <v>0.73717726930979666</v>
      </c>
      <c r="E98" s="39">
        <f t="shared" si="15"/>
        <v>0.24379510021603767</v>
      </c>
      <c r="F98" s="39">
        <f t="shared" si="15"/>
        <v>0.12506063367554443</v>
      </c>
      <c r="G98" s="39">
        <f t="shared" si="15"/>
        <v>0.67784147105580672</v>
      </c>
      <c r="H98" s="40">
        <f t="shared" si="15"/>
        <v>0.7645862287960048</v>
      </c>
      <c r="I98" s="39">
        <f t="shared" si="15"/>
        <v>-0.33050162785952519</v>
      </c>
      <c r="J98" s="41">
        <f t="shared" si="15"/>
        <v>0.44755392928592652</v>
      </c>
      <c r="K98" s="39">
        <f t="shared" si="15"/>
        <v>0.39511720926781457</v>
      </c>
      <c r="L98" s="39">
        <f t="shared" si="15"/>
        <v>0.49746288719442511</v>
      </c>
      <c r="M98" s="39">
        <f t="shared" si="15"/>
        <v>0.74912511198358711</v>
      </c>
      <c r="N98" s="39">
        <f t="shared" si="15"/>
        <v>0.72934114911139858</v>
      </c>
      <c r="O98" s="42">
        <f>AVERAGE(J98:N98)</f>
        <v>0.5637200573686304</v>
      </c>
    </row>
    <row r="99" spans="2:19">
      <c r="B99" s="38" t="s">
        <v>39</v>
      </c>
      <c r="C99" s="39">
        <f t="shared" si="15"/>
        <v>0.71606658724179262</v>
      </c>
      <c r="D99" s="39">
        <f t="shared" si="15"/>
        <v>0.49622744129766971</v>
      </c>
      <c r="E99" s="39">
        <f t="shared" si="15"/>
        <v>0.33699239529152436</v>
      </c>
      <c r="F99" s="39">
        <f t="shared" si="15"/>
        <v>0.50008382277186847</v>
      </c>
      <c r="G99" s="39">
        <f t="shared" si="15"/>
        <v>1.009368642470565</v>
      </c>
      <c r="H99" s="40">
        <f t="shared" si="15"/>
        <v>2.5237367087341589</v>
      </c>
      <c r="I99" s="39">
        <f t="shared" si="15"/>
        <v>1.9651587193521447</v>
      </c>
      <c r="J99" s="41">
        <f t="shared" si="15"/>
        <v>0.69219794653494482</v>
      </c>
      <c r="K99" s="39">
        <f t="shared" si="15"/>
        <v>0.70650585841331992</v>
      </c>
      <c r="L99" s="39">
        <f t="shared" si="15"/>
        <v>0.86630201779040217</v>
      </c>
      <c r="M99" s="39">
        <f t="shared" si="15"/>
        <v>1.039775629037579</v>
      </c>
      <c r="N99" s="39">
        <f t="shared" si="15"/>
        <v>1.2341124921178146</v>
      </c>
      <c r="O99" s="42">
        <f>AVERAGE(J99:N99)</f>
        <v>0.90777878877881213</v>
      </c>
    </row>
    <row r="100" spans="2:19" ht="5.25" customHeight="1" thickBot="1">
      <c r="B100" s="61"/>
      <c r="C100" s="62"/>
      <c r="D100" s="39"/>
      <c r="E100" s="39"/>
      <c r="F100" s="46"/>
      <c r="G100" s="46"/>
      <c r="H100" s="53"/>
      <c r="I100" s="46"/>
      <c r="J100" s="54"/>
      <c r="K100" s="39"/>
      <c r="L100" s="39"/>
      <c r="M100" s="39"/>
      <c r="N100" s="39"/>
      <c r="O100" s="55"/>
    </row>
    <row r="101" spans="2:19">
      <c r="B101" s="63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64" t="s">
        <v>49</v>
      </c>
    </row>
    <row r="102" spans="2:19">
      <c r="B102" s="193" t="s">
        <v>50</v>
      </c>
      <c r="C102" s="193"/>
      <c r="D102" s="193"/>
      <c r="E102" s="193"/>
      <c r="F102" s="193"/>
      <c r="G102" s="193"/>
      <c r="H102" s="193"/>
      <c r="I102" s="193"/>
      <c r="J102" s="193"/>
      <c r="K102" s="193"/>
      <c r="L102" s="193"/>
      <c r="M102" s="193"/>
      <c r="N102" s="193"/>
      <c r="O102" s="193"/>
      <c r="P102" s="193"/>
      <c r="Q102" s="193"/>
      <c r="R102" s="193"/>
      <c r="S102" s="193"/>
    </row>
    <row r="103" spans="2:19" ht="28.7" customHeight="1">
      <c r="B103" s="190" t="s">
        <v>103</v>
      </c>
      <c r="C103" s="190"/>
      <c r="D103" s="190"/>
      <c r="E103" s="190"/>
      <c r="F103" s="190"/>
      <c r="G103" s="190"/>
      <c r="H103" s="190"/>
      <c r="I103" s="190"/>
      <c r="J103" s="190"/>
      <c r="K103" s="190"/>
      <c r="L103" s="190"/>
      <c r="M103" s="190"/>
      <c r="N103" s="190"/>
      <c r="O103" s="112"/>
      <c r="P103" s="112"/>
      <c r="Q103" s="112"/>
      <c r="R103" s="112"/>
      <c r="S103" s="112"/>
    </row>
    <row r="104" spans="2:19">
      <c r="B104" s="191" t="s">
        <v>104</v>
      </c>
      <c r="C104" s="191"/>
      <c r="D104" s="191"/>
      <c r="E104" s="191"/>
      <c r="F104" s="191"/>
      <c r="G104" s="191"/>
      <c r="H104" s="191"/>
      <c r="I104" s="191"/>
      <c r="J104" s="191"/>
      <c r="K104" s="191"/>
      <c r="L104" s="191"/>
      <c r="M104" s="191"/>
      <c r="N104" s="191"/>
      <c r="O104" s="111"/>
      <c r="P104" s="111"/>
      <c r="Q104" s="111"/>
      <c r="R104" s="111"/>
      <c r="S104" s="111"/>
    </row>
    <row r="105" spans="2:19" ht="39" customHeight="1">
      <c r="B105" s="192" t="s">
        <v>51</v>
      </c>
      <c r="C105" s="192"/>
      <c r="D105" s="192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  <c r="O105" s="113"/>
      <c r="P105" s="113"/>
      <c r="Q105" s="113"/>
      <c r="R105" s="113"/>
      <c r="S105" s="113"/>
    </row>
    <row r="106" spans="2:19" ht="11.25" customHeight="1">
      <c r="B106" s="193" t="s">
        <v>52</v>
      </c>
      <c r="C106" s="193"/>
      <c r="D106" s="193"/>
      <c r="E106" s="193"/>
      <c r="F106" s="193"/>
      <c r="G106" s="193"/>
      <c r="H106" s="193"/>
      <c r="I106" s="193"/>
      <c r="J106" s="193"/>
      <c r="K106" s="193"/>
      <c r="L106" s="193"/>
      <c r="M106" s="193"/>
      <c r="N106" s="193"/>
      <c r="O106" s="193"/>
      <c r="P106" s="193"/>
      <c r="Q106" s="193"/>
      <c r="R106" s="193"/>
      <c r="S106" s="193"/>
    </row>
    <row r="107" spans="2:19">
      <c r="B107" s="193" t="s">
        <v>53</v>
      </c>
      <c r="C107" s="193"/>
      <c r="D107" s="193"/>
      <c r="E107" s="193"/>
      <c r="F107" s="193"/>
      <c r="G107" s="193"/>
      <c r="H107" s="193"/>
      <c r="I107" s="193"/>
      <c r="J107" s="193"/>
      <c r="K107" s="193"/>
      <c r="L107" s="193"/>
      <c r="M107" s="193"/>
      <c r="N107" s="193"/>
      <c r="O107" s="193"/>
      <c r="P107" s="193"/>
      <c r="Q107" s="193"/>
      <c r="R107" s="193"/>
      <c r="S107" s="193"/>
    </row>
    <row r="108" spans="2:19" ht="15">
      <c r="B108" s="142"/>
      <c r="Q108" s="65"/>
    </row>
    <row r="109" spans="2:19" ht="7.7" customHeight="1">
      <c r="B109" s="142"/>
      <c r="Q109" s="65"/>
    </row>
    <row r="110" spans="2:19" ht="4.5" customHeight="1">
      <c r="B110" s="66"/>
    </row>
    <row r="111" spans="2:19" ht="12" customHeight="1">
      <c r="C111" s="67">
        <f>DATE(C112,6,1)</f>
        <v>42156</v>
      </c>
      <c r="D111" s="67">
        <f t="shared" ref="D111:N111" si="16">DATE(D112,6,1)</f>
        <v>42522</v>
      </c>
      <c r="E111" s="67">
        <f t="shared" si="16"/>
        <v>42887</v>
      </c>
      <c r="F111" s="67">
        <f t="shared" si="16"/>
        <v>43252</v>
      </c>
      <c r="G111" s="67">
        <f t="shared" si="16"/>
        <v>43617</v>
      </c>
      <c r="H111" s="67">
        <f t="shared" si="16"/>
        <v>43983</v>
      </c>
      <c r="I111" s="67">
        <f t="shared" si="16"/>
        <v>44348</v>
      </c>
      <c r="J111" s="67">
        <f t="shared" si="16"/>
        <v>44713</v>
      </c>
      <c r="K111" s="67">
        <f t="shared" si="16"/>
        <v>45078</v>
      </c>
      <c r="L111" s="67">
        <f t="shared" si="16"/>
        <v>45444</v>
      </c>
      <c r="M111" s="67">
        <f t="shared" si="16"/>
        <v>45809</v>
      </c>
      <c r="N111" s="67">
        <f t="shared" si="16"/>
        <v>46174</v>
      </c>
    </row>
    <row r="112" spans="2:19">
      <c r="C112" s="19">
        <v>2015</v>
      </c>
      <c r="D112" s="19">
        <v>2016</v>
      </c>
      <c r="E112" s="19">
        <v>2017</v>
      </c>
      <c r="F112" s="19">
        <v>2018</v>
      </c>
      <c r="G112" s="19">
        <v>2019</v>
      </c>
      <c r="H112" s="19">
        <v>2020</v>
      </c>
      <c r="I112" s="19">
        <v>2021</v>
      </c>
      <c r="J112" s="19">
        <v>2022</v>
      </c>
      <c r="K112" s="19">
        <v>2023</v>
      </c>
      <c r="L112" s="19">
        <v>2024</v>
      </c>
      <c r="M112" s="19">
        <v>2025</v>
      </c>
      <c r="N112" s="19">
        <v>2026</v>
      </c>
    </row>
    <row r="115" spans="2:17" ht="15.75">
      <c r="B115" s="143" t="s">
        <v>107</v>
      </c>
    </row>
    <row r="116" spans="2:17">
      <c r="I116" s="144"/>
      <c r="K116" s="145" t="s">
        <v>108</v>
      </c>
    </row>
    <row r="117" spans="2:17" ht="36.950000000000003" customHeight="1">
      <c r="D117" s="146" t="s">
        <v>109</v>
      </c>
      <c r="I117" s="147" t="s">
        <v>110</v>
      </c>
      <c r="K117" s="194" t="s">
        <v>111</v>
      </c>
      <c r="L117" s="194"/>
      <c r="M117" s="194" t="s">
        <v>112</v>
      </c>
      <c r="N117" s="194"/>
      <c r="O117" s="194" t="s">
        <v>113</v>
      </c>
      <c r="P117" s="194"/>
      <c r="Q117" s="194"/>
    </row>
    <row r="118" spans="2:17" ht="15">
      <c r="B118" s="19" t="s">
        <v>98</v>
      </c>
      <c r="D118" s="148" t="s">
        <v>114</v>
      </c>
      <c r="H118" s="149"/>
      <c r="I118" s="150">
        <f>'[4]Pay Method_2018'!$C$59</f>
        <v>1.4705882352941176E-2</v>
      </c>
      <c r="K118" s="151">
        <v>0.8</v>
      </c>
      <c r="M118" s="152">
        <f>I118*K118*0.5</f>
        <v>5.8823529411764705E-3</v>
      </c>
    </row>
    <row r="119" spans="2:17" ht="14.25">
      <c r="D119" s="148" t="s">
        <v>115</v>
      </c>
      <c r="I119" s="150">
        <f>'[4]Pay Method_2018'!$F$59</f>
        <v>0.64583333333333337</v>
      </c>
      <c r="K119" s="153">
        <v>0.5</v>
      </c>
      <c r="M119" s="152">
        <f t="shared" ref="M119:M120" si="17">I119*K119*0.5</f>
        <v>0.16145833333333334</v>
      </c>
    </row>
    <row r="120" spans="2:17" ht="15" thickBot="1">
      <c r="D120" s="154" t="s">
        <v>116</v>
      </c>
      <c r="I120" s="150">
        <f>'[4]Pay Method_2018'!$I$59</f>
        <v>0.33946078431372551</v>
      </c>
      <c r="K120" s="151">
        <v>0.8</v>
      </c>
      <c r="M120" s="152">
        <f t="shared" si="17"/>
        <v>0.13578431372549021</v>
      </c>
    </row>
    <row r="121" spans="2:17" ht="13.5" thickTop="1">
      <c r="I121" s="155">
        <f>SUM(I118:I120)</f>
        <v>1</v>
      </c>
      <c r="K121" s="151"/>
      <c r="M121" s="156">
        <f>SUM(M118:M120)</f>
        <v>0.30312500000000003</v>
      </c>
      <c r="O121" s="152">
        <f>0.5-M121</f>
        <v>0.19687499999999997</v>
      </c>
    </row>
    <row r="122" spans="2:17">
      <c r="K122" s="151"/>
    </row>
    <row r="123" spans="2:17" ht="15">
      <c r="B123" s="19" t="s">
        <v>99</v>
      </c>
      <c r="D123" s="148" t="s">
        <v>114</v>
      </c>
      <c r="H123" s="149"/>
      <c r="I123" s="150">
        <v>7.8E-2</v>
      </c>
      <c r="K123" s="151">
        <v>0.8</v>
      </c>
      <c r="M123" s="152">
        <f>I123*K123*0.5</f>
        <v>3.1200000000000002E-2</v>
      </c>
    </row>
    <row r="124" spans="2:17" ht="14.25">
      <c r="D124" s="148" t="s">
        <v>115</v>
      </c>
      <c r="I124" s="150">
        <v>0.309</v>
      </c>
      <c r="K124" s="151">
        <v>0.25</v>
      </c>
      <c r="M124" s="152">
        <f t="shared" ref="M124:M125" si="18">I124*K124*0.5</f>
        <v>3.8625E-2</v>
      </c>
    </row>
    <row r="125" spans="2:17" ht="15" thickBot="1">
      <c r="D125" s="154" t="s">
        <v>116</v>
      </c>
      <c r="I125" s="157">
        <v>0.61299999999999999</v>
      </c>
      <c r="K125" s="151">
        <v>0.8</v>
      </c>
      <c r="M125" s="152">
        <f t="shared" si="18"/>
        <v>0.2452</v>
      </c>
    </row>
    <row r="126" spans="2:17" ht="13.5" thickTop="1">
      <c r="I126" s="158">
        <f>SUM(I123:I125)</f>
        <v>1</v>
      </c>
      <c r="K126" s="151"/>
      <c r="M126" s="156">
        <f>SUM(M123:M125)</f>
        <v>0.315025</v>
      </c>
      <c r="O126" s="152">
        <f>0.5-M126</f>
        <v>0.184975</v>
      </c>
    </row>
    <row r="127" spans="2:17">
      <c r="K127" s="151"/>
    </row>
    <row r="128" spans="2:17" ht="13.7" customHeight="1">
      <c r="B128" s="19" t="s">
        <v>117</v>
      </c>
      <c r="D128" s="148" t="s">
        <v>114</v>
      </c>
      <c r="I128" s="159">
        <v>0.13148490671072244</v>
      </c>
      <c r="K128" s="151">
        <v>0.8</v>
      </c>
      <c r="M128" s="152">
        <f>I128*K128*0.5</f>
        <v>5.2593962684288981E-2</v>
      </c>
    </row>
    <row r="129" spans="4:15" ht="14.25">
      <c r="D129" s="148" t="s">
        <v>115</v>
      </c>
      <c r="I129" s="159">
        <v>0.38393161779230345</v>
      </c>
      <c r="K129" s="151">
        <v>0.8</v>
      </c>
      <c r="M129" s="152">
        <f t="shared" ref="M129:M130" si="19">I129*K129*0.5</f>
        <v>0.1535726471169214</v>
      </c>
    </row>
    <row r="130" spans="4:15" ht="15" thickBot="1">
      <c r="D130" s="154" t="s">
        <v>116</v>
      </c>
      <c r="I130" s="160">
        <v>0.48460143300949954</v>
      </c>
      <c r="K130" s="151">
        <v>0.8</v>
      </c>
      <c r="M130" s="152">
        <f t="shared" si="19"/>
        <v>0.19384057320379983</v>
      </c>
    </row>
    <row r="131" spans="4:15" ht="13.5" thickTop="1">
      <c r="I131" s="158">
        <f>SUM(I128:I130)</f>
        <v>1.0000179575125254</v>
      </c>
      <c r="M131" s="156">
        <f>SUM(M128:M130)</f>
        <v>0.4000071830050102</v>
      </c>
      <c r="O131" s="152">
        <f>0.5-M131</f>
        <v>9.9992816994989797E-2</v>
      </c>
    </row>
  </sheetData>
  <mergeCells count="16">
    <mergeCell ref="K117:L117"/>
    <mergeCell ref="M117:N117"/>
    <mergeCell ref="O117:Q117"/>
    <mergeCell ref="B103:N103"/>
    <mergeCell ref="B104:N104"/>
    <mergeCell ref="B105:N105"/>
    <mergeCell ref="B106:S106"/>
    <mergeCell ref="B107:S107"/>
    <mergeCell ref="H4:L4"/>
    <mergeCell ref="B49:N49"/>
    <mergeCell ref="B50:N50"/>
    <mergeCell ref="B51:N51"/>
    <mergeCell ref="B102:S102"/>
    <mergeCell ref="B52:S52"/>
    <mergeCell ref="B53:S53"/>
    <mergeCell ref="B48:S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Construction WPI</vt:lpstr>
      <vt:lpstr>WPI - revised</vt:lpstr>
      <vt:lpstr>DAE</vt:lpstr>
      <vt:lpstr>BIS Oxford</vt:lpstr>
    </vt:vector>
  </TitlesOfParts>
  <Company>SP-Ausnet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Larkin</dc:creator>
  <cp:lastModifiedBy>Jane Kelly</cp:lastModifiedBy>
  <dcterms:created xsi:type="dcterms:W3CDTF">2019-12-16T00:12:36Z</dcterms:created>
  <dcterms:modified xsi:type="dcterms:W3CDTF">2020-11-10T14:19:03Z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