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88" windowWidth="16608" windowHeight="8448" tabRatio="871" firstSheet="1" activeTab="6"/>
  </bookViews>
  <sheets>
    <sheet name="Sheet1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externalReferences>
    <externalReference r:id="rId13"/>
  </externalReferences>
  <definedNames>
    <definedName name="_xlnm.Print_Area" localSheetId="4">'Data 2009-12'!$A$1:$L$125</definedName>
  </definedNames>
  <calcPr calcId="145621"/>
</workbook>
</file>

<file path=xl/calcChain.xml><?xml version="1.0" encoding="utf-8"?>
<calcChain xmlns="http://schemas.openxmlformats.org/spreadsheetml/2006/main">
  <c r="J19" i="14" l="1"/>
  <c r="J12" i="16" l="1"/>
  <c r="J55" i="16"/>
  <c r="J14" i="16"/>
  <c r="I55" i="16"/>
  <c r="I14" i="16"/>
  <c r="J13" i="16"/>
  <c r="I13" i="16"/>
  <c r="I12" i="16"/>
  <c r="J15" i="4" l="1"/>
  <c r="J13" i="4" l="1"/>
  <c r="J12" i="4"/>
  <c r="J14" i="4"/>
  <c r="N18" i="14" l="1"/>
  <c r="O155" i="4" l="1"/>
  <c r="P154" i="4"/>
  <c r="I60" i="4"/>
  <c r="I8" i="14" s="1"/>
  <c r="J60" i="4"/>
  <c r="J8" i="14" s="1"/>
  <c r="J144" i="4"/>
  <c r="P153" i="4"/>
  <c r="J60" i="16" l="1"/>
  <c r="I60" i="16" l="1"/>
  <c r="I59" i="16" l="1"/>
  <c r="J59" i="16"/>
  <c r="I144" i="4" l="1"/>
  <c r="I116" i="16" l="1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60" i="4" l="1"/>
  <c r="H60" i="4"/>
  <c r="H8" i="14" s="1"/>
  <c r="I102" i="4" l="1"/>
  <c r="I101" i="4"/>
  <c r="I100" i="4"/>
  <c r="I99" i="4"/>
  <c r="I98" i="4"/>
  <c r="P152" i="4" l="1"/>
  <c r="P151" i="4"/>
  <c r="H144" i="4" l="1"/>
  <c r="H102" i="4" l="1"/>
  <c r="H101" i="4"/>
  <c r="H100" i="4"/>
  <c r="H99" i="4"/>
  <c r="H98" i="4"/>
  <c r="G8" i="14"/>
  <c r="F60" i="4"/>
  <c r="G102" i="4" l="1"/>
  <c r="G101" i="4"/>
  <c r="G100" i="4"/>
  <c r="G99" i="4"/>
  <c r="G98" i="4"/>
  <c r="P147" i="4"/>
  <c r="G144" i="4" s="1"/>
  <c r="E60" i="4"/>
  <c r="F8" i="14"/>
  <c r="I26" i="16" l="1"/>
  <c r="H24" i="16"/>
  <c r="S116" i="4"/>
  <c r="N74" i="14" s="1"/>
  <c r="Q116" i="4"/>
  <c r="J116" i="4"/>
  <c r="H74" i="14" s="1"/>
  <c r="G74" i="14"/>
  <c r="S115" i="4"/>
  <c r="N73" i="14" s="1"/>
  <c r="R115" i="4"/>
  <c r="M73" i="14" s="1"/>
  <c r="J115" i="4"/>
  <c r="H73" i="14" s="1"/>
  <c r="G73" i="14"/>
  <c r="S114" i="4"/>
  <c r="N72" i="14" s="1"/>
  <c r="Q114" i="4"/>
  <c r="J114" i="4"/>
  <c r="H72" i="14" s="1"/>
  <c r="G72" i="14"/>
  <c r="R113" i="4"/>
  <c r="M71" i="14" s="1"/>
  <c r="Q113" i="4"/>
  <c r="J113" i="4"/>
  <c r="H71" i="14" s="1"/>
  <c r="G71" i="14"/>
  <c r="S112" i="4"/>
  <c r="N70" i="14" s="1"/>
  <c r="R112" i="4"/>
  <c r="M70" i="14" s="1"/>
  <c r="Q112" i="4"/>
  <c r="J112" i="4"/>
  <c r="H70" i="14" s="1"/>
  <c r="G70" i="14"/>
  <c r="S111" i="4"/>
  <c r="N69" i="14" s="1"/>
  <c r="R111" i="4"/>
  <c r="M69" i="14" s="1"/>
  <c r="Q111" i="4"/>
  <c r="J111" i="4"/>
  <c r="H69" i="14" s="1"/>
  <c r="S110" i="4"/>
  <c r="N68" i="14" s="1"/>
  <c r="R110" i="4"/>
  <c r="M68" i="14" s="1"/>
  <c r="Q110" i="4"/>
  <c r="G68" i="14"/>
  <c r="S109" i="4"/>
  <c r="N67" i="14" s="1"/>
  <c r="R109" i="4"/>
  <c r="M67" i="14" s="1"/>
  <c r="Q109" i="4"/>
  <c r="J109" i="4"/>
  <c r="H67" i="14" s="1"/>
  <c r="G67" i="14"/>
  <c r="S108" i="4"/>
  <c r="N66" i="14" s="1"/>
  <c r="R108" i="4"/>
  <c r="M66" i="14" s="1"/>
  <c r="J108" i="4"/>
  <c r="H66" i="14" s="1"/>
  <c r="G66" i="14"/>
  <c r="S107" i="4"/>
  <c r="N65" i="14" s="1"/>
  <c r="R107" i="4"/>
  <c r="M65" i="14" s="1"/>
  <c r="J107" i="4"/>
  <c r="H65" i="14" s="1"/>
  <c r="G65" i="14"/>
  <c r="S106" i="4"/>
  <c r="N64" i="14" s="1"/>
  <c r="Q106" i="4"/>
  <c r="J106" i="4"/>
  <c r="H64" i="14" s="1"/>
  <c r="G64" i="14"/>
  <c r="S97" i="4"/>
  <c r="N55" i="14" s="1"/>
  <c r="R97" i="4"/>
  <c r="M55" i="14" s="1"/>
  <c r="Q97" i="4"/>
  <c r="J97" i="4"/>
  <c r="H55" i="14" s="1"/>
  <c r="G55" i="14"/>
  <c r="S96" i="4"/>
  <c r="N54" i="14" s="1"/>
  <c r="R96" i="4"/>
  <c r="M54" i="14" s="1"/>
  <c r="Q96" i="4"/>
  <c r="J96" i="4"/>
  <c r="H54" i="14" s="1"/>
  <c r="S95" i="4"/>
  <c r="N53" i="14" s="1"/>
  <c r="R95" i="4"/>
  <c r="M53" i="14" s="1"/>
  <c r="Q95" i="4"/>
  <c r="G53" i="14"/>
  <c r="S94" i="4"/>
  <c r="N52" i="14" s="1"/>
  <c r="R94" i="4"/>
  <c r="M52" i="14" s="1"/>
  <c r="Q94" i="4"/>
  <c r="J94" i="4"/>
  <c r="H52" i="14" s="1"/>
  <c r="G52" i="14"/>
  <c r="S93" i="4"/>
  <c r="N51" i="14" s="1"/>
  <c r="R93" i="4"/>
  <c r="M51" i="14" s="1"/>
  <c r="Q93" i="4"/>
  <c r="J93" i="4"/>
  <c r="H51" i="14" s="1"/>
  <c r="G51" i="14"/>
  <c r="S92" i="4"/>
  <c r="N50" i="14" s="1"/>
  <c r="R92" i="4"/>
  <c r="M50" i="14" s="1"/>
  <c r="J92" i="4"/>
  <c r="H50" i="14" s="1"/>
  <c r="G50" i="14"/>
  <c r="S88" i="4"/>
  <c r="N46" i="14" s="1"/>
  <c r="R88" i="4"/>
  <c r="M46" i="14" s="1"/>
  <c r="J88" i="4"/>
  <c r="H46" i="14" s="1"/>
  <c r="G46" i="14"/>
  <c r="S87" i="4"/>
  <c r="N45" i="14" s="1"/>
  <c r="R87" i="4"/>
  <c r="M45" i="14" s="1"/>
  <c r="Q87" i="4"/>
  <c r="J87" i="4"/>
  <c r="H45" i="14" s="1"/>
  <c r="G45" i="14"/>
  <c r="S86" i="4"/>
  <c r="N44" i="14" s="1"/>
  <c r="R86" i="4"/>
  <c r="M44" i="14" s="1"/>
  <c r="J86" i="4"/>
  <c r="H44" i="14" s="1"/>
  <c r="G44" i="14"/>
  <c r="S85" i="4"/>
  <c r="N43" i="14" s="1"/>
  <c r="Q85" i="4"/>
  <c r="J85" i="4"/>
  <c r="H43" i="14" s="1"/>
  <c r="G43" i="14"/>
  <c r="R84" i="4"/>
  <c r="M42" i="14" s="1"/>
  <c r="Q84" i="4"/>
  <c r="J84" i="4"/>
  <c r="H42" i="14" s="1"/>
  <c r="G42" i="14"/>
  <c r="S83" i="4"/>
  <c r="N41" i="14" s="1"/>
  <c r="R83" i="4"/>
  <c r="M41" i="14" s="1"/>
  <c r="Q83" i="4"/>
  <c r="J83" i="4"/>
  <c r="H41" i="14" s="1"/>
  <c r="G41" i="14"/>
  <c r="S82" i="4"/>
  <c r="N40" i="14" s="1"/>
  <c r="R82" i="4"/>
  <c r="M40" i="14" s="1"/>
  <c r="Q82" i="4"/>
  <c r="J82" i="4"/>
  <c r="H40" i="14" s="1"/>
  <c r="R78" i="4"/>
  <c r="M36" i="14" s="1"/>
  <c r="Q78" i="4"/>
  <c r="J78" i="4"/>
  <c r="H36" i="14" s="1"/>
  <c r="G36" i="14"/>
  <c r="S77" i="4"/>
  <c r="N35" i="14" s="1"/>
  <c r="R77" i="4"/>
  <c r="M35" i="14" s="1"/>
  <c r="Q77" i="4"/>
  <c r="G35" i="14"/>
  <c r="S76" i="4"/>
  <c r="N34" i="14" s="1"/>
  <c r="R76" i="4"/>
  <c r="M34" i="14" s="1"/>
  <c r="Q76" i="4"/>
  <c r="J76" i="4"/>
  <c r="H34" i="14" s="1"/>
  <c r="S75" i="4"/>
  <c r="N33" i="14" s="1"/>
  <c r="R75" i="4"/>
  <c r="M33" i="14" s="1"/>
  <c r="Q75" i="4"/>
  <c r="G33" i="14"/>
  <c r="S74" i="4"/>
  <c r="N32" i="14" s="1"/>
  <c r="R74" i="4"/>
  <c r="M32" i="14" s="1"/>
  <c r="J74" i="4"/>
  <c r="H32" i="14" s="1"/>
  <c r="G32" i="14"/>
  <c r="S73" i="4"/>
  <c r="N31" i="14" s="1"/>
  <c r="R73" i="4"/>
  <c r="M31" i="14" s="1"/>
  <c r="Q73" i="4"/>
  <c r="J73" i="4"/>
  <c r="H31" i="14" s="1"/>
  <c r="G31" i="14"/>
  <c r="S72" i="4"/>
  <c r="N30" i="14" s="1"/>
  <c r="R72" i="4"/>
  <c r="M30" i="14" s="1"/>
  <c r="J72" i="4"/>
  <c r="H30" i="14" s="1"/>
  <c r="G30" i="14"/>
  <c r="S78" i="4"/>
  <c r="N36" i="14" s="1"/>
  <c r="Q72" i="4"/>
  <c r="Q88" i="4"/>
  <c r="Q86" i="4"/>
  <c r="R85" i="4"/>
  <c r="M43" i="14" s="1"/>
  <c r="S84" i="4"/>
  <c r="N42" i="14" s="1"/>
  <c r="Q115" i="4"/>
  <c r="S113" i="4"/>
  <c r="N71" i="14" s="1"/>
  <c r="Q108" i="4"/>
  <c r="Q107" i="4"/>
  <c r="R106" i="4"/>
  <c r="M64" i="14" s="1"/>
  <c r="G54" i="14"/>
  <c r="J95" i="4"/>
  <c r="H53" i="14" s="1"/>
  <c r="J110" i="4"/>
  <c r="H68" i="14" s="1"/>
  <c r="G40" i="14"/>
  <c r="A27" i="6"/>
  <c r="D40" i="6"/>
  <c r="D63" i="6"/>
  <c r="E63" i="6"/>
  <c r="E278" i="6" s="1"/>
  <c r="F63" i="6"/>
  <c r="F71" i="6" s="1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E104" i="6"/>
  <c r="E106" i="6" s="1"/>
  <c r="F104" i="6"/>
  <c r="F106" i="6"/>
  <c r="G104" i="6"/>
  <c r="H104" i="6"/>
  <c r="D105" i="6"/>
  <c r="E105" i="6"/>
  <c r="E196" i="3" s="1"/>
  <c r="F105" i="6"/>
  <c r="G105" i="6"/>
  <c r="H105" i="6"/>
  <c r="H106" i="6" s="1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G263" i="6"/>
  <c r="H122" i="6"/>
  <c r="D123" i="6"/>
  <c r="E123" i="6"/>
  <c r="F123" i="6"/>
  <c r="F150" i="6" s="1"/>
  <c r="G123" i="6"/>
  <c r="H123" i="6"/>
  <c r="D125" i="6"/>
  <c r="D127" i="6"/>
  <c r="E127" i="6"/>
  <c r="E160" i="6"/>
  <c r="F127" i="6"/>
  <c r="F160" i="6" s="1"/>
  <c r="G127" i="6"/>
  <c r="H127" i="6"/>
  <c r="H232" i="6"/>
  <c r="D128" i="6"/>
  <c r="E128" i="6"/>
  <c r="E170" i="6"/>
  <c r="F128" i="6"/>
  <c r="G128" i="6"/>
  <c r="H128" i="6"/>
  <c r="D140" i="6"/>
  <c r="H208" i="6" s="1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 s="1"/>
  <c r="D218" i="6"/>
  <c r="D225" i="6"/>
  <c r="D152" i="6" s="1"/>
  <c r="D153" i="6" s="1"/>
  <c r="F218" i="6"/>
  <c r="C219" i="6"/>
  <c r="C220" i="6"/>
  <c r="H220" i="6" s="1"/>
  <c r="C221" i="6"/>
  <c r="C222" i="6"/>
  <c r="H222" i="6"/>
  <c r="C228" i="6"/>
  <c r="C229" i="6"/>
  <c r="E229" i="6"/>
  <c r="F229" i="6"/>
  <c r="G229" i="6"/>
  <c r="H229" i="6"/>
  <c r="C230" i="6"/>
  <c r="H230" i="6" s="1"/>
  <c r="F230" i="6"/>
  <c r="G230" i="6"/>
  <c r="C231" i="6"/>
  <c r="C232" i="6"/>
  <c r="C238" i="6"/>
  <c r="C239" i="6"/>
  <c r="E239" i="6"/>
  <c r="F239" i="6"/>
  <c r="C240" i="6"/>
  <c r="F240" i="6" s="1"/>
  <c r="C241" i="6"/>
  <c r="H241" i="6"/>
  <c r="C242" i="6"/>
  <c r="H242" i="6" s="1"/>
  <c r="D255" i="6"/>
  <c r="D256" i="6"/>
  <c r="D257" i="6"/>
  <c r="D258" i="6"/>
  <c r="D263" i="6"/>
  <c r="D267" i="6"/>
  <c r="E267" i="6"/>
  <c r="F267" i="6"/>
  <c r="F274" i="6" s="1"/>
  <c r="F262" i="6" s="1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 s="1"/>
  <c r="E271" i="6"/>
  <c r="F271" i="6"/>
  <c r="G271" i="6"/>
  <c r="H271" i="6"/>
  <c r="D272" i="6"/>
  <c r="E272" i="6"/>
  <c r="F272" i="6"/>
  <c r="G272" i="6"/>
  <c r="G274" i="6" s="1"/>
  <c r="G262" i="6" s="1"/>
  <c r="G261" i="6" s="1"/>
  <c r="H272" i="6"/>
  <c r="D273" i="6"/>
  <c r="E273" i="6"/>
  <c r="F273" i="6"/>
  <c r="G273" i="6"/>
  <c r="H273" i="6"/>
  <c r="D278" i="6"/>
  <c r="D302" i="6"/>
  <c r="D301" i="6"/>
  <c r="D303" i="6"/>
  <c r="E300" i="6" s="1"/>
  <c r="D306" i="6"/>
  <c r="J356" i="6"/>
  <c r="K356" i="6"/>
  <c r="L356" i="6"/>
  <c r="M356" i="6"/>
  <c r="N356" i="6"/>
  <c r="H110" i="6" s="1"/>
  <c r="J358" i="6"/>
  <c r="K358" i="6"/>
  <c r="L358" i="6"/>
  <c r="F228" i="3" s="1"/>
  <c r="F192" i="3" s="1"/>
  <c r="M358" i="6"/>
  <c r="N358" i="6"/>
  <c r="J359" i="6"/>
  <c r="K359" i="6"/>
  <c r="L359" i="6"/>
  <c r="M359" i="6"/>
  <c r="N359" i="6"/>
  <c r="J360" i="6"/>
  <c r="D228" i="3" s="1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J386" i="6"/>
  <c r="K386" i="6"/>
  <c r="L386" i="6"/>
  <c r="L389" i="6" s="1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 s="1"/>
  <c r="L388" i="6"/>
  <c r="M388" i="6"/>
  <c r="N388" i="6"/>
  <c r="D391" i="6"/>
  <c r="D417" i="6" s="1"/>
  <c r="D392" i="6"/>
  <c r="D393" i="6"/>
  <c r="E393" i="6" s="1"/>
  <c r="D394" i="6"/>
  <c r="J395" i="6"/>
  <c r="K395" i="6"/>
  <c r="L395" i="6"/>
  <c r="M395" i="6"/>
  <c r="N395" i="6"/>
  <c r="D398" i="6"/>
  <c r="D399" i="6"/>
  <c r="E399" i="6"/>
  <c r="E425" i="6" s="1"/>
  <c r="D402" i="6"/>
  <c r="D403" i="6"/>
  <c r="D404" i="6"/>
  <c r="D405" i="6"/>
  <c r="D406" i="6"/>
  <c r="D432" i="6" s="1"/>
  <c r="E406" i="6"/>
  <c r="F406" i="6" s="1"/>
  <c r="F432" i="6" s="1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 s="1"/>
  <c r="F216" i="8" s="1"/>
  <c r="B99" i="12" s="1"/>
  <c r="D99" i="12" s="1"/>
  <c r="F124" i="8"/>
  <c r="F127" i="8"/>
  <c r="F160" i="8" s="1"/>
  <c r="F128" i="8"/>
  <c r="A136" i="8"/>
  <c r="F151" i="8"/>
  <c r="F181" i="8" s="1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E4" i="12"/>
  <c r="E201" i="12" s="1"/>
  <c r="F4" i="12"/>
  <c r="F155" i="12" s="1"/>
  <c r="G4" i="12"/>
  <c r="G213" i="12" s="1"/>
  <c r="H4" i="12"/>
  <c r="H29" i="12" s="1"/>
  <c r="I4" i="12"/>
  <c r="I59" i="12" s="1"/>
  <c r="J4" i="12"/>
  <c r="J19" i="12" s="1"/>
  <c r="K4" i="12"/>
  <c r="K169" i="12" s="1"/>
  <c r="L4" i="12"/>
  <c r="L29" i="12" s="1"/>
  <c r="M4" i="12"/>
  <c r="M213" i="12" s="1"/>
  <c r="N4" i="12"/>
  <c r="N189" i="12" s="1"/>
  <c r="O4" i="12"/>
  <c r="O237" i="12" s="1"/>
  <c r="P4" i="12"/>
  <c r="P29" i="12" s="1"/>
  <c r="Q4" i="12"/>
  <c r="Q111" i="12" s="1"/>
  <c r="R4" i="12"/>
  <c r="R39" i="12" s="1"/>
  <c r="S4" i="12"/>
  <c r="S213" i="12" s="1"/>
  <c r="T4" i="12"/>
  <c r="U4" i="12"/>
  <c r="U201" i="12" s="1"/>
  <c r="U125" i="12"/>
  <c r="V4" i="12"/>
  <c r="V81" i="12" s="1"/>
  <c r="W4" i="12"/>
  <c r="X4" i="12"/>
  <c r="X49" i="12" s="1"/>
  <c r="Y4" i="12"/>
  <c r="Y155" i="12" s="1"/>
  <c r="Z4" i="12"/>
  <c r="Z19" i="12"/>
  <c r="AA4" i="12"/>
  <c r="AA49" i="12" s="1"/>
  <c r="A19" i="12"/>
  <c r="D19" i="12"/>
  <c r="T19" i="12"/>
  <c r="A29" i="12"/>
  <c r="D29" i="12"/>
  <c r="G29" i="12"/>
  <c r="J29" i="12"/>
  <c r="T29" i="12"/>
  <c r="Z29" i="12"/>
  <c r="A38" i="12"/>
  <c r="A39" i="12"/>
  <c r="D39" i="12"/>
  <c r="J39" i="12"/>
  <c r="T39" i="12"/>
  <c r="Z39" i="12"/>
  <c r="A49" i="12"/>
  <c r="D49" i="12"/>
  <c r="J49" i="12"/>
  <c r="R49" i="12"/>
  <c r="T49" i="12"/>
  <c r="Z49" i="12"/>
  <c r="A59" i="12"/>
  <c r="D59" i="12"/>
  <c r="J59" i="12"/>
  <c r="T59" i="12"/>
  <c r="U59" i="12"/>
  <c r="Z59" i="12"/>
  <c r="A69" i="12"/>
  <c r="D69" i="12"/>
  <c r="J69" i="12"/>
  <c r="T69" i="12"/>
  <c r="U69" i="12"/>
  <c r="V69" i="12"/>
  <c r="A80" i="12"/>
  <c r="D81" i="12"/>
  <c r="J81" i="12"/>
  <c r="L81" i="12"/>
  <c r="T81" i="12"/>
  <c r="Z81" i="12"/>
  <c r="D87" i="12"/>
  <c r="C89" i="12" s="1"/>
  <c r="J87" i="12"/>
  <c r="T87" i="12"/>
  <c r="X87" i="12"/>
  <c r="Z87" i="12"/>
  <c r="A88" i="12"/>
  <c r="D95" i="12"/>
  <c r="J95" i="12"/>
  <c r="T95" i="12"/>
  <c r="X95" i="12"/>
  <c r="Z95" i="12"/>
  <c r="A96" i="12"/>
  <c r="C97" i="12"/>
  <c r="C98" i="12"/>
  <c r="C99" i="12"/>
  <c r="D103" i="12"/>
  <c r="J103" i="12"/>
  <c r="O103" i="12"/>
  <c r="R103" i="12"/>
  <c r="T103" i="12"/>
  <c r="Z103" i="12"/>
  <c r="A104" i="12"/>
  <c r="D111" i="12"/>
  <c r="I111" i="12"/>
  <c r="J111" i="12"/>
  <c r="T111" i="12"/>
  <c r="Z111" i="12"/>
  <c r="A112" i="12"/>
  <c r="A124" i="12"/>
  <c r="D125" i="12"/>
  <c r="J125" i="12"/>
  <c r="T125" i="12"/>
  <c r="X125" i="12"/>
  <c r="Z125" i="12"/>
  <c r="A131" i="12"/>
  <c r="D131" i="12"/>
  <c r="C134" i="12" s="1"/>
  <c r="J131" i="12"/>
  <c r="R131" i="12"/>
  <c r="T131" i="12"/>
  <c r="Z131" i="12"/>
  <c r="A132" i="12"/>
  <c r="D139" i="12"/>
  <c r="C143" i="12" s="1"/>
  <c r="J139" i="12"/>
  <c r="T139" i="12"/>
  <c r="X139" i="12"/>
  <c r="Z139" i="12"/>
  <c r="A140" i="12"/>
  <c r="D147" i="12"/>
  <c r="J147" i="12"/>
  <c r="Q147" i="12"/>
  <c r="T147" i="12"/>
  <c r="Z147" i="12"/>
  <c r="A148" i="12"/>
  <c r="C149" i="12"/>
  <c r="D155" i="12"/>
  <c r="C159" i="12" s="1"/>
  <c r="J155" i="12"/>
  <c r="R155" i="12"/>
  <c r="T155" i="12"/>
  <c r="Z155" i="12"/>
  <c r="A156" i="12"/>
  <c r="A168" i="12"/>
  <c r="D169" i="12"/>
  <c r="J169" i="12"/>
  <c r="P169" i="12"/>
  <c r="T169" i="12"/>
  <c r="X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M179" i="12"/>
  <c r="T179" i="12"/>
  <c r="X179" i="12"/>
  <c r="Z179" i="12"/>
  <c r="A182" i="12"/>
  <c r="D189" i="12"/>
  <c r="J189" i="12"/>
  <c r="L189" i="12"/>
  <c r="T189" i="12"/>
  <c r="U189" i="12"/>
  <c r="Z189" i="12"/>
  <c r="A190" i="12"/>
  <c r="C191" i="12"/>
  <c r="C192" i="12"/>
  <c r="C193" i="12"/>
  <c r="C194" i="12"/>
  <c r="C195" i="12"/>
  <c r="C196" i="12"/>
  <c r="C197" i="12"/>
  <c r="D201" i="12"/>
  <c r="J201" i="12"/>
  <c r="L201" i="12"/>
  <c r="R201" i="12"/>
  <c r="S201" i="12"/>
  <c r="T201" i="12"/>
  <c r="X201" i="12"/>
  <c r="Z201" i="12"/>
  <c r="A202" i="12"/>
  <c r="C203" i="12"/>
  <c r="C204" i="12"/>
  <c r="C205" i="12"/>
  <c r="C206" i="12"/>
  <c r="C207" i="12"/>
  <c r="C208" i="12"/>
  <c r="C209" i="12"/>
  <c r="A213" i="12"/>
  <c r="D213" i="12"/>
  <c r="E213" i="12"/>
  <c r="J213" i="12"/>
  <c r="R213" i="12"/>
  <c r="T213" i="12"/>
  <c r="U213" i="12"/>
  <c r="Z213" i="12"/>
  <c r="A214" i="12"/>
  <c r="C215" i="12"/>
  <c r="C216" i="12"/>
  <c r="C217" i="12"/>
  <c r="C218" i="12"/>
  <c r="C219" i="12"/>
  <c r="C220" i="12"/>
  <c r="C221" i="12"/>
  <c r="D225" i="12"/>
  <c r="J225" i="12"/>
  <c r="R225" i="12"/>
  <c r="T225" i="12"/>
  <c r="Z225" i="12"/>
  <c r="A226" i="12"/>
  <c r="C227" i="12"/>
  <c r="C228" i="12"/>
  <c r="C229" i="12"/>
  <c r="C230" i="12"/>
  <c r="C231" i="12"/>
  <c r="C232" i="12"/>
  <c r="C233" i="12"/>
  <c r="D237" i="12"/>
  <c r="E237" i="12"/>
  <c r="J237" i="12"/>
  <c r="T237" i="12"/>
  <c r="U237" i="12"/>
  <c r="X237" i="12"/>
  <c r="Z237" i="12"/>
  <c r="A238" i="12"/>
  <c r="C239" i="12"/>
  <c r="C240" i="12"/>
  <c r="C241" i="12"/>
  <c r="C242" i="12"/>
  <c r="C243" i="12"/>
  <c r="C244" i="12"/>
  <c r="C245" i="12"/>
  <c r="D249" i="12"/>
  <c r="I249" i="12"/>
  <c r="J249" i="12"/>
  <c r="R249" i="12"/>
  <c r="T249" i="12"/>
  <c r="U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 s="1"/>
  <c r="M13" i="17"/>
  <c r="M54" i="17"/>
  <c r="N13" i="17"/>
  <c r="N54" i="17" s="1"/>
  <c r="O13" i="17"/>
  <c r="O54" i="17"/>
  <c r="P13" i="17"/>
  <c r="P54" i="17" s="1"/>
  <c r="Q13" i="17"/>
  <c r="Q54" i="17" s="1"/>
  <c r="R13" i="17"/>
  <c r="S13" i="17"/>
  <c r="T13" i="17"/>
  <c r="T54" i="17" s="1"/>
  <c r="U13" i="17"/>
  <c r="U54" i="17" s="1"/>
  <c r="V13" i="17"/>
  <c r="V54" i="17"/>
  <c r="W13" i="17"/>
  <c r="W54" i="17" s="1"/>
  <c r="X13" i="17"/>
  <c r="X54" i="17" s="1"/>
  <c r="Y13" i="17"/>
  <c r="Y54" i="17" s="1"/>
  <c r="Z13" i="17"/>
  <c r="AA13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S26" i="17"/>
  <c r="T26" i="17"/>
  <c r="U26" i="17"/>
  <c r="V26" i="17"/>
  <c r="V57" i="17" s="1"/>
  <c r="W26" i="17"/>
  <c r="X26" i="17"/>
  <c r="X57" i="17" s="1"/>
  <c r="Y26" i="17"/>
  <c r="Y57" i="17" s="1"/>
  <c r="Z26" i="17"/>
  <c r="AA26" i="17"/>
  <c r="A29" i="17"/>
  <c r="A30" i="17"/>
  <c r="A31" i="17"/>
  <c r="A32" i="17"/>
  <c r="K32" i="17"/>
  <c r="L32" i="17"/>
  <c r="L57" i="17" s="1"/>
  <c r="M32" i="17"/>
  <c r="N32" i="17"/>
  <c r="O32" i="17"/>
  <c r="P32" i="17"/>
  <c r="Q32" i="17"/>
  <c r="R32" i="17"/>
  <c r="S32" i="17"/>
  <c r="S57" i="17" s="1"/>
  <c r="T32" i="17"/>
  <c r="T57" i="17" s="1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D8" i="14" s="1"/>
  <c r="D51" i="13" s="1"/>
  <c r="Q74" i="4"/>
  <c r="Q92" i="4"/>
  <c r="G34" i="14"/>
  <c r="G69" i="14"/>
  <c r="R114" i="4"/>
  <c r="M72" i="14" s="1"/>
  <c r="R116" i="4"/>
  <c r="M74" i="14" s="1"/>
  <c r="J75" i="4"/>
  <c r="H33" i="14" s="1"/>
  <c r="J77" i="4"/>
  <c r="H35" i="14" s="1"/>
  <c r="C6" i="13"/>
  <c r="C16" i="13" s="1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 s="1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Q1" i="4"/>
  <c r="Q67" i="4" s="1"/>
  <c r="R1" i="4"/>
  <c r="S1" i="4"/>
  <c r="S67" i="4" s="1"/>
  <c r="Q3" i="4"/>
  <c r="Q68" i="4" s="1"/>
  <c r="R3" i="4"/>
  <c r="R68" i="4" s="1"/>
  <c r="S3" i="4"/>
  <c r="S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J9" i="4"/>
  <c r="C10" i="4"/>
  <c r="C10" i="19" s="1"/>
  <c r="C11" i="4"/>
  <c r="C11" i="19" s="1"/>
  <c r="A12" i="4"/>
  <c r="A45" i="4" s="1"/>
  <c r="C12" i="4"/>
  <c r="C12" i="19" s="1"/>
  <c r="A13" i="4"/>
  <c r="C13" i="4"/>
  <c r="C13" i="19" s="1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 s="1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R67" i="4"/>
  <c r="E98" i="4"/>
  <c r="F98" i="4"/>
  <c r="E99" i="4"/>
  <c r="F99" i="4"/>
  <c r="E100" i="4"/>
  <c r="F100" i="4"/>
  <c r="E101" i="4"/>
  <c r="F101" i="4"/>
  <c r="E102" i="4"/>
  <c r="F102" i="4"/>
  <c r="C128" i="4"/>
  <c r="C7" i="13"/>
  <c r="C131" i="4"/>
  <c r="C8" i="13" s="1"/>
  <c r="C132" i="4"/>
  <c r="C9" i="13"/>
  <c r="C133" i="4"/>
  <c r="C134" i="4"/>
  <c r="D142" i="4"/>
  <c r="E142" i="4"/>
  <c r="F142" i="4"/>
  <c r="G142" i="4"/>
  <c r="H142" i="4"/>
  <c r="I142" i="4"/>
  <c r="J142" i="4"/>
  <c r="O143" i="4"/>
  <c r="P144" i="4" s="1"/>
  <c r="O144" i="4"/>
  <c r="P146" i="4"/>
  <c r="F144" i="4"/>
  <c r="C162" i="4"/>
  <c r="C22" i="4" s="1"/>
  <c r="C22" i="19" s="1"/>
  <c r="C163" i="4"/>
  <c r="C23" i="4"/>
  <c r="C23" i="19" s="1"/>
  <c r="A164" i="4"/>
  <c r="A96" i="3" s="1"/>
  <c r="C164" i="4"/>
  <c r="D8" i="17" s="1"/>
  <c r="C165" i="4"/>
  <c r="D9" i="17" s="1"/>
  <c r="A166" i="4"/>
  <c r="A20" i="17" s="1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D27" i="19" s="1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 s="1"/>
  <c r="D268" i="8" s="1"/>
  <c r="E265" i="8" s="1"/>
  <c r="E266" i="8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72" i="8" s="1"/>
  <c r="E22" i="3"/>
  <c r="E273" i="8" s="1"/>
  <c r="F22" i="3"/>
  <c r="F273" i="8"/>
  <c r="D42" i="3"/>
  <c r="E42" i="3"/>
  <c r="F42" i="3"/>
  <c r="D48" i="3"/>
  <c r="E48" i="3"/>
  <c r="E50" i="3" s="1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 s="1"/>
  <c r="A94" i="3"/>
  <c r="D94" i="3"/>
  <c r="D99" i="3" s="1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 s="1"/>
  <c r="C136" i="3"/>
  <c r="C138" i="3"/>
  <c r="C139" i="3"/>
  <c r="F146" i="3"/>
  <c r="F147" i="3"/>
  <c r="C155" i="3" s="1"/>
  <c r="F148" i="3"/>
  <c r="D155" i="3"/>
  <c r="D4" i="8" s="1"/>
  <c r="F149" i="3"/>
  <c r="E155" i="3" s="1"/>
  <c r="F150" i="3"/>
  <c r="F151" i="3"/>
  <c r="D144" i="4" s="1"/>
  <c r="G4" i="8" s="1"/>
  <c r="C153" i="3"/>
  <c r="D153" i="3" s="1"/>
  <c r="E153" i="3" s="1"/>
  <c r="F153" i="3"/>
  <c r="B155" i="3"/>
  <c r="F155" i="3"/>
  <c r="E156" i="3" s="1"/>
  <c r="F4" i="8"/>
  <c r="C161" i="3"/>
  <c r="C10" i="3" s="1"/>
  <c r="C162" i="3"/>
  <c r="C163" i="3"/>
  <c r="C164" i="3"/>
  <c r="C13" i="3" s="1"/>
  <c r="C170" i="3"/>
  <c r="D97" i="8"/>
  <c r="C171" i="3"/>
  <c r="D96" i="8" s="1"/>
  <c r="A92" i="8" s="1"/>
  <c r="D185" i="3"/>
  <c r="D196" i="3"/>
  <c r="F196" i="3"/>
  <c r="D197" i="3"/>
  <c r="D198" i="3" s="1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 s="1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D190" i="3"/>
  <c r="E190" i="3"/>
  <c r="P57" i="17"/>
  <c r="A46" i="4"/>
  <c r="A37" i="4"/>
  <c r="AA57" i="17"/>
  <c r="D192" i="3"/>
  <c r="F23" i="3"/>
  <c r="I4" i="8"/>
  <c r="F22" i="13"/>
  <c r="A10" i="17"/>
  <c r="E193" i="8"/>
  <c r="C231" i="8" s="1"/>
  <c r="D193" i="8"/>
  <c r="C230" i="8" s="1"/>
  <c r="F193" i="8"/>
  <c r="C232" i="8" s="1"/>
  <c r="E23" i="3"/>
  <c r="M57" i="17"/>
  <c r="I27" i="19"/>
  <c r="W69" i="12"/>
  <c r="W39" i="12"/>
  <c r="W19" i="12"/>
  <c r="W125" i="12"/>
  <c r="W111" i="12"/>
  <c r="W103" i="12"/>
  <c r="W201" i="12"/>
  <c r="O69" i="12"/>
  <c r="O201" i="12"/>
  <c r="O87" i="12"/>
  <c r="O169" i="12"/>
  <c r="O249" i="12"/>
  <c r="G189" i="12"/>
  <c r="Z57" i="17"/>
  <c r="R57" i="17"/>
  <c r="W155" i="12"/>
  <c r="D90" i="8"/>
  <c r="F90" i="8"/>
  <c r="W179" i="12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W131" i="12"/>
  <c r="O81" i="12"/>
  <c r="E190" i="8"/>
  <c r="C207" i="8"/>
  <c r="U81" i="12"/>
  <c r="U131" i="12"/>
  <c r="U139" i="12"/>
  <c r="U147" i="12"/>
  <c r="U103" i="12"/>
  <c r="U49" i="12"/>
  <c r="M155" i="12"/>
  <c r="M19" i="12"/>
  <c r="E155" i="12"/>
  <c r="E87" i="12"/>
  <c r="E95" i="12"/>
  <c r="E125" i="12"/>
  <c r="S49" i="12"/>
  <c r="K49" i="12"/>
  <c r="K87" i="12"/>
  <c r="K95" i="12"/>
  <c r="K111" i="12"/>
  <c r="K81" i="12"/>
  <c r="K29" i="12"/>
  <c r="K131" i="12"/>
  <c r="K139" i="12"/>
  <c r="K147" i="12"/>
  <c r="Q95" i="12"/>
  <c r="I95" i="12"/>
  <c r="Z69" i="12"/>
  <c r="Q69" i="12"/>
  <c r="G170" i="6"/>
  <c r="G241" i="6"/>
  <c r="D296" i="6"/>
  <c r="D295" i="6" s="1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 s="1"/>
  <c r="G110" i="6"/>
  <c r="G112" i="6" s="1"/>
  <c r="E208" i="6"/>
  <c r="F208" i="6"/>
  <c r="G208" i="6"/>
  <c r="D208" i="6"/>
  <c r="D215" i="6" s="1"/>
  <c r="D142" i="6" s="1"/>
  <c r="E404" i="6"/>
  <c r="D430" i="6"/>
  <c r="G238" i="6"/>
  <c r="G245" i="6" s="1"/>
  <c r="G172" i="6" s="1"/>
  <c r="E238" i="6"/>
  <c r="E245" i="6"/>
  <c r="E172" i="6" s="1"/>
  <c r="D238" i="6"/>
  <c r="D245" i="6" s="1"/>
  <c r="D172" i="6"/>
  <c r="D173" i="6" s="1"/>
  <c r="F238" i="6"/>
  <c r="H238" i="6"/>
  <c r="F399" i="6"/>
  <c r="G399" i="6" s="1"/>
  <c r="M389" i="6"/>
  <c r="D110" i="6"/>
  <c r="D112" i="6" s="1"/>
  <c r="D114" i="6" s="1"/>
  <c r="H239" i="6"/>
  <c r="G239" i="6"/>
  <c r="E274" i="6"/>
  <c r="E262" i="6" s="1"/>
  <c r="D130" i="6"/>
  <c r="D8" i="6" s="1"/>
  <c r="D17" i="6"/>
  <c r="F125" i="6"/>
  <c r="F130" i="6"/>
  <c r="F8" i="6"/>
  <c r="F17" i="6" s="1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 s="1"/>
  <c r="G220" i="6"/>
  <c r="E218" i="6"/>
  <c r="E386" i="6"/>
  <c r="F386" i="6" s="1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E430" i="6"/>
  <c r="F404" i="6"/>
  <c r="F425" i="6"/>
  <c r="F403" i="6"/>
  <c r="F429" i="6" s="1"/>
  <c r="E429" i="6"/>
  <c r="F419" i="6"/>
  <c r="G393" i="6"/>
  <c r="G406" i="6"/>
  <c r="F180" i="6"/>
  <c r="H210" i="6"/>
  <c r="F210" i="6"/>
  <c r="E185" i="3"/>
  <c r="G221" i="6"/>
  <c r="H221" i="6"/>
  <c r="G210" i="6"/>
  <c r="F245" i="6"/>
  <c r="F172" i="6" s="1"/>
  <c r="F215" i="6"/>
  <c r="F142" i="6" s="1"/>
  <c r="G403" i="6"/>
  <c r="G429" i="6" s="1"/>
  <c r="E170" i="8"/>
  <c r="H393" i="6"/>
  <c r="H419" i="6"/>
  <c r="G419" i="6"/>
  <c r="G394" i="6"/>
  <c r="F420" i="6"/>
  <c r="H403" i="6"/>
  <c r="H429" i="6" s="1"/>
  <c r="S102" i="4"/>
  <c r="N60" i="14" s="1"/>
  <c r="Q101" i="4"/>
  <c r="S99" i="4"/>
  <c r="N57" i="14" s="1"/>
  <c r="R99" i="4"/>
  <c r="M57" i="14" s="1"/>
  <c r="S98" i="4"/>
  <c r="N56" i="14" s="1"/>
  <c r="R102" i="4"/>
  <c r="M60" i="14" s="1"/>
  <c r="Q99" i="4"/>
  <c r="Q98" i="4"/>
  <c r="R100" i="4"/>
  <c r="M58" i="14" s="1"/>
  <c r="S101" i="4"/>
  <c r="N59" i="14" s="1"/>
  <c r="R101" i="4"/>
  <c r="M59" i="14" s="1"/>
  <c r="S100" i="4"/>
  <c r="N58" i="14" s="1"/>
  <c r="R98" i="4"/>
  <c r="M56" i="14" s="1"/>
  <c r="Q102" i="4"/>
  <c r="Q100" i="4"/>
  <c r="I7" i="13"/>
  <c r="I9" i="13"/>
  <c r="I6" i="13"/>
  <c r="I8" i="13"/>
  <c r="I139" i="4"/>
  <c r="H25" i="16"/>
  <c r="E8" i="14"/>
  <c r="E51" i="13" s="1"/>
  <c r="A98" i="3" l="1"/>
  <c r="D22" i="13"/>
  <c r="C94" i="3"/>
  <c r="D145" i="4"/>
  <c r="D45" i="4" s="1"/>
  <c r="D43" i="12" s="1"/>
  <c r="A47" i="17"/>
  <c r="D6" i="17"/>
  <c r="A26" i="4"/>
  <c r="C24" i="4"/>
  <c r="C24" i="19" s="1"/>
  <c r="A24" i="4"/>
  <c r="D55" i="4"/>
  <c r="D35" i="4"/>
  <c r="D43" i="4"/>
  <c r="D48" i="4"/>
  <c r="D73" i="12" s="1"/>
  <c r="D34" i="4"/>
  <c r="D22" i="12" s="1"/>
  <c r="A8" i="17"/>
  <c r="A35" i="17"/>
  <c r="G27" i="19"/>
  <c r="F27" i="19"/>
  <c r="C14" i="13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C9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C90" i="12"/>
  <c r="I49" i="12"/>
  <c r="I39" i="12"/>
  <c r="I29" i="12"/>
  <c r="Y179" i="12"/>
  <c r="N169" i="12"/>
  <c r="N81" i="12"/>
  <c r="N59" i="12"/>
  <c r="N237" i="12"/>
  <c r="Y189" i="12"/>
  <c r="M169" i="12"/>
  <c r="C158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C157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C133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C141" i="12"/>
  <c r="X131" i="12"/>
  <c r="Q125" i="12"/>
  <c r="X103" i="12"/>
  <c r="X69" i="12"/>
  <c r="R59" i="12"/>
  <c r="J24" i="16"/>
  <c r="E27" i="19"/>
  <c r="S35" i="14"/>
  <c r="T40" i="14"/>
  <c r="J389" i="6"/>
  <c r="D414" i="6"/>
  <c r="H219" i="6"/>
  <c r="H225" i="6" s="1"/>
  <c r="H152" i="6" s="1"/>
  <c r="F219" i="6"/>
  <c r="F225" i="6" s="1"/>
  <c r="F152" i="6" s="1"/>
  <c r="F182" i="6" s="1"/>
  <c r="F54" i="6" s="1"/>
  <c r="A70" i="6"/>
  <c r="D175" i="6"/>
  <c r="E169" i="6"/>
  <c r="E173" i="6" s="1"/>
  <c r="E392" i="6"/>
  <c r="D418" i="6"/>
  <c r="D421" i="6" s="1"/>
  <c r="D155" i="6"/>
  <c r="E149" i="6"/>
  <c r="G160" i="6"/>
  <c r="G180" i="6" s="1"/>
  <c r="G130" i="6"/>
  <c r="G8" i="6" s="1"/>
  <c r="G17" i="6" s="1"/>
  <c r="G231" i="6"/>
  <c r="E398" i="6"/>
  <c r="D424" i="6"/>
  <c r="D426" i="6" s="1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 s="1"/>
  <c r="H8" i="6" s="1"/>
  <c r="H17" i="6" s="1"/>
  <c r="H114" i="6"/>
  <c r="G71" i="6"/>
  <c r="F80" i="6"/>
  <c r="F36" i="6" s="1"/>
  <c r="F185" i="3"/>
  <c r="C12" i="3"/>
  <c r="D192" i="8"/>
  <c r="C222" i="8" s="1"/>
  <c r="E192" i="8"/>
  <c r="C223" i="8" s="1"/>
  <c r="F192" i="8"/>
  <c r="C224" i="8" s="1"/>
  <c r="G80" i="6"/>
  <c r="G36" i="6" s="1"/>
  <c r="C114" i="12"/>
  <c r="E231" i="8"/>
  <c r="F231" i="8"/>
  <c r="E55" i="6"/>
  <c r="E9" i="6" s="1"/>
  <c r="E18" i="6" s="1"/>
  <c r="E68" i="6"/>
  <c r="E81" i="6" s="1"/>
  <c r="E37" i="6" s="1"/>
  <c r="D180" i="6"/>
  <c r="E99" i="12"/>
  <c r="F99" i="12" s="1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H406" i="6"/>
  <c r="H432" i="6" s="1"/>
  <c r="G432" i="6"/>
  <c r="H245" i="6"/>
  <c r="H172" i="6" s="1"/>
  <c r="D15" i="8"/>
  <c r="D118" i="3"/>
  <c r="E102" i="8"/>
  <c r="E82" i="8"/>
  <c r="G404" i="6"/>
  <c r="F430" i="6"/>
  <c r="E140" i="8"/>
  <c r="E125" i="8"/>
  <c r="E405" i="6"/>
  <c r="D431" i="6"/>
  <c r="E297" i="6"/>
  <c r="F294" i="6" s="1"/>
  <c r="G386" i="6"/>
  <c r="F412" i="6"/>
  <c r="D68" i="6"/>
  <c r="D81" i="6" s="1"/>
  <c r="D37" i="6" s="1"/>
  <c r="D55" i="6"/>
  <c r="D9" i="6" s="1"/>
  <c r="D18" i="6" s="1"/>
  <c r="J4" i="8"/>
  <c r="G22" i="13"/>
  <c r="E263" i="6"/>
  <c r="E125" i="6"/>
  <c r="E130" i="6" s="1"/>
  <c r="E8" i="6" s="1"/>
  <c r="E17" i="6" s="1"/>
  <c r="E150" i="6"/>
  <c r="E219" i="6" s="1"/>
  <c r="E225" i="6" s="1"/>
  <c r="E152" i="6" s="1"/>
  <c r="H394" i="6"/>
  <c r="H420" i="6" s="1"/>
  <c r="G420" i="6"/>
  <c r="E412" i="6"/>
  <c r="H399" i="6"/>
  <c r="H425" i="6" s="1"/>
  <c r="G425" i="6"/>
  <c r="D290" i="6"/>
  <c r="D289" i="6" s="1"/>
  <c r="D291" i="6" s="1"/>
  <c r="E288" i="6" s="1"/>
  <c r="D261" i="6"/>
  <c r="D284" i="6" s="1"/>
  <c r="E268" i="8"/>
  <c r="F265" i="8" s="1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 s="1"/>
  <c r="E274" i="8"/>
  <c r="F271" i="8" s="1"/>
  <c r="D228" i="6"/>
  <c r="D235" i="6" s="1"/>
  <c r="D162" i="6" s="1"/>
  <c r="D163" i="6" s="1"/>
  <c r="H228" i="6"/>
  <c r="E228" i="6"/>
  <c r="E235" i="6" s="1"/>
  <c r="E162" i="6" s="1"/>
  <c r="F228" i="6"/>
  <c r="F235" i="6" s="1"/>
  <c r="F162" i="6" s="1"/>
  <c r="E215" i="8"/>
  <c r="C115" i="12"/>
  <c r="F232" i="8"/>
  <c r="B115" i="12" s="1"/>
  <c r="C11" i="13"/>
  <c r="F278" i="6"/>
  <c r="E302" i="6"/>
  <c r="E301" i="6" s="1"/>
  <c r="E303" i="6" s="1"/>
  <c r="F300" i="6" s="1"/>
  <c r="E296" i="6"/>
  <c r="E295" i="6" s="1"/>
  <c r="C113" i="12"/>
  <c r="E4" i="8"/>
  <c r="E90" i="8"/>
  <c r="D156" i="3"/>
  <c r="D23" i="3"/>
  <c r="D255" i="8"/>
  <c r="P145" i="4"/>
  <c r="E144" i="4" s="1"/>
  <c r="D260" i="8"/>
  <c r="D262" i="8" s="1"/>
  <c r="E259" i="8" s="1"/>
  <c r="E260" i="8"/>
  <c r="E127" i="8"/>
  <c r="E49" i="8"/>
  <c r="E52" i="8" s="1"/>
  <c r="B158" i="12"/>
  <c r="E151" i="8"/>
  <c r="B142" i="12"/>
  <c r="D50" i="3"/>
  <c r="N57" i="17"/>
  <c r="K225" i="12"/>
  <c r="E385" i="6"/>
  <c r="D411" i="6"/>
  <c r="H27" i="19"/>
  <c r="U57" i="17"/>
  <c r="F125" i="8"/>
  <c r="F130" i="8" s="1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 s="1"/>
  <c r="G142" i="6" s="1"/>
  <c r="E209" i="6"/>
  <c r="E215" i="6" s="1"/>
  <c r="E142" i="6" s="1"/>
  <c r="E182" i="6" s="1"/>
  <c r="E54" i="6" s="1"/>
  <c r="E180" i="6"/>
  <c r="E191" i="3"/>
  <c r="E193" i="3" s="1"/>
  <c r="E200" i="3" s="1"/>
  <c r="E201" i="3" s="1"/>
  <c r="F99" i="3"/>
  <c r="D7" i="17"/>
  <c r="C95" i="3"/>
  <c r="K249" i="12"/>
  <c r="C150" i="12"/>
  <c r="C151" i="12"/>
  <c r="W81" i="12"/>
  <c r="H160" i="6"/>
  <c r="D42" i="17"/>
  <c r="C26" i="4"/>
  <c r="C26" i="19" s="1"/>
  <c r="C98" i="3"/>
  <c r="C139" i="4"/>
  <c r="C10" i="13"/>
  <c r="C19" i="13" s="1"/>
  <c r="A36" i="4"/>
  <c r="M225" i="12"/>
  <c r="C142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 s="1"/>
  <c r="F191" i="3"/>
  <c r="F193" i="3" s="1"/>
  <c r="F200" i="3" s="1"/>
  <c r="D191" i="3"/>
  <c r="D193" i="3" s="1"/>
  <c r="D200" i="3" s="1"/>
  <c r="D201" i="3" s="1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 s="1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 s="1"/>
  <c r="F114" i="6" s="1"/>
  <c r="E198" i="3"/>
  <c r="T69" i="14"/>
  <c r="A39" i="4"/>
  <c r="A48" i="4"/>
  <c r="D428" i="6"/>
  <c r="E402" i="6"/>
  <c r="E228" i="3"/>
  <c r="E192" i="3" s="1"/>
  <c r="C135" i="12"/>
  <c r="G218" i="6"/>
  <c r="S40" i="14"/>
  <c r="T55" i="14"/>
  <c r="T44" i="14"/>
  <c r="T53" i="14"/>
  <c r="S66" i="14"/>
  <c r="J16" i="16"/>
  <c r="T50" i="14"/>
  <c r="S52" i="14"/>
  <c r="S55" i="14"/>
  <c r="T70" i="14"/>
  <c r="S31" i="14"/>
  <c r="S34" i="14"/>
  <c r="H26" i="16"/>
  <c r="I10" i="13"/>
  <c r="I22" i="13"/>
  <c r="I11" i="13"/>
  <c r="J22" i="13"/>
  <c r="T33" i="14"/>
  <c r="T34" i="14"/>
  <c r="S69" i="14"/>
  <c r="S74" i="14"/>
  <c r="T42" i="14"/>
  <c r="S43" i="14"/>
  <c r="S64" i="14"/>
  <c r="T71" i="14"/>
  <c r="S72" i="14"/>
  <c r="T65" i="14"/>
  <c r="S30" i="14"/>
  <c r="T43" i="14"/>
  <c r="S44" i="14"/>
  <c r="S50" i="14"/>
  <c r="T64" i="14"/>
  <c r="S65" i="14"/>
  <c r="T72" i="14"/>
  <c r="S73" i="14"/>
  <c r="S54" i="14"/>
  <c r="S71" i="14"/>
  <c r="J25" i="16"/>
  <c r="J49" i="16"/>
  <c r="T36" i="14"/>
  <c r="H40" i="16"/>
  <c r="S36" i="14"/>
  <c r="J40" i="16"/>
  <c r="S33" i="14"/>
  <c r="T46" i="14"/>
  <c r="T52" i="14"/>
  <c r="J48" i="13"/>
  <c r="I48" i="13"/>
  <c r="H22" i="16"/>
  <c r="T32" i="14"/>
  <c r="S53" i="14"/>
  <c r="T67" i="14"/>
  <c r="S68" i="14"/>
  <c r="I45" i="13"/>
  <c r="J45" i="13"/>
  <c r="I47" i="13"/>
  <c r="J47" i="13"/>
  <c r="H49" i="16"/>
  <c r="I22" i="16"/>
  <c r="H16" i="16"/>
  <c r="S51" i="14"/>
  <c r="I40" i="16"/>
  <c r="I49" i="16"/>
  <c r="T31" i="14"/>
  <c r="S32" i="14"/>
  <c r="T45" i="14"/>
  <c r="S46" i="14"/>
  <c r="T51" i="14"/>
  <c r="T66" i="14"/>
  <c r="S67" i="14"/>
  <c r="T74" i="14"/>
  <c r="I25" i="16"/>
  <c r="T35" i="14"/>
  <c r="J22" i="16"/>
  <c r="I16" i="13"/>
  <c r="I14" i="13"/>
  <c r="J26" i="16"/>
  <c r="T30" i="14"/>
  <c r="T54" i="14"/>
  <c r="T68" i="14"/>
  <c r="S42" i="14"/>
  <c r="T73" i="14"/>
  <c r="S41" i="14"/>
  <c r="S45" i="14"/>
  <c r="T41" i="14"/>
  <c r="S70" i="14"/>
  <c r="D38" i="4" l="1"/>
  <c r="D62" i="12" s="1"/>
  <c r="D11" i="4"/>
  <c r="D31" i="12" s="1"/>
  <c r="D47" i="4"/>
  <c r="D63" i="12" s="1"/>
  <c r="D39" i="4"/>
  <c r="D72" i="12" s="1"/>
  <c r="D12" i="4"/>
  <c r="D41" i="12" s="1"/>
  <c r="D37" i="4"/>
  <c r="D52" i="12" s="1"/>
  <c r="D15" i="4"/>
  <c r="D71" i="12" s="1"/>
  <c r="D10" i="4"/>
  <c r="D46" i="4"/>
  <c r="D53" i="12" s="1"/>
  <c r="D23" i="4"/>
  <c r="E145" i="4"/>
  <c r="E12" i="4" s="1"/>
  <c r="E41" i="12" s="1"/>
  <c r="D13" i="4"/>
  <c r="D44" i="4"/>
  <c r="D33" i="12" s="1"/>
  <c r="D36" i="4"/>
  <c r="D42" i="12" s="1"/>
  <c r="D14" i="4"/>
  <c r="D61" i="12" s="1"/>
  <c r="E35" i="4"/>
  <c r="E32" i="12" s="1"/>
  <c r="E36" i="4"/>
  <c r="E42" i="12" s="1"/>
  <c r="E44" i="4"/>
  <c r="E33" i="12" s="1"/>
  <c r="E45" i="4"/>
  <c r="E43" i="12" s="1"/>
  <c r="E46" i="4"/>
  <c r="E53" i="12" s="1"/>
  <c r="C13" i="13"/>
  <c r="D24" i="4"/>
  <c r="D18" i="17" s="1"/>
  <c r="D38" i="17" s="1"/>
  <c r="D51" i="12"/>
  <c r="D158" i="12"/>
  <c r="B114" i="12"/>
  <c r="E114" i="12" s="1"/>
  <c r="F114" i="12" s="1"/>
  <c r="D114" i="12"/>
  <c r="F215" i="8"/>
  <c r="B98" i="12" s="1"/>
  <c r="D115" i="12"/>
  <c r="F51" i="13"/>
  <c r="D165" i="6"/>
  <c r="E159" i="6"/>
  <c r="E163" i="6" s="1"/>
  <c r="G99" i="12"/>
  <c r="H99" i="12" s="1"/>
  <c r="D17" i="17"/>
  <c r="D32" i="17" s="1"/>
  <c r="D151" i="8"/>
  <c r="D181" i="8" s="1"/>
  <c r="B133" i="12"/>
  <c r="D123" i="8"/>
  <c r="B157" i="12"/>
  <c r="D50" i="8"/>
  <c r="D128" i="8"/>
  <c r="D93" i="8"/>
  <c r="D122" i="8"/>
  <c r="D124" i="8"/>
  <c r="D49" i="8"/>
  <c r="B149" i="12"/>
  <c r="C156" i="3"/>
  <c r="B156" i="3" s="1"/>
  <c r="D127" i="8"/>
  <c r="F222" i="8" s="1"/>
  <c r="D51" i="8"/>
  <c r="B141" i="12"/>
  <c r="G430" i="6"/>
  <c r="H404" i="6"/>
  <c r="H430" i="6" s="1"/>
  <c r="F180" i="8"/>
  <c r="F208" i="8"/>
  <c r="B91" i="12" s="1"/>
  <c r="D32" i="13"/>
  <c r="P32" i="13"/>
  <c r="AA32" i="13"/>
  <c r="D53" i="13"/>
  <c r="D254" i="8"/>
  <c r="D279" i="8"/>
  <c r="E261" i="6"/>
  <c r="E284" i="6" s="1"/>
  <c r="E290" i="6" s="1"/>
  <c r="E289" i="6" s="1"/>
  <c r="E291" i="6" s="1"/>
  <c r="F288" i="6" s="1"/>
  <c r="G412" i="6"/>
  <c r="H386" i="6"/>
  <c r="H412" i="6" s="1"/>
  <c r="B90" i="12"/>
  <c r="E207" i="8"/>
  <c r="F207" i="8"/>
  <c r="E139" i="6"/>
  <c r="D145" i="6"/>
  <c r="D185" i="6" s="1"/>
  <c r="D183" i="6"/>
  <c r="F391" i="6"/>
  <c r="E417" i="6"/>
  <c r="D82" i="8"/>
  <c r="D102" i="8"/>
  <c r="E262" i="8"/>
  <c r="F259" i="8" s="1"/>
  <c r="E22" i="13"/>
  <c r="H4" i="8"/>
  <c r="F272" i="8"/>
  <c r="F274" i="8" s="1"/>
  <c r="D48" i="17" s="1"/>
  <c r="D182" i="6"/>
  <c r="D54" i="6" s="1"/>
  <c r="E153" i="6"/>
  <c r="D184" i="12"/>
  <c r="B239" i="12" s="1"/>
  <c r="G185" i="3"/>
  <c r="H71" i="6"/>
  <c r="D185" i="12"/>
  <c r="B251" i="12" s="1"/>
  <c r="K4" i="8"/>
  <c r="H22" i="13"/>
  <c r="F405" i="6"/>
  <c r="E431" i="6"/>
  <c r="F223" i="8"/>
  <c r="C106" i="12"/>
  <c r="H55" i="6"/>
  <c r="H9" i="6" s="1"/>
  <c r="H18" i="6" s="1"/>
  <c r="H68" i="6"/>
  <c r="E428" i="6"/>
  <c r="F402" i="6"/>
  <c r="B143" i="12"/>
  <c r="D27" i="6"/>
  <c r="E5" i="8"/>
  <c r="E6" i="8" s="1"/>
  <c r="B135" i="12"/>
  <c r="D135" i="12" s="1"/>
  <c r="B159" i="12"/>
  <c r="D5" i="8"/>
  <c r="D6" i="8" s="1"/>
  <c r="B150" i="12"/>
  <c r="D150" i="12" s="1"/>
  <c r="B151" i="12"/>
  <c r="B134" i="12"/>
  <c r="F5" i="8"/>
  <c r="F6" i="8" s="1"/>
  <c r="D415" i="6"/>
  <c r="D182" i="12"/>
  <c r="B215" i="12" s="1"/>
  <c r="E115" i="12"/>
  <c r="F115" i="12" s="1"/>
  <c r="H235" i="6"/>
  <c r="H162" i="6" s="1"/>
  <c r="D283" i="6"/>
  <c r="D308" i="6"/>
  <c r="C105" i="12"/>
  <c r="F169" i="6"/>
  <c r="F173" i="6" s="1"/>
  <c r="E175" i="6"/>
  <c r="G219" i="6"/>
  <c r="G225" i="6" s="1"/>
  <c r="G152" i="6" s="1"/>
  <c r="G182" i="6" s="1"/>
  <c r="G54" i="6" s="1"/>
  <c r="G278" i="6"/>
  <c r="F296" i="6"/>
  <c r="F295" i="6" s="1"/>
  <c r="F297" i="6" s="1"/>
  <c r="G294" i="6" s="1"/>
  <c r="F302" i="6"/>
  <c r="F301" i="6" s="1"/>
  <c r="F303" i="6" s="1"/>
  <c r="G300" i="6" s="1"/>
  <c r="F290" i="6"/>
  <c r="D142" i="12"/>
  <c r="E181" i="8"/>
  <c r="F284" i="6"/>
  <c r="F392" i="6"/>
  <c r="E418" i="6"/>
  <c r="D433" i="6"/>
  <c r="F55" i="6"/>
  <c r="F9" i="6" s="1"/>
  <c r="F18" i="6" s="1"/>
  <c r="F68" i="6"/>
  <c r="F81" i="6" s="1"/>
  <c r="F37" i="6" s="1"/>
  <c r="F201" i="3"/>
  <c r="C201" i="3" s="1"/>
  <c r="D151" i="12"/>
  <c r="F385" i="6"/>
  <c r="E411" i="6"/>
  <c r="E223" i="8"/>
  <c r="E160" i="8"/>
  <c r="H212" i="6"/>
  <c r="H180" i="6"/>
  <c r="D32" i="12"/>
  <c r="F398" i="6"/>
  <c r="E424" i="6"/>
  <c r="E426" i="6" s="1"/>
  <c r="H215" i="6"/>
  <c r="H142" i="6" s="1"/>
  <c r="H182" i="6" s="1"/>
  <c r="H54" i="6" s="1"/>
  <c r="F266" i="8"/>
  <c r="F268" i="8"/>
  <c r="D36" i="17" s="1"/>
  <c r="C107" i="12"/>
  <c r="F224" i="8"/>
  <c r="B107" i="12" s="1"/>
  <c r="G55" i="6"/>
  <c r="G9" i="6" s="1"/>
  <c r="G18" i="6" s="1"/>
  <c r="G68" i="6"/>
  <c r="G81" i="6" s="1"/>
  <c r="G37" i="6" s="1"/>
  <c r="D23" i="12"/>
  <c r="D49" i="4"/>
  <c r="D8" i="12" s="1"/>
  <c r="E413" i="6"/>
  <c r="F387" i="6"/>
  <c r="F45" i="13"/>
  <c r="G45" i="13"/>
  <c r="D45" i="13"/>
  <c r="E45" i="13"/>
  <c r="H45" i="13"/>
  <c r="H388" i="6"/>
  <c r="H414" i="6" s="1"/>
  <c r="G414" i="6"/>
  <c r="D180" i="12"/>
  <c r="D21" i="12"/>
  <c r="C15" i="13"/>
  <c r="E130" i="8"/>
  <c r="H261" i="6"/>
  <c r="H27" i="16"/>
  <c r="G51" i="13"/>
  <c r="I15" i="13"/>
  <c r="J46" i="13" s="1"/>
  <c r="J27" i="16"/>
  <c r="I19" i="13"/>
  <c r="I13" i="13"/>
  <c r="D25" i="4" l="1"/>
  <c r="D19" i="17" s="1"/>
  <c r="D44" i="17" s="1"/>
  <c r="D43" i="17" s="1"/>
  <c r="D45" i="17" s="1"/>
  <c r="E42" i="17" s="1"/>
  <c r="E13" i="4"/>
  <c r="E24" i="4" s="1"/>
  <c r="E18" i="17" s="1"/>
  <c r="E38" i="17" s="1"/>
  <c r="E55" i="4"/>
  <c r="E43" i="4"/>
  <c r="E23" i="12" s="1"/>
  <c r="E39" i="4"/>
  <c r="E72" i="12" s="1"/>
  <c r="D16" i="4"/>
  <c r="D6" i="12" s="1"/>
  <c r="D26" i="4"/>
  <c r="D20" i="17" s="1"/>
  <c r="D50" i="17" s="1"/>
  <c r="D49" i="17" s="1"/>
  <c r="D51" i="17" s="1"/>
  <c r="E48" i="17" s="1"/>
  <c r="D40" i="4"/>
  <c r="D7" i="12" s="1"/>
  <c r="D52" i="13" s="1"/>
  <c r="E34" i="4"/>
  <c r="E40" i="4" s="1"/>
  <c r="E7" i="12" s="1"/>
  <c r="E52" i="13" s="1"/>
  <c r="E11" i="4"/>
  <c r="E47" i="4"/>
  <c r="E63" i="12" s="1"/>
  <c r="E37" i="4"/>
  <c r="E52" i="12" s="1"/>
  <c r="D181" i="12"/>
  <c r="B203" i="12" s="1"/>
  <c r="D183" i="12"/>
  <c r="B227" i="12" s="1"/>
  <c r="D227" i="12" s="1"/>
  <c r="D234" i="12" s="1"/>
  <c r="D22" i="4"/>
  <c r="D27" i="4" s="1"/>
  <c r="E10" i="4"/>
  <c r="E38" i="4"/>
  <c r="E62" i="12" s="1"/>
  <c r="E23" i="4"/>
  <c r="E17" i="17" s="1"/>
  <c r="E32" i="17" s="1"/>
  <c r="E15" i="4"/>
  <c r="E185" i="12" s="1"/>
  <c r="B252" i="12" s="1"/>
  <c r="E252" i="12" s="1"/>
  <c r="E14" i="4"/>
  <c r="F145" i="4"/>
  <c r="F47" i="4" s="1"/>
  <c r="F63" i="12" s="1"/>
  <c r="E48" i="4"/>
  <c r="E73" i="12" s="1"/>
  <c r="E49" i="4"/>
  <c r="E8" i="12" s="1"/>
  <c r="E182" i="12"/>
  <c r="B216" i="12" s="1"/>
  <c r="E216" i="12" s="1"/>
  <c r="E183" i="12"/>
  <c r="B228" i="12" s="1"/>
  <c r="E228" i="12" s="1"/>
  <c r="E22" i="12"/>
  <c r="E21" i="12"/>
  <c r="E71" i="12"/>
  <c r="E25" i="4"/>
  <c r="E19" i="17" s="1"/>
  <c r="E44" i="17" s="1"/>
  <c r="E61" i="12"/>
  <c r="G145" i="4"/>
  <c r="F11" i="4"/>
  <c r="F48" i="4"/>
  <c r="F73" i="12" s="1"/>
  <c r="F44" i="4"/>
  <c r="F33" i="12" s="1"/>
  <c r="F23" i="4"/>
  <c r="F12" i="4"/>
  <c r="F55" i="4"/>
  <c r="F38" i="4"/>
  <c r="F62" i="12" s="1"/>
  <c r="F34" i="4"/>
  <c r="F13" i="4"/>
  <c r="F39" i="4"/>
  <c r="F72" i="12" s="1"/>
  <c r="F35" i="4"/>
  <c r="F32" i="12" s="1"/>
  <c r="F14" i="4"/>
  <c r="F43" i="4"/>
  <c r="F36" i="4"/>
  <c r="F42" i="12" s="1"/>
  <c r="F15" i="4"/>
  <c r="E158" i="12"/>
  <c r="F158" i="12" s="1"/>
  <c r="F227" i="8"/>
  <c r="F162" i="8" s="1"/>
  <c r="D150" i="8"/>
  <c r="D214" i="8" s="1"/>
  <c r="D219" i="8" s="1"/>
  <c r="D152" i="8" s="1"/>
  <c r="D153" i="8" s="1"/>
  <c r="B106" i="12"/>
  <c r="D106" i="12" s="1"/>
  <c r="E222" i="8"/>
  <c r="E227" i="8" s="1"/>
  <c r="E162" i="8" s="1"/>
  <c r="G295" i="6"/>
  <c r="G297" i="6" s="1"/>
  <c r="H294" i="6" s="1"/>
  <c r="D1" i="3"/>
  <c r="C1" i="3"/>
  <c r="G114" i="12"/>
  <c r="I99" i="12"/>
  <c r="J99" i="12" s="1"/>
  <c r="F289" i="6"/>
  <c r="F291" i="6" s="1"/>
  <c r="G288" i="6" s="1"/>
  <c r="D91" i="12"/>
  <c r="E91" i="12" s="1"/>
  <c r="D203" i="12"/>
  <c r="D210" i="12" s="1"/>
  <c r="D53" i="6"/>
  <c r="D69" i="6"/>
  <c r="D70" i="6" s="1"/>
  <c r="D83" i="6" s="1"/>
  <c r="D39" i="6" s="1"/>
  <c r="D134" i="12"/>
  <c r="E134" i="12" s="1"/>
  <c r="B191" i="12"/>
  <c r="F424" i="6"/>
  <c r="F426" i="6" s="1"/>
  <c r="G398" i="6"/>
  <c r="D98" i="12"/>
  <c r="F175" i="6"/>
  <c r="G169" i="6"/>
  <c r="G173" i="6" s="1"/>
  <c r="D159" i="12"/>
  <c r="E159" i="12" s="1"/>
  <c r="D52" i="8"/>
  <c r="B136" i="12"/>
  <c r="D133" i="12"/>
  <c r="F413" i="6"/>
  <c r="G387" i="6"/>
  <c r="D107" i="12"/>
  <c r="D215" i="12"/>
  <c r="E135" i="12"/>
  <c r="F135" i="12" s="1"/>
  <c r="D435" i="6"/>
  <c r="E155" i="6"/>
  <c r="F149" i="6"/>
  <c r="F153" i="6" s="1"/>
  <c r="D125" i="8"/>
  <c r="D130" i="8" s="1"/>
  <c r="D140" i="8"/>
  <c r="A13" i="6"/>
  <c r="A22" i="6"/>
  <c r="F260" i="8"/>
  <c r="F262" i="8" s="1"/>
  <c r="D30" i="17" s="1"/>
  <c r="E415" i="6"/>
  <c r="E435" i="6" s="1"/>
  <c r="D143" i="12"/>
  <c r="D230" i="8"/>
  <c r="D235" i="8" s="1"/>
  <c r="D172" i="8" s="1"/>
  <c r="D170" i="8"/>
  <c r="E230" i="8"/>
  <c r="E235" i="8" s="1"/>
  <c r="E172" i="8" s="1"/>
  <c r="F230" i="8"/>
  <c r="F235" i="8" s="1"/>
  <c r="F172" i="8" s="1"/>
  <c r="G46" i="13"/>
  <c r="H46" i="13"/>
  <c r="F46" i="13"/>
  <c r="E46" i="13"/>
  <c r="D46" i="13"/>
  <c r="F411" i="6"/>
  <c r="G385" i="6"/>
  <c r="G392" i="6"/>
  <c r="F418" i="6"/>
  <c r="E142" i="12"/>
  <c r="G115" i="12"/>
  <c r="E151" i="12"/>
  <c r="F151" i="12" s="1"/>
  <c r="G402" i="6"/>
  <c r="F428" i="6"/>
  <c r="F433" i="6" s="1"/>
  <c r="F431" i="6"/>
  <c r="G405" i="6"/>
  <c r="D239" i="12"/>
  <c r="D222" i="8"/>
  <c r="D227" i="8" s="1"/>
  <c r="D162" i="8" s="1"/>
  <c r="D160" i="8"/>
  <c r="F159" i="6"/>
  <c r="F163" i="6" s="1"/>
  <c r="E165" i="6"/>
  <c r="D251" i="12"/>
  <c r="D258" i="12" s="1"/>
  <c r="H80" i="6"/>
  <c r="H36" i="6" s="1"/>
  <c r="H185" i="3"/>
  <c r="E308" i="6"/>
  <c r="B144" i="12"/>
  <c r="D141" i="12"/>
  <c r="E141" i="12" s="1"/>
  <c r="H278" i="6"/>
  <c r="G302" i="6"/>
  <c r="G301" i="6" s="1"/>
  <c r="G303" i="6" s="1"/>
  <c r="H300" i="6" s="1"/>
  <c r="G284" i="6"/>
  <c r="G296" i="6"/>
  <c r="D285" i="6"/>
  <c r="D307" i="6"/>
  <c r="D82" i="6" s="1"/>
  <c r="D38" i="6" s="1"/>
  <c r="E150" i="12"/>
  <c r="E433" i="6"/>
  <c r="E421" i="6"/>
  <c r="D278" i="8"/>
  <c r="D103" i="8" s="1"/>
  <c r="D256" i="8"/>
  <c r="F44" i="8"/>
  <c r="D44" i="8"/>
  <c r="E45" i="8"/>
  <c r="E43" i="8"/>
  <c r="E44" i="8"/>
  <c r="D45" i="8"/>
  <c r="D43" i="8"/>
  <c r="F45" i="8"/>
  <c r="F43" i="8"/>
  <c r="B160" i="12"/>
  <c r="D157" i="12"/>
  <c r="D37" i="17"/>
  <c r="D39" i="17" s="1"/>
  <c r="E36" i="17" s="1"/>
  <c r="E37" i="17" s="1"/>
  <c r="E39" i="17" s="1"/>
  <c r="F36" i="17" s="1"/>
  <c r="E143" i="6"/>
  <c r="E179" i="6"/>
  <c r="E180" i="8"/>
  <c r="F308" i="6"/>
  <c r="H81" i="6"/>
  <c r="H37" i="6" s="1"/>
  <c r="F417" i="6"/>
  <c r="G391" i="6"/>
  <c r="D90" i="12"/>
  <c r="E90" i="12"/>
  <c r="B152" i="12"/>
  <c r="D60" i="12" s="1"/>
  <c r="D149" i="12"/>
  <c r="D152" i="12" s="1"/>
  <c r="F214" i="8"/>
  <c r="F219" i="8" s="1"/>
  <c r="F152" i="8" s="1"/>
  <c r="C18" i="13"/>
  <c r="I18" i="13"/>
  <c r="I46" i="13"/>
  <c r="E26" i="4" l="1"/>
  <c r="E20" i="17" s="1"/>
  <c r="E50" i="17" s="1"/>
  <c r="E49" i="17" s="1"/>
  <c r="E51" i="17" s="1"/>
  <c r="F48" i="17" s="1"/>
  <c r="F49" i="17" s="1"/>
  <c r="F51" i="17" s="1"/>
  <c r="G48" i="17" s="1"/>
  <c r="E16" i="4"/>
  <c r="E6" i="12" s="1"/>
  <c r="E31" i="12"/>
  <c r="E181" i="12"/>
  <c r="B204" i="12" s="1"/>
  <c r="E204" i="12" s="1"/>
  <c r="F204" i="12" s="1"/>
  <c r="D186" i="12"/>
  <c r="D171" i="12" s="1"/>
  <c r="E174" i="12" s="1"/>
  <c r="D16" i="17"/>
  <c r="D21" i="17" s="1"/>
  <c r="F10" i="4"/>
  <c r="F46" i="4"/>
  <c r="F53" i="12" s="1"/>
  <c r="F45" i="4"/>
  <c r="F43" i="12" s="1"/>
  <c r="F37" i="4"/>
  <c r="F52" i="12" s="1"/>
  <c r="E43" i="17"/>
  <c r="E45" i="17" s="1"/>
  <c r="F42" i="17" s="1"/>
  <c r="E180" i="12"/>
  <c r="E22" i="4"/>
  <c r="AB32" i="13"/>
  <c r="E32" i="13"/>
  <c r="E53" i="13"/>
  <c r="Q32" i="13"/>
  <c r="E184" i="12"/>
  <c r="B240" i="12" s="1"/>
  <c r="E240" i="12" s="1"/>
  <c r="F240" i="12" s="1"/>
  <c r="G240" i="12" s="1"/>
  <c r="H240" i="12" s="1"/>
  <c r="E51" i="12"/>
  <c r="F22" i="4"/>
  <c r="F17" i="17"/>
  <c r="F32" i="17" s="1"/>
  <c r="F22" i="12"/>
  <c r="F41" i="12"/>
  <c r="F23" i="12"/>
  <c r="F49" i="4"/>
  <c r="F8" i="12" s="1"/>
  <c r="F31" i="12"/>
  <c r="F181" i="12"/>
  <c r="B205" i="12" s="1"/>
  <c r="F21" i="12"/>
  <c r="F180" i="12"/>
  <c r="F16" i="4"/>
  <c r="F6" i="12" s="1"/>
  <c r="F252" i="12"/>
  <c r="F26" i="4"/>
  <c r="F20" i="17" s="1"/>
  <c r="F50" i="17" s="1"/>
  <c r="F185" i="12"/>
  <c r="B253" i="12" s="1"/>
  <c r="F71" i="12"/>
  <c r="F25" i="4"/>
  <c r="F19" i="17" s="1"/>
  <c r="F44" i="17" s="1"/>
  <c r="F43" i="17" s="1"/>
  <c r="F45" i="17" s="1"/>
  <c r="G42" i="17" s="1"/>
  <c r="F61" i="12"/>
  <c r="F184" i="12"/>
  <c r="B241" i="12" s="1"/>
  <c r="F51" i="12"/>
  <c r="F24" i="4"/>
  <c r="F18" i="17" s="1"/>
  <c r="F38" i="17" s="1"/>
  <c r="AC32" i="13"/>
  <c r="R32" i="13"/>
  <c r="F32" i="13"/>
  <c r="F53" i="13"/>
  <c r="H145" i="4"/>
  <c r="G35" i="4"/>
  <c r="G32" i="12" s="1"/>
  <c r="G48" i="4"/>
  <c r="G73" i="12" s="1"/>
  <c r="G44" i="4"/>
  <c r="G33" i="12" s="1"/>
  <c r="G38" i="4"/>
  <c r="G62" i="12" s="1"/>
  <c r="G34" i="4"/>
  <c r="G13" i="4"/>
  <c r="G47" i="4"/>
  <c r="G63" i="12" s="1"/>
  <c r="G43" i="4"/>
  <c r="G37" i="4"/>
  <c r="G52" i="12" s="1"/>
  <c r="G23" i="4"/>
  <c r="G12" i="4"/>
  <c r="G46" i="4"/>
  <c r="G53" i="12" s="1"/>
  <c r="G36" i="4"/>
  <c r="G42" i="12" s="1"/>
  <c r="G15" i="4"/>
  <c r="G11" i="4"/>
  <c r="G55" i="4"/>
  <c r="G45" i="4"/>
  <c r="G43" i="12" s="1"/>
  <c r="G39" i="4"/>
  <c r="G72" i="12" s="1"/>
  <c r="G14" i="4"/>
  <c r="G10" i="4"/>
  <c r="G158" i="12"/>
  <c r="H158" i="12" s="1"/>
  <c r="I158" i="12" s="1"/>
  <c r="E46" i="8"/>
  <c r="E54" i="8" s="1"/>
  <c r="E214" i="8"/>
  <c r="E219" i="8" s="1"/>
  <c r="E152" i="8" s="1"/>
  <c r="E149" i="12"/>
  <c r="F149" i="12" s="1"/>
  <c r="G149" i="12" s="1"/>
  <c r="H149" i="12" s="1"/>
  <c r="E203" i="12"/>
  <c r="E210" i="12" s="1"/>
  <c r="G135" i="12"/>
  <c r="H135" i="12" s="1"/>
  <c r="I135" i="12" s="1"/>
  <c r="G151" i="12"/>
  <c r="H151" i="12" s="1"/>
  <c r="I151" i="12" s="1"/>
  <c r="E227" i="12"/>
  <c r="F227" i="12" s="1"/>
  <c r="E251" i="12"/>
  <c r="H295" i="6"/>
  <c r="H297" i="6" s="1"/>
  <c r="D155" i="8"/>
  <c r="E149" i="8"/>
  <c r="H302" i="6"/>
  <c r="H301" i="6" s="1"/>
  <c r="H303" i="6" s="1"/>
  <c r="H296" i="6"/>
  <c r="H284" i="6"/>
  <c r="F46" i="8"/>
  <c r="F54" i="8" s="1"/>
  <c r="I23" i="13"/>
  <c r="I24" i="13" s="1"/>
  <c r="J23" i="13"/>
  <c r="J24" i="13" s="1"/>
  <c r="E23" i="13"/>
  <c r="E24" i="13" s="1"/>
  <c r="E10" i="14" s="1"/>
  <c r="I5" i="8"/>
  <c r="I6" i="8" s="1"/>
  <c r="H5" i="8"/>
  <c r="H6" i="8" s="1"/>
  <c r="H18" i="8" s="1"/>
  <c r="D23" i="13"/>
  <c r="H23" i="13"/>
  <c r="H24" i="13" s="1"/>
  <c r="H10" i="14" s="1"/>
  <c r="F23" i="13"/>
  <c r="F24" i="13" s="1"/>
  <c r="F10" i="14" s="1"/>
  <c r="J5" i="8"/>
  <c r="J6" i="8" s="1"/>
  <c r="G5" i="8"/>
  <c r="G6" i="8" s="1"/>
  <c r="F18" i="8" s="1"/>
  <c r="E18" i="8" s="1"/>
  <c r="D18" i="8" s="1"/>
  <c r="K5" i="8"/>
  <c r="K6" i="8" s="1"/>
  <c r="G23" i="13"/>
  <c r="G24" i="13" s="1"/>
  <c r="G10" i="14" s="1"/>
  <c r="D136" i="12"/>
  <c r="F139" i="6"/>
  <c r="E145" i="6"/>
  <c r="E185" i="6" s="1"/>
  <c r="E183" i="6"/>
  <c r="D280" i="8"/>
  <c r="E253" i="8"/>
  <c r="D246" i="12"/>
  <c r="D64" i="12" s="1"/>
  <c r="D65" i="12" s="1"/>
  <c r="E60" i="12" s="1"/>
  <c r="E239" i="12"/>
  <c r="F239" i="12" s="1"/>
  <c r="E143" i="12"/>
  <c r="F143" i="12" s="1"/>
  <c r="D191" i="12"/>
  <c r="D198" i="12" s="1"/>
  <c r="D160" i="12"/>
  <c r="D46" i="8"/>
  <c r="D54" i="8" s="1"/>
  <c r="D206" i="8"/>
  <c r="D211" i="8" s="1"/>
  <c r="D142" i="8" s="1"/>
  <c r="D182" i="8" s="1"/>
  <c r="D81" i="8" s="1"/>
  <c r="D180" i="8"/>
  <c r="D143" i="8"/>
  <c r="E206" i="8"/>
  <c r="E211" i="8" s="1"/>
  <c r="E142" i="8" s="1"/>
  <c r="E182" i="8" s="1"/>
  <c r="E81" i="8" s="1"/>
  <c r="F206" i="8"/>
  <c r="F211" i="8" s="1"/>
  <c r="F142" i="8" s="1"/>
  <c r="F182" i="8" s="1"/>
  <c r="F81" i="8" s="1"/>
  <c r="D309" i="6"/>
  <c r="E282" i="6"/>
  <c r="G418" i="6"/>
  <c r="H392" i="6"/>
  <c r="H418" i="6" s="1"/>
  <c r="B163" i="12"/>
  <c r="D126" i="12" s="1"/>
  <c r="D40" i="12"/>
  <c r="G175" i="6"/>
  <c r="H169" i="6"/>
  <c r="H173" i="6" s="1"/>
  <c r="H175" i="6" s="1"/>
  <c r="F91" i="12"/>
  <c r="G91" i="12"/>
  <c r="E35" i="6"/>
  <c r="E16" i="6"/>
  <c r="E107" i="12"/>
  <c r="F159" i="12"/>
  <c r="G159" i="12" s="1"/>
  <c r="E98" i="12"/>
  <c r="F134" i="12"/>
  <c r="F165" i="6"/>
  <c r="G159" i="6"/>
  <c r="G163" i="6" s="1"/>
  <c r="D31" i="17"/>
  <c r="D33" i="17" s="1"/>
  <c r="E30" i="17" s="1"/>
  <c r="E31" i="17" s="1"/>
  <c r="E33" i="17" s="1"/>
  <c r="F30" i="17" s="1"/>
  <c r="F31" i="17" s="1"/>
  <c r="F33" i="17" s="1"/>
  <c r="G30" i="17" s="1"/>
  <c r="H387" i="6"/>
  <c r="H413" i="6" s="1"/>
  <c r="G413" i="6"/>
  <c r="K99" i="12"/>
  <c r="D26" i="17"/>
  <c r="D57" i="17" s="1"/>
  <c r="F142" i="12"/>
  <c r="G142" i="12" s="1"/>
  <c r="F90" i="12"/>
  <c r="G90" i="12" s="1"/>
  <c r="F421" i="6"/>
  <c r="E157" i="12"/>
  <c r="G290" i="6"/>
  <c r="D163" i="8"/>
  <c r="B105" i="12"/>
  <c r="G431" i="6"/>
  <c r="H405" i="6"/>
  <c r="H431" i="6" s="1"/>
  <c r="B113" i="12"/>
  <c r="D173" i="8"/>
  <c r="D35" i="6"/>
  <c r="D41" i="6" s="1"/>
  <c r="D16" i="6"/>
  <c r="E106" i="12"/>
  <c r="E133" i="12"/>
  <c r="H114" i="12"/>
  <c r="I114" i="12" s="1"/>
  <c r="F150" i="12"/>
  <c r="D222" i="12"/>
  <c r="E215" i="12"/>
  <c r="E222" i="12" s="1"/>
  <c r="D66" i="6"/>
  <c r="D79" i="6" s="1"/>
  <c r="D85" i="6" s="1"/>
  <c r="D144" i="12"/>
  <c r="G428" i="6"/>
  <c r="G433" i="6" s="1"/>
  <c r="H402" i="6"/>
  <c r="H428" i="6" s="1"/>
  <c r="H433" i="6" s="1"/>
  <c r="H385" i="6"/>
  <c r="H411" i="6" s="1"/>
  <c r="G411" i="6"/>
  <c r="F155" i="6"/>
  <c r="G149" i="6"/>
  <c r="G153" i="6" s="1"/>
  <c r="H398" i="6"/>
  <c r="H424" i="6" s="1"/>
  <c r="H426" i="6" s="1"/>
  <c r="G424" i="6"/>
  <c r="G426" i="6" s="1"/>
  <c r="H391" i="6"/>
  <c r="H417" i="6" s="1"/>
  <c r="H421" i="6" s="1"/>
  <c r="G417" i="6"/>
  <c r="G421" i="6" s="1"/>
  <c r="F141" i="12"/>
  <c r="G141" i="12" s="1"/>
  <c r="F415" i="6"/>
  <c r="F435" i="6" s="1"/>
  <c r="H115" i="12"/>
  <c r="F228" i="12"/>
  <c r="G228" i="12" s="1"/>
  <c r="F216" i="12"/>
  <c r="G216" i="12" s="1"/>
  <c r="G252" i="12"/>
  <c r="G204" i="12"/>
  <c r="E16" i="17" l="1"/>
  <c r="E27" i="4"/>
  <c r="F183" i="12"/>
  <c r="B229" i="12" s="1"/>
  <c r="F229" i="12" s="1"/>
  <c r="F182" i="12"/>
  <c r="B217" i="12" s="1"/>
  <c r="F217" i="12" s="1"/>
  <c r="G217" i="12" s="1"/>
  <c r="F40" i="4"/>
  <c r="F7" i="12" s="1"/>
  <c r="F52" i="13" s="1"/>
  <c r="B192" i="12"/>
  <c r="E192" i="12" s="1"/>
  <c r="E186" i="12"/>
  <c r="E171" i="12" s="1"/>
  <c r="F174" i="12" s="1"/>
  <c r="G40" i="4"/>
  <c r="G7" i="12" s="1"/>
  <c r="G52" i="13" s="1"/>
  <c r="G22" i="12"/>
  <c r="G21" i="12"/>
  <c r="G16" i="4"/>
  <c r="G6" i="12" s="1"/>
  <c r="G180" i="12"/>
  <c r="AD32" i="13"/>
  <c r="G53" i="13"/>
  <c r="G32" i="13"/>
  <c r="S32" i="13"/>
  <c r="G23" i="12"/>
  <c r="G49" i="4"/>
  <c r="G8" i="12" s="1"/>
  <c r="H11" i="4"/>
  <c r="H14" i="4"/>
  <c r="H12" i="4"/>
  <c r="H43" i="4"/>
  <c r="H45" i="4"/>
  <c r="H43" i="12" s="1"/>
  <c r="H46" i="4"/>
  <c r="H53" i="12" s="1"/>
  <c r="H37" i="4"/>
  <c r="H52" i="12" s="1"/>
  <c r="H34" i="4"/>
  <c r="H38" i="4"/>
  <c r="H62" i="12" s="1"/>
  <c r="H15" i="4"/>
  <c r="H35" i="4"/>
  <c r="H32" i="12" s="1"/>
  <c r="H55" i="4"/>
  <c r="H47" i="4"/>
  <c r="H63" i="12" s="1"/>
  <c r="H13" i="4"/>
  <c r="H44" i="4"/>
  <c r="H33" i="12" s="1"/>
  <c r="I145" i="4"/>
  <c r="H10" i="4"/>
  <c r="H39" i="4"/>
  <c r="H72" i="12" s="1"/>
  <c r="H36" i="4"/>
  <c r="H42" i="12" s="1"/>
  <c r="H48" i="4"/>
  <c r="H73" i="12" s="1"/>
  <c r="H23" i="4"/>
  <c r="F241" i="12"/>
  <c r="F246" i="12" s="1"/>
  <c r="F253" i="12"/>
  <c r="G253" i="12" s="1"/>
  <c r="H253" i="12" s="1"/>
  <c r="B193" i="12"/>
  <c r="G25" i="4"/>
  <c r="G19" i="17" s="1"/>
  <c r="G44" i="17" s="1"/>
  <c r="G43" i="17" s="1"/>
  <c r="G45" i="17" s="1"/>
  <c r="H42" i="17" s="1"/>
  <c r="G184" i="12"/>
  <c r="B242" i="12" s="1"/>
  <c r="G61" i="12"/>
  <c r="G31" i="12"/>
  <c r="G181" i="12"/>
  <c r="B206" i="12" s="1"/>
  <c r="G41" i="12"/>
  <c r="G182" i="12"/>
  <c r="B218" i="12" s="1"/>
  <c r="F16" i="17"/>
  <c r="F27" i="4"/>
  <c r="G26" i="4"/>
  <c r="G20" i="17" s="1"/>
  <c r="G50" i="17" s="1"/>
  <c r="G49" i="17" s="1"/>
  <c r="G51" i="17" s="1"/>
  <c r="H48" i="17" s="1"/>
  <c r="G185" i="12"/>
  <c r="B254" i="12" s="1"/>
  <c r="G71" i="12"/>
  <c r="G17" i="17"/>
  <c r="G32" i="17" s="1"/>
  <c r="G31" i="17" s="1"/>
  <c r="G33" i="17" s="1"/>
  <c r="H30" i="17" s="1"/>
  <c r="G22" i="4"/>
  <c r="G24" i="4"/>
  <c r="G18" i="17" s="1"/>
  <c r="G38" i="17" s="1"/>
  <c r="G51" i="12"/>
  <c r="G183" i="12"/>
  <c r="B230" i="12" s="1"/>
  <c r="F205" i="12"/>
  <c r="G205" i="12" s="1"/>
  <c r="I18" i="8"/>
  <c r="J18" i="8" s="1"/>
  <c r="K18" i="8" s="1"/>
  <c r="F203" i="12"/>
  <c r="E152" i="12"/>
  <c r="J158" i="12"/>
  <c r="K158" i="12" s="1"/>
  <c r="E153" i="8"/>
  <c r="E155" i="8" s="1"/>
  <c r="B97" i="12"/>
  <c r="D97" i="12" s="1"/>
  <c r="D100" i="12" s="1"/>
  <c r="D34" i="12" s="1"/>
  <c r="F55" i="8"/>
  <c r="E234" i="12"/>
  <c r="E258" i="12"/>
  <c r="E191" i="12"/>
  <c r="E198" i="12" s="1"/>
  <c r="F251" i="12"/>
  <c r="G239" i="12"/>
  <c r="H239" i="12" s="1"/>
  <c r="I240" i="12"/>
  <c r="J240" i="12" s="1"/>
  <c r="E53" i="6"/>
  <c r="E69" i="6"/>
  <c r="E70" i="6" s="1"/>
  <c r="E83" i="6" s="1"/>
  <c r="E39" i="6" s="1"/>
  <c r="B108" i="12"/>
  <c r="D50" i="12" s="1"/>
  <c r="D105" i="12"/>
  <c r="D108" i="12" s="1"/>
  <c r="D54" i="12" s="1"/>
  <c r="L99" i="12"/>
  <c r="M99" i="12" s="1"/>
  <c r="E306" i="6"/>
  <c r="E283" i="6"/>
  <c r="E307" i="6" s="1"/>
  <c r="E82" i="6" s="1"/>
  <c r="E38" i="6" s="1"/>
  <c r="G143" i="12"/>
  <c r="G144" i="12" s="1"/>
  <c r="D24" i="13"/>
  <c r="H90" i="12"/>
  <c r="G227" i="12"/>
  <c r="H227" i="12" s="1"/>
  <c r="G134" i="12"/>
  <c r="F157" i="12"/>
  <c r="F160" i="12" s="1"/>
  <c r="D55" i="8"/>
  <c r="E55" i="8"/>
  <c r="E277" i="8"/>
  <c r="E254" i="8"/>
  <c r="E278" i="8" s="1"/>
  <c r="E103" i="8" s="1"/>
  <c r="H216" i="12"/>
  <c r="I216" i="12" s="1"/>
  <c r="H142" i="12"/>
  <c r="F106" i="12"/>
  <c r="G289" i="6"/>
  <c r="G291" i="6" s="1"/>
  <c r="H288" i="6" s="1"/>
  <c r="G308" i="6"/>
  <c r="F107" i="12"/>
  <c r="G107" i="12" s="1"/>
  <c r="B89" i="12"/>
  <c r="D184" i="3"/>
  <c r="D26" i="8" s="1"/>
  <c r="D27" i="8" s="1"/>
  <c r="D42" i="6"/>
  <c r="E160" i="12"/>
  <c r="K60" i="8"/>
  <c r="K61" i="8" s="1"/>
  <c r="K65" i="8" s="1"/>
  <c r="K14" i="8" s="1"/>
  <c r="K16" i="8" s="1"/>
  <c r="J60" i="8"/>
  <c r="I60" i="8"/>
  <c r="H60" i="8"/>
  <c r="F60" i="8"/>
  <c r="G60" i="8"/>
  <c r="E136" i="12"/>
  <c r="E44" i="12" s="1"/>
  <c r="F133" i="12"/>
  <c r="F143" i="6"/>
  <c r="F179" i="6"/>
  <c r="E169" i="8"/>
  <c r="E173" i="8" s="1"/>
  <c r="D175" i="8"/>
  <c r="F152" i="12"/>
  <c r="G150" i="12"/>
  <c r="H150" i="12" s="1"/>
  <c r="E144" i="12"/>
  <c r="D163" i="12"/>
  <c r="D127" i="12" s="1"/>
  <c r="D44" i="12"/>
  <c r="D45" i="12" s="1"/>
  <c r="E40" i="12" s="1"/>
  <c r="J151" i="12"/>
  <c r="I115" i="12"/>
  <c r="J115" i="12" s="1"/>
  <c r="F215" i="12"/>
  <c r="H159" i="12"/>
  <c r="I159" i="12" s="1"/>
  <c r="H228" i="12"/>
  <c r="I228" i="12" s="1"/>
  <c r="J228" i="12" s="1"/>
  <c r="I149" i="12"/>
  <c r="G155" i="6"/>
  <c r="H149" i="6"/>
  <c r="H153" i="6" s="1"/>
  <c r="H155" i="6" s="1"/>
  <c r="D86" i="6"/>
  <c r="E84" i="6"/>
  <c r="J114" i="12"/>
  <c r="K114" i="12" s="1"/>
  <c r="J135" i="12"/>
  <c r="K135" i="12" s="1"/>
  <c r="B116" i="12"/>
  <c r="D70" i="12" s="1"/>
  <c r="D113" i="12"/>
  <c r="D116" i="12" s="1"/>
  <c r="D74" i="12" s="1"/>
  <c r="E159" i="8"/>
  <c r="E163" i="8" s="1"/>
  <c r="D165" i="8"/>
  <c r="E41" i="6"/>
  <c r="E129" i="12"/>
  <c r="D183" i="8"/>
  <c r="E139" i="8"/>
  <c r="D145" i="8"/>
  <c r="F35" i="6"/>
  <c r="F16" i="6"/>
  <c r="F144" i="12"/>
  <c r="H141" i="12"/>
  <c r="G415" i="6"/>
  <c r="G435" i="6" s="1"/>
  <c r="G165" i="6"/>
  <c r="H159" i="6"/>
  <c r="H163" i="6" s="1"/>
  <c r="H165" i="6" s="1"/>
  <c r="H91" i="12"/>
  <c r="E246" i="12"/>
  <c r="H415" i="6"/>
  <c r="H435" i="6" s="1"/>
  <c r="D261" i="12"/>
  <c r="D172" i="12" s="1"/>
  <c r="D173" i="12" s="1"/>
  <c r="E170" i="12" s="1"/>
  <c r="F98" i="12"/>
  <c r="H290" i="6"/>
  <c r="H308" i="6" s="1"/>
  <c r="H252" i="12"/>
  <c r="I252" i="12" s="1"/>
  <c r="J10" i="14"/>
  <c r="H204" i="12"/>
  <c r="F37" i="17"/>
  <c r="F39" i="17" s="1"/>
  <c r="G36" i="17" s="1"/>
  <c r="I10" i="14"/>
  <c r="G229" i="12" l="1"/>
  <c r="H229" i="12"/>
  <c r="I229" i="12" s="1"/>
  <c r="J229" i="12" s="1"/>
  <c r="G241" i="12"/>
  <c r="H241" i="12" s="1"/>
  <c r="I241" i="12" s="1"/>
  <c r="F192" i="12"/>
  <c r="G192" i="12"/>
  <c r="H192" i="12" s="1"/>
  <c r="F234" i="12"/>
  <c r="F186" i="12"/>
  <c r="F171" i="12" s="1"/>
  <c r="G174" i="12" s="1"/>
  <c r="E21" i="17"/>
  <c r="E26" i="17"/>
  <c r="E57" i="17" s="1"/>
  <c r="G218" i="12"/>
  <c r="H218" i="12" s="1"/>
  <c r="H41" i="12"/>
  <c r="H182" i="12"/>
  <c r="B219" i="12" s="1"/>
  <c r="H217" i="12"/>
  <c r="I217" i="12" s="1"/>
  <c r="J217" i="12" s="1"/>
  <c r="G242" i="12"/>
  <c r="F193" i="12"/>
  <c r="G193" i="12" s="1"/>
  <c r="H193" i="12" s="1"/>
  <c r="I193" i="12" s="1"/>
  <c r="H51" i="12"/>
  <c r="H24" i="4"/>
  <c r="H18" i="17" s="1"/>
  <c r="H38" i="17" s="1"/>
  <c r="H183" i="12"/>
  <c r="B231" i="12" s="1"/>
  <c r="H26" i="4"/>
  <c r="H20" i="17" s="1"/>
  <c r="H50" i="17" s="1"/>
  <c r="H49" i="17" s="1"/>
  <c r="H51" i="17" s="1"/>
  <c r="I48" i="17" s="1"/>
  <c r="H185" i="12"/>
  <c r="B255" i="12" s="1"/>
  <c r="H71" i="12"/>
  <c r="H61" i="12"/>
  <c r="H25" i="4"/>
  <c r="H19" i="17" s="1"/>
  <c r="H44" i="17" s="1"/>
  <c r="H43" i="17" s="1"/>
  <c r="H45" i="17" s="1"/>
  <c r="I42" i="17" s="1"/>
  <c r="H184" i="12"/>
  <c r="B243" i="12" s="1"/>
  <c r="G186" i="12"/>
  <c r="G171" i="12" s="1"/>
  <c r="H174" i="12" s="1"/>
  <c r="B194" i="12"/>
  <c r="F64" i="12"/>
  <c r="F210" i="12"/>
  <c r="G254" i="12"/>
  <c r="G206" i="12"/>
  <c r="H206" i="12" s="1"/>
  <c r="I253" i="12"/>
  <c r="H17" i="17"/>
  <c r="H32" i="17" s="1"/>
  <c r="H31" i="17" s="1"/>
  <c r="H33" i="17" s="1"/>
  <c r="I30" i="17" s="1"/>
  <c r="H22" i="4"/>
  <c r="H21" i="12"/>
  <c r="H180" i="12"/>
  <c r="H16" i="4"/>
  <c r="H6" i="12" s="1"/>
  <c r="H31" i="12"/>
  <c r="H181" i="12"/>
  <c r="B207" i="12" s="1"/>
  <c r="G230" i="12"/>
  <c r="H205" i="12"/>
  <c r="I205" i="12" s="1"/>
  <c r="G27" i="4"/>
  <c r="G16" i="17"/>
  <c r="F26" i="17"/>
  <c r="F57" i="17" s="1"/>
  <c r="F21" i="17"/>
  <c r="J23" i="4"/>
  <c r="I45" i="4"/>
  <c r="I43" i="12" s="1"/>
  <c r="I23" i="4"/>
  <c r="I17" i="17" s="1"/>
  <c r="I32" i="17" s="1"/>
  <c r="J10" i="4"/>
  <c r="I34" i="4"/>
  <c r="J35" i="4"/>
  <c r="J32" i="12" s="1"/>
  <c r="I38" i="4"/>
  <c r="I62" i="12" s="1"/>
  <c r="J48" i="4"/>
  <c r="J73" i="12" s="1"/>
  <c r="I39" i="4"/>
  <c r="I72" i="12" s="1"/>
  <c r="I12" i="4"/>
  <c r="J47" i="4"/>
  <c r="J63" i="12" s="1"/>
  <c r="I46" i="4"/>
  <c r="I53" i="12" s="1"/>
  <c r="J145" i="4"/>
  <c r="I43" i="4"/>
  <c r="I44" i="4"/>
  <c r="I33" i="12" s="1"/>
  <c r="J45" i="4"/>
  <c r="J43" i="12" s="1"/>
  <c r="I47" i="4"/>
  <c r="I63" i="12" s="1"/>
  <c r="I14" i="4"/>
  <c r="J37" i="4"/>
  <c r="J52" i="12" s="1"/>
  <c r="I11" i="4"/>
  <c r="J34" i="4"/>
  <c r="I37" i="4"/>
  <c r="I52" i="12" s="1"/>
  <c r="J39" i="4"/>
  <c r="J72" i="12" s="1"/>
  <c r="J36" i="4"/>
  <c r="J42" i="12" s="1"/>
  <c r="I15" i="4"/>
  <c r="J38" i="4"/>
  <c r="J62" i="12" s="1"/>
  <c r="I48" i="4"/>
  <c r="I73" i="12" s="1"/>
  <c r="I35" i="4"/>
  <c r="I32" i="12" s="1"/>
  <c r="J11" i="4"/>
  <c r="J46" i="4"/>
  <c r="J53" i="12" s="1"/>
  <c r="J44" i="4"/>
  <c r="J33" i="12" s="1"/>
  <c r="I10" i="4"/>
  <c r="I36" i="4"/>
  <c r="I42" i="12" s="1"/>
  <c r="J43" i="4"/>
  <c r="H32" i="13"/>
  <c r="H53" i="13"/>
  <c r="AE32" i="13"/>
  <c r="T32" i="13"/>
  <c r="H22" i="12"/>
  <c r="H40" i="4"/>
  <c r="H7" i="12" s="1"/>
  <c r="H52" i="13" s="1"/>
  <c r="H23" i="12"/>
  <c r="H49" i="4"/>
  <c r="H8" i="12" s="1"/>
  <c r="G203" i="12"/>
  <c r="H203" i="12" s="1"/>
  <c r="I203" i="12" s="1"/>
  <c r="E64" i="12"/>
  <c r="E65" i="12" s="1"/>
  <c r="F60" i="12" s="1"/>
  <c r="G157" i="12"/>
  <c r="G160" i="12" s="1"/>
  <c r="L158" i="12"/>
  <c r="M158" i="12" s="1"/>
  <c r="B100" i="12"/>
  <c r="D30" i="12" s="1"/>
  <c r="D35" i="12" s="1"/>
  <c r="E30" i="12" s="1"/>
  <c r="F149" i="8"/>
  <c r="F153" i="8" s="1"/>
  <c r="F155" i="8" s="1"/>
  <c r="E113" i="12"/>
  <c r="E116" i="12" s="1"/>
  <c r="E74" i="12" s="1"/>
  <c r="K115" i="12"/>
  <c r="L115" i="12" s="1"/>
  <c r="F191" i="12"/>
  <c r="F198" i="12" s="1"/>
  <c r="E97" i="12"/>
  <c r="E100" i="12" s="1"/>
  <c r="E34" i="12" s="1"/>
  <c r="F258" i="12"/>
  <c r="E45" i="12"/>
  <c r="F40" i="12" s="1"/>
  <c r="G246" i="12"/>
  <c r="I239" i="12"/>
  <c r="J239" i="12" s="1"/>
  <c r="G152" i="12"/>
  <c r="G251" i="12"/>
  <c r="K240" i="12"/>
  <c r="L240" i="12" s="1"/>
  <c r="J252" i="12"/>
  <c r="K252" i="12" s="1"/>
  <c r="K228" i="12"/>
  <c r="L228" i="12" s="1"/>
  <c r="M228" i="12" s="1"/>
  <c r="J159" i="12"/>
  <c r="K159" i="12" s="1"/>
  <c r="G215" i="12"/>
  <c r="E42" i="6"/>
  <c r="E184" i="3"/>
  <c r="E26" i="8" s="1"/>
  <c r="E27" i="8" s="1"/>
  <c r="D75" i="12"/>
  <c r="E70" i="12" s="1"/>
  <c r="I91" i="12"/>
  <c r="J91" i="12" s="1"/>
  <c r="I227" i="12"/>
  <c r="D185" i="8"/>
  <c r="E175" i="8"/>
  <c r="F169" i="8"/>
  <c r="F173" i="8" s="1"/>
  <c r="F175" i="8" s="1"/>
  <c r="H107" i="12"/>
  <c r="I90" i="12"/>
  <c r="N99" i="12"/>
  <c r="G16" i="6"/>
  <c r="G35" i="6"/>
  <c r="B92" i="12"/>
  <c r="D89" i="12"/>
  <c r="D92" i="12" s="1"/>
  <c r="H134" i="12"/>
  <c r="G98" i="12"/>
  <c r="J149" i="12"/>
  <c r="K149" i="12" s="1"/>
  <c r="L149" i="12" s="1"/>
  <c r="I150" i="12"/>
  <c r="H157" i="12"/>
  <c r="I157" i="12" s="1"/>
  <c r="I160" i="12" s="1"/>
  <c r="E285" i="6"/>
  <c r="D128" i="12"/>
  <c r="E126" i="12" s="1"/>
  <c r="D87" i="6"/>
  <c r="D92" i="6" s="1"/>
  <c r="D88" i="6"/>
  <c r="D91" i="6"/>
  <c r="D93" i="6" s="1"/>
  <c r="H152" i="12"/>
  <c r="L135" i="12"/>
  <c r="F183" i="6"/>
  <c r="G139" i="6"/>
  <c r="F145" i="6"/>
  <c r="F185" i="6" s="1"/>
  <c r="D43" i="6"/>
  <c r="D44" i="6"/>
  <c r="D45" i="6" s="1"/>
  <c r="D19" i="6" s="1"/>
  <c r="D20" i="6" s="1"/>
  <c r="F222" i="12"/>
  <c r="D58" i="8"/>
  <c r="D61" i="8" s="1"/>
  <c r="D65" i="8" s="1"/>
  <c r="D14" i="8" s="1"/>
  <c r="F58" i="8"/>
  <c r="G58" i="8"/>
  <c r="I58" i="8"/>
  <c r="H58" i="8"/>
  <c r="E58" i="8"/>
  <c r="K151" i="12"/>
  <c r="L151" i="12" s="1"/>
  <c r="M151" i="12" s="1"/>
  <c r="D10" i="14"/>
  <c r="D11" i="14" s="1"/>
  <c r="E261" i="12"/>
  <c r="E172" i="12" s="1"/>
  <c r="E173" i="12" s="1"/>
  <c r="F170" i="12" s="1"/>
  <c r="H35" i="6"/>
  <c r="H16" i="6"/>
  <c r="F136" i="12"/>
  <c r="F163" i="12" s="1"/>
  <c r="F127" i="12" s="1"/>
  <c r="H289" i="6"/>
  <c r="H291" i="6" s="1"/>
  <c r="E165" i="8"/>
  <c r="F159" i="8"/>
  <c r="F163" i="8" s="1"/>
  <c r="F165" i="8" s="1"/>
  <c r="E163" i="12"/>
  <c r="E127" i="12" s="1"/>
  <c r="E105" i="12"/>
  <c r="F105" i="12" s="1"/>
  <c r="F108" i="12" s="1"/>
  <c r="L114" i="12"/>
  <c r="M114" i="12" s="1"/>
  <c r="I142" i="12"/>
  <c r="J142" i="12" s="1"/>
  <c r="E256" i="8"/>
  <c r="D55" i="12"/>
  <c r="E50" i="12" s="1"/>
  <c r="E179" i="8"/>
  <c r="E143" i="8"/>
  <c r="H143" i="12"/>
  <c r="E66" i="6"/>
  <c r="E79" i="6" s="1"/>
  <c r="E85" i="6" s="1"/>
  <c r="G133" i="12"/>
  <c r="G136" i="12" s="1"/>
  <c r="H59" i="8"/>
  <c r="F59" i="8"/>
  <c r="I59" i="8"/>
  <c r="J59" i="8"/>
  <c r="J61" i="8" s="1"/>
  <c r="J65" i="8" s="1"/>
  <c r="J14" i="8" s="1"/>
  <c r="J16" i="8" s="1"/>
  <c r="E59" i="8"/>
  <c r="G59" i="8"/>
  <c r="I141" i="12"/>
  <c r="D28" i="8"/>
  <c r="D29" i="8"/>
  <c r="D32" i="8" s="1"/>
  <c r="D36" i="8" s="1"/>
  <c r="D13" i="8" s="1"/>
  <c r="G106" i="12"/>
  <c r="K217" i="12"/>
  <c r="L217" i="12" s="1"/>
  <c r="J216" i="12"/>
  <c r="G37" i="17"/>
  <c r="G39" i="17" s="1"/>
  <c r="H36" i="17" s="1"/>
  <c r="I204" i="12"/>
  <c r="J204" i="12" s="1"/>
  <c r="J254" i="12" l="1"/>
  <c r="J17" i="17"/>
  <c r="J32" i="17" s="1"/>
  <c r="F65" i="12"/>
  <c r="G60" i="12" s="1"/>
  <c r="I31" i="17"/>
  <c r="I33" i="17" s="1"/>
  <c r="J30" i="17" s="1"/>
  <c r="H254" i="12"/>
  <c r="I254" i="12" s="1"/>
  <c r="I192" i="12"/>
  <c r="J192" i="12" s="1"/>
  <c r="K192" i="12" s="1"/>
  <c r="L192" i="12" s="1"/>
  <c r="G258" i="12"/>
  <c r="F54" i="12"/>
  <c r="K229" i="12"/>
  <c r="L229" i="12" s="1"/>
  <c r="I206" i="12"/>
  <c r="I49" i="17"/>
  <c r="I51" i="17" s="1"/>
  <c r="J48" i="17" s="1"/>
  <c r="J205" i="12"/>
  <c r="K205" i="12" s="1"/>
  <c r="L205" i="12" s="1"/>
  <c r="M205" i="12" s="1"/>
  <c r="J21" i="12"/>
  <c r="J16" i="4"/>
  <c r="J6" i="12" s="1"/>
  <c r="J22" i="4"/>
  <c r="J180" i="12"/>
  <c r="B195" i="12"/>
  <c r="H186" i="12"/>
  <c r="H171" i="12" s="1"/>
  <c r="I174" i="12" s="1"/>
  <c r="H219" i="12"/>
  <c r="I219" i="12" s="1"/>
  <c r="I21" i="12"/>
  <c r="I22" i="4"/>
  <c r="I16" i="17" s="1"/>
  <c r="I26" i="17" s="1"/>
  <c r="I180" i="12"/>
  <c r="B196" i="12" s="1"/>
  <c r="I71" i="12"/>
  <c r="I185" i="12"/>
  <c r="B256" i="12" s="1"/>
  <c r="I26" i="4"/>
  <c r="I20" i="17" s="1"/>
  <c r="I50" i="17" s="1"/>
  <c r="I25" i="4"/>
  <c r="I19" i="17" s="1"/>
  <c r="I44" i="17" s="1"/>
  <c r="I43" i="17" s="1"/>
  <c r="I45" i="17" s="1"/>
  <c r="J42" i="17" s="1"/>
  <c r="I61" i="12"/>
  <c r="I184" i="12"/>
  <c r="B244" i="12" s="1"/>
  <c r="I244" i="12" s="1"/>
  <c r="I23" i="12"/>
  <c r="I49" i="4"/>
  <c r="I8" i="12" s="1"/>
  <c r="I41" i="12"/>
  <c r="I182" i="12"/>
  <c r="B220" i="12" s="1"/>
  <c r="I220" i="12" s="1"/>
  <c r="H207" i="12"/>
  <c r="I207" i="12"/>
  <c r="G194" i="12"/>
  <c r="H231" i="12"/>
  <c r="I231" i="12" s="1"/>
  <c r="H242" i="12"/>
  <c r="L254" i="12"/>
  <c r="M254" i="12" s="1"/>
  <c r="J241" i="12"/>
  <c r="K241" i="12" s="1"/>
  <c r="J193" i="12"/>
  <c r="K193" i="12" s="1"/>
  <c r="L193" i="12" s="1"/>
  <c r="G234" i="12"/>
  <c r="J22" i="12"/>
  <c r="J40" i="4"/>
  <c r="J7" i="12" s="1"/>
  <c r="J52" i="13" s="1"/>
  <c r="J71" i="12"/>
  <c r="J26" i="4"/>
  <c r="J20" i="17" s="1"/>
  <c r="J50" i="17" s="1"/>
  <c r="J185" i="12"/>
  <c r="B257" i="12" s="1"/>
  <c r="B258" i="12" s="1"/>
  <c r="H16" i="17"/>
  <c r="H27" i="4"/>
  <c r="K254" i="12"/>
  <c r="J31" i="12"/>
  <c r="J181" i="12"/>
  <c r="B209" i="12" s="1"/>
  <c r="J253" i="12"/>
  <c r="K253" i="12" s="1"/>
  <c r="G222" i="12"/>
  <c r="G44" i="12" s="1"/>
  <c r="G210" i="12"/>
  <c r="J23" i="12"/>
  <c r="J49" i="4"/>
  <c r="J8" i="12" s="1"/>
  <c r="J41" i="12"/>
  <c r="J182" i="12"/>
  <c r="B221" i="12" s="1"/>
  <c r="J221" i="12" s="1"/>
  <c r="J51" i="12"/>
  <c r="J183" i="12"/>
  <c r="B233" i="12" s="1"/>
  <c r="J233" i="12" s="1"/>
  <c r="J24" i="4"/>
  <c r="J18" i="17" s="1"/>
  <c r="J38" i="17" s="1"/>
  <c r="I31" i="12"/>
  <c r="I181" i="12"/>
  <c r="B208" i="12" s="1"/>
  <c r="I22" i="12"/>
  <c r="I40" i="4"/>
  <c r="I7" i="12" s="1"/>
  <c r="I52" i="13" s="1"/>
  <c r="J25" i="4"/>
  <c r="J19" i="17" s="1"/>
  <c r="J44" i="17" s="1"/>
  <c r="J61" i="12"/>
  <c r="J184" i="12"/>
  <c r="B245" i="12" s="1"/>
  <c r="J245" i="12" s="1"/>
  <c r="G26" i="17"/>
  <c r="G57" i="17" s="1"/>
  <c r="G21" i="17"/>
  <c r="H230" i="12"/>
  <c r="H243" i="12"/>
  <c r="I243" i="12" s="1"/>
  <c r="J243" i="12" s="1"/>
  <c r="K243" i="12" s="1"/>
  <c r="H255" i="12"/>
  <c r="I255" i="12"/>
  <c r="J255" i="12" s="1"/>
  <c r="I218" i="12"/>
  <c r="E35" i="12"/>
  <c r="F30" i="12" s="1"/>
  <c r="E75" i="12"/>
  <c r="F70" i="12" s="1"/>
  <c r="G61" i="8"/>
  <c r="G65" i="8" s="1"/>
  <c r="G14" i="8" s="1"/>
  <c r="I61" i="8"/>
  <c r="I65" i="8" s="1"/>
  <c r="I14" i="8" s="1"/>
  <c r="I16" i="8" s="1"/>
  <c r="F61" i="8"/>
  <c r="F65" i="8" s="1"/>
  <c r="F14" i="8" s="1"/>
  <c r="F113" i="12"/>
  <c r="F116" i="12" s="1"/>
  <c r="G113" i="12"/>
  <c r="F97" i="12"/>
  <c r="F74" i="12"/>
  <c r="G191" i="12"/>
  <c r="E128" i="12"/>
  <c r="F126" i="12" s="1"/>
  <c r="F128" i="12" s="1"/>
  <c r="G126" i="12" s="1"/>
  <c r="E89" i="12"/>
  <c r="E92" i="12" s="1"/>
  <c r="E24" i="12" s="1"/>
  <c r="H251" i="12"/>
  <c r="G163" i="12"/>
  <c r="G127" i="12" s="1"/>
  <c r="G64" i="12"/>
  <c r="H210" i="12"/>
  <c r="H215" i="12"/>
  <c r="H222" i="12" s="1"/>
  <c r="J203" i="12"/>
  <c r="M240" i="12"/>
  <c r="N240" i="12" s="1"/>
  <c r="L159" i="12"/>
  <c r="M159" i="12" s="1"/>
  <c r="N159" i="12" s="1"/>
  <c r="O159" i="12" s="1"/>
  <c r="P159" i="12" s="1"/>
  <c r="Q159" i="12" s="1"/>
  <c r="R159" i="12" s="1"/>
  <c r="S159" i="12" s="1"/>
  <c r="T159" i="12" s="1"/>
  <c r="U159" i="12" s="1"/>
  <c r="F253" i="8"/>
  <c r="E280" i="8"/>
  <c r="F69" i="6"/>
  <c r="F70" i="6" s="1"/>
  <c r="F83" i="6" s="1"/>
  <c r="F39" i="6" s="1"/>
  <c r="F53" i="6"/>
  <c r="O99" i="12"/>
  <c r="P99" i="12" s="1"/>
  <c r="Q99" i="12" s="1"/>
  <c r="K142" i="12"/>
  <c r="H98" i="12"/>
  <c r="I143" i="12"/>
  <c r="J143" i="12" s="1"/>
  <c r="K143" i="12" s="1"/>
  <c r="E43" i="6"/>
  <c r="E44" i="6" s="1"/>
  <c r="E45" i="6" s="1"/>
  <c r="E19" i="6" s="1"/>
  <c r="E20" i="6" s="1"/>
  <c r="M149" i="12"/>
  <c r="N149" i="12" s="1"/>
  <c r="M115" i="12"/>
  <c r="N115" i="12" s="1"/>
  <c r="O115" i="12" s="1"/>
  <c r="P115" i="12" s="1"/>
  <c r="K91" i="12"/>
  <c r="L91" i="12" s="1"/>
  <c r="M91" i="12" s="1"/>
  <c r="E183" i="8"/>
  <c r="E145" i="8"/>
  <c r="E185" i="8" s="1"/>
  <c r="F139" i="8"/>
  <c r="H61" i="8"/>
  <c r="H65" i="8" s="1"/>
  <c r="H14" i="8" s="1"/>
  <c r="B119" i="12"/>
  <c r="D82" i="12" s="1"/>
  <c r="D20" i="12"/>
  <c r="G116" i="12"/>
  <c r="H113" i="12"/>
  <c r="I113" i="12" s="1"/>
  <c r="I116" i="12" s="1"/>
  <c r="G179" i="6"/>
  <c r="G143" i="6"/>
  <c r="E28" i="8"/>
  <c r="E29" i="8" s="1"/>
  <c r="E32" i="8" s="1"/>
  <c r="E36" i="8" s="1"/>
  <c r="E13" i="8" s="1"/>
  <c r="N151" i="12"/>
  <c r="O151" i="12" s="1"/>
  <c r="P151" i="12" s="1"/>
  <c r="Q151" i="12" s="1"/>
  <c r="I107" i="12"/>
  <c r="D15" i="14"/>
  <c r="E11" i="14"/>
  <c r="N114" i="12"/>
  <c r="H106" i="12"/>
  <c r="I106" i="12" s="1"/>
  <c r="J106" i="12" s="1"/>
  <c r="I98" i="12"/>
  <c r="I134" i="12"/>
  <c r="H144" i="12"/>
  <c r="M135" i="12"/>
  <c r="E108" i="12"/>
  <c r="E54" i="12" s="1"/>
  <c r="E55" i="12" s="1"/>
  <c r="F50" i="12" s="1"/>
  <c r="F55" i="12" s="1"/>
  <c r="G50" i="12" s="1"/>
  <c r="G105" i="12"/>
  <c r="F44" i="12"/>
  <c r="F45" i="12" s="1"/>
  <c r="G40" i="12" s="1"/>
  <c r="F261" i="12"/>
  <c r="F172" i="12" s="1"/>
  <c r="D56" i="6"/>
  <c r="D95" i="6"/>
  <c r="J141" i="12"/>
  <c r="J150" i="12"/>
  <c r="K150" i="12" s="1"/>
  <c r="L150" i="12" s="1"/>
  <c r="D91" i="8"/>
  <c r="D92" i="8" s="1"/>
  <c r="D104" i="8" s="1"/>
  <c r="D106" i="8" s="1"/>
  <c r="D80" i="8"/>
  <c r="F84" i="6"/>
  <c r="E86" i="6"/>
  <c r="E309" i="6"/>
  <c r="F282" i="6"/>
  <c r="J90" i="12"/>
  <c r="K90" i="12" s="1"/>
  <c r="L90" i="12" s="1"/>
  <c r="D24" i="12"/>
  <c r="D119" i="12"/>
  <c r="D83" i="12" s="1"/>
  <c r="D9" i="12" s="1"/>
  <c r="J227" i="12"/>
  <c r="K227" i="12" s="1"/>
  <c r="H133" i="12"/>
  <c r="E61" i="8"/>
  <c r="E65" i="8" s="1"/>
  <c r="E14" i="8" s="1"/>
  <c r="H160" i="12"/>
  <c r="J157" i="12"/>
  <c r="K239" i="12"/>
  <c r="I152" i="12"/>
  <c r="N158" i="12"/>
  <c r="L252" i="12"/>
  <c r="M252" i="12" s="1"/>
  <c r="M217" i="12"/>
  <c r="N217" i="12" s="1"/>
  <c r="H37" i="17"/>
  <c r="H39" i="17" s="1"/>
  <c r="I36" i="17" s="1"/>
  <c r="J31" i="17"/>
  <c r="J33" i="17" s="1"/>
  <c r="K30" i="17" s="1"/>
  <c r="K204" i="12"/>
  <c r="K216" i="12"/>
  <c r="L216" i="12" s="1"/>
  <c r="N228" i="12"/>
  <c r="J49" i="17" l="1"/>
  <c r="J51" i="17" s="1"/>
  <c r="K48" i="17" s="1"/>
  <c r="K49" i="17" s="1"/>
  <c r="K51" i="17" s="1"/>
  <c r="L48" i="17" s="1"/>
  <c r="B222" i="12"/>
  <c r="J43" i="17"/>
  <c r="J45" i="17" s="1"/>
  <c r="K42" i="17" s="1"/>
  <c r="K43" i="17" s="1"/>
  <c r="K45" i="17" s="1"/>
  <c r="L42" i="17" s="1"/>
  <c r="L43" i="17" s="1"/>
  <c r="L45" i="17" s="1"/>
  <c r="M42" i="17" s="1"/>
  <c r="M43" i="17" s="1"/>
  <c r="M45" i="17" s="1"/>
  <c r="N42" i="17" s="1"/>
  <c r="J219" i="12"/>
  <c r="K219" i="12" s="1"/>
  <c r="L219" i="12"/>
  <c r="M219" i="12" s="1"/>
  <c r="N219" i="12" s="1"/>
  <c r="L253" i="12"/>
  <c r="M253" i="12" s="1"/>
  <c r="N253" i="12" s="1"/>
  <c r="O253" i="12"/>
  <c r="P253" i="12" s="1"/>
  <c r="G74" i="12"/>
  <c r="G65" i="12"/>
  <c r="H60" i="12" s="1"/>
  <c r="B246" i="12"/>
  <c r="J207" i="12"/>
  <c r="M229" i="12"/>
  <c r="N229" i="12" s="1"/>
  <c r="O229" i="12" s="1"/>
  <c r="P229" i="12" s="1"/>
  <c r="Q229" i="12" s="1"/>
  <c r="R229" i="12" s="1"/>
  <c r="S229" i="12" s="1"/>
  <c r="K255" i="12"/>
  <c r="G198" i="12"/>
  <c r="I208" i="12"/>
  <c r="J208" i="12" s="1"/>
  <c r="K208" i="12" s="1"/>
  <c r="L208" i="12" s="1"/>
  <c r="M208" i="12"/>
  <c r="K221" i="12"/>
  <c r="L221" i="12" s="1"/>
  <c r="M221" i="12" s="1"/>
  <c r="H21" i="17"/>
  <c r="H26" i="17"/>
  <c r="H57" i="17" s="1"/>
  <c r="H195" i="12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193" i="12"/>
  <c r="N193" i="12" s="1"/>
  <c r="L243" i="12"/>
  <c r="M243" i="12" s="1"/>
  <c r="K245" i="12"/>
  <c r="K233" i="12"/>
  <c r="J231" i="12"/>
  <c r="K231" i="12" s="1"/>
  <c r="L231" i="12" s="1"/>
  <c r="J220" i="12"/>
  <c r="J244" i="12"/>
  <c r="K244" i="12" s="1"/>
  <c r="I256" i="12"/>
  <c r="J16" i="17"/>
  <c r="J27" i="4"/>
  <c r="J206" i="12"/>
  <c r="H234" i="12"/>
  <c r="J209" i="12"/>
  <c r="K209" i="12" s="1"/>
  <c r="L209" i="12" s="1"/>
  <c r="B210" i="12"/>
  <c r="L255" i="12"/>
  <c r="M255" i="12" s="1"/>
  <c r="N255" i="12" s="1"/>
  <c r="I196" i="12"/>
  <c r="J196" i="12" s="1"/>
  <c r="K196" i="12"/>
  <c r="L196" i="12"/>
  <c r="M196" i="12" s="1"/>
  <c r="N196" i="12" s="1"/>
  <c r="G261" i="12"/>
  <c r="G172" i="12" s="1"/>
  <c r="J218" i="12"/>
  <c r="J257" i="12"/>
  <c r="I242" i="12"/>
  <c r="H246" i="12"/>
  <c r="H64" i="12" s="1"/>
  <c r="H194" i="12"/>
  <c r="K207" i="12"/>
  <c r="L207" i="12" s="1"/>
  <c r="M207" i="12" s="1"/>
  <c r="N207" i="12" s="1"/>
  <c r="B197" i="12"/>
  <c r="B198" i="12" s="1"/>
  <c r="J186" i="12"/>
  <c r="J171" i="12" s="1"/>
  <c r="K174" i="12" s="1"/>
  <c r="I230" i="12"/>
  <c r="F75" i="12"/>
  <c r="G70" i="12" s="1"/>
  <c r="G128" i="12"/>
  <c r="H126" i="12" s="1"/>
  <c r="I144" i="12"/>
  <c r="F89" i="12"/>
  <c r="R99" i="12"/>
  <c r="S99" i="12" s="1"/>
  <c r="T99" i="12" s="1"/>
  <c r="U99" i="12" s="1"/>
  <c r="V99" i="12" s="1"/>
  <c r="W99" i="12" s="1"/>
  <c r="X99" i="12" s="1"/>
  <c r="Y99" i="12" s="1"/>
  <c r="Z99" i="12" s="1"/>
  <c r="AA99" i="12" s="1"/>
  <c r="H191" i="12"/>
  <c r="H198" i="12" s="1"/>
  <c r="E119" i="12"/>
  <c r="E83" i="12" s="1"/>
  <c r="E9" i="12" s="1"/>
  <c r="Q31" i="13" s="1"/>
  <c r="K203" i="12"/>
  <c r="F100" i="12"/>
  <c r="F34" i="12" s="1"/>
  <c r="F35" i="12" s="1"/>
  <c r="G30" i="12" s="1"/>
  <c r="G97" i="12"/>
  <c r="H258" i="12"/>
  <c r="I251" i="12"/>
  <c r="G45" i="12"/>
  <c r="H40" i="12" s="1"/>
  <c r="L239" i="12"/>
  <c r="M239" i="12" s="1"/>
  <c r="I215" i="12"/>
  <c r="J215" i="12" s="1"/>
  <c r="D25" i="12"/>
  <c r="E20" i="12" s="1"/>
  <c r="E25" i="12" s="1"/>
  <c r="F20" i="12" s="1"/>
  <c r="K152" i="12"/>
  <c r="H65" i="12"/>
  <c r="I60" i="12" s="1"/>
  <c r="L143" i="12"/>
  <c r="M143" i="12" s="1"/>
  <c r="N143" i="12" s="1"/>
  <c r="O143" i="12" s="1"/>
  <c r="P143" i="12" s="1"/>
  <c r="L152" i="12"/>
  <c r="M150" i="12"/>
  <c r="M152" i="12" s="1"/>
  <c r="V159" i="12"/>
  <c r="W159" i="12" s="1"/>
  <c r="X159" i="12" s="1"/>
  <c r="Y159" i="12" s="1"/>
  <c r="Z159" i="12" s="1"/>
  <c r="AA159" i="12" s="1"/>
  <c r="M90" i="12"/>
  <c r="G108" i="12"/>
  <c r="G54" i="12" s="1"/>
  <c r="G55" i="12" s="1"/>
  <c r="H50" i="12" s="1"/>
  <c r="H105" i="12"/>
  <c r="J107" i="12"/>
  <c r="K107" i="12" s="1"/>
  <c r="J113" i="12"/>
  <c r="G145" i="6"/>
  <c r="G185" i="6" s="1"/>
  <c r="H139" i="6"/>
  <c r="G183" i="6"/>
  <c r="D37" i="13"/>
  <c r="P31" i="13"/>
  <c r="AA31" i="13"/>
  <c r="D107" i="8"/>
  <c r="E105" i="8"/>
  <c r="J98" i="12"/>
  <c r="J134" i="12"/>
  <c r="F11" i="14"/>
  <c r="E15" i="14"/>
  <c r="F277" i="8"/>
  <c r="F254" i="8"/>
  <c r="F278" i="8" s="1"/>
  <c r="F103" i="8" s="1"/>
  <c r="J160" i="12"/>
  <c r="K157" i="12"/>
  <c r="I105" i="12"/>
  <c r="I108" i="12" s="1"/>
  <c r="F173" i="12"/>
  <c r="G170" i="12" s="1"/>
  <c r="R151" i="12"/>
  <c r="S151" i="12" s="1"/>
  <c r="T151" i="12" s="1"/>
  <c r="U151" i="12" s="1"/>
  <c r="V151" i="12" s="1"/>
  <c r="W151" i="12" s="1"/>
  <c r="X151" i="12" s="1"/>
  <c r="O114" i="12"/>
  <c r="F143" i="8"/>
  <c r="F179" i="8"/>
  <c r="K106" i="12"/>
  <c r="L227" i="12"/>
  <c r="M227" i="12" s="1"/>
  <c r="N227" i="12" s="1"/>
  <c r="E87" i="6"/>
  <c r="E92" i="6" s="1"/>
  <c r="E91" i="6"/>
  <c r="D5" i="12"/>
  <c r="D84" i="12"/>
  <c r="E82" i="12" s="1"/>
  <c r="E84" i="12" s="1"/>
  <c r="F82" i="12" s="1"/>
  <c r="F66" i="6"/>
  <c r="F79" i="6" s="1"/>
  <c r="F85" i="6" s="1"/>
  <c r="H136" i="12"/>
  <c r="I133" i="12"/>
  <c r="I136" i="12" s="1"/>
  <c r="D10" i="6"/>
  <c r="D57" i="6"/>
  <c r="D7" i="6" s="1"/>
  <c r="D11" i="6" s="1"/>
  <c r="N135" i="12"/>
  <c r="N252" i="12"/>
  <c r="O252" i="12" s="1"/>
  <c r="O158" i="12"/>
  <c r="F283" i="6"/>
  <c r="F307" i="6" s="1"/>
  <c r="F82" i="6" s="1"/>
  <c r="F38" i="6" s="1"/>
  <c r="F41" i="6" s="1"/>
  <c r="F285" i="6"/>
  <c r="F306" i="6"/>
  <c r="L142" i="12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N91" i="12"/>
  <c r="O91" i="12" s="1"/>
  <c r="P91" i="12" s="1"/>
  <c r="Q91" i="12" s="1"/>
  <c r="J144" i="12"/>
  <c r="K141" i="12"/>
  <c r="J152" i="12"/>
  <c r="O149" i="12"/>
  <c r="H116" i="12"/>
  <c r="E80" i="8"/>
  <c r="E91" i="8"/>
  <c r="E92" i="8" s="1"/>
  <c r="E104" i="8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N205" i="12"/>
  <c r="O205" i="12" s="1"/>
  <c r="P205" i="12" s="1"/>
  <c r="O217" i="12"/>
  <c r="P217" i="12" s="1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L204" i="12"/>
  <c r="N254" i="12"/>
  <c r="K31" i="17"/>
  <c r="K33" i="17" s="1"/>
  <c r="L30" i="17" s="1"/>
  <c r="M192" i="12"/>
  <c r="L49" i="17"/>
  <c r="L51" i="17" s="1"/>
  <c r="M48" i="17" s="1"/>
  <c r="O228" i="12"/>
  <c r="L241" i="12"/>
  <c r="M241" i="12" s="1"/>
  <c r="M216" i="12"/>
  <c r="N216" i="12" s="1"/>
  <c r="O240" i="12"/>
  <c r="N221" i="12" l="1"/>
  <c r="O221" i="12" s="1"/>
  <c r="G75" i="12"/>
  <c r="H70" i="12" s="1"/>
  <c r="O219" i="12"/>
  <c r="P219" i="12" s="1"/>
  <c r="O193" i="12"/>
  <c r="T229" i="12"/>
  <c r="U229" i="12" s="1"/>
  <c r="V229" i="12" s="1"/>
  <c r="W229" i="12" s="1"/>
  <c r="X229" i="12" s="1"/>
  <c r="Y229" i="12" s="1"/>
  <c r="Z229" i="12" s="1"/>
  <c r="AA229" i="12" s="1"/>
  <c r="J222" i="12"/>
  <c r="N243" i="12"/>
  <c r="O243" i="12" s="1"/>
  <c r="P243" i="12" s="1"/>
  <c r="Q243" i="12" s="1"/>
  <c r="G173" i="12"/>
  <c r="H170" i="12" s="1"/>
  <c r="J210" i="12"/>
  <c r="I194" i="12"/>
  <c r="K230" i="12"/>
  <c r="L233" i="12"/>
  <c r="K206" i="12"/>
  <c r="O196" i="12"/>
  <c r="P196" i="12" s="1"/>
  <c r="J197" i="12"/>
  <c r="K257" i="12"/>
  <c r="J256" i="12"/>
  <c r="M231" i="12"/>
  <c r="I195" i="12"/>
  <c r="J230" i="12"/>
  <c r="I246" i="12"/>
  <c r="I64" i="12" s="1"/>
  <c r="I65" i="12" s="1"/>
  <c r="J60" i="12" s="1"/>
  <c r="J242" i="12"/>
  <c r="K242" i="12" s="1"/>
  <c r="K218" i="12"/>
  <c r="I210" i="12"/>
  <c r="M209" i="12"/>
  <c r="N209" i="12" s="1"/>
  <c r="J26" i="17"/>
  <c r="J57" i="17" s="1"/>
  <c r="J21" i="17"/>
  <c r="L244" i="12"/>
  <c r="M244" i="12" s="1"/>
  <c r="K220" i="12"/>
  <c r="L220" i="12" s="1"/>
  <c r="L245" i="12"/>
  <c r="M245" i="12" s="1"/>
  <c r="N245" i="12" s="1"/>
  <c r="N208" i="12"/>
  <c r="O208" i="12" s="1"/>
  <c r="I163" i="12"/>
  <c r="I127" i="12" s="1"/>
  <c r="H74" i="12"/>
  <c r="H261" i="12"/>
  <c r="H172" i="12" s="1"/>
  <c r="H173" i="12" s="1"/>
  <c r="I170" i="12" s="1"/>
  <c r="E37" i="13"/>
  <c r="I222" i="12"/>
  <c r="I44" i="12" s="1"/>
  <c r="AB31" i="13"/>
  <c r="H89" i="12"/>
  <c r="H92" i="12" s="1"/>
  <c r="H24" i="12" s="1"/>
  <c r="F92" i="12"/>
  <c r="G89" i="12"/>
  <c r="G92" i="12" s="1"/>
  <c r="G24" i="12" s="1"/>
  <c r="I191" i="12"/>
  <c r="J191" i="12" s="1"/>
  <c r="F256" i="8"/>
  <c r="H97" i="12"/>
  <c r="I97" i="12" s="1"/>
  <c r="I100" i="12" s="1"/>
  <c r="G100" i="12"/>
  <c r="G34" i="12" s="1"/>
  <c r="G35" i="12" s="1"/>
  <c r="H30" i="12" s="1"/>
  <c r="L203" i="12"/>
  <c r="M203" i="12" s="1"/>
  <c r="Q143" i="12"/>
  <c r="R143" i="12" s="1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I258" i="12"/>
  <c r="I74" i="12" s="1"/>
  <c r="J251" i="12"/>
  <c r="K215" i="12"/>
  <c r="N150" i="12"/>
  <c r="O150" i="12" s="1"/>
  <c r="P150" i="12" s="1"/>
  <c r="N239" i="12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Z142" i="12"/>
  <c r="AA142" i="12" s="1"/>
  <c r="Y151" i="12"/>
  <c r="Z151" i="12" s="1"/>
  <c r="AA151" i="12" s="1"/>
  <c r="O227" i="12"/>
  <c r="P227" i="12" s="1"/>
  <c r="Q227" i="12" s="1"/>
  <c r="G282" i="6"/>
  <c r="F309" i="6"/>
  <c r="P252" i="12"/>
  <c r="Q252" i="12" s="1"/>
  <c r="J133" i="12"/>
  <c r="K133" i="12" s="1"/>
  <c r="E93" i="6"/>
  <c r="E106" i="8"/>
  <c r="E88" i="6"/>
  <c r="L106" i="12"/>
  <c r="J105" i="12"/>
  <c r="J108" i="12" s="1"/>
  <c r="H108" i="12"/>
  <c r="H54" i="12" s="1"/>
  <c r="H55" i="12" s="1"/>
  <c r="I50" i="12" s="1"/>
  <c r="K134" i="12"/>
  <c r="L134" i="12" s="1"/>
  <c r="M134" i="12" s="1"/>
  <c r="N134" i="12" s="1"/>
  <c r="O134" i="12" s="1"/>
  <c r="P134" i="12" s="1"/>
  <c r="Q134" i="12" s="1"/>
  <c r="J116" i="12"/>
  <c r="F86" i="6"/>
  <c r="G84" i="6"/>
  <c r="F184" i="3"/>
  <c r="F26" i="8" s="1"/>
  <c r="F27" i="8" s="1"/>
  <c r="F42" i="6"/>
  <c r="H163" i="12"/>
  <c r="H127" i="12" s="1"/>
  <c r="H128" i="12" s="1"/>
  <c r="I126" i="12" s="1"/>
  <c r="I128" i="12" s="1"/>
  <c r="J126" i="12" s="1"/>
  <c r="H44" i="12"/>
  <c r="H45" i="12" s="1"/>
  <c r="I40" i="12" s="1"/>
  <c r="F183" i="8"/>
  <c r="E85" i="12" s="1"/>
  <c r="F145" i="8"/>
  <c r="F185" i="8" s="1"/>
  <c r="G11" i="14"/>
  <c r="F15" i="14"/>
  <c r="H179" i="6"/>
  <c r="H143" i="6"/>
  <c r="F119" i="12"/>
  <c r="F83" i="12" s="1"/>
  <c r="F84" i="12" s="1"/>
  <c r="G82" i="12" s="1"/>
  <c r="F24" i="12"/>
  <c r="F25" i="12" s="1"/>
  <c r="G20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07" i="12"/>
  <c r="P149" i="12"/>
  <c r="G69" i="6"/>
  <c r="G70" i="6" s="1"/>
  <c r="G83" i="6" s="1"/>
  <c r="G39" i="6" s="1"/>
  <c r="G53" i="6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K98" i="12"/>
  <c r="L98" i="12" s="1"/>
  <c r="M98" i="12" s="1"/>
  <c r="N98" i="12" s="1"/>
  <c r="O98" i="12" s="1"/>
  <c r="P98" i="12" s="1"/>
  <c r="Q98" i="12" s="1"/>
  <c r="R98" i="12" s="1"/>
  <c r="S98" i="12" s="1"/>
  <c r="T98" i="12" s="1"/>
  <c r="F280" i="8"/>
  <c r="D24" i="17"/>
  <c r="K144" i="12"/>
  <c r="L141" i="12"/>
  <c r="D10" i="12"/>
  <c r="D12" i="12" s="1"/>
  <c r="D112" i="8"/>
  <c r="D108" i="8"/>
  <c r="D113" i="8" s="1"/>
  <c r="P114" i="12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O135" i="12"/>
  <c r="K160" i="12"/>
  <c r="L157" i="12"/>
  <c r="M157" i="12" s="1"/>
  <c r="M160" i="12" s="1"/>
  <c r="K113" i="12"/>
  <c r="K116" i="12" s="1"/>
  <c r="M204" i="12"/>
  <c r="N204" i="12" s="1"/>
  <c r="N241" i="12"/>
  <c r="O216" i="12"/>
  <c r="M49" i="17"/>
  <c r="M51" i="17" s="1"/>
  <c r="N48" i="17" s="1"/>
  <c r="L31" i="17"/>
  <c r="L33" i="17" s="1"/>
  <c r="M30" i="17" s="1"/>
  <c r="P228" i="12"/>
  <c r="N192" i="12"/>
  <c r="P240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Q205" i="12"/>
  <c r="R205" i="12" s="1"/>
  <c r="S205" i="12" s="1"/>
  <c r="T205" i="12" s="1"/>
  <c r="U205" i="12" s="1"/>
  <c r="V205" i="12" s="1"/>
  <c r="P193" i="12"/>
  <c r="O255" i="12"/>
  <c r="P255" i="12" s="1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N43" i="17"/>
  <c r="N45" i="17" s="1"/>
  <c r="O42" i="17" s="1"/>
  <c r="O254" i="12"/>
  <c r="P221" i="12" l="1"/>
  <c r="Q221" i="12" s="1"/>
  <c r="R221" i="12" s="1"/>
  <c r="O245" i="12"/>
  <c r="P245" i="12" s="1"/>
  <c r="Q245" i="12" s="1"/>
  <c r="R245" i="12" s="1"/>
  <c r="S245" i="12" s="1"/>
  <c r="I34" i="12"/>
  <c r="L230" i="12"/>
  <c r="H75" i="12"/>
  <c r="I70" i="12" s="1"/>
  <c r="I75" i="12" s="1"/>
  <c r="J70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N244" i="12"/>
  <c r="O244" i="12" s="1"/>
  <c r="Q219" i="12"/>
  <c r="R219" i="12" s="1"/>
  <c r="L218" i="12"/>
  <c r="M218" i="12" s="1"/>
  <c r="K256" i="12"/>
  <c r="L256" i="12" s="1"/>
  <c r="M256" i="12" s="1"/>
  <c r="J195" i="12"/>
  <c r="O209" i="12"/>
  <c r="P208" i="12"/>
  <c r="Q208" i="12" s="1"/>
  <c r="R208" i="12" s="1"/>
  <c r="S208" i="12" s="1"/>
  <c r="T208" i="12" s="1"/>
  <c r="U208" i="12" s="1"/>
  <c r="J246" i="12"/>
  <c r="J64" i="12" s="1"/>
  <c r="J65" i="12" s="1"/>
  <c r="K60" i="12" s="1"/>
  <c r="K210" i="12"/>
  <c r="N231" i="12"/>
  <c r="O231" i="12" s="1"/>
  <c r="P231" i="12" s="1"/>
  <c r="Q231" i="12" s="1"/>
  <c r="K197" i="12"/>
  <c r="M220" i="12"/>
  <c r="N220" i="12" s="1"/>
  <c r="O220" i="12" s="1"/>
  <c r="P220" i="12" s="1"/>
  <c r="K222" i="12"/>
  <c r="L242" i="12"/>
  <c r="M242" i="12" s="1"/>
  <c r="M246" i="12" s="1"/>
  <c r="M64" i="12" s="1"/>
  <c r="K246" i="12"/>
  <c r="K64" i="12" s="1"/>
  <c r="L257" i="12"/>
  <c r="M233" i="12"/>
  <c r="N233" i="12" s="1"/>
  <c r="O233" i="12" s="1"/>
  <c r="J194" i="12"/>
  <c r="Q196" i="12"/>
  <c r="R196" i="12" s="1"/>
  <c r="L206" i="12"/>
  <c r="M206" i="12" s="1"/>
  <c r="K191" i="12"/>
  <c r="I198" i="12"/>
  <c r="O152" i="12"/>
  <c r="I89" i="12"/>
  <c r="J89" i="12" s="1"/>
  <c r="G25" i="12"/>
  <c r="H20" i="12" s="1"/>
  <c r="H25" i="12" s="1"/>
  <c r="I20" i="12" s="1"/>
  <c r="G119" i="12"/>
  <c r="G83" i="12" s="1"/>
  <c r="G9" i="12" s="1"/>
  <c r="S31" i="13" s="1"/>
  <c r="D109" i="8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K97" i="12"/>
  <c r="L97" i="12" s="1"/>
  <c r="L100" i="12" s="1"/>
  <c r="Q150" i="12"/>
  <c r="R150" i="12" s="1"/>
  <c r="S150" i="12" s="1"/>
  <c r="T150" i="12" s="1"/>
  <c r="U150" i="12" s="1"/>
  <c r="V150" i="12" s="1"/>
  <c r="W150" i="12" s="1"/>
  <c r="X150" i="12" s="1"/>
  <c r="Y150" i="12" s="1"/>
  <c r="Z150" i="12" s="1"/>
  <c r="AA150" i="12" s="1"/>
  <c r="L210" i="12"/>
  <c r="N152" i="12"/>
  <c r="R227" i="12"/>
  <c r="S227" i="12" s="1"/>
  <c r="T227" i="12" s="1"/>
  <c r="U227" i="12" s="1"/>
  <c r="V227" i="12" s="1"/>
  <c r="W227" i="12" s="1"/>
  <c r="X227" i="12" s="1"/>
  <c r="Y227" i="12" s="1"/>
  <c r="Z227" i="12" s="1"/>
  <c r="AA227" i="12" s="1"/>
  <c r="H100" i="12"/>
  <c r="H34" i="12" s="1"/>
  <c r="H35" i="12" s="1"/>
  <c r="I30" i="12" s="1"/>
  <c r="I35" i="12" s="1"/>
  <c r="J30" i="12" s="1"/>
  <c r="J97" i="12"/>
  <c r="J100" i="12" s="1"/>
  <c r="J34" i="12" s="1"/>
  <c r="P152" i="12"/>
  <c r="L215" i="12"/>
  <c r="M215" i="12" s="1"/>
  <c r="L113" i="12"/>
  <c r="L116" i="12" s="1"/>
  <c r="K105" i="12"/>
  <c r="K108" i="12" s="1"/>
  <c r="J258" i="12"/>
  <c r="K251" i="12"/>
  <c r="L251" i="12" s="1"/>
  <c r="R134" i="12"/>
  <c r="S134" i="12" s="1"/>
  <c r="T134" i="12" s="1"/>
  <c r="U134" i="12" s="1"/>
  <c r="V134" i="12" s="1"/>
  <c r="W134" i="12" s="1"/>
  <c r="X134" i="12" s="1"/>
  <c r="Y134" i="12" s="1"/>
  <c r="Z134" i="12" s="1"/>
  <c r="AA134" i="12" s="1"/>
  <c r="M210" i="12"/>
  <c r="D38" i="13"/>
  <c r="D39" i="13" s="1"/>
  <c r="D31" i="13" s="1"/>
  <c r="D55" i="13"/>
  <c r="P30" i="13"/>
  <c r="AA30" i="13"/>
  <c r="S143" i="12"/>
  <c r="T143" i="12" s="1"/>
  <c r="U143" i="12" s="1"/>
  <c r="V143" i="12" s="1"/>
  <c r="W143" i="12" s="1"/>
  <c r="X143" i="12" s="1"/>
  <c r="Y143" i="12" s="1"/>
  <c r="Z143" i="12" s="1"/>
  <c r="AA143" i="12" s="1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F9" i="12"/>
  <c r="F105" i="8"/>
  <c r="E107" i="8"/>
  <c r="R252" i="12"/>
  <c r="S252" i="12" s="1"/>
  <c r="L160" i="12"/>
  <c r="N157" i="12"/>
  <c r="Q149" i="12"/>
  <c r="J136" i="12"/>
  <c r="F43" i="6"/>
  <c r="F44" i="6" s="1"/>
  <c r="F45" i="6" s="1"/>
  <c r="F19" i="6" s="1"/>
  <c r="F20" i="6" s="1"/>
  <c r="F87" i="6"/>
  <c r="F92" i="6" s="1"/>
  <c r="F91" i="6"/>
  <c r="F93" i="6" s="1"/>
  <c r="L144" i="12"/>
  <c r="M141" i="12"/>
  <c r="G84" i="12"/>
  <c r="H82" i="12" s="1"/>
  <c r="D25" i="17"/>
  <c r="D56" i="17" s="1"/>
  <c r="D54" i="13" s="1"/>
  <c r="D55" i="17"/>
  <c r="U98" i="12"/>
  <c r="V98" i="12" s="1"/>
  <c r="W98" i="12" s="1"/>
  <c r="X98" i="12" s="1"/>
  <c r="Y98" i="12" s="1"/>
  <c r="Z98" i="12" s="1"/>
  <c r="AA98" i="12" s="1"/>
  <c r="H145" i="6"/>
  <c r="H185" i="6" s="1"/>
  <c r="H183" i="6"/>
  <c r="H11" i="14"/>
  <c r="G15" i="14"/>
  <c r="G306" i="6"/>
  <c r="G283" i="6"/>
  <c r="G307" i="6" s="1"/>
  <c r="G82" i="6" s="1"/>
  <c r="G38" i="6" s="1"/>
  <c r="G41" i="6" s="1"/>
  <c r="G285" i="6"/>
  <c r="P135" i="12"/>
  <c r="M113" i="12"/>
  <c r="M116" i="12" s="1"/>
  <c r="F80" i="8"/>
  <c r="F91" i="8"/>
  <c r="F92" i="8" s="1"/>
  <c r="F104" i="8" s="1"/>
  <c r="F106" i="8" s="1"/>
  <c r="I45" i="12"/>
  <c r="J40" i="12" s="1"/>
  <c r="G66" i="6"/>
  <c r="G79" i="6" s="1"/>
  <c r="G85" i="6" s="1"/>
  <c r="M106" i="12"/>
  <c r="N106" i="12" s="1"/>
  <c r="O106" i="12" s="1"/>
  <c r="P106" i="12" s="1"/>
  <c r="F28" i="8"/>
  <c r="F29" i="8" s="1"/>
  <c r="F32" i="8" s="1"/>
  <c r="F36" i="8" s="1"/>
  <c r="F13" i="8" s="1"/>
  <c r="D114" i="8"/>
  <c r="D83" i="8" s="1"/>
  <c r="D84" i="8" s="1"/>
  <c r="D72" i="8" s="1"/>
  <c r="D73" i="8" s="1"/>
  <c r="D12" i="8" s="1"/>
  <c r="D16" i="8" s="1"/>
  <c r="K136" i="12"/>
  <c r="L133" i="12"/>
  <c r="D14" i="12"/>
  <c r="D77" i="12"/>
  <c r="E5" i="12"/>
  <c r="I92" i="12"/>
  <c r="E95" i="6"/>
  <c r="E56" i="6"/>
  <c r="P216" i="12"/>
  <c r="Q216" i="12" s="1"/>
  <c r="O241" i="12"/>
  <c r="O204" i="12"/>
  <c r="W205" i="12"/>
  <c r="X205" i="12" s="1"/>
  <c r="Y205" i="12" s="1"/>
  <c r="Z205" i="12" s="1"/>
  <c r="AA205" i="12" s="1"/>
  <c r="O192" i="12"/>
  <c r="N49" i="17"/>
  <c r="N51" i="17" s="1"/>
  <c r="O48" i="17" s="1"/>
  <c r="Q240" i="12"/>
  <c r="M31" i="17"/>
  <c r="M33" i="17" s="1"/>
  <c r="N30" i="17" s="1"/>
  <c r="P254" i="12"/>
  <c r="Q193" i="12"/>
  <c r="R193" i="12" s="1"/>
  <c r="S193" i="12" s="1"/>
  <c r="T193" i="12" s="1"/>
  <c r="U193" i="12" s="1"/>
  <c r="V193" i="12" s="1"/>
  <c r="W193" i="12" s="1"/>
  <c r="X193" i="12" s="1"/>
  <c r="O43" i="17"/>
  <c r="O45" i="17" s="1"/>
  <c r="P42" i="17" s="1"/>
  <c r="Q228" i="12"/>
  <c r="T245" i="12" l="1"/>
  <c r="U245" i="12" s="1"/>
  <c r="S221" i="12"/>
  <c r="T221" i="12" s="1"/>
  <c r="U221" i="12" s="1"/>
  <c r="V221" i="12" s="1"/>
  <c r="W221" i="12" s="1"/>
  <c r="X221" i="12" s="1"/>
  <c r="Y221" i="12" s="1"/>
  <c r="Z221" i="12" s="1"/>
  <c r="AA221" i="12" s="1"/>
  <c r="P244" i="12"/>
  <c r="Q244" i="12" s="1"/>
  <c r="R244" i="12" s="1"/>
  <c r="R218" i="12"/>
  <c r="S218" i="12" s="1"/>
  <c r="T218" i="12" s="1"/>
  <c r="U218" i="12" s="1"/>
  <c r="V218" i="12" s="1"/>
  <c r="W218" i="12" s="1"/>
  <c r="X218" i="12" s="1"/>
  <c r="Y218" i="12" s="1"/>
  <c r="Z218" i="12" s="1"/>
  <c r="AA218" i="12" s="1"/>
  <c r="N218" i="12"/>
  <c r="O218" i="12" s="1"/>
  <c r="P218" i="12" s="1"/>
  <c r="Q218" i="12" s="1"/>
  <c r="Q220" i="12"/>
  <c r="R220" i="12" s="1"/>
  <c r="S220" i="12" s="1"/>
  <c r="V208" i="12"/>
  <c r="W208" i="12" s="1"/>
  <c r="X208" i="12" s="1"/>
  <c r="Y208" i="12" s="1"/>
  <c r="Z208" i="12" s="1"/>
  <c r="AA208" i="12" s="1"/>
  <c r="K65" i="12"/>
  <c r="L60" i="12" s="1"/>
  <c r="N206" i="12"/>
  <c r="O206" i="12" s="1"/>
  <c r="M230" i="12"/>
  <c r="N230" i="12" s="1"/>
  <c r="O230" i="12" s="1"/>
  <c r="R231" i="12"/>
  <c r="S219" i="12"/>
  <c r="T219" i="12" s="1"/>
  <c r="U219" i="12" s="1"/>
  <c r="V219" i="12"/>
  <c r="W219" i="12" s="1"/>
  <c r="X219" i="12" s="1"/>
  <c r="Y219" i="12" s="1"/>
  <c r="Z219" i="12" s="1"/>
  <c r="AA219" i="12" s="1"/>
  <c r="K194" i="12"/>
  <c r="M257" i="12"/>
  <c r="N257" i="12" s="1"/>
  <c r="S196" i="12"/>
  <c r="K195" i="12"/>
  <c r="J198" i="12"/>
  <c r="L197" i="12"/>
  <c r="M197" i="12" s="1"/>
  <c r="P233" i="12"/>
  <c r="Q233" i="12" s="1"/>
  <c r="L246" i="12"/>
  <c r="L64" i="12" s="1"/>
  <c r="N242" i="12"/>
  <c r="S231" i="12"/>
  <c r="T231" i="12" s="1"/>
  <c r="P209" i="12"/>
  <c r="Q209" i="12" s="1"/>
  <c r="R209" i="12" s="1"/>
  <c r="S209" i="12" s="1"/>
  <c r="T209" i="12" s="1"/>
  <c r="U209" i="12" s="1"/>
  <c r="V209" i="12" s="1"/>
  <c r="W209" i="12"/>
  <c r="X209" i="12" s="1"/>
  <c r="Y209" i="12" s="1"/>
  <c r="Z209" i="12" s="1"/>
  <c r="AA209" i="12" s="1"/>
  <c r="N256" i="12"/>
  <c r="O256" i="12" s="1"/>
  <c r="L191" i="12"/>
  <c r="M191" i="12" s="1"/>
  <c r="L222" i="12"/>
  <c r="N210" i="12"/>
  <c r="G37" i="13"/>
  <c r="AD31" i="13"/>
  <c r="J92" i="12"/>
  <c r="K89" i="12"/>
  <c r="L89" i="12" s="1"/>
  <c r="L92" i="12" s="1"/>
  <c r="K100" i="12"/>
  <c r="K34" i="12" s="1"/>
  <c r="J35" i="12"/>
  <c r="K30" i="12" s="1"/>
  <c r="H119" i="12"/>
  <c r="H83" i="12" s="1"/>
  <c r="H9" i="12" s="1"/>
  <c r="T31" i="13" s="1"/>
  <c r="M97" i="12"/>
  <c r="M100" i="12" s="1"/>
  <c r="M34" i="12" s="1"/>
  <c r="L34" i="12"/>
  <c r="Q106" i="12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L105" i="12"/>
  <c r="M105" i="12" s="1"/>
  <c r="J74" i="12"/>
  <c r="J75" i="12" s="1"/>
  <c r="K70" i="12" s="1"/>
  <c r="K258" i="12"/>
  <c r="M251" i="12"/>
  <c r="L258" i="12"/>
  <c r="D27" i="17"/>
  <c r="E24" i="17" s="1"/>
  <c r="D30" i="13"/>
  <c r="M108" i="12"/>
  <c r="F95" i="6"/>
  <c r="F56" i="6"/>
  <c r="R31" i="13"/>
  <c r="F37" i="13"/>
  <c r="AC31" i="13"/>
  <c r="G184" i="3"/>
  <c r="G26" i="8" s="1"/>
  <c r="G27" i="8" s="1"/>
  <c r="G42" i="6"/>
  <c r="N113" i="12"/>
  <c r="M144" i="12"/>
  <c r="N141" i="12"/>
  <c r="F88" i="6"/>
  <c r="J163" i="12"/>
  <c r="J127" i="12" s="1"/>
  <c r="J128" i="12" s="1"/>
  <c r="K126" i="12" s="1"/>
  <c r="J44" i="12"/>
  <c r="J45" i="12" s="1"/>
  <c r="K40" i="12" s="1"/>
  <c r="H282" i="6"/>
  <c r="G309" i="6"/>
  <c r="E10" i="12"/>
  <c r="E12" i="12" s="1"/>
  <c r="Q135" i="12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D57" i="13"/>
  <c r="H84" i="6"/>
  <c r="G86" i="6"/>
  <c r="L136" i="12"/>
  <c r="L163" i="12" s="1"/>
  <c r="L127" i="12" s="1"/>
  <c r="M133" i="12"/>
  <c r="N215" i="12"/>
  <c r="M222" i="12"/>
  <c r="E112" i="8"/>
  <c r="E108" i="8"/>
  <c r="E113" i="8" s="1"/>
  <c r="H69" i="6"/>
  <c r="H70" i="6" s="1"/>
  <c r="H83" i="6" s="1"/>
  <c r="H39" i="6" s="1"/>
  <c r="H53" i="6"/>
  <c r="N160" i="12"/>
  <c r="O157" i="12"/>
  <c r="E10" i="6"/>
  <c r="E57" i="6"/>
  <c r="E7" i="6" s="1"/>
  <c r="E11" i="6" s="1"/>
  <c r="I119" i="12"/>
  <c r="I83" i="12" s="1"/>
  <c r="I24" i="12"/>
  <c r="I25" i="12" s="1"/>
  <c r="J20" i="12" s="1"/>
  <c r="K163" i="12"/>
  <c r="K127" i="12" s="1"/>
  <c r="K44" i="12"/>
  <c r="F107" i="8"/>
  <c r="D56" i="13"/>
  <c r="I11" i="14"/>
  <c r="Q152" i="12"/>
  <c r="R149" i="12"/>
  <c r="P241" i="12"/>
  <c r="P204" i="12"/>
  <c r="Q204" i="12" s="1"/>
  <c r="N31" i="17"/>
  <c r="N33" i="17" s="1"/>
  <c r="O30" i="17" s="1"/>
  <c r="O49" i="17"/>
  <c r="O51" i="17" s="1"/>
  <c r="P48" i="17" s="1"/>
  <c r="P43" i="17"/>
  <c r="P45" i="17" s="1"/>
  <c r="Q42" i="17" s="1"/>
  <c r="Q254" i="12"/>
  <c r="T252" i="12"/>
  <c r="P192" i="12"/>
  <c r="R228" i="12"/>
  <c r="Y193" i="12"/>
  <c r="Z193" i="12" s="1"/>
  <c r="AA193" i="12" s="1"/>
  <c r="R240" i="12"/>
  <c r="R216" i="12"/>
  <c r="V245" i="12" l="1"/>
  <c r="W245" i="12" s="1"/>
  <c r="X245" i="12" s="1"/>
  <c r="Y245" i="12" s="1"/>
  <c r="Z245" i="12" s="1"/>
  <c r="AA245" i="12" s="1"/>
  <c r="L65" i="12"/>
  <c r="M60" i="12" s="1"/>
  <c r="M65" i="12" s="1"/>
  <c r="N60" i="12" s="1"/>
  <c r="S244" i="12"/>
  <c r="T244" i="12" s="1"/>
  <c r="P206" i="12"/>
  <c r="Q206" i="12" s="1"/>
  <c r="R206" i="12" s="1"/>
  <c r="S206" i="12" s="1"/>
  <c r="T206" i="12" s="1"/>
  <c r="U206" i="12" s="1"/>
  <c r="V206" i="12" s="1"/>
  <c r="W206" i="12" s="1"/>
  <c r="X206" i="12" s="1"/>
  <c r="Y206" i="12" s="1"/>
  <c r="Z206" i="12" s="1"/>
  <c r="AA206" i="12" s="1"/>
  <c r="O210" i="12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P256" i="12"/>
  <c r="Q256" i="12" s="1"/>
  <c r="R256" i="12" s="1"/>
  <c r="S256" i="12" s="1"/>
  <c r="T256" i="12" s="1"/>
  <c r="T220" i="12"/>
  <c r="U220" i="12" s="1"/>
  <c r="V220" i="12" s="1"/>
  <c r="W220" i="12" s="1"/>
  <c r="X220" i="12" s="1"/>
  <c r="Y220" i="12" s="1"/>
  <c r="Z220" i="12" s="1"/>
  <c r="AA220" i="12" s="1"/>
  <c r="N191" i="12"/>
  <c r="O191" i="12" s="1"/>
  <c r="O257" i="12"/>
  <c r="K198" i="12"/>
  <c r="N197" i="12"/>
  <c r="T196" i="12"/>
  <c r="U196" i="12"/>
  <c r="V196" i="12" s="1"/>
  <c r="R233" i="12"/>
  <c r="S233" i="12" s="1"/>
  <c r="L195" i="12"/>
  <c r="M195" i="12" s="1"/>
  <c r="M258" i="12"/>
  <c r="M74" i="12" s="1"/>
  <c r="L194" i="12"/>
  <c r="M194" i="12" s="1"/>
  <c r="O242" i="12"/>
  <c r="O246" i="12" s="1"/>
  <c r="O64" i="12" s="1"/>
  <c r="N246" i="12"/>
  <c r="N64" i="12" s="1"/>
  <c r="U231" i="12"/>
  <c r="N251" i="12"/>
  <c r="N258" i="12" s="1"/>
  <c r="K35" i="12"/>
  <c r="L30" i="12" s="1"/>
  <c r="L35" i="12" s="1"/>
  <c r="M30" i="12" s="1"/>
  <c r="M35" i="12" s="1"/>
  <c r="N30" i="12" s="1"/>
  <c r="D58" i="17"/>
  <c r="D59" i="17" s="1"/>
  <c r="H37" i="13"/>
  <c r="N97" i="12"/>
  <c r="N100" i="12" s="1"/>
  <c r="N34" i="12" s="1"/>
  <c r="K92" i="12"/>
  <c r="H84" i="12"/>
  <c r="I82" i="12" s="1"/>
  <c r="N105" i="12"/>
  <c r="AE31" i="13"/>
  <c r="J119" i="12"/>
  <c r="J83" i="12" s="1"/>
  <c r="J24" i="12"/>
  <c r="J25" i="12" s="1"/>
  <c r="K20" i="12" s="1"/>
  <c r="E114" i="8"/>
  <c r="E83" i="8" s="1"/>
  <c r="E84" i="8" s="1"/>
  <c r="E72" i="8" s="1"/>
  <c r="E73" i="8" s="1"/>
  <c r="E12" i="8" s="1"/>
  <c r="E16" i="8" s="1"/>
  <c r="L74" i="12"/>
  <c r="K128" i="12"/>
  <c r="L126" i="12" s="1"/>
  <c r="L128" i="12" s="1"/>
  <c r="M126" i="12" s="1"/>
  <c r="K74" i="12"/>
  <c r="K75" i="12" s="1"/>
  <c r="L70" i="12" s="1"/>
  <c r="L108" i="12"/>
  <c r="K45" i="12"/>
  <c r="L40" i="12" s="1"/>
  <c r="H66" i="6"/>
  <c r="H79" i="6" s="1"/>
  <c r="R152" i="12"/>
  <c r="S149" i="12"/>
  <c r="F112" i="8"/>
  <c r="F108" i="8"/>
  <c r="F113" i="8" s="1"/>
  <c r="F109" i="8"/>
  <c r="O160" i="12"/>
  <c r="P157" i="12"/>
  <c r="E109" i="8"/>
  <c r="L44" i="12"/>
  <c r="F10" i="6"/>
  <c r="F57" i="6"/>
  <c r="F7" i="6" s="1"/>
  <c r="F11" i="6" s="1"/>
  <c r="N116" i="12"/>
  <c r="O113" i="12"/>
  <c r="N222" i="12"/>
  <c r="O215" i="12"/>
  <c r="G87" i="6"/>
  <c r="G92" i="6" s="1"/>
  <c r="G91" i="6"/>
  <c r="G93" i="6" s="1"/>
  <c r="G88" i="6"/>
  <c r="Q30" i="13"/>
  <c r="E38" i="13"/>
  <c r="E39" i="13" s="1"/>
  <c r="E31" i="13" s="1"/>
  <c r="AB30" i="13"/>
  <c r="E55" i="13"/>
  <c r="G43" i="6"/>
  <c r="G44" i="6" s="1"/>
  <c r="G45" i="6" s="1"/>
  <c r="G19" i="6" s="1"/>
  <c r="G20" i="6" s="1"/>
  <c r="K119" i="12"/>
  <c r="K83" i="12" s="1"/>
  <c r="K24" i="12"/>
  <c r="I84" i="12"/>
  <c r="J82" i="12" s="1"/>
  <c r="J84" i="12" s="1"/>
  <c r="K82" i="12" s="1"/>
  <c r="M136" i="12"/>
  <c r="M163" i="12" s="1"/>
  <c r="M127" i="12" s="1"/>
  <c r="N133" i="12"/>
  <c r="F5" i="12"/>
  <c r="F10" i="12" s="1"/>
  <c r="E77" i="12"/>
  <c r="E14" i="12"/>
  <c r="H283" i="6"/>
  <c r="H307" i="6" s="1"/>
  <c r="H82" i="6" s="1"/>
  <c r="H38" i="6" s="1"/>
  <c r="H41" i="6" s="1"/>
  <c r="H285" i="6"/>
  <c r="H309" i="6" s="1"/>
  <c r="H306" i="6"/>
  <c r="G28" i="8"/>
  <c r="G29" i="8" s="1"/>
  <c r="G32" i="8" s="1"/>
  <c r="G36" i="8" s="1"/>
  <c r="G13" i="8" s="1"/>
  <c r="G16" i="8" s="1"/>
  <c r="M89" i="12"/>
  <c r="D58" i="13"/>
  <c r="E56" i="13"/>
  <c r="N108" i="12"/>
  <c r="O105" i="12"/>
  <c r="E55" i="17"/>
  <c r="E25" i="17"/>
  <c r="E56" i="17" s="1"/>
  <c r="E54" i="13" s="1"/>
  <c r="J11" i="14"/>
  <c r="N144" i="12"/>
  <c r="O141" i="12"/>
  <c r="P210" i="12"/>
  <c r="Q241" i="12"/>
  <c r="P49" i="17"/>
  <c r="P51" i="17" s="1"/>
  <c r="Q48" i="17" s="1"/>
  <c r="Q192" i="12"/>
  <c r="U252" i="12"/>
  <c r="O31" i="17"/>
  <c r="O33" i="17" s="1"/>
  <c r="P30" i="17" s="1"/>
  <c r="Q210" i="12"/>
  <c r="R204" i="12"/>
  <c r="S240" i="12"/>
  <c r="Q43" i="17"/>
  <c r="Q45" i="17" s="1"/>
  <c r="R42" i="17" s="1"/>
  <c r="S228" i="12"/>
  <c r="R254" i="12"/>
  <c r="S216" i="12"/>
  <c r="N65" i="12" l="1"/>
  <c r="O60" i="12" s="1"/>
  <c r="O65" i="12" s="1"/>
  <c r="P60" i="12" s="1"/>
  <c r="U244" i="12"/>
  <c r="V244" i="12" s="1"/>
  <c r="W244" i="12" s="1"/>
  <c r="X244" i="12" s="1"/>
  <c r="Y244" i="12" s="1"/>
  <c r="Z244" i="12" s="1"/>
  <c r="AA244" i="12" s="1"/>
  <c r="P242" i="12"/>
  <c r="Q242" i="12" s="1"/>
  <c r="U256" i="12"/>
  <c r="N194" i="12"/>
  <c r="O194" i="12"/>
  <c r="M198" i="12"/>
  <c r="W196" i="12"/>
  <c r="X196" i="12" s="1"/>
  <c r="Y196" i="12" s="1"/>
  <c r="Z196" i="12" s="1"/>
  <c r="AA196" i="12" s="1"/>
  <c r="P257" i="12"/>
  <c r="P246" i="12"/>
  <c r="P64" i="12" s="1"/>
  <c r="O197" i="12"/>
  <c r="Q197" i="12"/>
  <c r="S197" i="12" s="1"/>
  <c r="T197" i="12" s="1"/>
  <c r="U197" i="12" s="1"/>
  <c r="R197" i="12"/>
  <c r="P197" i="12"/>
  <c r="T233" i="12"/>
  <c r="U233" i="12" s="1"/>
  <c r="V233" i="12" s="1"/>
  <c r="W233" i="12" s="1"/>
  <c r="X233" i="12" s="1"/>
  <c r="Y233" i="12" s="1"/>
  <c r="Z233" i="12" s="1"/>
  <c r="AA233" i="12" s="1"/>
  <c r="N195" i="12"/>
  <c r="V231" i="12"/>
  <c r="W231" i="12" s="1"/>
  <c r="X231" i="12" s="1"/>
  <c r="Y231" i="12" s="1"/>
  <c r="Z231" i="12" s="1"/>
  <c r="AA231" i="12" s="1"/>
  <c r="L198" i="12"/>
  <c r="L24" i="12" s="1"/>
  <c r="N74" i="12"/>
  <c r="O251" i="12"/>
  <c r="O258" i="12" s="1"/>
  <c r="L75" i="12"/>
  <c r="M70" i="12" s="1"/>
  <c r="M75" i="12" s="1"/>
  <c r="N70" i="12" s="1"/>
  <c r="M128" i="12"/>
  <c r="N126" i="12" s="1"/>
  <c r="K25" i="12"/>
  <c r="L20" i="12" s="1"/>
  <c r="L25" i="12" s="1"/>
  <c r="M20" i="12" s="1"/>
  <c r="O97" i="12"/>
  <c r="O100" i="12" s="1"/>
  <c r="O34" i="12" s="1"/>
  <c r="N35" i="12"/>
  <c r="O30" i="12" s="1"/>
  <c r="P251" i="12"/>
  <c r="Q251" i="12" s="1"/>
  <c r="L119" i="12"/>
  <c r="L83" i="12" s="1"/>
  <c r="M44" i="12"/>
  <c r="P191" i="12"/>
  <c r="L45" i="12"/>
  <c r="M40" i="12" s="1"/>
  <c r="E27" i="17"/>
  <c r="E58" i="17" s="1"/>
  <c r="E59" i="17" s="1"/>
  <c r="M92" i="12"/>
  <c r="N89" i="12"/>
  <c r="K84" i="12"/>
  <c r="L82" i="12" s="1"/>
  <c r="H42" i="6"/>
  <c r="H184" i="3"/>
  <c r="H26" i="8" s="1"/>
  <c r="H27" i="8" s="1"/>
  <c r="D59" i="13"/>
  <c r="D60" i="13" s="1"/>
  <c r="O116" i="12"/>
  <c r="P113" i="12"/>
  <c r="P160" i="12"/>
  <c r="Q157" i="12"/>
  <c r="G56" i="6"/>
  <c r="G95" i="6"/>
  <c r="N136" i="12"/>
  <c r="N163" i="12" s="1"/>
  <c r="N127" i="12" s="1"/>
  <c r="O133" i="12"/>
  <c r="E30" i="13"/>
  <c r="P215" i="12"/>
  <c r="O222" i="12"/>
  <c r="F114" i="8"/>
  <c r="F83" i="8" s="1"/>
  <c r="F84" i="8" s="1"/>
  <c r="F72" i="8" s="1"/>
  <c r="F73" i="8" s="1"/>
  <c r="F12" i="8" s="1"/>
  <c r="F16" i="8" s="1"/>
  <c r="H85" i="6"/>
  <c r="H86" i="6" s="1"/>
  <c r="O144" i="12"/>
  <c r="P141" i="12"/>
  <c r="F12" i="12"/>
  <c r="F77" i="12"/>
  <c r="F14" i="12"/>
  <c r="G5" i="12"/>
  <c r="E57" i="13"/>
  <c r="S152" i="12"/>
  <c r="T149" i="12"/>
  <c r="O108" i="12"/>
  <c r="P105" i="12"/>
  <c r="R241" i="12"/>
  <c r="Q246" i="12"/>
  <c r="Q64" i="12" s="1"/>
  <c r="T228" i="12"/>
  <c r="V252" i="12"/>
  <c r="P31" i="17"/>
  <c r="P33" i="17" s="1"/>
  <c r="Q30" i="17" s="1"/>
  <c r="R210" i="12"/>
  <c r="S204" i="12"/>
  <c r="R43" i="17"/>
  <c r="R45" i="17" s="1"/>
  <c r="S42" i="17" s="1"/>
  <c r="R192" i="12"/>
  <c r="Q49" i="17"/>
  <c r="Q51" i="17" s="1"/>
  <c r="R48" i="17" s="1"/>
  <c r="S254" i="12"/>
  <c r="T216" i="12"/>
  <c r="T240" i="12"/>
  <c r="P65" i="12" l="1"/>
  <c r="Q60" i="12" s="1"/>
  <c r="Q65" i="12" s="1"/>
  <c r="R60" i="12" s="1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V256" i="12"/>
  <c r="W256" i="12"/>
  <c r="X256" i="12" s="1"/>
  <c r="Y256" i="12" s="1"/>
  <c r="Z256" i="12" s="1"/>
  <c r="AA256" i="12" s="1"/>
  <c r="V195" i="12"/>
  <c r="W195" i="12" s="1"/>
  <c r="X195" i="12" s="1"/>
  <c r="Y195" i="12" s="1"/>
  <c r="Z195" i="12" s="1"/>
  <c r="AA195" i="12" s="1"/>
  <c r="P194" i="12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O195" i="12"/>
  <c r="P195" i="12" s="1"/>
  <c r="Q195" i="12" s="1"/>
  <c r="R195" i="12" s="1"/>
  <c r="S195" i="12" s="1"/>
  <c r="T195" i="12" s="1"/>
  <c r="U195" i="12" s="1"/>
  <c r="V197" i="12"/>
  <c r="W197" i="12" s="1"/>
  <c r="X197" i="12" s="1"/>
  <c r="Y197" i="12" s="1"/>
  <c r="Z197" i="12" s="1"/>
  <c r="AA197" i="12" s="1"/>
  <c r="Q257" i="12"/>
  <c r="R257" i="12" s="1"/>
  <c r="S257" i="12" s="1"/>
  <c r="N198" i="12"/>
  <c r="AA194" i="12"/>
  <c r="O74" i="12"/>
  <c r="N75" i="12"/>
  <c r="O70" i="12" s="1"/>
  <c r="N128" i="12"/>
  <c r="O126" i="12" s="1"/>
  <c r="L84" i="12"/>
  <c r="M82" i="12" s="1"/>
  <c r="P97" i="12"/>
  <c r="P100" i="12" s="1"/>
  <c r="P34" i="12" s="1"/>
  <c r="F24" i="17"/>
  <c r="F55" i="17" s="1"/>
  <c r="O35" i="12"/>
  <c r="P30" i="12" s="1"/>
  <c r="P258" i="12"/>
  <c r="M45" i="12"/>
  <c r="N40" i="12" s="1"/>
  <c r="R251" i="12"/>
  <c r="Q258" i="12"/>
  <c r="Q191" i="12"/>
  <c r="P108" i="12"/>
  <c r="Q105" i="12"/>
  <c r="E58" i="13"/>
  <c r="E59" i="13" s="1"/>
  <c r="E60" i="13" s="1"/>
  <c r="F56" i="13"/>
  <c r="P116" i="12"/>
  <c r="Q113" i="12"/>
  <c r="G10" i="12"/>
  <c r="G12" i="12" s="1"/>
  <c r="N44" i="12"/>
  <c r="Q215" i="12"/>
  <c r="P222" i="12"/>
  <c r="P144" i="12"/>
  <c r="Q141" i="12"/>
  <c r="O136" i="12"/>
  <c r="O163" i="12" s="1"/>
  <c r="O127" i="12" s="1"/>
  <c r="O128" i="12" s="1"/>
  <c r="P126" i="12" s="1"/>
  <c r="P133" i="12"/>
  <c r="H28" i="8"/>
  <c r="H29" i="8"/>
  <c r="H32" i="8" s="1"/>
  <c r="H36" i="8" s="1"/>
  <c r="H13" i="8" s="1"/>
  <c r="H16" i="8" s="1"/>
  <c r="G20" i="8" s="1"/>
  <c r="D5" i="14" s="1"/>
  <c r="F38" i="13"/>
  <c r="F39" i="13" s="1"/>
  <c r="F31" i="13" s="1"/>
  <c r="AC30" i="13"/>
  <c r="F55" i="13"/>
  <c r="R30" i="13"/>
  <c r="T152" i="12"/>
  <c r="U149" i="12"/>
  <c r="Q160" i="12"/>
  <c r="R157" i="12"/>
  <c r="H43" i="6"/>
  <c r="H44" i="6"/>
  <c r="H45" i="6" s="1"/>
  <c r="H19" i="6" s="1"/>
  <c r="H20" i="6" s="1"/>
  <c r="D22" i="6" s="1"/>
  <c r="N92" i="12"/>
  <c r="O89" i="12"/>
  <c r="D33" i="13"/>
  <c r="D34" i="13" s="1"/>
  <c r="D4" i="14" s="1"/>
  <c r="D64" i="13"/>
  <c r="AA33" i="13" s="1"/>
  <c r="AA34" i="13" s="1"/>
  <c r="P33" i="13"/>
  <c r="P34" i="13" s="1"/>
  <c r="G10" i="6"/>
  <c r="G57" i="6"/>
  <c r="G7" i="6" s="1"/>
  <c r="G11" i="6" s="1"/>
  <c r="H87" i="6"/>
  <c r="H92" i="6" s="1"/>
  <c r="H88" i="6"/>
  <c r="H91" i="6"/>
  <c r="M119" i="12"/>
  <c r="M83" i="12" s="1"/>
  <c r="M84" i="12" s="1"/>
  <c r="N82" i="12" s="1"/>
  <c r="M24" i="12"/>
  <c r="M25" i="12" s="1"/>
  <c r="N20" i="12" s="1"/>
  <c r="S241" i="12"/>
  <c r="R246" i="12"/>
  <c r="R64" i="12" s="1"/>
  <c r="U216" i="12"/>
  <c r="R49" i="17"/>
  <c r="R51" i="17" s="1"/>
  <c r="S48" i="17" s="1"/>
  <c r="Q31" i="17"/>
  <c r="Q33" i="17" s="1"/>
  <c r="R30" i="17" s="1"/>
  <c r="U228" i="12"/>
  <c r="T254" i="12"/>
  <c r="W252" i="12"/>
  <c r="S43" i="17"/>
  <c r="S45" i="17" s="1"/>
  <c r="T42" i="17" s="1"/>
  <c r="U240" i="12"/>
  <c r="S192" i="12"/>
  <c r="S210" i="12"/>
  <c r="T204" i="12"/>
  <c r="T257" i="12" l="1"/>
  <c r="U257" i="12" s="1"/>
  <c r="V257" i="12" s="1"/>
  <c r="W257" i="12" s="1"/>
  <c r="X257" i="12" s="1"/>
  <c r="Y257" i="12" s="1"/>
  <c r="Z257" i="12" s="1"/>
  <c r="AA257" i="12" s="1"/>
  <c r="P198" i="12"/>
  <c r="O198" i="12"/>
  <c r="O75" i="12"/>
  <c r="P70" i="12" s="1"/>
  <c r="F25" i="17"/>
  <c r="F56" i="17" s="1"/>
  <c r="F54" i="13" s="1"/>
  <c r="F57" i="13" s="1"/>
  <c r="P35" i="12"/>
  <c r="Q30" i="12" s="1"/>
  <c r="Q97" i="12"/>
  <c r="N45" i="12"/>
  <c r="O40" i="12" s="1"/>
  <c r="P74" i="12"/>
  <c r="S251" i="12"/>
  <c r="R258" i="12"/>
  <c r="R65" i="12"/>
  <c r="S60" i="12" s="1"/>
  <c r="R191" i="12"/>
  <c r="Q198" i="12"/>
  <c r="O92" i="12"/>
  <c r="P89" i="12"/>
  <c r="R215" i="12"/>
  <c r="Q222" i="12"/>
  <c r="P136" i="12"/>
  <c r="P163" i="12" s="1"/>
  <c r="P127" i="12" s="1"/>
  <c r="P128" i="12" s="1"/>
  <c r="Q126" i="12" s="1"/>
  <c r="Q133" i="12"/>
  <c r="R160" i="12"/>
  <c r="S157" i="12"/>
  <c r="D35" i="13"/>
  <c r="G77" i="12"/>
  <c r="H5" i="12"/>
  <c r="H10" i="12" s="1"/>
  <c r="G14" i="12"/>
  <c r="Q108" i="12"/>
  <c r="R105" i="12"/>
  <c r="H93" i="6"/>
  <c r="P35" i="13"/>
  <c r="U152" i="12"/>
  <c r="V149" i="12"/>
  <c r="Q116" i="12"/>
  <c r="Q74" i="12" s="1"/>
  <c r="R113" i="12"/>
  <c r="F30" i="13"/>
  <c r="O44" i="12"/>
  <c r="D6" i="14"/>
  <c r="D13" i="14" s="1"/>
  <c r="N119" i="12"/>
  <c r="N83" i="12" s="1"/>
  <c r="N24" i="12"/>
  <c r="N25" i="12" s="1"/>
  <c r="O20" i="12" s="1"/>
  <c r="Q144" i="12"/>
  <c r="R141" i="12"/>
  <c r="G55" i="13"/>
  <c r="G38" i="13"/>
  <c r="G39" i="13" s="1"/>
  <c r="G31" i="13" s="1"/>
  <c r="AD30" i="13"/>
  <c r="S30" i="13"/>
  <c r="E64" i="13"/>
  <c r="AB33" i="13" s="1"/>
  <c r="AB34" i="13" s="1"/>
  <c r="Q33" i="13"/>
  <c r="Q34" i="13" s="1"/>
  <c r="E33" i="13"/>
  <c r="E34" i="13" s="1"/>
  <c r="E4" i="14" s="1"/>
  <c r="E6" i="14" s="1"/>
  <c r="E13" i="14" s="1"/>
  <c r="T241" i="12"/>
  <c r="S246" i="12"/>
  <c r="S64" i="12" s="1"/>
  <c r="T43" i="17"/>
  <c r="T45" i="17" s="1"/>
  <c r="U42" i="17" s="1"/>
  <c r="R31" i="17"/>
  <c r="R33" i="17" s="1"/>
  <c r="S30" i="17" s="1"/>
  <c r="S49" i="17"/>
  <c r="S51" i="17" s="1"/>
  <c r="T48" i="17" s="1"/>
  <c r="V240" i="12"/>
  <c r="V216" i="12"/>
  <c r="X252" i="12"/>
  <c r="T210" i="12"/>
  <c r="U204" i="12"/>
  <c r="U254" i="12"/>
  <c r="T192" i="12"/>
  <c r="V228" i="12"/>
  <c r="P75" i="12" l="1"/>
  <c r="Q70" i="12" s="1"/>
  <c r="Q75" i="12" s="1"/>
  <c r="R70" i="12" s="1"/>
  <c r="F27" i="17"/>
  <c r="F58" i="17" s="1"/>
  <c r="F59" i="17" s="1"/>
  <c r="S97" i="12"/>
  <c r="S100" i="12" s="1"/>
  <c r="S34" i="12" s="1"/>
  <c r="Q100" i="12"/>
  <c r="Q34" i="12" s="1"/>
  <c r="Q35" i="12" s="1"/>
  <c r="R30" i="12" s="1"/>
  <c r="R97" i="12"/>
  <c r="R100" i="12" s="1"/>
  <c r="R34" i="12" s="1"/>
  <c r="O45" i="12"/>
  <c r="P40" i="12" s="1"/>
  <c r="N84" i="12"/>
  <c r="O82" i="12" s="1"/>
  <c r="S258" i="12"/>
  <c r="T251" i="12"/>
  <c r="S65" i="12"/>
  <c r="T60" i="12" s="1"/>
  <c r="G24" i="17"/>
  <c r="G25" i="17" s="1"/>
  <c r="G56" i="17" s="1"/>
  <c r="G54" i="13" s="1"/>
  <c r="P44" i="12"/>
  <c r="S191" i="12"/>
  <c r="R198" i="12"/>
  <c r="H56" i="6"/>
  <c r="H95" i="6"/>
  <c r="R116" i="12"/>
  <c r="R74" i="12" s="1"/>
  <c r="S113" i="12"/>
  <c r="P92" i="12"/>
  <c r="Q89" i="12"/>
  <c r="Q35" i="13"/>
  <c r="E17" i="14"/>
  <c r="H12" i="12"/>
  <c r="I5" i="12"/>
  <c r="H14" i="12"/>
  <c r="H77" i="12"/>
  <c r="G30" i="13"/>
  <c r="V152" i="12"/>
  <c r="W149" i="12"/>
  <c r="Q136" i="12"/>
  <c r="Q163" i="12" s="1"/>
  <c r="Q127" i="12" s="1"/>
  <c r="Q128" i="12" s="1"/>
  <c r="R126" i="12" s="1"/>
  <c r="R133" i="12"/>
  <c r="G56" i="13"/>
  <c r="F58" i="13"/>
  <c r="F59" i="13" s="1"/>
  <c r="F60" i="13" s="1"/>
  <c r="R108" i="12"/>
  <c r="S105" i="12"/>
  <c r="O119" i="12"/>
  <c r="O83" i="12" s="1"/>
  <c r="O24" i="12"/>
  <c r="O25" i="12" s="1"/>
  <c r="P20" i="12" s="1"/>
  <c r="S215" i="12"/>
  <c r="R222" i="12"/>
  <c r="R144" i="12"/>
  <c r="S141" i="12"/>
  <c r="S160" i="12"/>
  <c r="T157" i="12"/>
  <c r="E35" i="13"/>
  <c r="U241" i="12"/>
  <c r="T246" i="12"/>
  <c r="T64" i="12" s="1"/>
  <c r="S31" i="17"/>
  <c r="S33" i="17" s="1"/>
  <c r="T30" i="17" s="1"/>
  <c r="W228" i="12"/>
  <c r="W216" i="12"/>
  <c r="T49" i="17"/>
  <c r="T51" i="17" s="1"/>
  <c r="U48" i="17" s="1"/>
  <c r="V254" i="12"/>
  <c r="W240" i="12"/>
  <c r="Y252" i="12"/>
  <c r="U192" i="12"/>
  <c r="U210" i="12"/>
  <c r="V204" i="12"/>
  <c r="U43" i="17"/>
  <c r="U45" i="17" s="1"/>
  <c r="V42" i="17" s="1"/>
  <c r="R75" i="12" l="1"/>
  <c r="S70" i="12" s="1"/>
  <c r="R35" i="12"/>
  <c r="S30" i="12" s="1"/>
  <c r="S35" i="12" s="1"/>
  <c r="T30" i="12" s="1"/>
  <c r="G55" i="17"/>
  <c r="P45" i="12"/>
  <c r="Q40" i="12" s="1"/>
  <c r="O84" i="12"/>
  <c r="P82" i="12" s="1"/>
  <c r="T97" i="12"/>
  <c r="U251" i="12"/>
  <c r="T258" i="12"/>
  <c r="T100" i="12"/>
  <c r="T34" i="12" s="1"/>
  <c r="U97" i="12"/>
  <c r="T65" i="12"/>
  <c r="U60" i="12" s="1"/>
  <c r="G57" i="13"/>
  <c r="H56" i="13" s="1"/>
  <c r="Q44" i="12"/>
  <c r="T191" i="12"/>
  <c r="S198" i="12"/>
  <c r="G27" i="17"/>
  <c r="G58" i="17" s="1"/>
  <c r="T160" i="12"/>
  <c r="U157" i="12"/>
  <c r="R33" i="13"/>
  <c r="R34" i="13" s="1"/>
  <c r="F64" i="13"/>
  <c r="AC33" i="13" s="1"/>
  <c r="AC34" i="13" s="1"/>
  <c r="F33" i="13"/>
  <c r="F34" i="13" s="1"/>
  <c r="F4" i="14" s="1"/>
  <c r="F6" i="14" s="1"/>
  <c r="F13" i="14" s="1"/>
  <c r="H10" i="6"/>
  <c r="H57" i="6"/>
  <c r="H7" i="6" s="1"/>
  <c r="H11" i="6" s="1"/>
  <c r="D13" i="6" s="1"/>
  <c r="D24" i="6" s="1"/>
  <c r="S144" i="12"/>
  <c r="T141" i="12"/>
  <c r="Q92" i="12"/>
  <c r="R89" i="12"/>
  <c r="R136" i="12"/>
  <c r="R163" i="12" s="1"/>
  <c r="R127" i="12" s="1"/>
  <c r="R128" i="12" s="1"/>
  <c r="S126" i="12" s="1"/>
  <c r="S133" i="12"/>
  <c r="T215" i="12"/>
  <c r="S222" i="12"/>
  <c r="S116" i="12"/>
  <c r="S74" i="12" s="1"/>
  <c r="T113" i="12"/>
  <c r="W152" i="12"/>
  <c r="X149" i="12"/>
  <c r="H38" i="13"/>
  <c r="H39" i="13" s="1"/>
  <c r="H31" i="13" s="1"/>
  <c r="T30" i="13"/>
  <c r="AE30" i="13"/>
  <c r="H55" i="13"/>
  <c r="P119" i="12"/>
  <c r="P83" i="12" s="1"/>
  <c r="P24" i="12"/>
  <c r="P25" i="12" s="1"/>
  <c r="Q20" i="12" s="1"/>
  <c r="S108" i="12"/>
  <c r="T105" i="12"/>
  <c r="V241" i="12"/>
  <c r="V246" i="12" s="1"/>
  <c r="V64" i="12" s="1"/>
  <c r="U246" i="12"/>
  <c r="U64" i="12" s="1"/>
  <c r="V43" i="17"/>
  <c r="V45" i="17" s="1"/>
  <c r="W42" i="17" s="1"/>
  <c r="U49" i="17"/>
  <c r="U51" i="17" s="1"/>
  <c r="V48" i="17" s="1"/>
  <c r="X228" i="12"/>
  <c r="X216" i="12"/>
  <c r="X240" i="12"/>
  <c r="Z252" i="12"/>
  <c r="V192" i="12"/>
  <c r="T31" i="17"/>
  <c r="T33" i="17" s="1"/>
  <c r="U30" i="17" s="1"/>
  <c r="V210" i="12"/>
  <c r="W204" i="12"/>
  <c r="W254" i="12"/>
  <c r="S75" i="12" l="1"/>
  <c r="T70" i="12" s="1"/>
  <c r="G59" i="17"/>
  <c r="T35" i="12"/>
  <c r="U30" i="12" s="1"/>
  <c r="Q45" i="12"/>
  <c r="R40" i="12" s="1"/>
  <c r="V97" i="12"/>
  <c r="U100" i="12"/>
  <c r="U34" i="12" s="1"/>
  <c r="V251" i="12"/>
  <c r="U258" i="12"/>
  <c r="U65" i="12"/>
  <c r="V60" i="12" s="1"/>
  <c r="V65" i="12" s="1"/>
  <c r="W60" i="12" s="1"/>
  <c r="G58" i="13"/>
  <c r="G59" i="13" s="1"/>
  <c r="G60" i="13" s="1"/>
  <c r="U191" i="12"/>
  <c r="T198" i="12"/>
  <c r="H24" i="17"/>
  <c r="H25" i="17" s="1"/>
  <c r="H56" i="17" s="1"/>
  <c r="H54" i="13" s="1"/>
  <c r="F35" i="13"/>
  <c r="T144" i="12"/>
  <c r="U141" i="12"/>
  <c r="X152" i="12"/>
  <c r="Y149" i="12"/>
  <c r="F17" i="14"/>
  <c r="R44" i="12"/>
  <c r="R35" i="13"/>
  <c r="U160" i="12"/>
  <c r="V157" i="12"/>
  <c r="P84" i="12"/>
  <c r="Q82" i="12" s="1"/>
  <c r="S136" i="12"/>
  <c r="S163" i="12" s="1"/>
  <c r="S127" i="12" s="1"/>
  <c r="S128" i="12" s="1"/>
  <c r="T126" i="12" s="1"/>
  <c r="T133" i="12"/>
  <c r="R92" i="12"/>
  <c r="S89" i="12"/>
  <c r="T116" i="12"/>
  <c r="T74" i="12" s="1"/>
  <c r="U113" i="12"/>
  <c r="T108" i="12"/>
  <c r="U105" i="12"/>
  <c r="H30" i="13"/>
  <c r="U215" i="12"/>
  <c r="T222" i="12"/>
  <c r="Q119" i="12"/>
  <c r="Q83" i="12" s="1"/>
  <c r="Q24" i="12"/>
  <c r="Q25" i="12" s="1"/>
  <c r="R20" i="12" s="1"/>
  <c r="W241" i="12"/>
  <c r="V49" i="17"/>
  <c r="V51" i="17" s="1"/>
  <c r="W48" i="17" s="1"/>
  <c r="Y216" i="12"/>
  <c r="AA252" i="12"/>
  <c r="X254" i="12"/>
  <c r="W43" i="17"/>
  <c r="W45" i="17" s="1"/>
  <c r="X42" i="17" s="1"/>
  <c r="U31" i="17"/>
  <c r="U33" i="17" s="1"/>
  <c r="V30" i="17" s="1"/>
  <c r="Y228" i="12"/>
  <c r="W210" i="12"/>
  <c r="X204" i="12"/>
  <c r="Y240" i="12"/>
  <c r="W192" i="12"/>
  <c r="U35" i="12" l="1"/>
  <c r="V30" i="12" s="1"/>
  <c r="T75" i="12"/>
  <c r="U70" i="12" s="1"/>
  <c r="R45" i="12"/>
  <c r="S40" i="12" s="1"/>
  <c r="V100" i="12"/>
  <c r="V34" i="12" s="1"/>
  <c r="W97" i="12"/>
  <c r="W251" i="12"/>
  <c r="V258" i="12"/>
  <c r="V191" i="12"/>
  <c r="U198" i="12"/>
  <c r="H55" i="17"/>
  <c r="G33" i="13"/>
  <c r="G34" i="13" s="1"/>
  <c r="G4" i="14" s="1"/>
  <c r="G6" i="14" s="1"/>
  <c r="G13" i="14" s="1"/>
  <c r="G17" i="14" s="1"/>
  <c r="S33" i="13"/>
  <c r="S34" i="13" s="1"/>
  <c r="G64" i="13"/>
  <c r="AD33" i="13" s="1"/>
  <c r="AD34" i="13" s="1"/>
  <c r="U116" i="12"/>
  <c r="U74" i="12" s="1"/>
  <c r="V113" i="12"/>
  <c r="V215" i="12"/>
  <c r="U222" i="12"/>
  <c r="Q84" i="12"/>
  <c r="R82" i="12" s="1"/>
  <c r="U144" i="12"/>
  <c r="V141" i="12"/>
  <c r="U108" i="12"/>
  <c r="V105" i="12"/>
  <c r="V160" i="12"/>
  <c r="W157" i="12"/>
  <c r="T136" i="12"/>
  <c r="T163" i="12" s="1"/>
  <c r="T127" i="12" s="1"/>
  <c r="T128" i="12" s="1"/>
  <c r="U126" i="12" s="1"/>
  <c r="U133" i="12"/>
  <c r="Y152" i="12"/>
  <c r="Z149" i="12"/>
  <c r="S92" i="12"/>
  <c r="T89" i="12"/>
  <c r="R119" i="12"/>
  <c r="R83" i="12" s="1"/>
  <c r="R24" i="12"/>
  <c r="R25" i="12" s="1"/>
  <c r="S20" i="12" s="1"/>
  <c r="S44" i="12"/>
  <c r="H27" i="17"/>
  <c r="X241" i="12"/>
  <c r="W246" i="12"/>
  <c r="W64" i="12" s="1"/>
  <c r="W65" i="12" s="1"/>
  <c r="X60" i="12" s="1"/>
  <c r="W49" i="17"/>
  <c r="W51" i="17" s="1"/>
  <c r="X48" i="17" s="1"/>
  <c r="Z240" i="12"/>
  <c r="Y254" i="12"/>
  <c r="X210" i="12"/>
  <c r="Y204" i="12"/>
  <c r="X192" i="12"/>
  <c r="X43" i="17"/>
  <c r="X45" i="17" s="1"/>
  <c r="Y42" i="17" s="1"/>
  <c r="Z216" i="12"/>
  <c r="V31" i="17"/>
  <c r="V33" i="17" s="1"/>
  <c r="W30" i="17" s="1"/>
  <c r="Z228" i="12"/>
  <c r="V35" i="12" l="1"/>
  <c r="W30" i="12" s="1"/>
  <c r="U75" i="12"/>
  <c r="V70" i="12" s="1"/>
  <c r="S45" i="12"/>
  <c r="T40" i="12" s="1"/>
  <c r="X251" i="12"/>
  <c r="W258" i="12"/>
  <c r="X97" i="12"/>
  <c r="W100" i="12"/>
  <c r="W34" i="12" s="1"/>
  <c r="W191" i="12"/>
  <c r="V198" i="12"/>
  <c r="G35" i="13"/>
  <c r="R84" i="12"/>
  <c r="S82" i="12" s="1"/>
  <c r="T92" i="12"/>
  <c r="U89" i="12"/>
  <c r="W160" i="12"/>
  <c r="X157" i="12"/>
  <c r="S35" i="13"/>
  <c r="S119" i="12"/>
  <c r="S83" i="12" s="1"/>
  <c r="S24" i="12"/>
  <c r="S25" i="12" s="1"/>
  <c r="T20" i="12" s="1"/>
  <c r="V108" i="12"/>
  <c r="W105" i="12"/>
  <c r="Z152" i="12"/>
  <c r="AA149" i="12"/>
  <c r="AA152" i="12" s="1"/>
  <c r="W215" i="12"/>
  <c r="V222" i="12"/>
  <c r="H58" i="17"/>
  <c r="H59" i="17" s="1"/>
  <c r="I24" i="17"/>
  <c r="V144" i="12"/>
  <c r="W141" i="12"/>
  <c r="V116" i="12"/>
  <c r="V74" i="12" s="1"/>
  <c r="W113" i="12"/>
  <c r="T44" i="12"/>
  <c r="U136" i="12"/>
  <c r="U163" i="12" s="1"/>
  <c r="U127" i="12" s="1"/>
  <c r="U128" i="12" s="1"/>
  <c r="V126" i="12" s="1"/>
  <c r="V133" i="12"/>
  <c r="Y241" i="12"/>
  <c r="X246" i="12"/>
  <c r="X64" i="12" s="1"/>
  <c r="X65" i="12" s="1"/>
  <c r="Y60" i="12" s="1"/>
  <c r="Y43" i="17"/>
  <c r="Y45" i="17" s="1"/>
  <c r="Z42" i="17" s="1"/>
  <c r="X49" i="17"/>
  <c r="X51" i="17" s="1"/>
  <c r="Y48" i="17" s="1"/>
  <c r="AA216" i="12"/>
  <c r="Y210" i="12"/>
  <c r="Z204" i="12"/>
  <c r="Y192" i="12"/>
  <c r="Z254" i="12"/>
  <c r="W31" i="17"/>
  <c r="W33" i="17" s="1"/>
  <c r="X30" i="17" s="1"/>
  <c r="AA228" i="12"/>
  <c r="AA240" i="12"/>
  <c r="W35" i="12" l="1"/>
  <c r="X30" i="12" s="1"/>
  <c r="V75" i="12"/>
  <c r="W70" i="12" s="1"/>
  <c r="T45" i="12"/>
  <c r="U40" i="12" s="1"/>
  <c r="Y251" i="12"/>
  <c r="X258" i="12"/>
  <c r="Y97" i="12"/>
  <c r="Y100" i="12" s="1"/>
  <c r="Y34" i="12" s="1"/>
  <c r="X100" i="12"/>
  <c r="X34" i="12" s="1"/>
  <c r="U44" i="12"/>
  <c r="X191" i="12"/>
  <c r="W198" i="12"/>
  <c r="U92" i="12"/>
  <c r="V89" i="12"/>
  <c r="W144" i="12"/>
  <c r="X141" i="12"/>
  <c r="T119" i="12"/>
  <c r="T83" i="12" s="1"/>
  <c r="T24" i="12"/>
  <c r="T25" i="12" s="1"/>
  <c r="U20" i="12" s="1"/>
  <c r="V136" i="12"/>
  <c r="V163" i="12" s="1"/>
  <c r="V127" i="12" s="1"/>
  <c r="V128" i="12" s="1"/>
  <c r="W126" i="12" s="1"/>
  <c r="W133" i="12"/>
  <c r="I25" i="17"/>
  <c r="I55" i="17"/>
  <c r="S84" i="12"/>
  <c r="T82" i="12" s="1"/>
  <c r="W116" i="12"/>
  <c r="W74" i="12" s="1"/>
  <c r="X113" i="12"/>
  <c r="X215" i="12"/>
  <c r="W222" i="12"/>
  <c r="W108" i="12"/>
  <c r="X105" i="12"/>
  <c r="X160" i="12"/>
  <c r="Y157" i="12"/>
  <c r="Z241" i="12"/>
  <c r="Y246" i="12"/>
  <c r="Y64" i="12" s="1"/>
  <c r="Y65" i="12" s="1"/>
  <c r="Z60" i="12" s="1"/>
  <c r="Y49" i="17"/>
  <c r="Y51" i="17" s="1"/>
  <c r="Z48" i="17" s="1"/>
  <c r="Z192" i="12"/>
  <c r="X31" i="17"/>
  <c r="X33" i="17" s="1"/>
  <c r="Y30" i="17" s="1"/>
  <c r="Z210" i="12"/>
  <c r="AA204" i="12"/>
  <c r="AA210" i="12" s="1"/>
  <c r="Z43" i="17"/>
  <c r="Z45" i="17" s="1"/>
  <c r="AA42" i="17" s="1"/>
  <c r="AA254" i="12"/>
  <c r="W75" i="12" l="1"/>
  <c r="X70" i="12" s="1"/>
  <c r="X35" i="12"/>
  <c r="Y30" i="12" s="1"/>
  <c r="Y35" i="12" s="1"/>
  <c r="Z30" i="12" s="1"/>
  <c r="U45" i="12"/>
  <c r="V40" i="12" s="1"/>
  <c r="V44" i="12"/>
  <c r="Z97" i="12"/>
  <c r="Z100" i="12" s="1"/>
  <c r="Z34" i="12" s="1"/>
  <c r="Z251" i="12"/>
  <c r="Y258" i="12"/>
  <c r="Y191" i="12"/>
  <c r="X198" i="12"/>
  <c r="I27" i="17"/>
  <c r="J24" i="17" s="1"/>
  <c r="X108" i="12"/>
  <c r="Y105" i="12"/>
  <c r="V92" i="12"/>
  <c r="W89" i="12"/>
  <c r="W136" i="12"/>
  <c r="W163" i="12" s="1"/>
  <c r="W127" i="12" s="1"/>
  <c r="W128" i="12" s="1"/>
  <c r="X126" i="12" s="1"/>
  <c r="X133" i="12"/>
  <c r="U119" i="12"/>
  <c r="U83" i="12" s="1"/>
  <c r="U24" i="12"/>
  <c r="U25" i="12" s="1"/>
  <c r="V20" i="12" s="1"/>
  <c r="X144" i="12"/>
  <c r="Y141" i="12"/>
  <c r="Y215" i="12"/>
  <c r="X222" i="12"/>
  <c r="T84" i="12"/>
  <c r="U82" i="12" s="1"/>
  <c r="Y160" i="12"/>
  <c r="Z157" i="12"/>
  <c r="X116" i="12"/>
  <c r="X74" i="12" s="1"/>
  <c r="Y113" i="12"/>
  <c r="AA241" i="12"/>
  <c r="AA246" i="12" s="1"/>
  <c r="AA64" i="12" s="1"/>
  <c r="Z246" i="12"/>
  <c r="Z64" i="12" s="1"/>
  <c r="Z65" i="12" s="1"/>
  <c r="AA60" i="12" s="1"/>
  <c r="AA43" i="17"/>
  <c r="AA45" i="17" s="1"/>
  <c r="Y31" i="17"/>
  <c r="Y33" i="17" s="1"/>
  <c r="Z30" i="17" s="1"/>
  <c r="AA192" i="12"/>
  <c r="Z49" i="17"/>
  <c r="Z51" i="17" s="1"/>
  <c r="AA48" i="17" s="1"/>
  <c r="X75" i="12" l="1"/>
  <c r="Y70" i="12" s="1"/>
  <c r="V45" i="12"/>
  <c r="W40" i="12" s="1"/>
  <c r="Z35" i="12"/>
  <c r="AA30" i="12" s="1"/>
  <c r="AA251" i="12"/>
  <c r="AA258" i="12" s="1"/>
  <c r="Z258" i="12"/>
  <c r="U84" i="12"/>
  <c r="V82" i="12" s="1"/>
  <c r="AA97" i="12"/>
  <c r="AA100" i="12" s="1"/>
  <c r="AA34" i="12" s="1"/>
  <c r="W44" i="12"/>
  <c r="Z191" i="12"/>
  <c r="Y198" i="12"/>
  <c r="Z215" i="12"/>
  <c r="Y222" i="12"/>
  <c r="X136" i="12"/>
  <c r="X163" i="12" s="1"/>
  <c r="X127" i="12" s="1"/>
  <c r="X128" i="12" s="1"/>
  <c r="Y126" i="12" s="1"/>
  <c r="Y133" i="12"/>
  <c r="Y108" i="12"/>
  <c r="Z105" i="12"/>
  <c r="Y116" i="12"/>
  <c r="Y74" i="12" s="1"/>
  <c r="Z113" i="12"/>
  <c r="W92" i="12"/>
  <c r="X89" i="12"/>
  <c r="V119" i="12"/>
  <c r="V83" i="12" s="1"/>
  <c r="V24" i="12"/>
  <c r="V25" i="12" s="1"/>
  <c r="W20" i="12" s="1"/>
  <c r="AA65" i="12"/>
  <c r="Z160" i="12"/>
  <c r="AA157" i="12"/>
  <c r="AA160" i="12" s="1"/>
  <c r="Y144" i="12"/>
  <c r="Z141" i="12"/>
  <c r="J25" i="17"/>
  <c r="Z31" i="17"/>
  <c r="Z33" i="17" s="1"/>
  <c r="AA30" i="17" s="1"/>
  <c r="AA49" i="17"/>
  <c r="AA51" i="17" s="1"/>
  <c r="Y75" i="12" l="1"/>
  <c r="Z70" i="12" s="1"/>
  <c r="W45" i="12"/>
  <c r="X40" i="12" s="1"/>
  <c r="AA35" i="12"/>
  <c r="X44" i="12"/>
  <c r="AA191" i="12"/>
  <c r="AA198" i="12" s="1"/>
  <c r="Z198" i="12"/>
  <c r="J27" i="17"/>
  <c r="X92" i="12"/>
  <c r="Y89" i="12"/>
  <c r="AA215" i="12"/>
  <c r="AA222" i="12" s="1"/>
  <c r="Z222" i="12"/>
  <c r="Z144" i="12"/>
  <c r="AA141" i="12"/>
  <c r="AA144" i="12" s="1"/>
  <c r="W119" i="12"/>
  <c r="W83" i="12" s="1"/>
  <c r="W24" i="12"/>
  <c r="W25" i="12" s="1"/>
  <c r="X20" i="12" s="1"/>
  <c r="Z116" i="12"/>
  <c r="Z74" i="12" s="1"/>
  <c r="AA113" i="12"/>
  <c r="AA116" i="12" s="1"/>
  <c r="AA74" i="12" s="1"/>
  <c r="V84" i="12"/>
  <c r="W82" i="12" s="1"/>
  <c r="Y136" i="12"/>
  <c r="Y163" i="12" s="1"/>
  <c r="Y127" i="12" s="1"/>
  <c r="Y128" i="12" s="1"/>
  <c r="Z126" i="12" s="1"/>
  <c r="Z133" i="12"/>
  <c r="Z108" i="12"/>
  <c r="AA105" i="12"/>
  <c r="AA108" i="12" s="1"/>
  <c r="AA31" i="17"/>
  <c r="AA33" i="17" s="1"/>
  <c r="Y44" i="12" l="1"/>
  <c r="Z75" i="12"/>
  <c r="AA70" i="12" s="1"/>
  <c r="AA75" i="12" s="1"/>
  <c r="X45" i="12"/>
  <c r="Y40" i="12" s="1"/>
  <c r="K24" i="17"/>
  <c r="Z136" i="12"/>
  <c r="Z163" i="12" s="1"/>
  <c r="Z127" i="12" s="1"/>
  <c r="Z128" i="12" s="1"/>
  <c r="AA126" i="12" s="1"/>
  <c r="AA133" i="12"/>
  <c r="AA136" i="12" s="1"/>
  <c r="AA163" i="12" s="1"/>
  <c r="AA127" i="12" s="1"/>
  <c r="D129" i="12" s="1"/>
  <c r="C129" i="12" s="1"/>
  <c r="X119" i="12"/>
  <c r="X83" i="12" s="1"/>
  <c r="X24" i="12"/>
  <c r="X25" i="12" s="1"/>
  <c r="Y20" i="12" s="1"/>
  <c r="Y92" i="12"/>
  <c r="Z89" i="12"/>
  <c r="W84" i="12"/>
  <c r="X82" i="12" s="1"/>
  <c r="Y45" i="12" l="1"/>
  <c r="Z40" i="12" s="1"/>
  <c r="X84" i="12"/>
  <c r="Y82" i="12" s="1"/>
  <c r="AA128" i="12"/>
  <c r="K25" i="17"/>
  <c r="Z44" i="12"/>
  <c r="Z45" i="12" s="1"/>
  <c r="AA40" i="12" s="1"/>
  <c r="AA44" i="12"/>
  <c r="Z92" i="12"/>
  <c r="AA89" i="12"/>
  <c r="AA92" i="12" s="1"/>
  <c r="Y119" i="12"/>
  <c r="Y83" i="12" s="1"/>
  <c r="Y24" i="12"/>
  <c r="Y25" i="12" s="1"/>
  <c r="Z20" i="12" s="1"/>
  <c r="K27" i="17" l="1"/>
  <c r="Y84" i="12"/>
  <c r="Z82" i="12" s="1"/>
  <c r="AA45" i="12"/>
  <c r="AA119" i="12"/>
  <c r="AA83" i="12" s="1"/>
  <c r="AA24" i="12"/>
  <c r="Z119" i="12"/>
  <c r="Z83" i="12" s="1"/>
  <c r="Z24" i="12"/>
  <c r="Z25" i="12" s="1"/>
  <c r="AA20" i="12" s="1"/>
  <c r="L24" i="17" l="1"/>
  <c r="AA25" i="12"/>
  <c r="D85" i="12"/>
  <c r="C85" i="12" s="1"/>
  <c r="Z84" i="12"/>
  <c r="AA82" i="12" s="1"/>
  <c r="AA84" i="12" s="1"/>
  <c r="L25" i="17" l="1"/>
  <c r="L27" i="17" l="1"/>
  <c r="M24" i="17" s="1"/>
  <c r="M25" i="17" l="1"/>
  <c r="M27" i="17" l="1"/>
  <c r="N24" i="17" l="1"/>
  <c r="N25" i="17" l="1"/>
  <c r="N27" i="17" l="1"/>
  <c r="O24" i="17" l="1"/>
  <c r="O25" i="17" l="1"/>
  <c r="O27" i="17" l="1"/>
  <c r="P24" i="17" s="1"/>
  <c r="P25" i="17" l="1"/>
  <c r="P27" i="17" l="1"/>
  <c r="Q24" i="17" s="1"/>
  <c r="Q25" i="17" l="1"/>
  <c r="Q27" i="17" l="1"/>
  <c r="R24" i="17" l="1"/>
  <c r="R25" i="17" l="1"/>
  <c r="R27" i="17" s="1"/>
  <c r="S24" i="17" l="1"/>
  <c r="S25" i="17" l="1"/>
  <c r="S27" i="17" l="1"/>
  <c r="T24" i="17" l="1"/>
  <c r="T25" i="17" l="1"/>
  <c r="T27" i="17" l="1"/>
  <c r="U24" i="17" l="1"/>
  <c r="U25" i="17" l="1"/>
  <c r="U27" i="17" l="1"/>
  <c r="V24" i="17" l="1"/>
  <c r="V25" i="17" l="1"/>
  <c r="V27" i="17" l="1"/>
  <c r="W24" i="17" s="1"/>
  <c r="W25" i="17" l="1"/>
  <c r="W27" i="17" l="1"/>
  <c r="X24" i="17" s="1"/>
  <c r="X25" i="17" l="1"/>
  <c r="X27" i="17" l="1"/>
  <c r="Y24" i="17" l="1"/>
  <c r="Y25" i="17" l="1"/>
  <c r="Y27" i="17" l="1"/>
  <c r="Z24" i="17" s="1"/>
  <c r="Z25" i="17" l="1"/>
  <c r="Z27" i="17" l="1"/>
  <c r="AA24" i="17" s="1"/>
  <c r="G58" i="14"/>
  <c r="S58" i="14" s="1"/>
  <c r="G59" i="14"/>
  <c r="S59" i="14" s="1"/>
  <c r="G56" i="14"/>
  <c r="S56" i="14" s="1"/>
  <c r="G57" i="14"/>
  <c r="S57" i="14" s="1"/>
  <c r="AA25" i="17" l="1"/>
  <c r="J100" i="4"/>
  <c r="H58" i="14" s="1"/>
  <c r="T58" i="14" s="1"/>
  <c r="J101" i="4"/>
  <c r="H59" i="14" s="1"/>
  <c r="T59" i="14" s="1"/>
  <c r="H51" i="13"/>
  <c r="H57" i="13" s="1"/>
  <c r="H15" i="14"/>
  <c r="G60" i="14"/>
  <c r="S60" i="14" s="1"/>
  <c r="S76" i="14" s="1"/>
  <c r="J102" i="4"/>
  <c r="H60" i="14" s="1"/>
  <c r="T60" i="14" s="1"/>
  <c r="J98" i="4"/>
  <c r="H56" i="14" s="1"/>
  <c r="T56" i="14" s="1"/>
  <c r="J99" i="4"/>
  <c r="H57" i="14" s="1"/>
  <c r="T57" i="14" s="1"/>
  <c r="AA27" i="17" l="1"/>
  <c r="I51" i="13"/>
  <c r="I15" i="14"/>
  <c r="T76" i="14"/>
  <c r="H58" i="13"/>
  <c r="H59" i="13" s="1"/>
  <c r="H60" i="13" s="1"/>
  <c r="I56" i="13"/>
  <c r="H33" i="13" l="1"/>
  <c r="H34" i="13" s="1"/>
  <c r="H4" i="14" s="1"/>
  <c r="H6" i="14" s="1"/>
  <c r="H13" i="14" s="1"/>
  <c r="H17" i="14" s="1"/>
  <c r="T33" i="13"/>
  <c r="T34" i="13" s="1"/>
  <c r="H64" i="13"/>
  <c r="AE33" i="13" s="1"/>
  <c r="AE34" i="13" s="1"/>
  <c r="J51" i="13"/>
  <c r="J15" i="14"/>
  <c r="T35" i="13" l="1"/>
  <c r="H35" i="13"/>
  <c r="I16" i="16" l="1"/>
  <c r="I24" i="16"/>
  <c r="I27" i="16" s="1"/>
  <c r="I13" i="4"/>
  <c r="I51" i="12" l="1"/>
  <c r="I183" i="12"/>
  <c r="I24" i="4"/>
  <c r="I16" i="4"/>
  <c r="I6" i="12" s="1"/>
  <c r="B232" i="12" l="1"/>
  <c r="I186" i="12"/>
  <c r="I171" i="12" s="1"/>
  <c r="I18" i="17"/>
  <c r="I27" i="4"/>
  <c r="I38" i="17" l="1"/>
  <c r="I21" i="17"/>
  <c r="I232" i="12"/>
  <c r="B234" i="12"/>
  <c r="B261" i="12" s="1"/>
  <c r="J174" i="12"/>
  <c r="J232" i="12" l="1"/>
  <c r="J234" i="12" s="1"/>
  <c r="I234" i="12"/>
  <c r="I57" i="17"/>
  <c r="I37" i="17"/>
  <c r="K232" i="12" l="1"/>
  <c r="L232" i="12" s="1"/>
  <c r="I39" i="17"/>
  <c r="I56" i="17"/>
  <c r="I54" i="13" s="1"/>
  <c r="I54" i="12"/>
  <c r="I55" i="12" s="1"/>
  <c r="J50" i="12" s="1"/>
  <c r="I261" i="12"/>
  <c r="I172" i="12" s="1"/>
  <c r="J54" i="12"/>
  <c r="J261" i="12"/>
  <c r="J172" i="12" s="1"/>
  <c r="J9" i="12" s="1"/>
  <c r="K234" i="12" l="1"/>
  <c r="K54" i="12" s="1"/>
  <c r="M232" i="12"/>
  <c r="M234" i="12" s="1"/>
  <c r="M54" i="12" s="1"/>
  <c r="V31" i="13"/>
  <c r="AG31" i="13"/>
  <c r="J37" i="13"/>
  <c r="J36" i="17"/>
  <c r="I58" i="17"/>
  <c r="I59" i="17" s="1"/>
  <c r="I173" i="12"/>
  <c r="J170" i="12" s="1"/>
  <c r="J173" i="12" s="1"/>
  <c r="K170" i="12" s="1"/>
  <c r="I9" i="12"/>
  <c r="J55" i="12"/>
  <c r="K50" i="12" s="1"/>
  <c r="L234" i="12"/>
  <c r="K261" i="12" l="1"/>
  <c r="K172" i="12" s="1"/>
  <c r="K173" i="12" s="1"/>
  <c r="L170" i="12" s="1"/>
  <c r="M261" i="12"/>
  <c r="M172" i="12" s="1"/>
  <c r="M9" i="12" s="1"/>
  <c r="N232" i="12"/>
  <c r="N234" i="12" s="1"/>
  <c r="L261" i="12"/>
  <c r="L172" i="12" s="1"/>
  <c r="L54" i="12"/>
  <c r="U31" i="13"/>
  <c r="AF31" i="13"/>
  <c r="I37" i="13"/>
  <c r="I10" i="12"/>
  <c r="K55" i="12"/>
  <c r="L50" i="12" s="1"/>
  <c r="J37" i="17"/>
  <c r="J55" i="17"/>
  <c r="K9" i="12" l="1"/>
  <c r="L173" i="12"/>
  <c r="M170" i="12" s="1"/>
  <c r="M173" i="12" s="1"/>
  <c r="N170" i="12" s="1"/>
  <c r="O232" i="12"/>
  <c r="O234" i="12" s="1"/>
  <c r="O54" i="12" s="1"/>
  <c r="N54" i="12"/>
  <c r="N261" i="12"/>
  <c r="N172" i="12" s="1"/>
  <c r="N9" i="12" s="1"/>
  <c r="L55" i="12"/>
  <c r="M50" i="12" s="1"/>
  <c r="M55" i="12" s="1"/>
  <c r="N50" i="12" s="1"/>
  <c r="J39" i="17"/>
  <c r="J56" i="17"/>
  <c r="J54" i="13" s="1"/>
  <c r="J5" i="12"/>
  <c r="J10" i="12" s="1"/>
  <c r="I77" i="12"/>
  <c r="I14" i="12"/>
  <c r="I12" i="12"/>
  <c r="L9" i="12"/>
  <c r="O261" i="12" l="1"/>
  <c r="O172" i="12" s="1"/>
  <c r="O9" i="12" s="1"/>
  <c r="P232" i="12"/>
  <c r="Q232" i="12" s="1"/>
  <c r="Q234" i="12" s="1"/>
  <c r="N173" i="12"/>
  <c r="O170" i="12" s="1"/>
  <c r="O173" i="12" s="1"/>
  <c r="P170" i="12" s="1"/>
  <c r="N55" i="12"/>
  <c r="O50" i="12" s="1"/>
  <c r="O55" i="12" s="1"/>
  <c r="P50" i="12" s="1"/>
  <c r="K36" i="17"/>
  <c r="J58" i="17"/>
  <c r="J59" i="17" s="1"/>
  <c r="R232" i="12"/>
  <c r="J12" i="12"/>
  <c r="K5" i="12"/>
  <c r="K10" i="12" s="1"/>
  <c r="J14" i="12"/>
  <c r="J77" i="12"/>
  <c r="I56" i="4"/>
  <c r="I55" i="4" s="1"/>
  <c r="I55" i="13"/>
  <c r="U30" i="13"/>
  <c r="AF30" i="13"/>
  <c r="I38" i="13"/>
  <c r="I39" i="13" s="1"/>
  <c r="I31" i="13" s="1"/>
  <c r="P234" i="12" l="1"/>
  <c r="P54" i="12" s="1"/>
  <c r="P55" i="12" s="1"/>
  <c r="Q50" i="12" s="1"/>
  <c r="Q54" i="12"/>
  <c r="Q261" i="12"/>
  <c r="Q172" i="12" s="1"/>
  <c r="Q9" i="12" s="1"/>
  <c r="K37" i="17"/>
  <c r="K55" i="17"/>
  <c r="R234" i="12"/>
  <c r="S232" i="12"/>
  <c r="I30" i="13"/>
  <c r="K12" i="12"/>
  <c r="K14" i="12"/>
  <c r="K77" i="12"/>
  <c r="L5" i="12"/>
  <c r="I32" i="13"/>
  <c r="I53" i="13"/>
  <c r="I57" i="13" s="1"/>
  <c r="U32" i="13"/>
  <c r="AF32" i="13"/>
  <c r="J56" i="4"/>
  <c r="J55" i="4" s="1"/>
  <c r="V30" i="13"/>
  <c r="J38" i="13"/>
  <c r="J39" i="13" s="1"/>
  <c r="J31" i="13" s="1"/>
  <c r="AG30" i="13"/>
  <c r="J55" i="13"/>
  <c r="P261" i="12" l="1"/>
  <c r="P172" i="12" s="1"/>
  <c r="P9" i="12" s="1"/>
  <c r="Q55" i="12"/>
  <c r="R50" i="12" s="1"/>
  <c r="V32" i="13"/>
  <c r="AG32" i="13"/>
  <c r="J53" i="13"/>
  <c r="J32" i="13"/>
  <c r="L10" i="12"/>
  <c r="L12" i="12" s="1"/>
  <c r="J30" i="13"/>
  <c r="I58" i="13"/>
  <c r="I59" i="13" s="1"/>
  <c r="I60" i="13" s="1"/>
  <c r="J56" i="13"/>
  <c r="T232" i="12"/>
  <c r="S234" i="12"/>
  <c r="K39" i="17"/>
  <c r="K56" i="17"/>
  <c r="R54" i="12"/>
  <c r="R261" i="12"/>
  <c r="R172" i="12" s="1"/>
  <c r="R9" i="12" s="1"/>
  <c r="P173" i="12" l="1"/>
  <c r="Q170" i="12" s="1"/>
  <c r="Q173" i="12" s="1"/>
  <c r="R170" i="12" s="1"/>
  <c r="R55" i="12"/>
  <c r="S50" i="12" s="1"/>
  <c r="L36" i="17"/>
  <c r="K58" i="17"/>
  <c r="K59" i="17" s="1"/>
  <c r="I64" i="13"/>
  <c r="AF33" i="13" s="1"/>
  <c r="AF34" i="13" s="1"/>
  <c r="U33" i="13"/>
  <c r="U34" i="13" s="1"/>
  <c r="I33" i="13"/>
  <c r="I34" i="13" s="1"/>
  <c r="I4" i="14" s="1"/>
  <c r="I6" i="14" s="1"/>
  <c r="R173" i="12"/>
  <c r="S170" i="12" s="1"/>
  <c r="S54" i="12"/>
  <c r="S261" i="12"/>
  <c r="S172" i="12" s="1"/>
  <c r="S9" i="12" s="1"/>
  <c r="U232" i="12"/>
  <c r="T234" i="12"/>
  <c r="J57" i="13"/>
  <c r="J58" i="13" s="1"/>
  <c r="J59" i="13" s="1"/>
  <c r="J60" i="13" s="1"/>
  <c r="L14" i="12"/>
  <c r="M5" i="12"/>
  <c r="M10" i="12" s="1"/>
  <c r="L77" i="12"/>
  <c r="I13" i="14" l="1"/>
  <c r="S55" i="12"/>
  <c r="T50" i="12" s="1"/>
  <c r="I35" i="13"/>
  <c r="J64" i="13"/>
  <c r="AG33" i="13" s="1"/>
  <c r="AG34" i="13" s="1"/>
  <c r="J33" i="13"/>
  <c r="J34" i="13" s="1"/>
  <c r="J4" i="14" s="1"/>
  <c r="J6" i="14" s="1"/>
  <c r="J13" i="14" s="1"/>
  <c r="J17" i="14" s="1"/>
  <c r="V33" i="13"/>
  <c r="V34" i="13" s="1"/>
  <c r="U35" i="13"/>
  <c r="T54" i="12"/>
  <c r="T261" i="12"/>
  <c r="T172" i="12" s="1"/>
  <c r="T9" i="12" s="1"/>
  <c r="S173" i="12"/>
  <c r="T170" i="12" s="1"/>
  <c r="M12" i="12"/>
  <c r="M14" i="12"/>
  <c r="N5" i="12"/>
  <c r="M77" i="12"/>
  <c r="V232" i="12"/>
  <c r="U234" i="12"/>
  <c r="I17" i="14"/>
  <c r="L37" i="17"/>
  <c r="L55" i="17"/>
  <c r="K17" i="14" l="1"/>
  <c r="T55" i="12"/>
  <c r="U50" i="12" s="1"/>
  <c r="T173" i="12"/>
  <c r="U170" i="12" s="1"/>
  <c r="J35" i="13"/>
  <c r="V35" i="13"/>
  <c r="N10" i="12"/>
  <c r="N12" i="12" s="1"/>
  <c r="U54" i="12"/>
  <c r="U261" i="12"/>
  <c r="U172" i="12" s="1"/>
  <c r="U9" i="12" s="1"/>
  <c r="L39" i="17"/>
  <c r="L56" i="17"/>
  <c r="W232" i="12"/>
  <c r="V234" i="12"/>
  <c r="U55" i="12" l="1"/>
  <c r="V50" i="12" s="1"/>
  <c r="C35" i="13"/>
  <c r="D1" i="13" s="1"/>
  <c r="M36" i="17"/>
  <c r="L58" i="17"/>
  <c r="L59" i="17" s="1"/>
  <c r="N77" i="12"/>
  <c r="O5" i="12"/>
  <c r="O10" i="12" s="1"/>
  <c r="N14" i="12"/>
  <c r="V54" i="12"/>
  <c r="V55" i="12" s="1"/>
  <c r="W50" i="12" s="1"/>
  <c r="V261" i="12"/>
  <c r="V172" i="12" s="1"/>
  <c r="V9" i="12" s="1"/>
  <c r="U173" i="12"/>
  <c r="V170" i="12" s="1"/>
  <c r="X232" i="12"/>
  <c r="W234" i="12"/>
  <c r="C1" i="13" l="1"/>
  <c r="W261" i="12"/>
  <c r="W172" i="12" s="1"/>
  <c r="W9" i="12" s="1"/>
  <c r="W54" i="12"/>
  <c r="W55" i="12" s="1"/>
  <c r="X50" i="12" s="1"/>
  <c r="Y232" i="12"/>
  <c r="X234" i="12"/>
  <c r="M37" i="17"/>
  <c r="M55" i="17"/>
  <c r="V173" i="12"/>
  <c r="W170" i="12" s="1"/>
  <c r="O12" i="12"/>
  <c r="P5" i="12"/>
  <c r="P10" i="12" s="1"/>
  <c r="O77" i="12"/>
  <c r="O14" i="12"/>
  <c r="P12" i="12" l="1"/>
  <c r="P14" i="12"/>
  <c r="Q5" i="12"/>
  <c r="Q10" i="12" s="1"/>
  <c r="P77" i="12"/>
  <c r="M39" i="17"/>
  <c r="M56" i="17"/>
  <c r="X54" i="12"/>
  <c r="X55" i="12" s="1"/>
  <c r="Y50" i="12" s="1"/>
  <c r="X261" i="12"/>
  <c r="X172" i="12" s="1"/>
  <c r="X9" i="12" s="1"/>
  <c r="W173" i="12"/>
  <c r="X170" i="12" s="1"/>
  <c r="Z232" i="12"/>
  <c r="Y234" i="12"/>
  <c r="X173" i="12" l="1"/>
  <c r="Y170" i="12" s="1"/>
  <c r="AA232" i="12"/>
  <c r="AA234" i="12" s="1"/>
  <c r="Z234" i="12"/>
  <c r="N36" i="17"/>
  <c r="M58" i="17"/>
  <c r="M59" i="17" s="1"/>
  <c r="Y54" i="12"/>
  <c r="Y55" i="12" s="1"/>
  <c r="Z50" i="12" s="1"/>
  <c r="Y261" i="12"/>
  <c r="Y172" i="12" s="1"/>
  <c r="Y9" i="12" s="1"/>
  <c r="Q12" i="12"/>
  <c r="Q77" i="12"/>
  <c r="R5" i="12"/>
  <c r="R10" i="12" s="1"/>
  <c r="Q14" i="12"/>
  <c r="R12" i="12" l="1"/>
  <c r="S5" i="12"/>
  <c r="R14" i="12"/>
  <c r="R77" i="12"/>
  <c r="Z54" i="12"/>
  <c r="Z55" i="12" s="1"/>
  <c r="AA50" i="12" s="1"/>
  <c r="Z261" i="12"/>
  <c r="Z172" i="12" s="1"/>
  <c r="Z9" i="12" s="1"/>
  <c r="N37" i="17"/>
  <c r="N55" i="17"/>
  <c r="Y173" i="12"/>
  <c r="Z170" i="12" s="1"/>
  <c r="AA54" i="12"/>
  <c r="AA261" i="12"/>
  <c r="AA172" i="12" s="1"/>
  <c r="Z173" i="12" l="1"/>
  <c r="AA170" i="12" s="1"/>
  <c r="AA173" i="12" s="1"/>
  <c r="AA55" i="12"/>
  <c r="AA9" i="12"/>
  <c r="D174" i="12"/>
  <c r="C174" i="12" s="1"/>
  <c r="N39" i="17"/>
  <c r="N56" i="17"/>
  <c r="S10" i="12"/>
  <c r="S12" i="12" s="1"/>
  <c r="S77" i="12" l="1"/>
  <c r="S14" i="12"/>
  <c r="T5" i="12"/>
  <c r="O36" i="17"/>
  <c r="N58" i="17"/>
  <c r="N59" i="17" s="1"/>
  <c r="O37" i="17" l="1"/>
  <c r="O55" i="17"/>
  <c r="T10" i="12"/>
  <c r="T12" i="12" s="1"/>
  <c r="U5" i="12" l="1"/>
  <c r="U10" i="12" s="1"/>
  <c r="T14" i="12"/>
  <c r="T77" i="12"/>
  <c r="O39" i="17"/>
  <c r="O56" i="17"/>
  <c r="P36" i="17" l="1"/>
  <c r="O58" i="17"/>
  <c r="O59" i="17" s="1"/>
  <c r="U12" i="12"/>
  <c r="V5" i="12"/>
  <c r="U14" i="12"/>
  <c r="U77" i="12"/>
  <c r="V10" i="12" l="1"/>
  <c r="V12" i="12" s="1"/>
  <c r="P37" i="17"/>
  <c r="P55" i="17"/>
  <c r="W5" i="12" l="1"/>
  <c r="V14" i="12"/>
  <c r="V77" i="12"/>
  <c r="P39" i="17"/>
  <c r="P56" i="17"/>
  <c r="W10" i="12" l="1"/>
  <c r="W12" i="12" s="1"/>
  <c r="Q36" i="17"/>
  <c r="P58" i="17"/>
  <c r="P59" i="17" s="1"/>
  <c r="X5" i="12" l="1"/>
  <c r="X10" i="12" s="1"/>
  <c r="W77" i="12"/>
  <c r="W14" i="12"/>
  <c r="Q37" i="17"/>
  <c r="Q55" i="17"/>
  <c r="X12" i="12" l="1"/>
  <c r="Y5" i="12"/>
  <c r="X77" i="12"/>
  <c r="X14" i="12"/>
  <c r="Q39" i="17"/>
  <c r="Q56" i="17"/>
  <c r="Y10" i="12" l="1"/>
  <c r="Y12" i="12" s="1"/>
  <c r="R36" i="17"/>
  <c r="Q58" i="17"/>
  <c r="Q59" i="17" s="1"/>
  <c r="Z5" i="12" l="1"/>
  <c r="Z10" i="12" s="1"/>
  <c r="Y14" i="12"/>
  <c r="Y77" i="12"/>
  <c r="R37" i="17"/>
  <c r="R55" i="17"/>
  <c r="Z12" i="12" l="1"/>
  <c r="AA5" i="12"/>
  <c r="AA10" i="12" s="1"/>
  <c r="Z77" i="12"/>
  <c r="Z14" i="12"/>
  <c r="R39" i="17"/>
  <c r="R56" i="17"/>
  <c r="S36" i="17" l="1"/>
  <c r="R58" i="17"/>
  <c r="R59" i="17" s="1"/>
  <c r="AA12" i="12"/>
  <c r="AA77" i="12"/>
  <c r="C77" i="12" s="1"/>
  <c r="AA14" i="12"/>
  <c r="C14" i="12" s="1"/>
  <c r="C1" i="12" l="1"/>
  <c r="C2" i="12"/>
  <c r="S37" i="17"/>
  <c r="S55" i="17"/>
  <c r="S39" i="17" l="1"/>
  <c r="S56" i="17"/>
  <c r="T36" i="17" l="1"/>
  <c r="S58" i="17"/>
  <c r="S59" i="17" s="1"/>
  <c r="T37" i="17" l="1"/>
  <c r="T55" i="17"/>
  <c r="T39" i="17" l="1"/>
  <c r="T56" i="17"/>
  <c r="U36" i="17" l="1"/>
  <c r="T58" i="17"/>
  <c r="T59" i="17" s="1"/>
  <c r="U37" i="17" l="1"/>
  <c r="U55" i="17"/>
  <c r="U39" i="17" l="1"/>
  <c r="U56" i="17"/>
  <c r="V36" i="17" l="1"/>
  <c r="U58" i="17"/>
  <c r="U59" i="17" s="1"/>
  <c r="V37" i="17" l="1"/>
  <c r="V55" i="17"/>
  <c r="V39" i="17" l="1"/>
  <c r="V56" i="17"/>
  <c r="W36" i="17" l="1"/>
  <c r="V58" i="17"/>
  <c r="V59" i="17" s="1"/>
  <c r="W37" i="17" l="1"/>
  <c r="W55" i="17"/>
  <c r="W39" i="17" l="1"/>
  <c r="W56" i="17"/>
  <c r="X36" i="17" l="1"/>
  <c r="W58" i="17"/>
  <c r="W59" i="17" s="1"/>
  <c r="X37" i="17" l="1"/>
  <c r="X55" i="17"/>
  <c r="X39" i="17" l="1"/>
  <c r="X56" i="17"/>
  <c r="Y36" i="17" l="1"/>
  <c r="X58" i="17"/>
  <c r="X59" i="17" s="1"/>
  <c r="Y37" i="17" l="1"/>
  <c r="Y55" i="17"/>
  <c r="Y39" i="17" l="1"/>
  <c r="Y56" i="17"/>
  <c r="Z36" i="17" l="1"/>
  <c r="Y58" i="17"/>
  <c r="Y59" i="17" s="1"/>
  <c r="Z37" i="17" l="1"/>
  <c r="Z55" i="17"/>
  <c r="Z39" i="17" l="1"/>
  <c r="Z56" i="17"/>
  <c r="AA36" i="17" l="1"/>
  <c r="Z58" i="17"/>
  <c r="Z59" i="17" s="1"/>
  <c r="AA37" i="17" l="1"/>
  <c r="AA55" i="17"/>
  <c r="AA39" i="17" l="1"/>
  <c r="AA58" i="17" s="1"/>
  <c r="AA56" i="17"/>
  <c r="AA59" i="17" l="1"/>
  <c r="C59" i="17" s="1"/>
  <c r="C1" i="17" s="1"/>
  <c r="C2" i="17" l="1"/>
  <c r="F1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<sst xmlns="http://schemas.openxmlformats.org/spreadsheetml/2006/main" count="1193" uniqueCount="419">
  <si>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</si>
  <si>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</si>
  <si>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</si>
  <si>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</si>
  <si>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</si>
  <si>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</si>
  <si>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</si>
  <si>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</si>
  <si>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</si>
  <si>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</si>
  <si>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</si>
  <si>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</si>
  <si>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</si>
  <si>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</si>
  <si>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</si>
  <si>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</si>
  <si>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</si>
  <si>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</si>
  <si>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</si>
  <si>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</si>
  <si>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</si>
  <si>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</si>
  <si>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</si>
  <si>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</si>
  <si>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</si>
  <si>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</si>
  <si>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</si>
  <si>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</si>
  <si>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</si>
  <si>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</si>
  <si>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</si>
  <si>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</si>
  <si>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</si>
  <si>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</si>
  <si>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</si>
  <si>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</si>
  <si>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</si>
  <si>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</si>
  <si>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</si>
  <si>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</si>
  <si>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</si>
  <si>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</si>
  <si>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</si>
  <si>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</si>
  <si>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</si>
  <si>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</si>
  <si>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</si>
  <si>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</si>
  <si>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</si>
  <si>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</si>
  <si>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</si>
  <si>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</si>
  <si>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</si>
  <si>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</si>
  <si>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</si>
  <si>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</si>
  <si>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</si>
  <si>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</si>
  <si>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</si>
  <si>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</si>
  <si>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</si>
  <si>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</si>
  <si>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</si>
  <si>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</si>
  <si>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</si>
  <si>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</si>
  <si>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</si>
  <si>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</si>
  <si>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</si>
  <si>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</si>
  <si>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</si>
  <si>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</si>
  <si>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</si>
  <si>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</si>
  <si>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</si>
  <si>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</si>
  <si>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</si>
  <si>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</si>
  <si>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</si>
  <si>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</si>
  <si>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</si>
  <si>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</si>
  <si>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</si>
  <si>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</si>
  <si>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</si>
  <si>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</si>
  <si>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</si>
  <si>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</si>
  <si>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</si>
  <si>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</si>
  <si>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</si>
  <si>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</si>
  <si>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</si>
  <si>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</si>
  <si>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</si>
  <si>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</si>
  <si>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</si>
  <si>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</si>
  <si>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</si>
  <si>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</si>
  <si>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</si>
  <si>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</si>
  <si>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</si>
  <si>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</si>
  <si>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</si>
  <si>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</si>
  <si>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</si>
  <si>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</si>
  <si>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</si>
  <si>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</si>
  <si>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</si>
  <si>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</si>
  <si>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</si>
  <si>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</si>
  <si>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</si>
  <si>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</si>
  <si>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</si>
  <si>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</si>
  <si>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</si>
  <si>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</si>
  <si>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</si>
  <si>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</si>
  <si>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</si>
  <si>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</si>
  <si>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</si>
  <si>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</si>
  <si>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</si>
  <si>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</si>
  <si>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</si>
  <si>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</si>
  <si>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</si>
  <si>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</si>
  <si>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</si>
  <si>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</si>
  <si>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</si>
  <si>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</si>
  <si>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</si>
  <si>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</si>
  <si>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</si>
  <si>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</si>
  <si>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</si>
  <si>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</si>
  <si>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</si>
  <si>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</si>
  <si>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</si>
  <si>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</si>
  <si>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</si>
  <si>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</si>
  <si>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</si>
  <si>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</si>
  <si>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</si>
  <si>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</si>
  <si>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</si>
  <si>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</si>
  <si>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</si>
  <si>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</si>
  <si>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</si>
  <si>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</si>
  <si>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</si>
  <si>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</si>
  <si>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</si>
  <si>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</si>
  <si>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</si>
  <si>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</si>
  <si>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</si>
  <si>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</si>
  <si>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</si>
  <si>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</si>
  <si>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</si>
  <si>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</si>
  <si>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</si>
  <si>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</si>
  <si>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</si>
  <si>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</si>
  <si>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</si>
  <si>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</si>
  <si>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</si>
  <si>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</si>
  <si>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</si>
  <si>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</si>
  <si>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</si>
  <si>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</si>
  <si>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</si>
  <si>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</si>
  <si>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</si>
  <si>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</si>
  <si>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</si>
  <si>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</si>
  <si>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</si>
  <si>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</si>
  <si>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</si>
  <si>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</si>
  <si>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</si>
  <si>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</si>
  <si>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</si>
  <si>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</si>
  <si>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</si>
  <si>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</si>
  <si>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</si>
  <si>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</si>
  <si>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</si>
  <si>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</si>
  <si>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</si>
  <si>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</si>
  <si>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</si>
  <si>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</si>
  <si>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</si>
  <si>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</si>
  <si>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</si>
  <si>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</si>
  <si>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</si>
  <si>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</si>
  <si>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</si>
  <si>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</si>
  <si>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</si>
  <si>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</si>
  <si>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</si>
  <si>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</si>
  <si>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</si>
  <si>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</si>
  <si>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</si>
  <si>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</si>
  <si>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</si>
  <si>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</si>
  <si>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</si>
  <si>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</si>
  <si>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</si>
  <si>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</si>
  <si>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</si>
  <si>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</si>
  <si>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</si>
  <si>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</si>
  <si>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</si>
  <si>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</si>
  <si>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</si>
  <si>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</si>
  <si>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</si>
  <si>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</si>
  <si>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</si>
  <si>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</si>
  <si>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</si>
  <si>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</si>
  <si>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</si>
  <si>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</si>
  <si>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</si>
  <si>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</si>
  <si>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</si>
  <si>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</si>
  <si>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</si>
  <si>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</si>
  <si>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</si>
  <si>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</si>
  <si>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</si>
  <si>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</si>
  <si>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</si>
  <si>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</si>
  <si>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</si>
  <si>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</si>
  <si>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</si>
  <si>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</si>
  <si>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</si>
  <si>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</si>
  <si>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</si>
  <si>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</si>
  <si>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</si>
  <si>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</si>
  <si>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</si>
  <si>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</si>
  <si>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</si>
  <si>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</si>
  <si>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</si>
  <si>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</si>
  <si>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</si>
  <si>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</si>
  <si>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</si>
  <si>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</si>
  <si>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</si>
  <si>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</si>
  <si>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</si>
  <si>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</si>
  <si>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</si>
  <si>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</si>
  <si>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</si>
  <si>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</si>
  <si>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</si>
  <si>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</si>
  <si>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</si>
  <si>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</si>
  <si>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</si>
  <si>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</si>
  <si>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</si>
  <si>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</si>
  <si>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</si>
  <si>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</si>
  <si>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</si>
  <si>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</si>
  <si>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</si>
  <si>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</si>
  <si>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</si>
  <si>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</si>
  <si>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</si>
  <si>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</si>
  <si>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</si>
  <si>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</si>
  <si>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</si>
  <si>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</si>
  <si>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</si>
  <si>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</si>
  <si>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</si>
  <si>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</si>
  <si>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</si>
  <si>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</si>
  <si>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</si>
  <si>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</si>
  <si>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</si>
  <si>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</si>
  <si>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</si>
  <si>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</si>
  <si>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</si>
  <si>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</si>
  <si>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</si>
  <si>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</si>
  <si>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</si>
  <si>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</si>
  <si>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</si>
  <si>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</si>
  <si>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</si>
  <si>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</si>
  <si>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</si>
  <si>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</si>
  <si>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</si>
  <si>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</si>
  <si>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</si>
  <si>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</si>
  <si>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</si>
  <si>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</si>
  <si>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</si>
  <si>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</si>
  <si>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</si>
  <si>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</si>
  <si>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</si>
  <si>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</si>
  <si>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</si>
  <si>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</si>
  <si>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</si>
  <si>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</si>
  <si>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</si>
  <si>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</si>
  <si>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</si>
  <si>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</si>
  <si>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</si>
  <si>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</si>
  <si>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</si>
  <si>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</si>
  <si>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</si>
  <si>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</si>
  <si>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</si>
  <si>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</si>
  <si>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</si>
  <si>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</si>
  <si>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</si>
  <si>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</si>
  <si>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</si>
  <si>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</si>
  <si>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</si>
  <si>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</si>
  <si>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</si>
  <si>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</si>
  <si>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</si>
  <si>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</si>
  <si>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</si>
  <si>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</si>
  <si>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</si>
  <si>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</si>
  <si>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</si>
  <si>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</si>
  <si>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</si>
  <si>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</si>
  <si>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</si>
  <si>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</si>
  <si>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</si>
  <si>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</si>
  <si>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</si>
  <si>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</si>
  <si>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</si>
  <si>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</si>
  <si>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</si>
  <si>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</si>
  <si>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</si>
  <si>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</si>
  <si>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</si>
  <si>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</si>
  <si>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</si>
  <si>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</si>
  <si>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</si>
  <si>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</si>
  <si>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</si>
  <si>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</si>
  <si>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</si>
  <si>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</si>
  <si>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</si>
  <si>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</si>
  <si>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</si>
  <si>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</si>
  <si>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</si>
  <si>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</si>
  <si>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</si>
  <si>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</si>
  <si>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</si>
  <si>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</si>
  <si>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</si>
  <si>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</si>
  <si>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</si>
  <si>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</si>
  <si>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</si>
  <si>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</si>
  <si>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can recover difference between actual revenue up to 2015 and building block costs up to 2015 - in $2017</t>
  </si>
  <si>
    <t xml:space="preserve">Actual </t>
  </si>
  <si>
    <t>CPI : All groups – weighted average of eight capital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</si>
</sst>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_(* #,##0_);_(* \(#,##0\);_(* &quot;-&quot;_);_(@_)"/>
    <numFmt numFmtId="187" formatCode="#,##0.00000000000000"/>
    <numFmt numFmtId="188" formatCode="_-* #,##0_-;\-* #,##0_-;_-* &quot;-&quot;??_-;_-@_-"/>
    <numFmt numFmtId="189" formatCode="mmm\-yyyy"/>
    <numFmt numFmtId="190" formatCode="d/m/yyyy;@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79646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186" fontId="1" fillId="10" borderId="0" applyFont="0" applyBorder="0" applyAlignment="0">
      <alignment horizontal="right"/>
      <protection locked="0"/>
    </xf>
    <xf numFmtId="186" fontId="1" fillId="11" borderId="0" applyFont="0" applyBorder="0">
      <alignment horizontal="right"/>
      <protection locked="0"/>
    </xf>
  </cellStyleXfs>
  <cellXfs count="946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4" fillId="0" borderId="3" xfId="0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44" fontId="40" fillId="0" borderId="0" xfId="3" applyFont="1" applyFill="1"/>
    <xf numFmtId="172" fontId="40" fillId="0" borderId="0" xfId="3" applyNumberFormat="1" applyFont="1" applyFill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4" fillId="0" borderId="15" xfId="4" quotePrefix="1" applyFont="1" applyFill="1" applyBorder="1" applyAlignment="1">
      <alignment horizontal="center"/>
    </xf>
    <xf numFmtId="0" fontId="3" fillId="0" borderId="10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9" xfId="4" applyFont="1" applyBorder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3" fontId="3" fillId="3" borderId="6" xfId="3" applyNumberFormat="1" applyFont="1" applyFill="1" applyBorder="1" applyAlignment="1"/>
    <xf numFmtId="173" fontId="9" fillId="3" borderId="6" xfId="3" applyNumberFormat="1" applyFont="1" applyFill="1" applyBorder="1" applyAlignment="1"/>
    <xf numFmtId="173" fontId="9" fillId="3" borderId="12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173" fontId="3" fillId="3" borderId="19" xfId="3" applyNumberFormat="1" applyFont="1" applyFill="1" applyBorder="1" applyAlignment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3" fontId="42" fillId="3" borderId="5" xfId="4" applyNumberFormat="1" applyFont="1" applyFill="1" applyBorder="1"/>
    <xf numFmtId="3" fontId="42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2" borderId="0" xfId="4" applyNumberFormat="1" applyFont="1" applyFill="1" applyBorder="1"/>
    <xf numFmtId="3" fontId="1" fillId="0" borderId="0" xfId="4" applyNumberFormat="1" applyFont="1" applyFill="1" applyBorder="1"/>
    <xf numFmtId="3" fontId="43" fillId="3" borderId="8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87" fontId="3" fillId="0" borderId="0" xfId="0" applyNumberFormat="1" applyFont="1"/>
    <xf numFmtId="0" fontId="12" fillId="13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0" fontId="35" fillId="0" borderId="4" xfId="4" applyFont="1" applyBorder="1" applyAlignment="1">
      <alignment horizontal="center"/>
    </xf>
    <xf numFmtId="0" fontId="45" fillId="3" borderId="11" xfId="4" applyFont="1" applyFill="1" applyBorder="1" applyAlignment="1">
      <alignment horizontal="center"/>
    </xf>
    <xf numFmtId="0" fontId="45" fillId="3" borderId="12" xfId="4" applyFont="1" applyFill="1" applyBorder="1" applyAlignment="1">
      <alignment horizontal="center"/>
    </xf>
    <xf numFmtId="188" fontId="3" fillId="0" borderId="0" xfId="2" applyNumberFormat="1" applyFont="1"/>
    <xf numFmtId="188" fontId="8" fillId="0" borderId="0" xfId="2" applyNumberFormat="1" applyFont="1" applyAlignment="1">
      <alignment horizontal="right"/>
    </xf>
    <xf numFmtId="6" fontId="3" fillId="0" borderId="0" xfId="0" quotePrefix="1" applyNumberFormat="1" applyFont="1" applyAlignment="1">
      <alignment horizontal="right"/>
    </xf>
    <xf numFmtId="17" fontId="1" fillId="0" borderId="10" xfId="1" applyNumberFormat="1" applyFont="1" applyFill="1" applyBorder="1" applyAlignment="1">
      <alignment horizontal="center"/>
    </xf>
    <xf numFmtId="171" fontId="45" fillId="14" borderId="14" xfId="1" applyNumberFormat="1" applyFont="1" applyFill="1" applyBorder="1" applyAlignment="1">
      <alignment horizontal="center"/>
    </xf>
    <xf numFmtId="3" fontId="46" fillId="0" borderId="0" xfId="0" applyNumberFormat="1" applyFont="1"/>
    <xf numFmtId="0" fontId="3" fillId="15" borderId="6" xfId="4" applyFont="1" applyFill="1" applyBorder="1" applyAlignment="1">
      <alignment horizontal="center"/>
    </xf>
    <xf numFmtId="0" fontId="3" fillId="15" borderId="12" xfId="4" applyFont="1" applyFill="1" applyBorder="1" applyAlignment="1">
      <alignment horizontal="center"/>
    </xf>
    <xf numFmtId="0" fontId="3" fillId="15" borderId="13" xfId="4" applyFont="1" applyFill="1" applyBorder="1" applyAlignment="1">
      <alignment horizontal="center"/>
    </xf>
    <xf numFmtId="3" fontId="3" fillId="15" borderId="6" xfId="4" applyNumberFormat="1" applyFont="1" applyFill="1" applyBorder="1"/>
    <xf numFmtId="3" fontId="43" fillId="15" borderId="9" xfId="4" applyNumberFormat="1" applyFont="1" applyFill="1" applyBorder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  <xf numFmtId="189" fontId="4" fillId="16" borderId="21" xfId="7" applyNumberFormat="1" applyFont="1" applyFill="1" applyBorder="1" applyAlignment="1">
      <alignment horizontal="center"/>
    </xf>
    <xf numFmtId="0" fontId="1" fillId="0" borderId="0" xfId="7" applyFont="1" applyFill="1" applyBorder="1"/>
    <xf numFmtId="0" fontId="47" fillId="16" borderId="2" xfId="7" applyFont="1" applyFill="1" applyBorder="1" applyAlignment="1">
      <alignment horizontal="center"/>
    </xf>
    <xf numFmtId="3" fontId="11" fillId="16" borderId="15" xfId="0" applyNumberFormat="1" applyFont="1" applyFill="1" applyBorder="1"/>
    <xf numFmtId="0" fontId="4" fillId="16" borderId="17" xfId="7" applyFont="1" applyFill="1" applyBorder="1"/>
    <xf numFmtId="0" fontId="4" fillId="16" borderId="16" xfId="7" applyFont="1" applyFill="1" applyBorder="1"/>
    <xf numFmtId="10" fontId="1" fillId="16" borderId="5" xfId="7" applyNumberFormat="1" applyFont="1" applyFill="1" applyBorder="1" applyAlignment="1">
      <alignment horizontal="center"/>
    </xf>
    <xf numFmtId="171" fontId="4" fillId="16" borderId="5" xfId="0" applyNumberFormat="1" applyFont="1" applyFill="1" applyBorder="1" applyProtection="1"/>
    <xf numFmtId="190" fontId="4" fillId="16" borderId="0" xfId="0" applyNumberFormat="1" applyFont="1" applyFill="1" applyBorder="1" applyProtection="1"/>
    <xf numFmtId="0" fontId="4" fillId="16" borderId="0" xfId="7" applyFont="1" applyFill="1" applyBorder="1"/>
    <xf numFmtId="0" fontId="4" fillId="16" borderId="6" xfId="7" applyFont="1" applyFill="1" applyBorder="1"/>
    <xf numFmtId="174" fontId="1" fillId="16" borderId="12" xfId="4" applyNumberFormat="1" applyFont="1" applyFill="1" applyBorder="1" applyAlignment="1">
      <alignment horizontal="center"/>
    </xf>
    <xf numFmtId="171" fontId="4" fillId="16" borderId="10" xfId="0" applyNumberFormat="1" applyFont="1" applyFill="1" applyBorder="1" applyProtection="1"/>
    <xf numFmtId="190" fontId="4" fillId="16" borderId="11" xfId="0" applyNumberFormat="1" applyFont="1" applyFill="1" applyBorder="1" applyProtection="1"/>
    <xf numFmtId="0" fontId="4" fillId="16" borderId="11" xfId="7" applyFont="1" applyFill="1" applyBorder="1"/>
    <xf numFmtId="0" fontId="4" fillId="16" borderId="12" xfId="7" applyFont="1" applyFill="1" applyBorder="1"/>
  </cellXfs>
  <cellStyles count="10">
    <cellStyle name="Comma" xfId="2" builtinId="3"/>
    <cellStyle name="Currency" xfId="3" builtinId="4"/>
    <cellStyle name="Input1" xfId="8"/>
    <cellStyle name="Input3" xfId="9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Regulatory%20Programs/AMI%20Cost%20Recovery/CY14%20EEA/Costs%20allowed%20and%20approved%20and%20EEA%202605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Nominal"/>
      <sheetName val="CROIC criteria"/>
      <sheetName val="CY14-CY16 Excess expenditure"/>
      <sheetName val="Summary CY14 &amp; CY15(bmark)"/>
      <sheetName val="Summary CY14 &amp; CY15(bmark)-ss"/>
      <sheetName val="CY14 Excess expenditure (2016)"/>
      <sheetName val="Total Excess expenditure"/>
      <sheetName val="CY14 Excess expenditure (bmark)"/>
      <sheetName val="CY15 Excess expenditure (bmark)"/>
      <sheetName val="CY14 Excess expenditure"/>
      <sheetName val="CY14 credible &amp; contentious"/>
      <sheetName val="CY14 Excess expenditure (Deloit"/>
      <sheetName val="CY15 Excess expenditure"/>
      <sheetName val="CY15 credible &amp; contentious"/>
      <sheetName val="CY16 vs CY15"/>
      <sheetName val="Comparison to EDPR submission"/>
      <sheetName val="Summary Life of Program"/>
      <sheetName val="Summary Life of Program-Mar 16"/>
      <sheetName val="Summary Life of Program-May 16"/>
      <sheetName val="Credible claim"/>
      <sheetName val="Program forecast"/>
      <sheetName val="Short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D13">
            <v>2162231.1435513073</v>
          </cell>
          <cell r="N13">
            <v>22553633.840666316</v>
          </cell>
        </row>
        <row r="14">
          <cell r="M14">
            <v>13285815.173091762</v>
          </cell>
        </row>
        <row r="17">
          <cell r="D17">
            <v>3467886.5770765329</v>
          </cell>
        </row>
        <row r="18">
          <cell r="D18">
            <v>0</v>
          </cell>
          <cell r="L18">
            <v>3556638.5812968207</v>
          </cell>
          <cell r="N18">
            <v>5403606.6169062145</v>
          </cell>
        </row>
        <row r="22">
          <cell r="D22">
            <v>844672.65749039897</v>
          </cell>
        </row>
        <row r="23">
          <cell r="D23">
            <v>508224.76482893759</v>
          </cell>
        </row>
        <row r="24">
          <cell r="D24">
            <v>2679755.0946205449</v>
          </cell>
        </row>
        <row r="25">
          <cell r="D25">
            <v>5124131.7025279626</v>
          </cell>
        </row>
        <row r="26">
          <cell r="D26">
            <v>7551351.9826727882</v>
          </cell>
        </row>
        <row r="27">
          <cell r="D27">
            <v>0</v>
          </cell>
        </row>
        <row r="28">
          <cell r="D28">
            <v>566868.25647264614</v>
          </cell>
        </row>
        <row r="29">
          <cell r="D29">
            <v>1750303.0644786397</v>
          </cell>
        </row>
        <row r="35">
          <cell r="L35">
            <v>0</v>
          </cell>
          <cell r="M35">
            <v>5785458.7700586086</v>
          </cell>
          <cell r="N35">
            <v>8796241.9599299952</v>
          </cell>
        </row>
      </sheetData>
      <sheetData sheetId="8">
        <row r="9">
          <cell r="D9">
            <v>2126791.5914707314</v>
          </cell>
          <cell r="M9">
            <v>1302329.8589827712</v>
          </cell>
        </row>
        <row r="10">
          <cell r="L10">
            <v>1171607</v>
          </cell>
        </row>
        <row r="11">
          <cell r="D11">
            <v>4609.293713064134</v>
          </cell>
        </row>
        <row r="12">
          <cell r="K12">
            <v>22535727.540000003</v>
          </cell>
        </row>
        <row r="16">
          <cell r="D16">
            <v>864165.10343248514</v>
          </cell>
        </row>
        <row r="17">
          <cell r="D17">
            <v>519873.94572177785</v>
          </cell>
        </row>
        <row r="18">
          <cell r="D18">
            <v>2741595.5968040959</v>
          </cell>
        </row>
        <row r="19">
          <cell r="D19">
            <v>5242380.8956632242</v>
          </cell>
        </row>
        <row r="20">
          <cell r="D20">
            <v>6621954.8155745994</v>
          </cell>
        </row>
        <row r="21">
          <cell r="D21">
            <v>0</v>
          </cell>
        </row>
        <row r="22">
          <cell r="D22">
            <v>144987.45790550369</v>
          </cell>
        </row>
        <row r="23">
          <cell r="D23">
            <v>1784247.0969868181</v>
          </cell>
        </row>
        <row r="29">
          <cell r="K29">
            <v>0</v>
          </cell>
          <cell r="L29">
            <v>12396409.141440023</v>
          </cell>
          <cell r="M2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ColWidth="9.109375" defaultRowHeight="13.2" x14ac:dyDescent="0.25"/>
  <cols>
    <col min="1" max="1" width="52.5546875" style="568" customWidth="1"/>
    <col min="2" max="2" width="10.5546875" style="568" customWidth="1"/>
    <col min="3" max="3" width="15" style="568" customWidth="1"/>
    <col min="4" max="16384" width="9.109375" style="568"/>
  </cols>
  <sheetData>
    <row r="1" spans="1:3" x14ac:dyDescent="0.25">
      <c r="A1" s="554" t="str">
        <f>'Data 2006-08'!A1</f>
        <v>SP AusNet</v>
      </c>
    </row>
    <row r="2" spans="1:3" s="569" customFormat="1" x14ac:dyDescent="0.25">
      <c r="A2" s="96"/>
    </row>
    <row r="3" spans="1:3" s="789" customFormat="1" x14ac:dyDescent="0.25">
      <c r="A3" s="570" t="s">
        <v>379</v>
      </c>
    </row>
    <row r="4" spans="1:3" s="789" customFormat="1" x14ac:dyDescent="0.25"/>
    <row r="5" spans="1:3" s="789" customFormat="1" x14ac:dyDescent="0.25">
      <c r="A5" s="571" t="s">
        <v>407</v>
      </c>
    </row>
    <row r="6" spans="1:3" s="789" customFormat="1" x14ac:dyDescent="0.25"/>
    <row r="7" spans="1:3" s="789" customFormat="1" x14ac:dyDescent="0.25">
      <c r="A7" s="571" t="s">
        <v>380</v>
      </c>
      <c r="B7" s="572"/>
      <c r="C7" s="573" t="s">
        <v>414</v>
      </c>
    </row>
    <row r="8" spans="1:3" s="789" customFormat="1" ht="13.8" x14ac:dyDescent="0.25">
      <c r="A8" s="574"/>
    </row>
    <row r="9" spans="1:3" s="789" customFormat="1" x14ac:dyDescent="0.25">
      <c r="A9" s="571" t="s">
        <v>381</v>
      </c>
    </row>
    <row r="10" spans="1:3" s="789" customFormat="1" x14ac:dyDescent="0.25"/>
    <row r="11" spans="1:3" s="789" customFormat="1" x14ac:dyDescent="0.25">
      <c r="A11" s="575" t="s">
        <v>408</v>
      </c>
      <c r="B11" s="576"/>
      <c r="C11" s="577" t="s">
        <v>21</v>
      </c>
    </row>
    <row r="12" spans="1:3" s="790" customFormat="1" x14ac:dyDescent="0.25">
      <c r="A12" s="578"/>
      <c r="B12" s="579"/>
      <c r="C12" s="580"/>
    </row>
    <row r="13" spans="1:3" s="789" customFormat="1" x14ac:dyDescent="0.25">
      <c r="A13" s="575" t="s">
        <v>409</v>
      </c>
      <c r="B13" s="576"/>
      <c r="C13" s="577" t="s">
        <v>410</v>
      </c>
    </row>
    <row r="14" spans="1:3" s="789" customFormat="1" x14ac:dyDescent="0.25">
      <c r="B14" s="791"/>
    </row>
    <row r="15" spans="1:3" s="789" customFormat="1" x14ac:dyDescent="0.25">
      <c r="A15" s="575" t="s">
        <v>411</v>
      </c>
      <c r="C15" s="577" t="s">
        <v>21</v>
      </c>
    </row>
    <row r="16" spans="1:3" s="789" customFormat="1" x14ac:dyDescent="0.25"/>
    <row r="17" spans="1:1" s="789" customFormat="1" x14ac:dyDescent="0.25">
      <c r="A17" s="575" t="s">
        <v>412</v>
      </c>
    </row>
    <row r="18" spans="1:1" s="789" customFormat="1" x14ac:dyDescent="0.25"/>
    <row r="19" spans="1:1" s="789" customFormat="1" x14ac:dyDescent="0.25"/>
    <row r="20" spans="1:1" x14ac:dyDescent="0.25">
      <c r="A20" s="784"/>
    </row>
  </sheetData>
  <phoneticPr fontId="2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2"/>
  <sheetViews>
    <sheetView zoomScale="85" zoomScaleNormal="85" workbookViewId="0">
      <pane xSplit="1" ySplit="3" topLeftCell="E25" activePane="bottomRight" state="frozen"/>
      <selection pane="topRight" activeCell="B1" sqref="B1"/>
      <selection pane="bottomLeft" activeCell="A4" sqref="A4"/>
      <selection pane="bottomRight" activeCell="I27" sqref="I27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5" width="5.6640625" style="791" customWidth="1"/>
    <col min="6" max="7" width="5.5546875" style="791" customWidth="1"/>
    <col min="8" max="10" width="11.5546875" style="21" customWidth="1"/>
    <col min="11" max="11" width="5.6640625" style="785" customWidth="1"/>
    <col min="12" max="15" width="5.6640625" style="804" customWidth="1"/>
    <col min="16" max="17" width="11.88671875" style="21" customWidth="1"/>
    <col min="18" max="16384" width="9.109375" style="21"/>
  </cols>
  <sheetData>
    <row r="1" spans="1:17" s="1" customFormat="1" x14ac:dyDescent="0.25">
      <c r="A1" s="554" t="str">
        <f>'Data 2006-08'!$A$1</f>
        <v>SP AusNet</v>
      </c>
      <c r="B1" s="96"/>
      <c r="D1" s="785"/>
      <c r="E1" s="785"/>
      <c r="F1" s="785"/>
      <c r="G1" s="785"/>
      <c r="H1" s="4">
        <v>2013</v>
      </c>
      <c r="I1" s="5">
        <v>2014</v>
      </c>
      <c r="J1" s="6">
        <v>2015</v>
      </c>
      <c r="K1" s="56"/>
      <c r="L1" s="791"/>
      <c r="M1" s="791"/>
      <c r="N1" s="791"/>
      <c r="O1" s="791"/>
      <c r="P1" s="46">
        <f>I1</f>
        <v>2014</v>
      </c>
      <c r="Q1" s="48">
        <f>J1</f>
        <v>2015</v>
      </c>
    </row>
    <row r="2" spans="1:17" s="1" customFormat="1" ht="13.8" x14ac:dyDescent="0.25">
      <c r="A2" s="30"/>
      <c r="B2" s="95"/>
      <c r="C2" s="2"/>
      <c r="D2" s="792"/>
      <c r="E2" s="792"/>
      <c r="F2" s="792"/>
      <c r="G2" s="792"/>
      <c r="H2" s="806" t="s">
        <v>21</v>
      </c>
      <c r="I2" s="807" t="s">
        <v>21</v>
      </c>
      <c r="J2" s="808" t="s">
        <v>21</v>
      </c>
      <c r="K2" s="883"/>
      <c r="L2" s="791"/>
      <c r="M2" s="791"/>
      <c r="N2" s="791"/>
      <c r="O2" s="791"/>
      <c r="P2" s="68"/>
      <c r="Q2" s="69"/>
    </row>
    <row r="3" spans="1:17" s="1" customFormat="1" ht="15.6" x14ac:dyDescent="0.3">
      <c r="A3" s="72" t="s">
        <v>413</v>
      </c>
      <c r="B3" s="452"/>
      <c r="C3" s="2"/>
      <c r="D3" s="792"/>
      <c r="E3" s="792"/>
      <c r="F3" s="792"/>
      <c r="G3" s="792"/>
      <c r="H3" s="798" t="s">
        <v>19</v>
      </c>
      <c r="I3" s="887" t="s">
        <v>417</v>
      </c>
      <c r="J3" s="888" t="s">
        <v>19</v>
      </c>
      <c r="K3" s="883"/>
      <c r="L3" s="791"/>
      <c r="M3" s="791"/>
      <c r="N3" s="791"/>
      <c r="O3" s="791"/>
      <c r="P3" s="62" t="str">
        <f>I3</f>
        <v xml:space="preserve">Actual </v>
      </c>
      <c r="Q3" s="64" t="str">
        <f>J3</f>
        <v>Actual</v>
      </c>
    </row>
    <row r="4" spans="1:17" s="1" customFormat="1" ht="15.6" x14ac:dyDescent="0.3">
      <c r="B4" s="96"/>
      <c r="C4" s="41"/>
      <c r="D4" s="41"/>
      <c r="E4" s="41"/>
      <c r="F4" s="41"/>
      <c r="G4" s="41"/>
      <c r="H4" s="42"/>
      <c r="I4" s="42"/>
      <c r="J4" s="42"/>
      <c r="K4" s="42"/>
      <c r="L4" s="791"/>
      <c r="M4" s="791"/>
      <c r="N4" s="792"/>
      <c r="O4" s="792"/>
    </row>
    <row r="5" spans="1:17" s="1" customFormat="1" ht="15.6" x14ac:dyDescent="0.3">
      <c r="A5" s="97" t="s">
        <v>37</v>
      </c>
      <c r="B5" s="452"/>
      <c r="C5" s="2"/>
      <c r="D5" s="792"/>
      <c r="E5" s="792"/>
      <c r="F5" s="792"/>
      <c r="G5" s="792"/>
      <c r="H5" s="2"/>
      <c r="I5" s="2"/>
      <c r="J5" s="2"/>
      <c r="K5" s="792"/>
      <c r="L5" s="791"/>
      <c r="M5" s="791"/>
      <c r="N5" s="791"/>
      <c r="O5" s="791"/>
    </row>
    <row r="6" spans="1:17" s="1" customFormat="1" x14ac:dyDescent="0.25">
      <c r="A6" s="3"/>
      <c r="B6" s="93"/>
      <c r="C6" s="2"/>
      <c r="D6" s="792"/>
      <c r="E6" s="792"/>
      <c r="F6" s="792"/>
      <c r="G6" s="792"/>
      <c r="H6" s="2"/>
      <c r="I6" s="2"/>
      <c r="J6" s="2"/>
      <c r="K6" s="792"/>
      <c r="L6" s="792"/>
      <c r="M6" s="791"/>
      <c r="N6" s="791"/>
      <c r="O6" s="791"/>
    </row>
    <row r="7" spans="1:17" s="1" customFormat="1" x14ac:dyDescent="0.25">
      <c r="A7" s="3"/>
      <c r="B7" s="60"/>
      <c r="C7" s="2"/>
      <c r="D7" s="792"/>
      <c r="E7" s="792"/>
      <c r="F7" s="792"/>
      <c r="G7" s="79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6"/>
      <c r="L7" s="792"/>
      <c r="M7" s="791"/>
      <c r="N7" s="791"/>
      <c r="O7" s="791"/>
    </row>
    <row r="8" spans="1:17" s="1" customFormat="1" x14ac:dyDescent="0.25">
      <c r="A8" s="43" t="s">
        <v>36</v>
      </c>
      <c r="B8" s="85"/>
      <c r="C8" s="33" t="s">
        <v>7</v>
      </c>
      <c r="D8" s="32"/>
      <c r="E8" s="32"/>
      <c r="F8" s="32"/>
      <c r="G8" s="32"/>
      <c r="H8" s="748" t="str">
        <f t="shared" ref="H8:J8" si="1">H$2</f>
        <v>Nominal $</v>
      </c>
      <c r="I8" s="110" t="str">
        <f t="shared" si="1"/>
        <v>Nominal $</v>
      </c>
      <c r="J8" s="905" t="str">
        <f t="shared" si="1"/>
        <v>Nominal $</v>
      </c>
      <c r="K8" s="883"/>
      <c r="L8" s="792"/>
      <c r="M8" s="791"/>
      <c r="N8" s="791"/>
      <c r="O8" s="791"/>
    </row>
    <row r="9" spans="1:17" s="1" customFormat="1" x14ac:dyDescent="0.25">
      <c r="A9" s="7"/>
      <c r="B9" s="86"/>
      <c r="C9" s="99" t="s">
        <v>8</v>
      </c>
      <c r="D9" s="32"/>
      <c r="E9" s="32"/>
      <c r="F9" s="32"/>
      <c r="G9" s="32"/>
      <c r="H9" s="52" t="str">
        <f t="shared" ref="H9:J9" si="2">H$3</f>
        <v>Actual</v>
      </c>
      <c r="I9" s="750" t="str">
        <f t="shared" si="2"/>
        <v xml:space="preserve">Actual </v>
      </c>
      <c r="J9" s="906" t="str">
        <f t="shared" si="2"/>
        <v>Actual</v>
      </c>
      <c r="K9" s="883"/>
      <c r="L9" s="792"/>
      <c r="M9" s="791"/>
      <c r="N9" s="791"/>
      <c r="O9" s="791"/>
    </row>
    <row r="10" spans="1:17" s="1" customFormat="1" x14ac:dyDescent="0.25">
      <c r="A10" s="85" t="s">
        <v>41</v>
      </c>
      <c r="B10" s="85"/>
      <c r="C10" s="106" t="s">
        <v>382</v>
      </c>
      <c r="D10" s="799"/>
      <c r="E10" s="799"/>
      <c r="F10" s="799"/>
      <c r="G10" s="799"/>
      <c r="H10" s="8">
        <v>0</v>
      </c>
      <c r="I10" s="9">
        <v>0</v>
      </c>
      <c r="J10" s="752">
        <v>0</v>
      </c>
      <c r="K10" s="119"/>
      <c r="L10" s="792"/>
      <c r="M10" s="791"/>
      <c r="N10" s="791"/>
      <c r="O10" s="791"/>
    </row>
    <row r="11" spans="1:17" s="1" customFormat="1" x14ac:dyDescent="0.25">
      <c r="A11" s="84" t="s">
        <v>259</v>
      </c>
      <c r="B11" s="85"/>
      <c r="C11" s="316" t="s">
        <v>382</v>
      </c>
      <c r="D11" s="799"/>
      <c r="E11" s="799"/>
      <c r="F11" s="799"/>
      <c r="G11" s="799"/>
      <c r="H11" s="8">
        <v>0</v>
      </c>
      <c r="I11" s="9">
        <v>0</v>
      </c>
      <c r="J11" s="10">
        <v>0</v>
      </c>
      <c r="K11" s="119"/>
      <c r="L11" s="792"/>
      <c r="M11" s="791"/>
      <c r="N11" s="791"/>
      <c r="O11" s="791"/>
    </row>
    <row r="12" spans="1:17" s="1" customFormat="1" x14ac:dyDescent="0.25">
      <c r="A12" s="318" t="s">
        <v>366</v>
      </c>
      <c r="B12" s="85"/>
      <c r="C12" s="316">
        <v>15</v>
      </c>
      <c r="D12" s="799"/>
      <c r="E12" s="799"/>
      <c r="F12" s="799"/>
      <c r="G12" s="799"/>
      <c r="H12" s="8">
        <v>94519245.480000019</v>
      </c>
      <c r="I12" s="9">
        <f>'[1]CY14 Excess expenditure (bmark)'!$N$13+'[1]CY14 Excess expenditure (bmark)'!$M$14+'[1]CY14 Excess expenditure (bmark)'!$D$13</f>
        <v>38001680.157309383</v>
      </c>
      <c r="J12" s="10">
        <f>'[1]CY15 Excess expenditure (bmark)'!$M$9+'[1]CY15 Excess expenditure (bmark)'!$L$10+'[1]CY15 Excess expenditure (bmark)'!$D$9</f>
        <v>4600728.4504535031</v>
      </c>
      <c r="K12" s="787"/>
      <c r="L12" s="792"/>
      <c r="M12" s="791"/>
      <c r="N12" s="791"/>
      <c r="O12" s="791"/>
    </row>
    <row r="13" spans="1:17" s="1" customFormat="1" x14ac:dyDescent="0.25">
      <c r="A13" s="318" t="s">
        <v>276</v>
      </c>
      <c r="B13" s="85"/>
      <c r="C13" s="316">
        <v>7</v>
      </c>
      <c r="D13" s="799"/>
      <c r="E13" s="799"/>
      <c r="F13" s="799"/>
      <c r="G13" s="799"/>
      <c r="H13" s="8">
        <v>9036460.0667708814</v>
      </c>
      <c r="I13" s="9">
        <f>'[1]CY14 Excess expenditure (bmark)'!$L$18+'[1]CY14 Excess expenditure (bmark)'!$N$18</f>
        <v>8960245.1982030347</v>
      </c>
      <c r="J13" s="10">
        <f>'[1]CY15 Excess expenditure (bmark)'!$K$12+'[1]CY14 Excess expenditure (bmark)'!$D$18</f>
        <v>22535727.540000003</v>
      </c>
      <c r="K13" s="15"/>
      <c r="L13" s="792"/>
      <c r="M13" s="791"/>
      <c r="N13" s="791"/>
      <c r="O13" s="791"/>
    </row>
    <row r="14" spans="1:17" s="1" customFormat="1" x14ac:dyDescent="0.25">
      <c r="A14" s="318" t="s">
        <v>278</v>
      </c>
      <c r="B14" s="88"/>
      <c r="C14" s="316">
        <v>7</v>
      </c>
      <c r="D14" s="799"/>
      <c r="E14" s="799"/>
      <c r="F14" s="799"/>
      <c r="G14" s="799"/>
      <c r="H14" s="8">
        <v>18817796.080000002</v>
      </c>
      <c r="I14" s="9">
        <f>'[1]CY14 Excess expenditure (bmark)'!$D$17</f>
        <v>3467886.5770765329</v>
      </c>
      <c r="J14" s="10">
        <f>'[1]CY15 Excess expenditure (bmark)'!$D$11</f>
        <v>4609.293713064134</v>
      </c>
      <c r="K14" s="15"/>
      <c r="L14" s="792"/>
      <c r="M14" s="791"/>
      <c r="N14" s="791"/>
      <c r="O14" s="791"/>
    </row>
    <row r="15" spans="1:17" s="1" customFormat="1" x14ac:dyDescent="0.25">
      <c r="A15" s="318" t="s">
        <v>277</v>
      </c>
      <c r="B15" s="85"/>
      <c r="C15" s="107">
        <v>7</v>
      </c>
      <c r="D15" s="799"/>
      <c r="E15" s="799"/>
      <c r="F15" s="799"/>
      <c r="G15" s="799"/>
      <c r="H15" s="8">
        <v>0</v>
      </c>
      <c r="I15" s="9">
        <v>0</v>
      </c>
      <c r="J15" s="10">
        <v>0</v>
      </c>
      <c r="K15" s="15"/>
      <c r="L15" s="792"/>
      <c r="M15" s="791"/>
      <c r="N15" s="791"/>
      <c r="O15" s="791"/>
    </row>
    <row r="16" spans="1:17" s="1" customFormat="1" ht="13.8" thickBot="1" x14ac:dyDescent="0.3">
      <c r="A16" s="88" t="s">
        <v>44</v>
      </c>
      <c r="B16" s="85"/>
      <c r="C16" s="2"/>
      <c r="D16" s="792"/>
      <c r="E16" s="792"/>
      <c r="F16" s="792"/>
      <c r="G16" s="792"/>
      <c r="H16" s="11">
        <f t="shared" ref="H16:J16" si="3">SUM(H10:H15)</f>
        <v>122373501.6267709</v>
      </c>
      <c r="I16" s="12">
        <f t="shared" si="3"/>
        <v>50429811.93258895</v>
      </c>
      <c r="J16" s="13">
        <f t="shared" si="3"/>
        <v>27141065.284166567</v>
      </c>
      <c r="K16" s="15"/>
      <c r="L16" s="792"/>
      <c r="M16" s="791"/>
      <c r="N16" s="791"/>
      <c r="O16" s="791"/>
    </row>
    <row r="17" spans="1:15" s="1" customFormat="1" ht="13.8" thickTop="1" x14ac:dyDescent="0.25">
      <c r="A17" s="14"/>
      <c r="B17" s="91"/>
      <c r="C17" s="2"/>
      <c r="D17" s="792"/>
      <c r="E17" s="792"/>
      <c r="F17" s="792"/>
      <c r="G17" s="792"/>
      <c r="H17" s="15"/>
      <c r="I17" s="15"/>
      <c r="J17" s="15"/>
      <c r="K17" s="15"/>
      <c r="L17" s="792"/>
      <c r="M17" s="791"/>
      <c r="N17" s="791"/>
      <c r="O17" s="791"/>
    </row>
    <row r="18" spans="1:15" s="1" customFormat="1" x14ac:dyDescent="0.25">
      <c r="A18" s="320"/>
      <c r="B18" s="433"/>
      <c r="C18" s="2"/>
      <c r="D18" s="792"/>
      <c r="E18" s="792"/>
      <c r="F18" s="792"/>
      <c r="G18" s="792"/>
      <c r="H18" s="15"/>
      <c r="I18" s="15"/>
      <c r="J18" s="15"/>
      <c r="K18" s="15"/>
      <c r="L18" s="792"/>
      <c r="M18" s="791"/>
      <c r="N18" s="791"/>
      <c r="O18" s="791"/>
    </row>
    <row r="19" spans="1:15" s="1" customFormat="1" x14ac:dyDescent="0.25">
      <c r="A19" s="320"/>
      <c r="B19" s="85"/>
      <c r="C19" s="2"/>
      <c r="D19" s="792"/>
      <c r="E19" s="792"/>
      <c r="F19" s="792"/>
      <c r="G19" s="79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2"/>
      <c r="M19" s="791"/>
      <c r="N19" s="791"/>
      <c r="O19" s="791"/>
    </row>
    <row r="20" spans="1:15" s="1" customFormat="1" x14ac:dyDescent="0.25">
      <c r="A20" s="320"/>
      <c r="B20" s="85"/>
      <c r="C20" s="308" t="s">
        <v>275</v>
      </c>
      <c r="D20" s="800"/>
      <c r="E20" s="800"/>
      <c r="F20" s="800"/>
      <c r="G20" s="800"/>
      <c r="H20" s="748" t="str">
        <f t="shared" ref="H20:J20" si="5">H$2</f>
        <v>Nominal $</v>
      </c>
      <c r="I20" s="110" t="str">
        <f t="shared" si="5"/>
        <v>Nominal $</v>
      </c>
      <c r="J20" s="905" t="str">
        <f t="shared" si="5"/>
        <v>Nominal $</v>
      </c>
      <c r="K20" s="15"/>
      <c r="L20" s="792"/>
      <c r="M20" s="791"/>
      <c r="N20" s="791"/>
      <c r="O20" s="791"/>
    </row>
    <row r="21" spans="1:15" s="1" customFormat="1" x14ac:dyDescent="0.25">
      <c r="A21" s="74" t="s">
        <v>46</v>
      </c>
      <c r="B21" s="91"/>
      <c r="C21" s="321" t="s">
        <v>47</v>
      </c>
      <c r="D21" s="801"/>
      <c r="E21" s="801"/>
      <c r="F21" s="801"/>
      <c r="G21" s="801"/>
      <c r="H21" s="52" t="str">
        <f t="shared" ref="H21:J21" si="6">H$3</f>
        <v>Actual</v>
      </c>
      <c r="I21" s="750" t="str">
        <f t="shared" si="6"/>
        <v xml:space="preserve">Actual </v>
      </c>
      <c r="J21" s="906" t="str">
        <f t="shared" si="6"/>
        <v>Actual</v>
      </c>
      <c r="K21" s="15"/>
      <c r="L21" s="792"/>
      <c r="M21" s="791"/>
      <c r="N21" s="791"/>
      <c r="O21" s="791"/>
    </row>
    <row r="22" spans="1:15" s="1" customFormat="1" x14ac:dyDescent="0.25">
      <c r="A22" s="84" t="s">
        <v>367</v>
      </c>
      <c r="B22" s="91"/>
      <c r="C22" s="322">
        <v>0.375</v>
      </c>
      <c r="D22" s="802"/>
      <c r="E22" s="802"/>
      <c r="F22" s="802"/>
      <c r="G22" s="802"/>
      <c r="H22" s="325">
        <f t="shared" ref="H22:J22" si="7">SUM(H10:H12)-H23</f>
        <v>94519245.480000019</v>
      </c>
      <c r="I22" s="19">
        <f t="shared" si="7"/>
        <v>38001680.157309383</v>
      </c>
      <c r="J22" s="753">
        <f t="shared" si="7"/>
        <v>4600728.4504535031</v>
      </c>
      <c r="K22" s="15"/>
      <c r="L22" s="792"/>
      <c r="M22" s="791"/>
      <c r="N22" s="791"/>
      <c r="O22" s="791"/>
    </row>
    <row r="23" spans="1:15" s="1" customFormat="1" x14ac:dyDescent="0.25">
      <c r="A23" s="84" t="s">
        <v>368</v>
      </c>
      <c r="B23" s="88"/>
      <c r="C23" s="323">
        <v>0.06</v>
      </c>
      <c r="D23" s="803"/>
      <c r="E23" s="803"/>
      <c r="F23" s="803"/>
      <c r="G23" s="803"/>
      <c r="H23" s="8">
        <v>0</v>
      </c>
      <c r="I23" s="9">
        <v>0</v>
      </c>
      <c r="J23" s="10">
        <v>0</v>
      </c>
      <c r="K23" s="15"/>
      <c r="L23" s="792"/>
      <c r="M23" s="791"/>
      <c r="N23" s="791"/>
      <c r="O23" s="791"/>
    </row>
    <row r="24" spans="1:15" s="1" customFormat="1" x14ac:dyDescent="0.25">
      <c r="A24" s="84" t="s">
        <v>276</v>
      </c>
      <c r="B24" s="85"/>
      <c r="C24" s="323">
        <v>0.4</v>
      </c>
      <c r="D24" s="803"/>
      <c r="E24" s="803"/>
      <c r="F24" s="803"/>
      <c r="G24" s="803"/>
      <c r="H24" s="325">
        <f t="shared" ref="H24:J26" si="8">H13</f>
        <v>9036460.0667708814</v>
      </c>
      <c r="I24" s="19">
        <f t="shared" si="8"/>
        <v>8960245.1982030347</v>
      </c>
      <c r="J24" s="326">
        <f t="shared" si="8"/>
        <v>22535727.540000003</v>
      </c>
      <c r="K24" s="15"/>
      <c r="L24" s="792"/>
      <c r="M24" s="791"/>
      <c r="N24" s="791"/>
      <c r="O24" s="791"/>
    </row>
    <row r="25" spans="1:15" s="1" customFormat="1" x14ac:dyDescent="0.25">
      <c r="A25" s="84" t="s">
        <v>278</v>
      </c>
      <c r="B25" s="85"/>
      <c r="C25" s="323">
        <v>0.21428571428571427</v>
      </c>
      <c r="D25" s="803"/>
      <c r="E25" s="803"/>
      <c r="F25" s="803"/>
      <c r="G25" s="803"/>
      <c r="H25" s="325">
        <f t="shared" si="8"/>
        <v>18817796.080000002</v>
      </c>
      <c r="I25" s="19">
        <f t="shared" si="8"/>
        <v>3467886.5770765329</v>
      </c>
      <c r="J25" s="326">
        <f t="shared" si="8"/>
        <v>4609.293713064134</v>
      </c>
      <c r="K25" s="15"/>
      <c r="L25" s="792"/>
      <c r="M25" s="791"/>
      <c r="N25" s="791"/>
      <c r="O25" s="791"/>
    </row>
    <row r="26" spans="1:15" s="1" customFormat="1" x14ac:dyDescent="0.25">
      <c r="A26" s="87" t="s">
        <v>277</v>
      </c>
      <c r="B26" s="85"/>
      <c r="C26" s="324">
        <v>0.1764705882352941</v>
      </c>
      <c r="D26" s="803"/>
      <c r="E26" s="803"/>
      <c r="F26" s="803"/>
      <c r="G26" s="803"/>
      <c r="H26" s="325">
        <f t="shared" si="8"/>
        <v>0</v>
      </c>
      <c r="I26" s="19">
        <f t="shared" si="8"/>
        <v>0</v>
      </c>
      <c r="J26" s="326">
        <f t="shared" si="8"/>
        <v>0</v>
      </c>
      <c r="K26" s="15"/>
      <c r="L26" s="792"/>
      <c r="M26" s="791"/>
      <c r="N26" s="791"/>
      <c r="O26" s="791"/>
    </row>
    <row r="27" spans="1:15" s="1" customFormat="1" ht="13.8" thickBot="1" x14ac:dyDescent="0.3">
      <c r="A27" s="88" t="s">
        <v>44</v>
      </c>
      <c r="B27" s="60"/>
      <c r="C27" s="2"/>
      <c r="D27" s="792"/>
      <c r="E27" s="792"/>
      <c r="F27" s="792"/>
      <c r="G27" s="792"/>
      <c r="H27" s="11">
        <f t="shared" ref="H27:J27" si="9">SUM(H21:H26)</f>
        <v>122373501.6267709</v>
      </c>
      <c r="I27" s="12">
        <f t="shared" si="9"/>
        <v>50429811.93258895</v>
      </c>
      <c r="J27" s="13">
        <f t="shared" si="9"/>
        <v>27141065.284166567</v>
      </c>
      <c r="K27" s="15"/>
      <c r="L27" s="792"/>
      <c r="M27" s="791"/>
      <c r="N27" s="791"/>
      <c r="O27" s="791"/>
    </row>
    <row r="28" spans="1:15" s="1" customFormat="1" ht="13.8" thickTop="1" x14ac:dyDescent="0.25">
      <c r="A28" s="14"/>
      <c r="B28" s="85"/>
      <c r="C28" s="2"/>
      <c r="D28" s="792"/>
      <c r="E28" s="792"/>
      <c r="F28" s="792"/>
      <c r="G28" s="792"/>
      <c r="H28" s="15"/>
      <c r="I28" s="15"/>
      <c r="J28" s="15"/>
      <c r="K28" s="15"/>
      <c r="L28" s="792"/>
      <c r="M28" s="791"/>
      <c r="N28" s="791"/>
      <c r="O28" s="791"/>
    </row>
    <row r="29" spans="1:15" s="1" customFormat="1" x14ac:dyDescent="0.25">
      <c r="A29" s="14"/>
      <c r="B29" s="85"/>
      <c r="C29" s="2"/>
      <c r="D29" s="792"/>
      <c r="E29" s="792"/>
      <c r="F29" s="792"/>
      <c r="G29" s="792"/>
      <c r="H29" s="15"/>
      <c r="I29" s="15"/>
      <c r="J29" s="15"/>
      <c r="K29" s="15"/>
      <c r="L29" s="792"/>
      <c r="M29" s="791"/>
      <c r="N29" s="791"/>
      <c r="O29" s="791"/>
    </row>
    <row r="30" spans="1:15" s="1" customFormat="1" x14ac:dyDescent="0.25">
      <c r="A30" s="14"/>
      <c r="B30" s="85"/>
      <c r="C30" s="2"/>
      <c r="D30" s="792"/>
      <c r="E30" s="792"/>
      <c r="F30" s="792"/>
      <c r="G30" s="79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6"/>
      <c r="L30" s="792"/>
      <c r="M30" s="791"/>
      <c r="N30" s="791"/>
      <c r="O30" s="791"/>
    </row>
    <row r="31" spans="1:15" x14ac:dyDescent="0.25">
      <c r="A31" s="43" t="s">
        <v>3</v>
      </c>
      <c r="C31" s="2"/>
      <c r="D31" s="792"/>
      <c r="E31" s="792"/>
      <c r="F31" s="792"/>
      <c r="G31" s="792"/>
      <c r="H31" s="748" t="str">
        <f t="shared" ref="H31:J31" si="11">H$2</f>
        <v>Nominal $</v>
      </c>
      <c r="I31" s="110" t="str">
        <f t="shared" si="11"/>
        <v>Nominal $</v>
      </c>
      <c r="J31" s="749" t="str">
        <f t="shared" si="11"/>
        <v>Nominal $</v>
      </c>
      <c r="K31" s="883"/>
      <c r="L31" s="792"/>
      <c r="M31" s="791"/>
      <c r="N31" s="791"/>
      <c r="O31" s="791"/>
    </row>
    <row r="32" spans="1:15" x14ac:dyDescent="0.25">
      <c r="A32" s="22"/>
      <c r="B32" s="55"/>
      <c r="C32" s="20"/>
      <c r="D32" s="804"/>
      <c r="E32" s="804"/>
      <c r="F32" s="804"/>
      <c r="G32" s="804"/>
      <c r="H32" s="52" t="str">
        <f t="shared" ref="H32:J32" si="12">H$3</f>
        <v>Actual</v>
      </c>
      <c r="I32" s="750" t="str">
        <f t="shared" si="12"/>
        <v xml:space="preserve">Actual </v>
      </c>
      <c r="J32" s="751" t="str">
        <f t="shared" si="12"/>
        <v>Actual</v>
      </c>
      <c r="K32" s="883"/>
      <c r="M32" s="791"/>
      <c r="N32" s="791"/>
      <c r="O32" s="791"/>
    </row>
    <row r="33" spans="1:15" x14ac:dyDescent="0.25">
      <c r="A33" s="38" t="s">
        <v>4</v>
      </c>
      <c r="C33" s="20"/>
      <c r="D33" s="804"/>
      <c r="E33" s="804"/>
      <c r="F33" s="804"/>
      <c r="G33" s="804"/>
      <c r="H33" s="35"/>
      <c r="I33" s="36"/>
      <c r="J33" s="37"/>
      <c r="K33" s="36"/>
      <c r="M33" s="791"/>
      <c r="N33" s="791"/>
      <c r="O33" s="791"/>
    </row>
    <row r="34" spans="1:15" x14ac:dyDescent="0.25">
      <c r="A34" s="85" t="s">
        <v>41</v>
      </c>
      <c r="C34" s="20"/>
      <c r="D34" s="804"/>
      <c r="E34" s="804"/>
      <c r="F34" s="804"/>
      <c r="G34" s="804"/>
      <c r="H34" s="24">
        <v>0</v>
      </c>
      <c r="I34" s="25">
        <v>0</v>
      </c>
      <c r="J34" s="26">
        <v>0</v>
      </c>
      <c r="K34" s="36"/>
      <c r="M34" s="791"/>
      <c r="N34" s="791"/>
      <c r="O34" s="791"/>
    </row>
    <row r="35" spans="1:15" x14ac:dyDescent="0.25">
      <c r="A35" s="85" t="s">
        <v>259</v>
      </c>
      <c r="C35" s="20"/>
      <c r="D35" s="804"/>
      <c r="E35" s="804"/>
      <c r="F35" s="804"/>
      <c r="G35" s="804"/>
      <c r="H35" s="24">
        <v>0</v>
      </c>
      <c r="I35" s="25">
        <v>0</v>
      </c>
      <c r="J35" s="26">
        <v>0</v>
      </c>
      <c r="K35" s="36"/>
      <c r="M35" s="791"/>
      <c r="N35" s="791"/>
      <c r="O35" s="791"/>
    </row>
    <row r="36" spans="1:15" x14ac:dyDescent="0.25">
      <c r="A36" s="85" t="s">
        <v>366</v>
      </c>
      <c r="C36" s="20"/>
      <c r="D36" s="804"/>
      <c r="E36" s="804"/>
      <c r="F36" s="804"/>
      <c r="G36" s="804"/>
      <c r="H36" s="24">
        <v>0</v>
      </c>
      <c r="I36" s="25">
        <v>0</v>
      </c>
      <c r="J36" s="26">
        <v>0</v>
      </c>
      <c r="K36" s="36"/>
      <c r="M36" s="791"/>
      <c r="N36" s="791"/>
      <c r="O36" s="791"/>
    </row>
    <row r="37" spans="1:15" x14ac:dyDescent="0.25">
      <c r="A37" s="85" t="s">
        <v>276</v>
      </c>
      <c r="C37" s="20"/>
      <c r="D37" s="804"/>
      <c r="E37" s="804"/>
      <c r="F37" s="804"/>
      <c r="G37" s="804"/>
      <c r="H37" s="24">
        <v>0</v>
      </c>
      <c r="I37" s="25">
        <v>0</v>
      </c>
      <c r="J37" s="26">
        <v>0</v>
      </c>
      <c r="K37" s="36"/>
      <c r="M37" s="791"/>
      <c r="N37" s="791"/>
      <c r="O37" s="791"/>
    </row>
    <row r="38" spans="1:15" x14ac:dyDescent="0.25">
      <c r="A38" s="85" t="s">
        <v>278</v>
      </c>
      <c r="B38" s="453"/>
      <c r="C38" s="20"/>
      <c r="D38" s="804"/>
      <c r="E38" s="804"/>
      <c r="F38" s="804"/>
      <c r="G38" s="804"/>
      <c r="H38" s="24">
        <v>0</v>
      </c>
      <c r="I38" s="25">
        <v>0</v>
      </c>
      <c r="J38" s="26">
        <v>0</v>
      </c>
      <c r="K38" s="36"/>
      <c r="M38" s="791"/>
      <c r="N38" s="791"/>
      <c r="O38" s="791"/>
    </row>
    <row r="39" spans="1:15" x14ac:dyDescent="0.25">
      <c r="A39" s="85" t="s">
        <v>277</v>
      </c>
      <c r="B39" s="454"/>
      <c r="C39" s="20"/>
      <c r="D39" s="804"/>
      <c r="E39" s="804"/>
      <c r="F39" s="804"/>
      <c r="G39" s="804"/>
      <c r="H39" s="24">
        <v>0</v>
      </c>
      <c r="I39" s="25">
        <v>0</v>
      </c>
      <c r="J39" s="26">
        <v>0</v>
      </c>
      <c r="K39" s="36"/>
      <c r="M39" s="791"/>
      <c r="N39" s="791"/>
      <c r="O39" s="791"/>
    </row>
    <row r="40" spans="1:15" ht="13.8" thickBot="1" x14ac:dyDescent="0.3">
      <c r="A40" s="22"/>
      <c r="C40" s="20"/>
      <c r="D40" s="804"/>
      <c r="E40" s="804"/>
      <c r="F40" s="804"/>
      <c r="G40" s="804"/>
      <c r="H40" s="327">
        <f t="shared" ref="H40:J40" si="13">SUM(H34:H39)</f>
        <v>0</v>
      </c>
      <c r="I40" s="92">
        <f t="shared" si="13"/>
        <v>0</v>
      </c>
      <c r="J40" s="328">
        <f t="shared" si="13"/>
        <v>0</v>
      </c>
      <c r="K40" s="36"/>
      <c r="M40" s="791"/>
      <c r="N40" s="791"/>
      <c r="O40" s="791"/>
    </row>
    <row r="41" spans="1:15" ht="13.8" thickTop="1" x14ac:dyDescent="0.25">
      <c r="A41" s="22"/>
      <c r="C41" s="20"/>
      <c r="D41" s="804"/>
      <c r="E41" s="804"/>
      <c r="F41" s="804"/>
      <c r="G41" s="804"/>
      <c r="H41" s="329"/>
      <c r="I41" s="94"/>
      <c r="J41" s="330"/>
      <c r="K41" s="36"/>
      <c r="M41" s="791"/>
      <c r="N41" s="791"/>
      <c r="O41" s="791"/>
    </row>
    <row r="42" spans="1:15" x14ac:dyDescent="0.25">
      <c r="A42" s="38" t="s">
        <v>5</v>
      </c>
      <c r="C42" s="20"/>
      <c r="D42" s="804"/>
      <c r="E42" s="804"/>
      <c r="F42" s="804"/>
      <c r="G42" s="804"/>
      <c r="H42" s="23"/>
      <c r="I42" s="20"/>
      <c r="J42" s="728"/>
      <c r="K42" s="792"/>
      <c r="M42" s="792"/>
      <c r="N42" s="792"/>
      <c r="O42" s="792"/>
    </row>
    <row r="43" spans="1:15" x14ac:dyDescent="0.25">
      <c r="A43" s="85" t="s">
        <v>41</v>
      </c>
      <c r="C43" s="20"/>
      <c r="D43" s="804"/>
      <c r="E43" s="804"/>
      <c r="F43" s="804"/>
      <c r="G43" s="804"/>
      <c r="H43" s="24">
        <v>0</v>
      </c>
      <c r="I43" s="25">
        <v>0</v>
      </c>
      <c r="J43" s="26">
        <v>0</v>
      </c>
      <c r="K43" s="36"/>
      <c r="M43" s="792"/>
      <c r="N43" s="792"/>
      <c r="O43" s="792"/>
    </row>
    <row r="44" spans="1:15" x14ac:dyDescent="0.25">
      <c r="A44" s="85" t="s">
        <v>259</v>
      </c>
      <c r="B44" s="454"/>
      <c r="C44" s="20"/>
      <c r="D44" s="804"/>
      <c r="E44" s="804"/>
      <c r="F44" s="804"/>
      <c r="G44" s="804"/>
      <c r="H44" s="24">
        <v>0</v>
      </c>
      <c r="I44" s="25">
        <v>0</v>
      </c>
      <c r="J44" s="26">
        <v>0</v>
      </c>
      <c r="K44" s="36"/>
      <c r="M44" s="792"/>
      <c r="N44" s="792"/>
      <c r="O44" s="792"/>
    </row>
    <row r="45" spans="1:15" x14ac:dyDescent="0.25">
      <c r="A45" s="85" t="s">
        <v>366</v>
      </c>
      <c r="C45" s="20"/>
      <c r="D45" s="804"/>
      <c r="E45" s="804"/>
      <c r="F45" s="804"/>
      <c r="G45" s="804"/>
      <c r="H45" s="24">
        <v>0</v>
      </c>
      <c r="I45" s="25">
        <v>0</v>
      </c>
      <c r="J45" s="26">
        <v>0</v>
      </c>
      <c r="K45" s="36"/>
      <c r="M45" s="792"/>
      <c r="N45" s="792"/>
      <c r="O45" s="792"/>
    </row>
    <row r="46" spans="1:15" x14ac:dyDescent="0.25">
      <c r="A46" s="85" t="s">
        <v>276</v>
      </c>
      <c r="C46" s="20"/>
      <c r="D46" s="804"/>
      <c r="E46" s="804"/>
      <c r="F46" s="804"/>
      <c r="G46" s="804"/>
      <c r="H46" s="24">
        <v>0</v>
      </c>
      <c r="I46" s="25">
        <v>0</v>
      </c>
      <c r="J46" s="26">
        <v>0</v>
      </c>
      <c r="K46" s="36"/>
      <c r="M46" s="792"/>
      <c r="N46" s="792"/>
      <c r="O46" s="792"/>
    </row>
    <row r="47" spans="1:15" x14ac:dyDescent="0.25">
      <c r="A47" s="85" t="s">
        <v>278</v>
      </c>
      <c r="B47" s="91"/>
      <c r="C47" s="20"/>
      <c r="D47" s="804"/>
      <c r="E47" s="804"/>
      <c r="F47" s="804"/>
      <c r="G47" s="804"/>
      <c r="H47" s="24">
        <v>0</v>
      </c>
      <c r="I47" s="25">
        <v>0</v>
      </c>
      <c r="J47" s="26">
        <v>0</v>
      </c>
      <c r="K47" s="36"/>
      <c r="M47" s="792"/>
      <c r="N47" s="792"/>
      <c r="O47" s="792"/>
    </row>
    <row r="48" spans="1:15" x14ac:dyDescent="0.25">
      <c r="A48" s="85" t="s">
        <v>277</v>
      </c>
      <c r="C48" s="20"/>
      <c r="D48" s="804"/>
      <c r="E48" s="804"/>
      <c r="F48" s="804"/>
      <c r="G48" s="804"/>
      <c r="H48" s="27">
        <v>0</v>
      </c>
      <c r="I48" s="28">
        <v>0</v>
      </c>
      <c r="J48" s="29">
        <v>0</v>
      </c>
      <c r="K48" s="36"/>
      <c r="M48" s="792"/>
      <c r="N48" s="792"/>
      <c r="O48" s="792"/>
    </row>
    <row r="49" spans="1:15" s="1" customFormat="1" ht="13.8" thickBot="1" x14ac:dyDescent="0.3">
      <c r="A49" s="14"/>
      <c r="B49" s="91"/>
      <c r="C49" s="2"/>
      <c r="D49" s="792"/>
      <c r="E49" s="792"/>
      <c r="F49" s="792"/>
      <c r="G49" s="792"/>
      <c r="H49" s="327">
        <f t="shared" ref="H49:J49" si="14">SUM(H43:H48)</f>
        <v>0</v>
      </c>
      <c r="I49" s="92">
        <f t="shared" si="14"/>
        <v>0</v>
      </c>
      <c r="J49" s="328">
        <f t="shared" si="14"/>
        <v>0</v>
      </c>
      <c r="K49" s="15"/>
      <c r="L49" s="792"/>
      <c r="M49" s="791"/>
      <c r="N49" s="791"/>
      <c r="O49" s="791"/>
    </row>
    <row r="50" spans="1:15" s="1" customFormat="1" ht="13.8" thickTop="1" x14ac:dyDescent="0.25">
      <c r="A50" s="14"/>
      <c r="B50" s="91"/>
      <c r="C50" s="2"/>
      <c r="D50" s="792"/>
      <c r="E50" s="792"/>
      <c r="F50" s="792"/>
      <c r="G50" s="792"/>
      <c r="H50" s="15"/>
      <c r="I50" s="15"/>
      <c r="J50" s="15"/>
      <c r="K50" s="15"/>
      <c r="L50" s="792"/>
      <c r="M50" s="791"/>
      <c r="N50" s="791"/>
      <c r="O50" s="791"/>
    </row>
    <row r="51" spans="1:15" s="1" customFormat="1" x14ac:dyDescent="0.25">
      <c r="A51" s="14"/>
      <c r="B51" s="85"/>
      <c r="C51" s="2"/>
      <c r="D51" s="792"/>
      <c r="E51" s="792"/>
      <c r="F51" s="792"/>
      <c r="G51" s="792"/>
      <c r="H51" s="15"/>
      <c r="I51" s="15"/>
      <c r="J51" s="15"/>
      <c r="K51" s="15"/>
      <c r="L51" s="792"/>
      <c r="M51" s="791"/>
      <c r="N51" s="791"/>
      <c r="O51" s="791"/>
    </row>
    <row r="52" spans="1:15" s="1" customFormat="1" x14ac:dyDescent="0.25">
      <c r="A52" s="3"/>
      <c r="B52" s="85"/>
      <c r="C52" s="2"/>
      <c r="D52" s="792"/>
      <c r="E52" s="792"/>
      <c r="F52" s="792"/>
      <c r="G52" s="79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6"/>
      <c r="L52" s="792"/>
      <c r="M52" s="791"/>
      <c r="N52" s="791"/>
      <c r="O52" s="791"/>
    </row>
    <row r="53" spans="1:15" s="1" customFormat="1" x14ac:dyDescent="0.25">
      <c r="A53" s="43" t="s">
        <v>1</v>
      </c>
      <c r="B53" s="455"/>
      <c r="C53" s="2"/>
      <c r="D53" s="792"/>
      <c r="E53" s="792"/>
      <c r="F53" s="792"/>
      <c r="G53" s="792"/>
      <c r="H53" s="748" t="str">
        <f t="shared" ref="H53:J53" si="16">H$2</f>
        <v>Nominal $</v>
      </c>
      <c r="I53" s="110" t="str">
        <f t="shared" si="16"/>
        <v>Nominal $</v>
      </c>
      <c r="J53" s="905" t="str">
        <f t="shared" si="16"/>
        <v>Nominal $</v>
      </c>
      <c r="K53" s="883"/>
      <c r="L53" s="792"/>
      <c r="M53" s="791"/>
      <c r="N53" s="791"/>
      <c r="O53" s="791"/>
    </row>
    <row r="54" spans="1:15" s="1" customFormat="1" x14ac:dyDescent="0.25">
      <c r="A54" s="3"/>
      <c r="B54" s="91"/>
      <c r="C54" s="2"/>
      <c r="D54" s="792"/>
      <c r="E54" s="792"/>
      <c r="F54" s="792"/>
      <c r="G54" s="792"/>
      <c r="H54" s="748" t="str">
        <f t="shared" ref="H54:J54" si="17">H$3</f>
        <v>Actual</v>
      </c>
      <c r="I54" s="110" t="str">
        <f t="shared" si="17"/>
        <v xml:space="preserve">Actual </v>
      </c>
      <c r="J54" s="905" t="str">
        <f t="shared" si="17"/>
        <v>Actual</v>
      </c>
      <c r="K54" s="883"/>
      <c r="L54" s="792"/>
      <c r="M54" s="791"/>
      <c r="N54" s="791"/>
      <c r="O54" s="791"/>
    </row>
    <row r="55" spans="1:15" s="1" customFormat="1" ht="13.8" thickBot="1" x14ac:dyDescent="0.3">
      <c r="A55" s="3" t="s">
        <v>395</v>
      </c>
      <c r="B55" s="85"/>
      <c r="C55" s="2"/>
      <c r="D55" s="792"/>
      <c r="E55" s="792"/>
      <c r="F55" s="792"/>
      <c r="G55" s="792"/>
      <c r="H55" s="16">
        <v>32545055</v>
      </c>
      <c r="I55" s="17">
        <f>SUM('[1]CY14 Excess expenditure (bmark)'!$L$35:$N$35)+SUM('[1]CY14 Excess expenditure (bmark)'!$D$22:$D$29)</f>
        <v>33607008.253080525</v>
      </c>
      <c r="J55" s="18">
        <f>SUM('[1]CY15 Excess expenditure (bmark)'!$D$16:$D$23)+SUM('[1]CY15 Excess expenditure (bmark)'!$K$29:$M$29)</f>
        <v>30315614.053528525</v>
      </c>
      <c r="K55" s="119"/>
      <c r="L55" s="792"/>
      <c r="M55" s="791"/>
      <c r="N55" s="791"/>
      <c r="O55" s="791"/>
    </row>
    <row r="56" spans="1:15" s="1" customFormat="1" ht="13.8" thickTop="1" x14ac:dyDescent="0.25">
      <c r="A56" s="3"/>
      <c r="B56" s="453"/>
      <c r="C56" s="792"/>
      <c r="D56" s="792"/>
      <c r="E56" s="792"/>
      <c r="F56" s="787"/>
      <c r="G56" s="787"/>
      <c r="H56" s="787"/>
      <c r="I56" s="787"/>
      <c r="J56" s="787"/>
      <c r="K56" s="787"/>
      <c r="L56" s="792"/>
      <c r="M56" s="791"/>
      <c r="N56" s="791"/>
      <c r="O56" s="791"/>
    </row>
    <row r="57" spans="1:15" s="1" customFormat="1" x14ac:dyDescent="0.25">
      <c r="A57" s="785"/>
      <c r="B57" s="449"/>
      <c r="C57" s="792"/>
      <c r="D57" s="792"/>
      <c r="E57" s="792"/>
      <c r="F57" s="787"/>
      <c r="G57" s="787"/>
      <c r="H57" s="787"/>
      <c r="I57" s="794"/>
      <c r="J57" s="794"/>
      <c r="K57" s="787"/>
      <c r="L57" s="792"/>
      <c r="M57" s="791"/>
      <c r="N57" s="791"/>
      <c r="O57" s="791"/>
    </row>
    <row r="58" spans="1:15" s="1" customFormat="1" x14ac:dyDescent="0.25">
      <c r="A58" s="60" t="s">
        <v>62</v>
      </c>
      <c r="B58" s="450"/>
      <c r="D58" s="785"/>
      <c r="E58" s="785"/>
      <c r="F58" s="787"/>
      <c r="G58" s="78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7"/>
      <c r="L58" s="787"/>
      <c r="M58" s="791"/>
      <c r="N58" s="791"/>
      <c r="O58" s="791"/>
    </row>
    <row r="59" spans="1:15" s="1" customFormat="1" x14ac:dyDescent="0.25">
      <c r="B59" s="88"/>
      <c r="D59" s="785"/>
      <c r="E59" s="785"/>
      <c r="F59" s="787"/>
      <c r="G59" s="787"/>
      <c r="H59" s="581" t="str">
        <f>H$2</f>
        <v>Nominal $</v>
      </c>
      <c r="I59" s="581" t="str">
        <f t="shared" ref="I59:J59" si="19">I$2</f>
        <v>Nominal $</v>
      </c>
      <c r="J59" s="907" t="str">
        <f t="shared" si="19"/>
        <v>Nominal $</v>
      </c>
      <c r="K59" s="787"/>
      <c r="L59" s="792"/>
      <c r="M59" s="791"/>
      <c r="N59" s="791"/>
      <c r="O59" s="791"/>
    </row>
    <row r="60" spans="1:15" s="1" customFormat="1" ht="13.8" thickBot="1" x14ac:dyDescent="0.3">
      <c r="A60" s="78" t="s">
        <v>62</v>
      </c>
      <c r="B60" s="449"/>
      <c r="D60" s="785"/>
      <c r="E60" s="785"/>
      <c r="F60" s="787"/>
      <c r="G60" s="787"/>
      <c r="H60" s="582">
        <v>101332753</v>
      </c>
      <c r="I60" s="582">
        <f>125367.55141*1000</f>
        <v>125367551.41</v>
      </c>
      <c r="J60" s="582">
        <f>162842.78545*1000</f>
        <v>162842785.44999999</v>
      </c>
      <c r="K60" s="787"/>
      <c r="L60" s="785"/>
      <c r="M60" s="791"/>
      <c r="N60" s="791"/>
      <c r="O60" s="791"/>
    </row>
    <row r="61" spans="1:15" s="1" customFormat="1" ht="13.8" thickTop="1" x14ac:dyDescent="0.25">
      <c r="A61" s="30"/>
      <c r="B61" s="450"/>
      <c r="D61" s="785"/>
      <c r="E61" s="785"/>
      <c r="F61" s="787"/>
      <c r="G61" s="787"/>
      <c r="K61" s="787"/>
      <c r="L61" s="785"/>
      <c r="M61" s="791"/>
      <c r="N61" s="791"/>
      <c r="O61" s="791"/>
    </row>
    <row r="62" spans="1:15" s="1" customFormat="1" x14ac:dyDescent="0.25">
      <c r="A62" s="30"/>
      <c r="B62" s="450"/>
      <c r="D62" s="785"/>
      <c r="E62" s="785"/>
      <c r="F62" s="787"/>
      <c r="G62" s="787"/>
      <c r="K62" s="787"/>
      <c r="L62" s="785"/>
      <c r="M62" s="791"/>
      <c r="N62" s="791"/>
      <c r="O62" s="791"/>
    </row>
    <row r="63" spans="1:15" s="1" customFormat="1" x14ac:dyDescent="0.25">
      <c r="A63" s="30"/>
      <c r="B63" s="88"/>
      <c r="C63" s="2"/>
      <c r="D63" s="792"/>
      <c r="E63" s="792"/>
      <c r="F63" s="787"/>
      <c r="G63" s="787"/>
      <c r="K63" s="787"/>
      <c r="L63" s="785"/>
      <c r="M63" s="791"/>
      <c r="N63" s="791"/>
      <c r="O63" s="791"/>
    </row>
    <row r="64" spans="1:15" s="1" customFormat="1" x14ac:dyDescent="0.25">
      <c r="A64" s="30"/>
      <c r="B64" s="88"/>
      <c r="C64" s="2"/>
      <c r="D64" s="791"/>
      <c r="E64" s="791"/>
      <c r="F64" s="787"/>
      <c r="G64" s="787"/>
      <c r="H64" s="19"/>
      <c r="I64" s="19"/>
      <c r="J64" s="19"/>
      <c r="K64" s="787"/>
      <c r="L64" s="792"/>
      <c r="M64" s="791"/>
      <c r="N64" s="791"/>
      <c r="O64" s="791"/>
    </row>
    <row r="65" spans="1:17" x14ac:dyDescent="0.25">
      <c r="A65" s="60" t="s">
        <v>285</v>
      </c>
      <c r="B65" s="88"/>
      <c r="I65" s="910" t="s">
        <v>383</v>
      </c>
      <c r="J65" s="911"/>
      <c r="K65" s="32"/>
      <c r="L65" s="792"/>
      <c r="N65" s="792"/>
      <c r="O65" s="792"/>
      <c r="P65" s="910" t="s">
        <v>22</v>
      </c>
      <c r="Q65" s="912"/>
    </row>
    <row r="66" spans="1:17" x14ac:dyDescent="0.25">
      <c r="L66" s="792"/>
      <c r="N66" s="792"/>
      <c r="O66" s="792"/>
    </row>
    <row r="67" spans="1:17" x14ac:dyDescent="0.25">
      <c r="F67" s="792"/>
      <c r="G67" s="792"/>
      <c r="H67" s="792"/>
      <c r="I67" s="754">
        <f>I$1</f>
        <v>2014</v>
      </c>
      <c r="J67" s="754">
        <f>J$1</f>
        <v>2015</v>
      </c>
      <c r="K67" s="56"/>
      <c r="L67" s="792"/>
      <c r="M67" s="791"/>
      <c r="N67" s="792"/>
      <c r="O67" s="792"/>
      <c r="P67" s="4">
        <f>P$1</f>
        <v>2014</v>
      </c>
      <c r="Q67" s="6">
        <f>Q$1</f>
        <v>2015</v>
      </c>
    </row>
    <row r="68" spans="1:17" x14ac:dyDescent="0.25">
      <c r="A68" s="59"/>
      <c r="F68" s="792"/>
      <c r="G68" s="792"/>
      <c r="H68" s="792"/>
      <c r="I68" s="809" t="s">
        <v>19</v>
      </c>
      <c r="J68" s="889" t="s">
        <v>20</v>
      </c>
      <c r="K68" s="883"/>
      <c r="L68" s="792"/>
      <c r="M68" s="791"/>
      <c r="N68" s="792"/>
      <c r="O68" s="792"/>
      <c r="P68" s="755" t="str">
        <f>P3</f>
        <v xml:space="preserve">Actual </v>
      </c>
      <c r="Q68" s="734" t="str">
        <f>Q3</f>
        <v>Actual</v>
      </c>
    </row>
    <row r="69" spans="1:17" x14ac:dyDescent="0.25">
      <c r="B69" s="1"/>
      <c r="F69" s="792"/>
      <c r="G69" s="792"/>
      <c r="H69" s="792"/>
      <c r="I69" s="890" t="s">
        <v>21</v>
      </c>
      <c r="J69" s="890" t="s">
        <v>21</v>
      </c>
      <c r="K69" s="883"/>
      <c r="L69" s="792"/>
      <c r="M69" s="791"/>
      <c r="N69" s="792"/>
      <c r="O69" s="792"/>
      <c r="P69" s="717"/>
      <c r="Q69" s="738"/>
    </row>
    <row r="70" spans="1:17" x14ac:dyDescent="0.25">
      <c r="B70" s="91"/>
      <c r="F70" s="792"/>
      <c r="G70" s="792"/>
      <c r="H70" s="792"/>
      <c r="I70" s="39"/>
      <c r="J70" s="40"/>
      <c r="K70" s="792"/>
      <c r="L70" s="792"/>
      <c r="M70" s="791"/>
      <c r="N70" s="792"/>
      <c r="O70" s="792"/>
      <c r="P70" s="39"/>
      <c r="Q70" s="728"/>
    </row>
    <row r="71" spans="1:17" x14ac:dyDescent="0.25">
      <c r="A71" s="90" t="s">
        <v>23</v>
      </c>
      <c r="B71" s="91"/>
      <c r="F71" s="792"/>
      <c r="G71" s="792"/>
      <c r="H71" s="792"/>
      <c r="I71" s="340" t="s">
        <v>24</v>
      </c>
      <c r="J71" s="123"/>
      <c r="K71" s="120"/>
      <c r="L71" s="792"/>
      <c r="M71" s="791"/>
      <c r="N71" s="792"/>
      <c r="O71" s="792"/>
      <c r="P71" s="23"/>
      <c r="Q71" s="728"/>
    </row>
    <row r="72" spans="1:17" x14ac:dyDescent="0.25">
      <c r="A72" s="84" t="s">
        <v>25</v>
      </c>
      <c r="B72" s="55"/>
      <c r="F72" s="792"/>
      <c r="G72" s="792"/>
      <c r="H72" s="792"/>
      <c r="I72" s="745">
        <f>'Data 2009-15 (Real $2008)'!I72</f>
        <v>0</v>
      </c>
      <c r="J72" s="333"/>
      <c r="K72" s="121"/>
      <c r="L72" s="792"/>
      <c r="M72" s="791"/>
      <c r="N72" s="792"/>
      <c r="O72" s="792"/>
      <c r="P72" s="79"/>
      <c r="Q72" s="75"/>
    </row>
    <row r="73" spans="1:17" x14ac:dyDescent="0.25">
      <c r="A73" s="84" t="s">
        <v>26</v>
      </c>
      <c r="B73" s="451"/>
      <c r="F73" s="792"/>
      <c r="G73" s="792"/>
      <c r="H73" s="792"/>
      <c r="I73" s="745">
        <f>'Data 2009-15 (Real $2008)'!I73</f>
        <v>0</v>
      </c>
      <c r="J73" s="333"/>
      <c r="K73" s="121"/>
      <c r="L73" s="792"/>
      <c r="M73" s="791"/>
      <c r="N73" s="792"/>
      <c r="O73" s="792"/>
      <c r="P73" s="79"/>
      <c r="Q73" s="75"/>
    </row>
    <row r="74" spans="1:17" x14ac:dyDescent="0.25">
      <c r="A74" s="564" t="s">
        <v>369</v>
      </c>
      <c r="B74" s="2"/>
      <c r="F74" s="792"/>
      <c r="G74" s="792"/>
      <c r="H74" s="792"/>
      <c r="I74" s="745">
        <f>'Data 2009-15 (Real $2008)'!I74</f>
        <v>0</v>
      </c>
      <c r="J74" s="333"/>
      <c r="K74" s="121"/>
      <c r="L74" s="792"/>
      <c r="M74" s="791"/>
      <c r="N74" s="792"/>
      <c r="O74" s="792"/>
      <c r="P74" s="79"/>
      <c r="Q74" s="75"/>
    </row>
    <row r="75" spans="1:17" x14ac:dyDescent="0.25">
      <c r="A75" s="564" t="s">
        <v>370</v>
      </c>
      <c r="F75" s="792"/>
      <c r="G75" s="792"/>
      <c r="H75" s="792"/>
      <c r="I75" s="745">
        <f>'Data 2009-15 (Real $2008)'!I75</f>
        <v>0</v>
      </c>
      <c r="J75" s="333"/>
      <c r="K75" s="121"/>
      <c r="L75" s="792"/>
      <c r="M75" s="791"/>
      <c r="N75" s="792"/>
      <c r="O75" s="792"/>
      <c r="P75" s="79"/>
      <c r="Q75" s="75"/>
    </row>
    <row r="76" spans="1:17" x14ac:dyDescent="0.25">
      <c r="A76" s="564" t="s">
        <v>371</v>
      </c>
      <c r="F76" s="792"/>
      <c r="G76" s="792"/>
      <c r="H76" s="792"/>
      <c r="I76" s="745">
        <f>'Data 2009-15 (Real $2008)'!I76</f>
        <v>0</v>
      </c>
      <c r="J76" s="333"/>
      <c r="K76" s="121"/>
      <c r="L76" s="792"/>
      <c r="M76" s="791"/>
      <c r="N76" s="792"/>
      <c r="O76" s="792"/>
      <c r="P76" s="79"/>
      <c r="Q76" s="75"/>
    </row>
    <row r="77" spans="1:17" x14ac:dyDescent="0.25">
      <c r="A77" s="564" t="s">
        <v>372</v>
      </c>
      <c r="B77" s="2"/>
      <c r="F77" s="792"/>
      <c r="G77" s="792"/>
      <c r="H77" s="792"/>
      <c r="I77" s="745">
        <f>'Data 2009-15 (Real $2008)'!I77</f>
        <v>0</v>
      </c>
      <c r="J77" s="333"/>
      <c r="K77" s="121"/>
      <c r="L77" s="792"/>
      <c r="M77" s="791"/>
      <c r="N77" s="792"/>
      <c r="O77" s="792"/>
      <c r="P77" s="79"/>
      <c r="Q77" s="75"/>
    </row>
    <row r="78" spans="1:17" x14ac:dyDescent="0.25">
      <c r="A78" s="564" t="s">
        <v>373</v>
      </c>
      <c r="B78" s="88"/>
      <c r="F78" s="792"/>
      <c r="G78" s="792"/>
      <c r="H78" s="792"/>
      <c r="I78" s="745">
        <f>'Data 2009-15 (Real $2008)'!I78</f>
        <v>0</v>
      </c>
      <c r="J78" s="333"/>
      <c r="K78" s="121"/>
      <c r="L78" s="792"/>
      <c r="M78" s="791"/>
      <c r="N78" s="792"/>
      <c r="O78" s="792"/>
      <c r="P78" s="79"/>
      <c r="Q78" s="75"/>
    </row>
    <row r="79" spans="1:17" x14ac:dyDescent="0.25">
      <c r="A79" s="84"/>
      <c r="F79" s="792"/>
      <c r="G79" s="792"/>
      <c r="H79" s="792"/>
      <c r="I79" s="341"/>
      <c r="J79" s="335"/>
      <c r="K79" s="792"/>
      <c r="L79" s="792"/>
      <c r="M79" s="791"/>
      <c r="N79" s="792"/>
      <c r="O79" s="792"/>
      <c r="P79" s="23"/>
      <c r="Q79" s="728"/>
    </row>
    <row r="80" spans="1:17" x14ac:dyDescent="0.25">
      <c r="A80" s="84"/>
      <c r="F80" s="792"/>
      <c r="G80" s="792"/>
      <c r="H80" s="792"/>
      <c r="I80" s="341"/>
      <c r="J80" s="335"/>
      <c r="K80" s="792"/>
      <c r="L80" s="792"/>
      <c r="M80" s="791"/>
      <c r="N80" s="792"/>
      <c r="O80" s="792"/>
      <c r="P80" s="23"/>
      <c r="Q80" s="728"/>
    </row>
    <row r="81" spans="1:17" x14ac:dyDescent="0.25">
      <c r="A81" s="90" t="s">
        <v>23</v>
      </c>
      <c r="B81" s="320"/>
      <c r="F81" s="792"/>
      <c r="G81" s="792"/>
      <c r="H81" s="792"/>
      <c r="I81" s="521" t="s">
        <v>27</v>
      </c>
      <c r="J81" s="336"/>
      <c r="K81" s="120"/>
      <c r="L81" s="792"/>
      <c r="M81" s="791"/>
      <c r="N81" s="792"/>
      <c r="O81" s="792"/>
      <c r="P81" s="23"/>
      <c r="Q81" s="728"/>
    </row>
    <row r="82" spans="1:17" x14ac:dyDescent="0.25">
      <c r="A82" s="84" t="s">
        <v>25</v>
      </c>
      <c r="B82" s="320"/>
      <c r="F82" s="792"/>
      <c r="G82" s="792"/>
      <c r="H82" s="792"/>
      <c r="I82" s="745">
        <f>'Data 2009-15 (Real $2008)'!I82</f>
        <v>0</v>
      </c>
      <c r="J82" s="333"/>
      <c r="K82" s="121"/>
      <c r="L82" s="792"/>
      <c r="M82" s="791"/>
      <c r="N82" s="792"/>
      <c r="O82" s="792"/>
      <c r="P82" s="79"/>
      <c r="Q82" s="75"/>
    </row>
    <row r="83" spans="1:17" x14ac:dyDescent="0.25">
      <c r="A83" s="84" t="s">
        <v>26</v>
      </c>
      <c r="B83" s="433"/>
      <c r="F83" s="792"/>
      <c r="G83" s="792"/>
      <c r="H83" s="792"/>
      <c r="I83" s="745">
        <f>'Data 2009-15 (Real $2008)'!I83</f>
        <v>0</v>
      </c>
      <c r="J83" s="333"/>
      <c r="K83" s="121"/>
      <c r="L83" s="792"/>
      <c r="M83" s="791"/>
      <c r="N83" s="792"/>
      <c r="O83" s="792"/>
      <c r="P83" s="79"/>
      <c r="Q83" s="75"/>
    </row>
    <row r="84" spans="1:17" x14ac:dyDescent="0.25">
      <c r="A84" s="564" t="s">
        <v>369</v>
      </c>
      <c r="F84" s="792"/>
      <c r="G84" s="792"/>
      <c r="H84" s="792"/>
      <c r="I84" s="745">
        <f>'Data 2009-15 (Real $2008)'!I84</f>
        <v>0</v>
      </c>
      <c r="J84" s="333"/>
      <c r="K84" s="121"/>
      <c r="L84" s="792"/>
      <c r="M84" s="791"/>
      <c r="N84" s="792"/>
      <c r="O84" s="792"/>
      <c r="P84" s="79"/>
      <c r="Q84" s="75"/>
    </row>
    <row r="85" spans="1:17" x14ac:dyDescent="0.25">
      <c r="A85" s="564" t="s">
        <v>370</v>
      </c>
      <c r="F85" s="792"/>
      <c r="G85" s="792"/>
      <c r="H85" s="792"/>
      <c r="I85" s="745">
        <f>'Data 2009-15 (Real $2008)'!I85</f>
        <v>0</v>
      </c>
      <c r="J85" s="333"/>
      <c r="K85" s="121"/>
      <c r="L85" s="792"/>
      <c r="M85" s="791"/>
      <c r="N85" s="792"/>
      <c r="O85" s="792"/>
      <c r="P85" s="79"/>
      <c r="Q85" s="75"/>
    </row>
    <row r="86" spans="1:17" x14ac:dyDescent="0.25">
      <c r="A86" s="564" t="s">
        <v>371</v>
      </c>
      <c r="F86" s="792"/>
      <c r="G86" s="792"/>
      <c r="H86" s="792"/>
      <c r="I86" s="745">
        <f>'Data 2009-15 (Real $2008)'!I86</f>
        <v>0</v>
      </c>
      <c r="J86" s="333"/>
      <c r="K86" s="121"/>
      <c r="L86" s="792"/>
      <c r="M86" s="791"/>
      <c r="N86" s="792"/>
      <c r="O86" s="792"/>
      <c r="P86" s="79"/>
      <c r="Q86" s="75"/>
    </row>
    <row r="87" spans="1:17" x14ac:dyDescent="0.25">
      <c r="A87" s="564" t="s">
        <v>372</v>
      </c>
      <c r="F87" s="792"/>
      <c r="G87" s="792"/>
      <c r="H87" s="792"/>
      <c r="I87" s="745">
        <f>'Data 2009-15 (Real $2008)'!I87</f>
        <v>0</v>
      </c>
      <c r="J87" s="333"/>
      <c r="K87" s="121"/>
      <c r="L87" s="792"/>
      <c r="M87" s="791"/>
      <c r="N87" s="792"/>
      <c r="O87" s="792"/>
      <c r="P87" s="79"/>
      <c r="Q87" s="75"/>
    </row>
    <row r="88" spans="1:17" x14ac:dyDescent="0.25">
      <c r="A88" s="564" t="s">
        <v>373</v>
      </c>
      <c r="B88" s="108"/>
      <c r="F88" s="792"/>
      <c r="G88" s="792"/>
      <c r="H88" s="792"/>
      <c r="I88" s="745">
        <f>'Data 2009-15 (Real $2008)'!I88</f>
        <v>0</v>
      </c>
      <c r="J88" s="333"/>
      <c r="K88" s="121"/>
      <c r="L88" s="792"/>
      <c r="M88" s="791"/>
      <c r="N88" s="792"/>
      <c r="O88" s="792"/>
      <c r="P88" s="79"/>
      <c r="Q88" s="75"/>
    </row>
    <row r="89" spans="1:17" x14ac:dyDescent="0.25">
      <c r="A89" s="84"/>
      <c r="B89" s="88"/>
      <c r="F89" s="792"/>
      <c r="G89" s="792"/>
      <c r="H89" s="792"/>
      <c r="I89" s="341"/>
      <c r="J89" s="335"/>
      <c r="K89" s="792"/>
      <c r="L89" s="792"/>
      <c r="M89" s="791"/>
      <c r="N89" s="792"/>
      <c r="O89" s="792"/>
      <c r="P89" s="23"/>
      <c r="Q89" s="728"/>
    </row>
    <row r="90" spans="1:17" x14ac:dyDescent="0.25">
      <c r="A90" s="84"/>
      <c r="B90" s="93"/>
      <c r="F90" s="792"/>
      <c r="G90" s="792"/>
      <c r="H90" s="792"/>
      <c r="I90" s="341"/>
      <c r="J90" s="335"/>
      <c r="K90" s="792"/>
      <c r="L90" s="792"/>
      <c r="M90" s="791"/>
      <c r="N90" s="792"/>
      <c r="O90" s="792"/>
      <c r="P90" s="23"/>
      <c r="Q90" s="728"/>
    </row>
    <row r="91" spans="1:17" x14ac:dyDescent="0.25">
      <c r="A91" s="90" t="s">
        <v>28</v>
      </c>
      <c r="B91" s="93"/>
      <c r="F91" s="792"/>
      <c r="G91" s="792"/>
      <c r="H91" s="792"/>
      <c r="I91" s="340" t="s">
        <v>24</v>
      </c>
      <c r="J91" s="336"/>
      <c r="K91" s="120"/>
      <c r="L91" s="792"/>
      <c r="M91" s="791"/>
      <c r="N91" s="792"/>
      <c r="O91" s="792"/>
      <c r="P91" s="23"/>
      <c r="Q91" s="728"/>
    </row>
    <row r="92" spans="1:17" x14ac:dyDescent="0.25">
      <c r="A92" s="84" t="s">
        <v>29</v>
      </c>
      <c r="B92" s="91"/>
      <c r="F92" s="792"/>
      <c r="G92" s="792"/>
      <c r="H92" s="792"/>
      <c r="I92" s="745">
        <f>'Data 2009-15 (Real $2008)'!I92</f>
        <v>0</v>
      </c>
      <c r="J92" s="333"/>
      <c r="K92" s="121"/>
      <c r="L92" s="792"/>
      <c r="M92" s="791"/>
      <c r="N92" s="792"/>
      <c r="O92" s="792"/>
      <c r="P92" s="79"/>
      <c r="Q92" s="75"/>
    </row>
    <row r="93" spans="1:17" x14ac:dyDescent="0.25">
      <c r="A93" s="84" t="s">
        <v>30</v>
      </c>
      <c r="B93" s="86"/>
      <c r="F93" s="792"/>
      <c r="G93" s="792"/>
      <c r="H93" s="792"/>
      <c r="I93" s="745">
        <f>'Data 2009-15 (Real $2008)'!I93</f>
        <v>0</v>
      </c>
      <c r="J93" s="333"/>
      <c r="K93" s="121"/>
      <c r="L93" s="792"/>
      <c r="M93" s="791"/>
      <c r="N93" s="792"/>
      <c r="O93" s="792"/>
      <c r="P93" s="79"/>
      <c r="Q93" s="75"/>
    </row>
    <row r="94" spans="1:17" x14ac:dyDescent="0.25">
      <c r="A94" s="84" t="s">
        <v>31</v>
      </c>
      <c r="B94" s="91"/>
      <c r="F94" s="792"/>
      <c r="G94" s="792"/>
      <c r="H94" s="792"/>
      <c r="I94" s="745">
        <f>'Data 2009-15 (Real $2008)'!I94</f>
        <v>0</v>
      </c>
      <c r="J94" s="333"/>
      <c r="K94" s="121"/>
      <c r="L94" s="792"/>
      <c r="M94" s="791"/>
      <c r="N94" s="792"/>
      <c r="O94" s="792"/>
      <c r="P94" s="79"/>
      <c r="Q94" s="75"/>
    </row>
    <row r="95" spans="1:17" x14ac:dyDescent="0.25">
      <c r="A95" s="84" t="s">
        <v>32</v>
      </c>
      <c r="B95" s="93"/>
      <c r="F95" s="792"/>
      <c r="G95" s="792"/>
      <c r="H95" s="792"/>
      <c r="I95" s="745">
        <f>'Data 2009-15 (Real $2008)'!I95</f>
        <v>0</v>
      </c>
      <c r="J95" s="333"/>
      <c r="K95" s="121"/>
      <c r="L95" s="792"/>
      <c r="M95" s="791"/>
      <c r="N95" s="792"/>
      <c r="O95" s="792"/>
      <c r="P95" s="79"/>
      <c r="Q95" s="75"/>
    </row>
    <row r="96" spans="1:17" x14ac:dyDescent="0.25">
      <c r="A96" s="84" t="s">
        <v>33</v>
      </c>
      <c r="B96" s="93"/>
      <c r="F96" s="792"/>
      <c r="G96" s="792"/>
      <c r="H96" s="792"/>
      <c r="I96" s="745">
        <f>'Data 2009-15 (Real $2008)'!I96</f>
        <v>0</v>
      </c>
      <c r="J96" s="333"/>
      <c r="K96" s="121"/>
      <c r="L96" s="792"/>
      <c r="M96" s="791"/>
      <c r="N96" s="792"/>
      <c r="O96" s="792"/>
      <c r="P96" s="79"/>
      <c r="Q96" s="75"/>
    </row>
    <row r="97" spans="1:17" x14ac:dyDescent="0.25">
      <c r="A97" s="84" t="s">
        <v>34</v>
      </c>
      <c r="B97" s="93"/>
      <c r="F97" s="792"/>
      <c r="G97" s="792"/>
      <c r="H97" s="792"/>
      <c r="I97" s="745">
        <f>'Data 2009-15 (Real $2008)'!I97</f>
        <v>0</v>
      </c>
      <c r="J97" s="333"/>
      <c r="K97" s="121"/>
      <c r="L97" s="792"/>
      <c r="M97" s="791"/>
      <c r="N97" s="792"/>
      <c r="O97" s="792"/>
      <c r="P97" s="79"/>
      <c r="Q97" s="75"/>
    </row>
    <row r="98" spans="1:17" x14ac:dyDescent="0.25">
      <c r="A98" s="564" t="s">
        <v>398</v>
      </c>
      <c r="B98" s="93"/>
      <c r="F98" s="792"/>
      <c r="G98" s="792"/>
      <c r="H98" s="792"/>
      <c r="I98" s="745">
        <f>'Data 2009-15 (Real $2008)'!I98</f>
        <v>160.21</v>
      </c>
      <c r="J98" s="333">
        <v>205.54</v>
      </c>
      <c r="K98" s="121"/>
      <c r="L98" s="792"/>
      <c r="M98" s="791"/>
      <c r="N98" s="792"/>
      <c r="O98" s="792"/>
      <c r="P98" s="79">
        <v>398557.46675785119</v>
      </c>
      <c r="Q98" s="75">
        <v>406120.02995804162</v>
      </c>
    </row>
    <row r="99" spans="1:17" x14ac:dyDescent="0.25">
      <c r="A99" s="564" t="s">
        <v>399</v>
      </c>
      <c r="B99" s="93"/>
      <c r="F99" s="792"/>
      <c r="G99" s="792"/>
      <c r="H99" s="792"/>
      <c r="I99" s="745">
        <f>'Data 2009-15 (Real $2008)'!I99</f>
        <v>184.1</v>
      </c>
      <c r="J99" s="333">
        <v>236.19</v>
      </c>
      <c r="K99" s="121"/>
      <c r="L99" s="792"/>
      <c r="M99" s="791"/>
      <c r="N99" s="792"/>
      <c r="O99" s="792"/>
      <c r="P99" s="79">
        <v>156548.59239537409</v>
      </c>
      <c r="Q99" s="75">
        <v>157702.89891689076</v>
      </c>
    </row>
    <row r="100" spans="1:17" x14ac:dyDescent="0.25">
      <c r="A100" s="564" t="s">
        <v>400</v>
      </c>
      <c r="B100" s="93"/>
      <c r="F100" s="792"/>
      <c r="G100" s="792"/>
      <c r="H100" s="792"/>
      <c r="I100" s="745">
        <f>'Data 2009-15 (Real $2008)'!I100</f>
        <v>222.42</v>
      </c>
      <c r="J100" s="333">
        <v>285.36</v>
      </c>
      <c r="K100" s="121"/>
      <c r="L100" s="792"/>
      <c r="M100" s="791"/>
      <c r="N100" s="792"/>
      <c r="O100" s="792"/>
      <c r="P100" s="79">
        <v>84284.130234145021</v>
      </c>
      <c r="Q100" s="75">
        <v>85357.055867229894</v>
      </c>
    </row>
    <row r="101" spans="1:17" x14ac:dyDescent="0.25">
      <c r="A101" s="564" t="s">
        <v>401</v>
      </c>
      <c r="B101" s="93"/>
      <c r="F101" s="792"/>
      <c r="G101" s="792"/>
      <c r="H101" s="792"/>
      <c r="I101" s="745">
        <f>'Data 2009-15 (Real $2008)'!I101</f>
        <v>246.73</v>
      </c>
      <c r="J101" s="333">
        <v>316.54000000000002</v>
      </c>
      <c r="K101" s="121"/>
      <c r="L101" s="792"/>
      <c r="M101" s="791"/>
      <c r="N101" s="792"/>
      <c r="O101" s="792"/>
      <c r="P101" s="79">
        <v>42292.871638879471</v>
      </c>
      <c r="Q101" s="75">
        <v>42316.309334747828</v>
      </c>
    </row>
    <row r="102" spans="1:17" x14ac:dyDescent="0.25">
      <c r="A102" s="564" t="s">
        <v>402</v>
      </c>
      <c r="B102" s="93"/>
      <c r="F102" s="792"/>
      <c r="G102" s="792"/>
      <c r="H102" s="792"/>
      <c r="I102" s="745">
        <f>'Data 2009-15 (Real $2008)'!I102</f>
        <v>317.7</v>
      </c>
      <c r="J102" s="333">
        <v>407.45000000000005</v>
      </c>
      <c r="K102" s="121"/>
      <c r="L102" s="792"/>
      <c r="M102" s="791"/>
      <c r="N102" s="792"/>
      <c r="O102" s="792"/>
      <c r="P102" s="79">
        <v>3826.2809487502545</v>
      </c>
      <c r="Q102" s="75">
        <v>3864.6927280900645</v>
      </c>
    </row>
    <row r="103" spans="1:17" x14ac:dyDescent="0.25">
      <c r="A103" s="84"/>
      <c r="B103" s="93"/>
      <c r="F103" s="792"/>
      <c r="G103" s="792"/>
      <c r="H103" s="792"/>
      <c r="I103" s="341"/>
      <c r="J103" s="335"/>
      <c r="K103" s="792"/>
      <c r="L103" s="792"/>
      <c r="M103" s="791"/>
      <c r="N103" s="792"/>
      <c r="O103" s="792"/>
      <c r="P103" s="23"/>
      <c r="Q103" s="728"/>
    </row>
    <row r="104" spans="1:17" x14ac:dyDescent="0.25">
      <c r="A104" s="84"/>
      <c r="B104" s="93"/>
      <c r="F104" s="792"/>
      <c r="G104" s="792"/>
      <c r="H104" s="792"/>
      <c r="I104" s="341"/>
      <c r="J104" s="335"/>
      <c r="K104" s="792"/>
      <c r="L104" s="792"/>
      <c r="M104" s="791"/>
      <c r="N104" s="792"/>
      <c r="O104" s="792"/>
      <c r="P104" s="23"/>
      <c r="Q104" s="728"/>
    </row>
    <row r="105" spans="1:17" x14ac:dyDescent="0.25">
      <c r="A105" s="90" t="s">
        <v>28</v>
      </c>
      <c r="F105" s="792"/>
      <c r="G105" s="792"/>
      <c r="H105" s="792"/>
      <c r="I105" s="521" t="s">
        <v>27</v>
      </c>
      <c r="J105" s="336"/>
      <c r="K105" s="120"/>
      <c r="L105" s="792"/>
      <c r="M105" s="791"/>
      <c r="N105" s="792"/>
      <c r="O105" s="792"/>
      <c r="P105" s="23"/>
      <c r="Q105" s="728"/>
    </row>
    <row r="106" spans="1:17" x14ac:dyDescent="0.25">
      <c r="A106" s="84" t="s">
        <v>29</v>
      </c>
      <c r="B106" s="93"/>
      <c r="F106" s="792"/>
      <c r="G106" s="792"/>
      <c r="H106" s="792"/>
      <c r="I106" s="745">
        <f>'Data 2009-15 (Real $2008)'!I106</f>
        <v>0</v>
      </c>
      <c r="J106" s="333"/>
      <c r="K106" s="121"/>
      <c r="L106" s="792"/>
      <c r="M106" s="791"/>
      <c r="N106" s="792"/>
      <c r="O106" s="792"/>
      <c r="P106" s="79"/>
      <c r="Q106" s="75"/>
    </row>
    <row r="107" spans="1:17" x14ac:dyDescent="0.25">
      <c r="A107" s="84" t="s">
        <v>30</v>
      </c>
      <c r="B107" s="93"/>
      <c r="F107" s="792"/>
      <c r="G107" s="792"/>
      <c r="H107" s="792"/>
      <c r="I107" s="745">
        <f>'Data 2009-15 (Real $2008)'!I107</f>
        <v>0</v>
      </c>
      <c r="J107" s="333"/>
      <c r="K107" s="121"/>
      <c r="L107" s="792"/>
      <c r="M107" s="791"/>
      <c r="N107" s="792"/>
      <c r="O107" s="792"/>
      <c r="P107" s="79"/>
      <c r="Q107" s="75"/>
    </row>
    <row r="108" spans="1:17" x14ac:dyDescent="0.25">
      <c r="A108" s="84" t="s">
        <v>31</v>
      </c>
      <c r="B108" s="93"/>
      <c r="F108" s="792"/>
      <c r="G108" s="792"/>
      <c r="H108" s="792"/>
      <c r="I108" s="745">
        <f>'Data 2009-15 (Real $2008)'!I108</f>
        <v>0</v>
      </c>
      <c r="J108" s="333"/>
      <c r="K108" s="121"/>
      <c r="L108" s="792"/>
      <c r="M108" s="791"/>
      <c r="N108" s="792"/>
      <c r="O108" s="792"/>
      <c r="P108" s="79"/>
      <c r="Q108" s="75"/>
    </row>
    <row r="109" spans="1:17" x14ac:dyDescent="0.25">
      <c r="A109" s="84" t="s">
        <v>32</v>
      </c>
      <c r="B109" s="93"/>
      <c r="F109" s="792"/>
      <c r="G109" s="792"/>
      <c r="H109" s="792"/>
      <c r="I109" s="745">
        <f>'Data 2009-15 (Real $2008)'!I109</f>
        <v>0</v>
      </c>
      <c r="J109" s="333"/>
      <c r="K109" s="121"/>
      <c r="L109" s="792"/>
      <c r="M109" s="791"/>
      <c r="N109" s="792"/>
      <c r="O109" s="792"/>
      <c r="P109" s="79"/>
      <c r="Q109" s="75"/>
    </row>
    <row r="110" spans="1:17" x14ac:dyDescent="0.25">
      <c r="A110" s="84" t="s">
        <v>33</v>
      </c>
      <c r="B110" s="93"/>
      <c r="F110" s="792"/>
      <c r="G110" s="792"/>
      <c r="H110" s="792"/>
      <c r="I110" s="745">
        <f>'Data 2009-15 (Real $2008)'!I110</f>
        <v>0</v>
      </c>
      <c r="J110" s="333"/>
      <c r="K110" s="121"/>
      <c r="L110" s="792"/>
      <c r="M110" s="791"/>
      <c r="N110" s="792"/>
      <c r="O110" s="792"/>
      <c r="P110" s="79"/>
      <c r="Q110" s="75"/>
    </row>
    <row r="111" spans="1:17" x14ac:dyDescent="0.25">
      <c r="A111" s="84" t="s">
        <v>34</v>
      </c>
      <c r="B111" s="91"/>
      <c r="F111" s="792"/>
      <c r="G111" s="792"/>
      <c r="H111" s="792"/>
      <c r="I111" s="745">
        <f>'Data 2009-15 (Real $2008)'!I111</f>
        <v>0</v>
      </c>
      <c r="J111" s="333"/>
      <c r="K111" s="121"/>
      <c r="L111" s="792"/>
      <c r="M111" s="791"/>
      <c r="N111" s="792"/>
      <c r="O111" s="792"/>
      <c r="P111" s="79"/>
      <c r="Q111" s="75"/>
    </row>
    <row r="112" spans="1:17" x14ac:dyDescent="0.25">
      <c r="A112" s="564" t="s">
        <v>369</v>
      </c>
      <c r="B112" s="91"/>
      <c r="F112" s="792"/>
      <c r="G112" s="792"/>
      <c r="H112" s="792"/>
      <c r="I112" s="745">
        <f>'Data 2009-15 (Real $2008)'!I112</f>
        <v>0</v>
      </c>
      <c r="J112" s="333"/>
      <c r="K112" s="121"/>
      <c r="L112" s="792"/>
      <c r="M112" s="791"/>
      <c r="N112" s="792"/>
      <c r="O112" s="792"/>
      <c r="P112" s="79"/>
      <c r="Q112" s="75"/>
    </row>
    <row r="113" spans="1:17" x14ac:dyDescent="0.25">
      <c r="A113" s="564" t="s">
        <v>370</v>
      </c>
      <c r="B113" s="91"/>
      <c r="F113" s="792"/>
      <c r="G113" s="792"/>
      <c r="H113" s="792"/>
      <c r="I113" s="745">
        <f>'Data 2009-15 (Real $2008)'!I113</f>
        <v>0</v>
      </c>
      <c r="J113" s="333"/>
      <c r="K113" s="121"/>
      <c r="L113" s="792"/>
      <c r="M113" s="791"/>
      <c r="N113" s="792"/>
      <c r="O113" s="792"/>
      <c r="P113" s="79"/>
      <c r="Q113" s="75"/>
    </row>
    <row r="114" spans="1:17" x14ac:dyDescent="0.25">
      <c r="A114" s="564" t="s">
        <v>371</v>
      </c>
      <c r="B114" s="91"/>
      <c r="F114" s="792"/>
      <c r="G114" s="792"/>
      <c r="H114" s="792"/>
      <c r="I114" s="745">
        <f>'Data 2009-15 (Real $2008)'!I114</f>
        <v>0</v>
      </c>
      <c r="J114" s="333"/>
      <c r="K114" s="121"/>
      <c r="L114" s="792"/>
      <c r="M114" s="791"/>
      <c r="N114" s="792"/>
      <c r="O114" s="792"/>
      <c r="P114" s="79"/>
      <c r="Q114" s="75"/>
    </row>
    <row r="115" spans="1:17" x14ac:dyDescent="0.25">
      <c r="A115" s="564" t="s">
        <v>372</v>
      </c>
      <c r="F115" s="792"/>
      <c r="G115" s="792"/>
      <c r="H115" s="792"/>
      <c r="I115" s="745">
        <f>'Data 2009-15 (Real $2008)'!I115</f>
        <v>0</v>
      </c>
      <c r="J115" s="333"/>
      <c r="K115" s="121"/>
      <c r="L115" s="792"/>
      <c r="M115" s="791"/>
      <c r="N115" s="792"/>
      <c r="O115" s="792"/>
      <c r="P115" s="79"/>
      <c r="Q115" s="75"/>
    </row>
    <row r="116" spans="1:17" x14ac:dyDescent="0.25">
      <c r="A116" s="564" t="s">
        <v>373</v>
      </c>
      <c r="B116" s="60"/>
      <c r="F116" s="792"/>
      <c r="G116" s="792"/>
      <c r="H116" s="792"/>
      <c r="I116" s="756">
        <f>'Data 2009-15 (Real $2008)'!I116</f>
        <v>0</v>
      </c>
      <c r="J116" s="337"/>
      <c r="K116" s="121"/>
      <c r="L116" s="792"/>
      <c r="M116" s="791"/>
      <c r="N116" s="792"/>
      <c r="O116" s="792"/>
      <c r="P116" s="80"/>
      <c r="Q116" s="81"/>
    </row>
    <row r="117" spans="1:17" x14ac:dyDescent="0.25">
      <c r="B117" s="60"/>
      <c r="F117" s="792"/>
      <c r="G117" s="792"/>
      <c r="H117" s="792"/>
      <c r="L117" s="792"/>
    </row>
    <row r="119" spans="1:17" s="791" customFormat="1" ht="13.8" thickBot="1" x14ac:dyDescent="0.3">
      <c r="A119" s="805"/>
      <c r="B119" s="880"/>
      <c r="C119" s="805"/>
      <c r="D119" s="805"/>
      <c r="E119" s="805"/>
      <c r="F119" s="805"/>
      <c r="G119" s="805"/>
      <c r="H119" s="805"/>
      <c r="I119" s="805"/>
      <c r="J119" s="805"/>
      <c r="K119" s="881"/>
      <c r="L119" s="805"/>
      <c r="M119" s="805"/>
      <c r="N119" s="805"/>
      <c r="O119" s="805"/>
      <c r="P119" s="805"/>
      <c r="Q119" s="805"/>
    </row>
    <row r="120" spans="1:17" s="791" customFormat="1" x14ac:dyDescent="0.25">
      <c r="B120" s="834"/>
      <c r="K120" s="785"/>
      <c r="L120" s="804"/>
      <c r="M120" s="804"/>
      <c r="N120" s="804"/>
      <c r="O120" s="804"/>
    </row>
    <row r="121" spans="1:17" s="791" customFormat="1" x14ac:dyDescent="0.25">
      <c r="B121" s="834"/>
      <c r="K121" s="785"/>
      <c r="L121" s="804"/>
      <c r="M121" s="804"/>
      <c r="N121" s="804"/>
      <c r="O121" s="804"/>
    </row>
    <row r="122" spans="1:17" s="791" customFormat="1" x14ac:dyDescent="0.25">
      <c r="B122" s="834"/>
      <c r="K122" s="785"/>
      <c r="L122" s="804"/>
      <c r="M122" s="804"/>
      <c r="N122" s="804"/>
      <c r="O122" s="804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ColWidth="9.109375" defaultRowHeight="13.2" x14ac:dyDescent="0.25"/>
  <cols>
    <col min="1" max="1" width="58.5546875" style="461" customWidth="1"/>
    <col min="2" max="2" width="11.44140625" style="465" customWidth="1"/>
    <col min="3" max="3" width="18.88671875" style="461" customWidth="1"/>
    <col min="4" max="4" width="13.109375" style="461" customWidth="1"/>
    <col min="5" max="5" width="12.44140625" style="461" customWidth="1"/>
    <col min="6" max="6" width="13.33203125" style="461" customWidth="1"/>
    <col min="7" max="7" width="10.5546875" style="461" customWidth="1"/>
    <col min="8" max="8" width="12" style="461" customWidth="1"/>
    <col min="9" max="9" width="13.44140625" style="461" customWidth="1"/>
    <col min="10" max="10" width="11.44140625" style="461" customWidth="1"/>
    <col min="11" max="11" width="9.109375" style="461"/>
    <col min="12" max="12" width="13" style="461" customWidth="1"/>
    <col min="13" max="16384" width="9.109375" style="461"/>
  </cols>
  <sheetData>
    <row r="1" spans="1:11" x14ac:dyDescent="0.25">
      <c r="A1" s="583" t="str">
        <f>'IMRO Decision 2006-10'!A1</f>
        <v>SP AusNet</v>
      </c>
      <c r="B1" s="584" t="s">
        <v>0</v>
      </c>
      <c r="C1" s="585" t="str">
        <f>IF(SUM(C201)&lt;0.001,"Ok","Error")</f>
        <v>Ok</v>
      </c>
      <c r="D1" s="783">
        <f>C201</f>
        <v>0</v>
      </c>
      <c r="E1" s="586"/>
      <c r="F1" s="586"/>
      <c r="G1" s="586"/>
      <c r="H1" s="586"/>
      <c r="I1" s="586"/>
      <c r="J1" s="586"/>
      <c r="K1" s="586"/>
    </row>
    <row r="2" spans="1:11" s="465" customFormat="1" ht="13.8" x14ac:dyDescent="0.25">
      <c r="A2" s="587"/>
      <c r="B2" s="587"/>
      <c r="C2" s="588"/>
      <c r="D2" s="588"/>
      <c r="E2" s="588"/>
      <c r="F2" s="588"/>
      <c r="G2" s="588"/>
      <c r="H2" s="588"/>
      <c r="I2" s="588"/>
      <c r="J2" s="588"/>
      <c r="K2" s="588"/>
    </row>
    <row r="3" spans="1:11" ht="15.6" x14ac:dyDescent="0.3">
      <c r="A3" s="811" t="s">
        <v>404</v>
      </c>
      <c r="B3" s="589"/>
    </row>
    <row r="4" spans="1:11" s="465" customFormat="1" x14ac:dyDescent="0.25">
      <c r="A4" s="590"/>
      <c r="B4" s="590"/>
    </row>
    <row r="5" spans="1:11" ht="15.6" x14ac:dyDescent="0.3">
      <c r="A5" s="918" t="s">
        <v>39</v>
      </c>
      <c r="B5" s="919"/>
      <c r="C5" s="919"/>
      <c r="D5" s="920"/>
      <c r="E5" s="920"/>
      <c r="F5" s="921"/>
    </row>
    <row r="6" spans="1:11" s="465" customFormat="1" x14ac:dyDescent="0.25">
      <c r="A6" s="591" t="s">
        <v>73</v>
      </c>
      <c r="B6" s="592"/>
    </row>
    <row r="7" spans="1:11" s="465" customFormat="1" x14ac:dyDescent="0.25">
      <c r="A7" s="453"/>
      <c r="B7" s="453"/>
    </row>
    <row r="8" spans="1:11" x14ac:dyDescent="0.25">
      <c r="C8" s="33" t="s">
        <v>7</v>
      </c>
      <c r="D8" s="812">
        <v>2006</v>
      </c>
      <c r="E8" s="77">
        <v>2007</v>
      </c>
      <c r="F8" s="813">
        <v>2008</v>
      </c>
    </row>
    <row r="9" spans="1:11" ht="12.75" customHeight="1" x14ac:dyDescent="0.25">
      <c r="A9" s="595" t="s">
        <v>36</v>
      </c>
      <c r="B9" s="595"/>
      <c r="C9" s="34" t="s">
        <v>8</v>
      </c>
      <c r="D9" s="915" t="s">
        <v>40</v>
      </c>
      <c r="E9" s="916"/>
      <c r="F9" s="917"/>
    </row>
    <row r="10" spans="1:11" x14ac:dyDescent="0.25">
      <c r="A10" s="461" t="str">
        <f>A$161</f>
        <v>Accumulation Meters</v>
      </c>
      <c r="C10" s="814">
        <f>C161</f>
        <v>35</v>
      </c>
      <c r="D10" s="815">
        <v>3884866</v>
      </c>
      <c r="E10" s="816">
        <v>3731713.7004690147</v>
      </c>
      <c r="F10" s="817">
        <v>4655660.0456358176</v>
      </c>
      <c r="G10" s="596"/>
    </row>
    <row r="11" spans="1:11" x14ac:dyDescent="0.25">
      <c r="A11" s="461" t="str">
        <f>A$162</f>
        <v>Manually read interval meters</v>
      </c>
      <c r="C11" s="818">
        <f>C162</f>
        <v>10</v>
      </c>
      <c r="D11" s="757">
        <v>1152440</v>
      </c>
      <c r="E11" s="758">
        <v>3068765.1960286894</v>
      </c>
      <c r="F11" s="759">
        <v>4079284.046640974</v>
      </c>
      <c r="G11" s="596"/>
    </row>
    <row r="12" spans="1:11" x14ac:dyDescent="0.25">
      <c r="A12" s="461" t="str">
        <f>A$163</f>
        <v>Metering Data Services (IT)</v>
      </c>
      <c r="C12" s="818">
        <f>C163</f>
        <v>5</v>
      </c>
      <c r="D12" s="757">
        <v>2265768</v>
      </c>
      <c r="E12" s="758">
        <v>63679.999999997999</v>
      </c>
      <c r="F12" s="759">
        <v>111640.67900000009</v>
      </c>
      <c r="G12" s="596"/>
    </row>
    <row r="13" spans="1:11" x14ac:dyDescent="0.25">
      <c r="A13" s="461" t="str">
        <f>A$164</f>
        <v>Metering Data Services (Other)</v>
      </c>
      <c r="C13" s="819">
        <f>C164</f>
        <v>5</v>
      </c>
      <c r="D13" s="820">
        <v>222281</v>
      </c>
      <c r="E13" s="821">
        <v>114613.28107590035</v>
      </c>
      <c r="F13" s="822">
        <v>0</v>
      </c>
      <c r="G13" s="596"/>
    </row>
    <row r="14" spans="1:11" ht="13.8" thickBot="1" x14ac:dyDescent="0.3">
      <c r="A14" s="597" t="s">
        <v>44</v>
      </c>
      <c r="B14" s="597"/>
      <c r="C14" s="823"/>
      <c r="D14" s="824">
        <f>SUM(D10:D13)</f>
        <v>7525355</v>
      </c>
      <c r="E14" s="825">
        <f>SUM(E10:E13)</f>
        <v>6978772.1775736026</v>
      </c>
      <c r="F14" s="826">
        <f>SUM(F10:F13)</f>
        <v>8846584.7712767906</v>
      </c>
      <c r="G14" s="596"/>
    </row>
    <row r="15" spans="1:11" ht="13.8" thickTop="1" x14ac:dyDescent="0.25">
      <c r="C15" s="823"/>
      <c r="D15" s="823"/>
      <c r="E15" s="823"/>
      <c r="F15" s="823"/>
    </row>
    <row r="16" spans="1:11" x14ac:dyDescent="0.25">
      <c r="C16" s="823"/>
      <c r="D16" s="823"/>
      <c r="E16" s="823"/>
      <c r="F16" s="823"/>
    </row>
    <row r="17" spans="1:6" x14ac:dyDescent="0.25">
      <c r="A17" s="462"/>
      <c r="B17" s="599"/>
      <c r="C17" s="308" t="s">
        <v>275</v>
      </c>
      <c r="D17" s="77">
        <v>2006</v>
      </c>
      <c r="E17" s="827">
        <v>2007</v>
      </c>
      <c r="F17" s="813">
        <v>2008</v>
      </c>
    </row>
    <row r="18" spans="1:6" x14ac:dyDescent="0.25">
      <c r="A18" s="600" t="s">
        <v>46</v>
      </c>
      <c r="B18" s="601"/>
      <c r="C18" s="321" t="s">
        <v>47</v>
      </c>
      <c r="D18" s="925" t="s">
        <v>21</v>
      </c>
      <c r="E18" s="916"/>
      <c r="F18" s="917"/>
    </row>
    <row r="19" spans="1:6" x14ac:dyDescent="0.25">
      <c r="A19" s="461" t="str">
        <f>A$176</f>
        <v>Standard metering (Group 1) (Unit cost &lt; $1,000)</v>
      </c>
      <c r="C19" s="828">
        <f>C176</f>
        <v>0.375</v>
      </c>
      <c r="D19" s="829">
        <f>SUM(D10:D11)-D20</f>
        <v>5037306</v>
      </c>
      <c r="E19" s="829">
        <f>SUM(E10:E11)-E20</f>
        <v>6800478.8964977041</v>
      </c>
      <c r="F19" s="830">
        <f>SUM(F10:F11)-F20</f>
        <v>8734944.0922767911</v>
      </c>
    </row>
    <row r="20" spans="1:6" x14ac:dyDescent="0.25">
      <c r="A20" s="461" t="str">
        <f>A$177</f>
        <v>Standard metering (Group 2) (Unit cost =&gt; $1,000)</v>
      </c>
      <c r="C20" s="828">
        <f>C177</f>
        <v>0.06</v>
      </c>
      <c r="D20" s="757">
        <v>0</v>
      </c>
      <c r="E20" s="758">
        <v>0</v>
      </c>
      <c r="F20" s="759">
        <v>0</v>
      </c>
    </row>
    <row r="21" spans="1:6" x14ac:dyDescent="0.25">
      <c r="A21" s="461" t="str">
        <f>A$178</f>
        <v>IT</v>
      </c>
      <c r="B21" s="599"/>
      <c r="C21" s="828">
        <f>C178</f>
        <v>0.4</v>
      </c>
      <c r="D21" s="829">
        <f t="shared" ref="D21:F22" si="0">D12</f>
        <v>2265768</v>
      </c>
      <c r="E21" s="829">
        <f t="shared" si="0"/>
        <v>63679.999999997999</v>
      </c>
      <c r="F21" s="830">
        <f t="shared" si="0"/>
        <v>111640.67900000009</v>
      </c>
    </row>
    <row r="22" spans="1:6" x14ac:dyDescent="0.25">
      <c r="A22" s="596" t="str">
        <f>A$179</f>
        <v>Other</v>
      </c>
      <c r="B22" s="599"/>
      <c r="C22" s="831">
        <f>C179</f>
        <v>0.1764705882352941</v>
      </c>
      <c r="D22" s="829">
        <f t="shared" si="0"/>
        <v>222281</v>
      </c>
      <c r="E22" s="829">
        <f t="shared" si="0"/>
        <v>114613.28107590035</v>
      </c>
      <c r="F22" s="830">
        <f t="shared" si="0"/>
        <v>0</v>
      </c>
    </row>
    <row r="23" spans="1:6" ht="13.8" thickBot="1" x14ac:dyDescent="0.3">
      <c r="A23" s="597" t="s">
        <v>44</v>
      </c>
      <c r="B23" s="597"/>
      <c r="C23" s="823"/>
      <c r="D23" s="824">
        <f>SUM(D19:D22)</f>
        <v>7525355</v>
      </c>
      <c r="E23" s="825">
        <f>SUM(E19:E22)</f>
        <v>6978772.1775736026</v>
      </c>
      <c r="F23" s="826">
        <f>SUM(F19:F22)</f>
        <v>8846584.7712767906</v>
      </c>
    </row>
    <row r="24" spans="1:6" ht="13.8" thickTop="1" x14ac:dyDescent="0.25">
      <c r="C24" s="823"/>
      <c r="D24" s="823"/>
      <c r="E24" s="823"/>
      <c r="F24" s="823"/>
    </row>
    <row r="25" spans="1:6" x14ac:dyDescent="0.25">
      <c r="C25" s="823"/>
      <c r="D25" s="823"/>
      <c r="E25" s="823"/>
      <c r="F25" s="823"/>
    </row>
    <row r="26" spans="1:6" x14ac:dyDescent="0.25">
      <c r="C26" s="823"/>
      <c r="D26" s="812">
        <v>2006</v>
      </c>
      <c r="E26" s="77">
        <v>2007</v>
      </c>
      <c r="F26" s="813">
        <v>2008</v>
      </c>
    </row>
    <row r="27" spans="1:6" ht="12.75" customHeight="1" x14ac:dyDescent="0.25">
      <c r="A27" s="89" t="s">
        <v>258</v>
      </c>
      <c r="B27" s="453"/>
      <c r="C27" s="823"/>
      <c r="D27" s="922" t="s">
        <v>21</v>
      </c>
      <c r="E27" s="923"/>
      <c r="F27" s="924" t="s">
        <v>45</v>
      </c>
    </row>
    <row r="28" spans="1:6" x14ac:dyDescent="0.25">
      <c r="A28" s="461" t="s">
        <v>124</v>
      </c>
      <c r="C28" s="823"/>
      <c r="D28" s="815">
        <v>0</v>
      </c>
      <c r="E28" s="816">
        <v>0</v>
      </c>
      <c r="F28" s="817">
        <v>0</v>
      </c>
    </row>
    <row r="29" spans="1:6" x14ac:dyDescent="0.25">
      <c r="A29" s="461" t="s">
        <v>5</v>
      </c>
      <c r="C29" s="823"/>
      <c r="D29" s="820">
        <v>0</v>
      </c>
      <c r="E29" s="821">
        <v>0</v>
      </c>
      <c r="F29" s="822">
        <v>0</v>
      </c>
    </row>
    <row r="30" spans="1:6" x14ac:dyDescent="0.25">
      <c r="C30" s="823"/>
      <c r="D30" s="823"/>
      <c r="E30" s="823"/>
      <c r="F30" s="823"/>
    </row>
    <row r="31" spans="1:6" x14ac:dyDescent="0.25">
      <c r="C31" s="823"/>
      <c r="D31" s="823"/>
      <c r="E31" s="823"/>
      <c r="F31" s="823"/>
    </row>
    <row r="32" spans="1:6" x14ac:dyDescent="0.25">
      <c r="A32" s="603" t="s">
        <v>273</v>
      </c>
      <c r="B32" s="604"/>
      <c r="C32" s="823"/>
      <c r="D32" s="823"/>
      <c r="E32" s="823"/>
      <c r="F32" s="823"/>
    </row>
    <row r="33" spans="1:6" x14ac:dyDescent="0.25">
      <c r="A33" s="465" t="s">
        <v>286</v>
      </c>
      <c r="C33" s="832" t="s">
        <v>279</v>
      </c>
      <c r="D33" s="823"/>
      <c r="E33" s="823"/>
      <c r="F33" s="823"/>
    </row>
    <row r="34" spans="1:6" x14ac:dyDescent="0.25">
      <c r="A34" s="461" t="s">
        <v>287</v>
      </c>
      <c r="C34" s="833">
        <v>2013</v>
      </c>
      <c r="D34" s="823"/>
      <c r="E34" s="823"/>
      <c r="F34" s="823"/>
    </row>
    <row r="35" spans="1:6" x14ac:dyDescent="0.25">
      <c r="C35" s="823"/>
      <c r="D35" s="823"/>
      <c r="E35" s="823"/>
      <c r="F35" s="823"/>
    </row>
    <row r="36" spans="1:6" x14ac:dyDescent="0.25">
      <c r="C36" s="823"/>
      <c r="D36" s="823"/>
      <c r="E36" s="823"/>
      <c r="F36" s="823"/>
    </row>
    <row r="37" spans="1:6" x14ac:dyDescent="0.25">
      <c r="C37" s="823"/>
      <c r="D37" s="812">
        <v>2006</v>
      </c>
      <c r="E37" s="827">
        <v>2007</v>
      </c>
      <c r="F37" s="813">
        <v>2008</v>
      </c>
    </row>
    <row r="38" spans="1:6" ht="12.75" customHeight="1" x14ac:dyDescent="0.25">
      <c r="A38" s="89" t="s">
        <v>256</v>
      </c>
      <c r="B38" s="453"/>
      <c r="C38" s="823"/>
      <c r="D38" s="915" t="s">
        <v>72</v>
      </c>
      <c r="E38" s="916"/>
      <c r="F38" s="917"/>
    </row>
    <row r="39" spans="1:6" s="465" customFormat="1" ht="12.75" customHeight="1" x14ac:dyDescent="0.25">
      <c r="A39" s="605" t="s">
        <v>157</v>
      </c>
      <c r="B39" s="606"/>
      <c r="C39" s="834"/>
      <c r="D39" s="835"/>
      <c r="E39" s="836"/>
      <c r="F39" s="837"/>
    </row>
    <row r="40" spans="1:6" x14ac:dyDescent="0.25">
      <c r="A40" s="461" t="s">
        <v>158</v>
      </c>
      <c r="C40" s="838" t="s">
        <v>268</v>
      </c>
      <c r="D40" s="757">
        <v>196765.7254</v>
      </c>
      <c r="E40" s="758">
        <v>517644.13400000002</v>
      </c>
      <c r="F40" s="759">
        <v>490545.0344</v>
      </c>
    </row>
    <row r="41" spans="1:6" x14ac:dyDescent="0.25">
      <c r="A41" s="461" t="s">
        <v>89</v>
      </c>
      <c r="C41" s="838" t="s">
        <v>267</v>
      </c>
      <c r="D41" s="757">
        <v>0</v>
      </c>
      <c r="E41" s="758">
        <v>0</v>
      </c>
      <c r="F41" s="759">
        <v>0</v>
      </c>
    </row>
    <row r="42" spans="1:6" x14ac:dyDescent="0.25">
      <c r="A42" s="461" t="s">
        <v>44</v>
      </c>
      <c r="C42" s="823"/>
      <c r="D42" s="839">
        <f>SUM(D40:D41)</f>
        <v>196765.7254</v>
      </c>
      <c r="E42" s="840">
        <f>SUM(E40:E41)</f>
        <v>517644.13400000002</v>
      </c>
      <c r="F42" s="841">
        <f>SUM(F40:F41)</f>
        <v>490545.0344</v>
      </c>
    </row>
    <row r="43" spans="1:6" x14ac:dyDescent="0.25">
      <c r="C43" s="823"/>
      <c r="D43" s="842"/>
      <c r="E43" s="829"/>
      <c r="F43" s="830"/>
    </row>
    <row r="44" spans="1:6" x14ac:dyDescent="0.25">
      <c r="A44" s="605" t="s">
        <v>159</v>
      </c>
      <c r="B44" s="606"/>
      <c r="C44" s="823"/>
      <c r="D44" s="842"/>
      <c r="E44" s="829"/>
      <c r="F44" s="830"/>
    </row>
    <row r="45" spans="1:6" x14ac:dyDescent="0.25">
      <c r="A45" s="461" t="s">
        <v>23</v>
      </c>
      <c r="C45" s="838" t="s">
        <v>268</v>
      </c>
      <c r="D45" s="757">
        <v>8374116.0488559995</v>
      </c>
      <c r="E45" s="758">
        <v>7403752.3311585048</v>
      </c>
      <c r="F45" s="759">
        <v>9000552.3345711287</v>
      </c>
    </row>
    <row r="46" spans="1:6" x14ac:dyDescent="0.25">
      <c r="A46" s="461" t="s">
        <v>261</v>
      </c>
      <c r="C46" s="838" t="s">
        <v>268</v>
      </c>
      <c r="D46" s="757">
        <v>180441.21576354679</v>
      </c>
      <c r="E46" s="758">
        <v>143458.41723118219</v>
      </c>
      <c r="F46" s="759">
        <v>205691.66480831188</v>
      </c>
    </row>
    <row r="47" spans="1:6" x14ac:dyDescent="0.25">
      <c r="A47" s="609" t="s">
        <v>53</v>
      </c>
      <c r="B47" s="599"/>
      <c r="C47" s="838" t="s">
        <v>267</v>
      </c>
      <c r="D47" s="757">
        <v>2049635.5721609329</v>
      </c>
      <c r="E47" s="758">
        <v>2907290.7879588599</v>
      </c>
      <c r="F47" s="759">
        <v>3094360.020275455</v>
      </c>
    </row>
    <row r="48" spans="1:6" x14ac:dyDescent="0.25">
      <c r="A48" s="461" t="s">
        <v>44</v>
      </c>
      <c r="C48" s="823"/>
      <c r="D48" s="839">
        <f>SUM(D45:D47)</f>
        <v>10604192.836780479</v>
      </c>
      <c r="E48" s="840">
        <f>SUM(E45:E47)</f>
        <v>10454501.536348548</v>
      </c>
      <c r="F48" s="841">
        <f>SUM(F45:F47)</f>
        <v>12300604.019654896</v>
      </c>
    </row>
    <row r="49" spans="1:6" x14ac:dyDescent="0.25">
      <c r="A49" s="462"/>
      <c r="B49" s="599"/>
      <c r="C49" s="823"/>
      <c r="D49" s="843"/>
      <c r="E49" s="844"/>
      <c r="F49" s="845"/>
    </row>
    <row r="50" spans="1:6" ht="13.8" thickBot="1" x14ac:dyDescent="0.3">
      <c r="A50" s="609" t="s">
        <v>257</v>
      </c>
      <c r="B50" s="599"/>
      <c r="C50" s="846"/>
      <c r="D50" s="824">
        <f>SUM(D42,D48)</f>
        <v>10800958.56218048</v>
      </c>
      <c r="E50" s="825">
        <f>SUM(E42,E48)</f>
        <v>10972145.670348547</v>
      </c>
      <c r="F50" s="847">
        <f>SUM(F42,F48)</f>
        <v>12791149.054054895</v>
      </c>
    </row>
    <row r="51" spans="1:6" ht="13.8" thickTop="1" x14ac:dyDescent="0.25">
      <c r="C51" s="823"/>
      <c r="D51" s="823"/>
      <c r="E51" s="823"/>
      <c r="F51" s="823"/>
    </row>
    <row r="52" spans="1:6" x14ac:dyDescent="0.25">
      <c r="C52" s="823"/>
      <c r="D52" s="823"/>
      <c r="E52" s="823"/>
      <c r="F52" s="823"/>
    </row>
    <row r="53" spans="1:6" ht="13.8" thickBot="1" x14ac:dyDescent="0.3">
      <c r="A53" s="610" t="s">
        <v>269</v>
      </c>
      <c r="B53" s="611"/>
      <c r="C53" s="823"/>
      <c r="D53" s="825">
        <f>SUM(D40,D45:D46)</f>
        <v>8751322.9900195468</v>
      </c>
      <c r="E53" s="825">
        <f>SUM(E40,E45:E46)</f>
        <v>8064854.882389687</v>
      </c>
      <c r="F53" s="825">
        <f>SUM(F40,F45:F46)</f>
        <v>9696789.0337794404</v>
      </c>
    </row>
    <row r="54" spans="1:6" ht="13.8" thickTop="1" x14ac:dyDescent="0.25">
      <c r="A54" s="462"/>
      <c r="B54" s="599"/>
      <c r="C54" s="823"/>
      <c r="D54" s="823"/>
      <c r="E54" s="823"/>
      <c r="F54" s="823"/>
    </row>
    <row r="55" spans="1:6" x14ac:dyDescent="0.25">
      <c r="C55" s="846"/>
      <c r="D55" s="823"/>
      <c r="E55" s="823"/>
      <c r="F55" s="823"/>
    </row>
    <row r="56" spans="1:6" x14ac:dyDescent="0.25">
      <c r="A56" s="89" t="s">
        <v>270</v>
      </c>
      <c r="B56" s="453"/>
      <c r="C56" s="846"/>
      <c r="D56" s="812">
        <v>2006</v>
      </c>
      <c r="E56" s="77">
        <v>2007</v>
      </c>
      <c r="F56" s="813">
        <v>2008</v>
      </c>
    </row>
    <row r="57" spans="1:6" x14ac:dyDescent="0.25">
      <c r="A57" s="612"/>
      <c r="B57" s="613"/>
      <c r="C57" s="846"/>
      <c r="D57" s="915" t="s">
        <v>354</v>
      </c>
      <c r="E57" s="916"/>
      <c r="F57" s="917"/>
    </row>
    <row r="58" spans="1:6" x14ac:dyDescent="0.25">
      <c r="A58" s="614" t="s">
        <v>51</v>
      </c>
      <c r="B58" s="615"/>
      <c r="C58" s="846"/>
      <c r="D58" s="848"/>
      <c r="E58" s="849"/>
      <c r="F58" s="830"/>
    </row>
    <row r="59" spans="1:6" x14ac:dyDescent="0.25">
      <c r="A59" s="617" t="s">
        <v>54</v>
      </c>
      <c r="B59" s="597"/>
      <c r="C59" s="846"/>
      <c r="D59" s="757">
        <v>747003</v>
      </c>
      <c r="E59" s="758">
        <v>754801</v>
      </c>
      <c r="F59" s="759">
        <v>766965</v>
      </c>
    </row>
    <row r="60" spans="1:6" x14ac:dyDescent="0.25">
      <c r="A60" s="612"/>
      <c r="B60" s="613"/>
      <c r="C60" s="846"/>
      <c r="D60" s="848"/>
      <c r="E60" s="849"/>
      <c r="F60" s="830"/>
    </row>
    <row r="61" spans="1:6" x14ac:dyDescent="0.25">
      <c r="A61" s="614" t="s">
        <v>23</v>
      </c>
      <c r="B61" s="615"/>
      <c r="C61" s="823"/>
      <c r="D61" s="850"/>
      <c r="E61" s="846"/>
      <c r="F61" s="851"/>
    </row>
    <row r="62" spans="1:6" x14ac:dyDescent="0.25">
      <c r="A62" s="617" t="s">
        <v>262</v>
      </c>
      <c r="B62" s="597"/>
      <c r="C62" s="823"/>
      <c r="D62" s="850"/>
      <c r="E62" s="846"/>
      <c r="F62" s="851"/>
    </row>
    <row r="63" spans="1:6" x14ac:dyDescent="0.25">
      <c r="A63" s="617" t="s">
        <v>55</v>
      </c>
      <c r="B63" s="597"/>
      <c r="C63" s="823"/>
      <c r="D63" s="757">
        <v>6764.148180531156</v>
      </c>
      <c r="E63" s="758">
        <v>6872.3695841620784</v>
      </c>
      <c r="F63" s="759">
        <v>7136.2499837070427</v>
      </c>
    </row>
    <row r="64" spans="1:6" x14ac:dyDescent="0.25">
      <c r="A64" s="617" t="s">
        <v>56</v>
      </c>
      <c r="B64" s="597"/>
      <c r="C64" s="823"/>
      <c r="D64" s="757">
        <v>716482.85181946878</v>
      </c>
      <c r="E64" s="758">
        <v>719578.63041583798</v>
      </c>
      <c r="F64" s="759">
        <v>725810.75001629291</v>
      </c>
    </row>
    <row r="65" spans="1:6" x14ac:dyDescent="0.25">
      <c r="A65" s="617" t="s">
        <v>57</v>
      </c>
      <c r="B65" s="597"/>
      <c r="C65" s="823"/>
      <c r="D65" s="757">
        <v>222.17735320948188</v>
      </c>
      <c r="E65" s="758">
        <v>268.19658546962552</v>
      </c>
      <c r="F65" s="759">
        <v>331.21215032703071</v>
      </c>
    </row>
    <row r="66" spans="1:6" x14ac:dyDescent="0.25">
      <c r="A66" s="617" t="s">
        <v>58</v>
      </c>
      <c r="B66" s="597"/>
      <c r="C66" s="823"/>
      <c r="D66" s="757">
        <v>23533.822646790519</v>
      </c>
      <c r="E66" s="758">
        <v>28081.803414530375</v>
      </c>
      <c r="F66" s="759">
        <v>33686.787849672968</v>
      </c>
    </row>
    <row r="67" spans="1:6" x14ac:dyDescent="0.25">
      <c r="C67" s="823"/>
      <c r="D67" s="850"/>
      <c r="E67" s="846"/>
      <c r="F67" s="851"/>
    </row>
    <row r="68" spans="1:6" x14ac:dyDescent="0.25">
      <c r="A68" s="614" t="s">
        <v>52</v>
      </c>
      <c r="B68" s="615"/>
      <c r="C68" s="846"/>
      <c r="D68" s="848"/>
      <c r="E68" s="849"/>
      <c r="F68" s="830"/>
    </row>
    <row r="69" spans="1:6" x14ac:dyDescent="0.25">
      <c r="A69" s="617" t="s">
        <v>59</v>
      </c>
      <c r="B69" s="597"/>
      <c r="C69" s="846"/>
      <c r="D69" s="757">
        <v>4947</v>
      </c>
      <c r="E69" s="758">
        <v>3729</v>
      </c>
      <c r="F69" s="759">
        <v>5172</v>
      </c>
    </row>
    <row r="70" spans="1:6" collapsed="1" x14ac:dyDescent="0.25">
      <c r="A70" s="617"/>
      <c r="B70" s="597"/>
      <c r="C70" s="846"/>
      <c r="D70" s="852"/>
      <c r="E70" s="853"/>
      <c r="F70" s="854"/>
    </row>
    <row r="71" spans="1:6" x14ac:dyDescent="0.25">
      <c r="A71" s="617"/>
      <c r="B71" s="597"/>
      <c r="C71" s="846"/>
      <c r="D71" s="849"/>
      <c r="E71" s="849"/>
      <c r="F71" s="829"/>
    </row>
    <row r="72" spans="1:6" x14ac:dyDescent="0.25">
      <c r="A72" s="617"/>
      <c r="B72" s="597"/>
      <c r="C72" s="846"/>
      <c r="D72" s="849"/>
      <c r="E72" s="849"/>
      <c r="F72" s="829"/>
    </row>
    <row r="73" spans="1:6" x14ac:dyDescent="0.25">
      <c r="A73" s="595" t="s">
        <v>60</v>
      </c>
      <c r="B73" s="595"/>
      <c r="C73" s="846"/>
      <c r="D73" s="812">
        <v>2006</v>
      </c>
      <c r="E73" s="77">
        <v>2007</v>
      </c>
      <c r="F73" s="813">
        <v>2008</v>
      </c>
    </row>
    <row r="74" spans="1:6" x14ac:dyDescent="0.25">
      <c r="A74" s="617"/>
      <c r="B74" s="597"/>
      <c r="C74" s="846"/>
      <c r="D74" s="915" t="s">
        <v>61</v>
      </c>
      <c r="E74" s="916"/>
      <c r="F74" s="917"/>
    </row>
    <row r="75" spans="1:6" ht="13.8" thickBot="1" x14ac:dyDescent="0.3">
      <c r="A75" s="617" t="s">
        <v>62</v>
      </c>
      <c r="B75" s="597"/>
      <c r="C75" s="846"/>
      <c r="D75" s="760">
        <v>18927872.469999999</v>
      </c>
      <c r="E75" s="761">
        <v>24234061.212000001</v>
      </c>
      <c r="F75" s="762">
        <v>29871505.958270401</v>
      </c>
    </row>
    <row r="76" spans="1:6" ht="13.8" thickTop="1" x14ac:dyDescent="0.25"/>
    <row r="79" spans="1:6" ht="15.6" x14ac:dyDescent="0.3">
      <c r="A79" s="918" t="s">
        <v>63</v>
      </c>
      <c r="B79" s="919"/>
      <c r="C79" s="919"/>
      <c r="D79" s="920"/>
      <c r="E79" s="920"/>
      <c r="F79" s="921"/>
    </row>
    <row r="80" spans="1:6" x14ac:dyDescent="0.25">
      <c r="A80" s="609"/>
      <c r="B80" s="599"/>
      <c r="C80" s="599"/>
      <c r="D80" s="462"/>
      <c r="E80" s="462"/>
      <c r="F80" s="462"/>
    </row>
    <row r="81" spans="1:6" x14ac:dyDescent="0.25">
      <c r="A81" s="609"/>
      <c r="B81" s="599"/>
      <c r="C81" s="599"/>
      <c r="D81" s="618">
        <v>2006</v>
      </c>
      <c r="E81" s="619">
        <v>2007</v>
      </c>
      <c r="F81" s="620">
        <v>2008</v>
      </c>
    </row>
    <row r="82" spans="1:6" x14ac:dyDescent="0.25">
      <c r="A82" s="603" t="s">
        <v>36</v>
      </c>
      <c r="B82" s="604"/>
      <c r="C82" s="33" t="s">
        <v>7</v>
      </c>
      <c r="D82" s="915" t="s">
        <v>40</v>
      </c>
      <c r="E82" s="916"/>
      <c r="F82" s="917"/>
    </row>
    <row r="83" spans="1:6" x14ac:dyDescent="0.25">
      <c r="A83" s="621"/>
      <c r="B83" s="622"/>
      <c r="C83" s="99" t="s">
        <v>8</v>
      </c>
      <c r="D83" s="850"/>
      <c r="E83" s="846"/>
      <c r="F83" s="851"/>
    </row>
    <row r="84" spans="1:6" x14ac:dyDescent="0.25">
      <c r="A84" s="624" t="str">
        <f>'Data 2009-15 (Real $2008)'!A$154</f>
        <v>Remotely read interval meters &amp; transformers</v>
      </c>
      <c r="B84" s="625"/>
      <c r="C84" s="855">
        <f>'Data 2009-15 (Real $2008)'!C154</f>
        <v>15</v>
      </c>
      <c r="D84" s="757">
        <v>0</v>
      </c>
      <c r="E84" s="758">
        <v>0</v>
      </c>
      <c r="F84" s="759">
        <v>0</v>
      </c>
    </row>
    <row r="85" spans="1:6" x14ac:dyDescent="0.25">
      <c r="A85" s="461" t="s">
        <v>276</v>
      </c>
      <c r="C85" s="855">
        <f>'Data 2009-15 (Real $2008)'!C155</f>
        <v>7</v>
      </c>
      <c r="D85" s="757">
        <v>0</v>
      </c>
      <c r="E85" s="758">
        <v>3778690.47</v>
      </c>
      <c r="F85" s="759">
        <v>10033258.379999999</v>
      </c>
    </row>
    <row r="86" spans="1:6" x14ac:dyDescent="0.25">
      <c r="A86" s="461" t="s">
        <v>278</v>
      </c>
      <c r="C86" s="855">
        <f>'Data 2009-15 (Real $2008)'!C156</f>
        <v>7</v>
      </c>
      <c r="D86" s="757">
        <v>0</v>
      </c>
      <c r="E86" s="758">
        <v>0</v>
      </c>
      <c r="F86" s="759">
        <v>0</v>
      </c>
    </row>
    <row r="87" spans="1:6" x14ac:dyDescent="0.25">
      <c r="A87" s="624" t="s">
        <v>277</v>
      </c>
      <c r="B87" s="625"/>
      <c r="C87" s="856">
        <f>'Data 2009-15 (Real $2008)'!C157</f>
        <v>7</v>
      </c>
      <c r="D87" s="757">
        <v>0</v>
      </c>
      <c r="E87" s="758">
        <v>0</v>
      </c>
      <c r="F87" s="759">
        <v>0</v>
      </c>
    </row>
    <row r="88" spans="1:6" x14ac:dyDescent="0.25">
      <c r="A88" s="597" t="s">
        <v>44</v>
      </c>
      <c r="B88" s="597"/>
      <c r="C88" s="792"/>
      <c r="D88" s="857">
        <f>SUM(D84:D87)</f>
        <v>0</v>
      </c>
      <c r="E88" s="858">
        <f>SUM(E84:E87)</f>
        <v>3778690.47</v>
      </c>
      <c r="F88" s="859">
        <f>SUM(F84:F87)</f>
        <v>10033258.379999999</v>
      </c>
    </row>
    <row r="89" spans="1:6" x14ac:dyDescent="0.25">
      <c r="C89" s="823"/>
      <c r="D89" s="860"/>
      <c r="E89" s="860"/>
      <c r="F89" s="860"/>
    </row>
    <row r="90" spans="1:6" x14ac:dyDescent="0.25">
      <c r="C90" s="823"/>
      <c r="D90" s="860"/>
      <c r="E90" s="860"/>
      <c r="F90" s="860"/>
    </row>
    <row r="91" spans="1:6" x14ac:dyDescent="0.25">
      <c r="A91" s="627"/>
      <c r="B91" s="627"/>
      <c r="C91" s="792"/>
      <c r="D91" s="861">
        <v>2006</v>
      </c>
      <c r="E91" s="862">
        <v>2007</v>
      </c>
      <c r="F91" s="863">
        <v>2008</v>
      </c>
    </row>
    <row r="92" spans="1:6" x14ac:dyDescent="0.25">
      <c r="A92" s="627"/>
      <c r="B92" s="627"/>
      <c r="C92" s="308" t="s">
        <v>275</v>
      </c>
      <c r="D92" s="915" t="s">
        <v>40</v>
      </c>
      <c r="E92" s="916"/>
      <c r="F92" s="917"/>
    </row>
    <row r="93" spans="1:6" x14ac:dyDescent="0.25">
      <c r="A93" s="600" t="s">
        <v>46</v>
      </c>
      <c r="B93" s="601"/>
      <c r="C93" s="321" t="s">
        <v>47</v>
      </c>
      <c r="D93" s="860"/>
      <c r="E93" s="860"/>
      <c r="F93" s="864"/>
    </row>
    <row r="94" spans="1:6" x14ac:dyDescent="0.25">
      <c r="A94" s="461" t="str">
        <f>'Data 2009-15 (Real $2008)'!A$162</f>
        <v>Meters and transformers (Group 1) (Unit cost &lt; $1,000)</v>
      </c>
      <c r="C94" s="865">
        <f>'Data 2009-15 (Real $2008)'!C162</f>
        <v>0.375</v>
      </c>
      <c r="D94" s="866">
        <f>D84-D95</f>
        <v>0</v>
      </c>
      <c r="E94" s="787">
        <f>E84-E95</f>
        <v>0</v>
      </c>
      <c r="F94" s="867">
        <f>F84-F95</f>
        <v>0</v>
      </c>
    </row>
    <row r="95" spans="1:6" x14ac:dyDescent="0.25">
      <c r="A95" s="461" t="str">
        <f>'Data 2009-15 (Real $2008)'!A$163</f>
        <v>Meters and transformers (Group 2) (Unit cost =&gt; $1,000)</v>
      </c>
      <c r="C95" s="868">
        <f>'Data 2009-15 (Real $2008)'!C163</f>
        <v>0.06</v>
      </c>
      <c r="D95" s="757">
        <v>0</v>
      </c>
      <c r="E95" s="758">
        <v>0</v>
      </c>
      <c r="F95" s="759">
        <v>0</v>
      </c>
    </row>
    <row r="96" spans="1:6" x14ac:dyDescent="0.25">
      <c r="A96" s="461" t="str">
        <f>'Data 2009-15 (Real $2008)'!A$164</f>
        <v>IT</v>
      </c>
      <c r="C96" s="868">
        <f>'Data 2009-15 (Real $2008)'!C164</f>
        <v>0.4</v>
      </c>
      <c r="D96" s="866">
        <f t="shared" ref="D96:F98" si="1">D85</f>
        <v>0</v>
      </c>
      <c r="E96" s="787">
        <f t="shared" si="1"/>
        <v>3778690.47</v>
      </c>
      <c r="F96" s="867">
        <f t="shared" si="1"/>
        <v>10033258.379999999</v>
      </c>
    </row>
    <row r="97" spans="1:6" x14ac:dyDescent="0.25">
      <c r="A97" s="461" t="str">
        <f>'Data 2009-15 (Real $2008)'!A$165</f>
        <v>Communications</v>
      </c>
      <c r="C97" s="868">
        <f>'Data 2009-15 (Real $2008)'!C165</f>
        <v>0.21428571428571427</v>
      </c>
      <c r="D97" s="866">
        <f t="shared" si="1"/>
        <v>0</v>
      </c>
      <c r="E97" s="787">
        <f t="shared" si="1"/>
        <v>0</v>
      </c>
      <c r="F97" s="867">
        <f t="shared" si="1"/>
        <v>0</v>
      </c>
    </row>
    <row r="98" spans="1:6" x14ac:dyDescent="0.25">
      <c r="A98" s="596" t="str">
        <f>'Data 2009-15 (Real $2008)'!A$166</f>
        <v>Other</v>
      </c>
      <c r="B98" s="628"/>
      <c r="C98" s="869">
        <f>'Data 2009-15 (Real $2008)'!C166</f>
        <v>0.1764705882352941</v>
      </c>
      <c r="D98" s="866">
        <f t="shared" si="1"/>
        <v>0</v>
      </c>
      <c r="E98" s="787">
        <f t="shared" si="1"/>
        <v>0</v>
      </c>
      <c r="F98" s="867">
        <f t="shared" si="1"/>
        <v>0</v>
      </c>
    </row>
    <row r="99" spans="1:6" ht="13.8" thickBot="1" x14ac:dyDescent="0.3">
      <c r="A99" s="597" t="s">
        <v>44</v>
      </c>
      <c r="B99" s="597"/>
      <c r="C99" s="792"/>
      <c r="D99" s="870">
        <f>SUM(D93:D98)</f>
        <v>0</v>
      </c>
      <c r="E99" s="871">
        <f>SUM(E93:E98)</f>
        <v>3778690.47</v>
      </c>
      <c r="F99" s="872">
        <f>SUM(F93:F98)</f>
        <v>10033258.379999999</v>
      </c>
    </row>
    <row r="100" spans="1:6" ht="13.8" thickTop="1" x14ac:dyDescent="0.25">
      <c r="A100" s="629"/>
      <c r="B100" s="592"/>
      <c r="C100" s="846"/>
      <c r="D100" s="860"/>
      <c r="E100" s="860"/>
      <c r="F100" s="860"/>
    </row>
    <row r="101" spans="1:6" x14ac:dyDescent="0.25">
      <c r="A101" s="629"/>
      <c r="B101" s="592"/>
      <c r="C101" s="846"/>
      <c r="D101" s="860"/>
      <c r="E101" s="860"/>
      <c r="F101" s="860"/>
    </row>
    <row r="102" spans="1:6" x14ac:dyDescent="0.25">
      <c r="A102" s="609"/>
      <c r="B102" s="599"/>
      <c r="C102" s="846"/>
      <c r="D102" s="861">
        <v>2006</v>
      </c>
      <c r="E102" s="862">
        <v>2007</v>
      </c>
      <c r="F102" s="863">
        <v>2008</v>
      </c>
    </row>
    <row r="103" spans="1:6" x14ac:dyDescent="0.25">
      <c r="A103" s="595" t="s">
        <v>1</v>
      </c>
      <c r="B103" s="595"/>
      <c r="C103" s="846"/>
      <c r="D103" s="915" t="s">
        <v>72</v>
      </c>
      <c r="E103" s="916"/>
      <c r="F103" s="917"/>
    </row>
    <row r="104" spans="1:6" x14ac:dyDescent="0.25">
      <c r="A104" s="609"/>
      <c r="B104" s="599"/>
      <c r="C104" s="846"/>
      <c r="D104" s="850"/>
      <c r="E104" s="846"/>
      <c r="F104" s="851"/>
    </row>
    <row r="105" spans="1:6" x14ac:dyDescent="0.25">
      <c r="A105" s="629" t="s">
        <v>64</v>
      </c>
      <c r="B105" s="592"/>
      <c r="C105" s="846"/>
      <c r="D105" s="757">
        <v>0</v>
      </c>
      <c r="E105" s="758">
        <v>0</v>
      </c>
      <c r="F105" s="759">
        <v>0</v>
      </c>
    </row>
    <row r="106" spans="1:6" x14ac:dyDescent="0.25">
      <c r="A106" s="629" t="s">
        <v>65</v>
      </c>
      <c r="B106" s="592"/>
      <c r="C106" s="873"/>
      <c r="D106" s="757">
        <v>0</v>
      </c>
      <c r="E106" s="758">
        <v>1559372</v>
      </c>
      <c r="F106" s="759">
        <v>77435.960000000006</v>
      </c>
    </row>
    <row r="107" spans="1:6" x14ac:dyDescent="0.25">
      <c r="A107" s="629" t="s">
        <v>66</v>
      </c>
      <c r="B107" s="592"/>
      <c r="C107" s="873"/>
      <c r="D107" s="757">
        <v>329755.78999999998</v>
      </c>
      <c r="E107" s="758">
        <v>468319.97</v>
      </c>
      <c r="F107" s="759">
        <v>1418069.36</v>
      </c>
    </row>
    <row r="108" spans="1:6" x14ac:dyDescent="0.25">
      <c r="A108" s="629" t="s">
        <v>67</v>
      </c>
      <c r="B108" s="592"/>
      <c r="C108" s="873"/>
      <c r="D108" s="757">
        <v>0</v>
      </c>
      <c r="E108" s="758">
        <v>0</v>
      </c>
      <c r="F108" s="759">
        <v>0</v>
      </c>
    </row>
    <row r="109" spans="1:6" x14ac:dyDescent="0.25">
      <c r="A109" s="629" t="s">
        <v>68</v>
      </c>
      <c r="B109" s="592"/>
      <c r="C109" s="873"/>
      <c r="D109" s="757">
        <v>697942.26</v>
      </c>
      <c r="E109" s="758">
        <v>775965.75</v>
      </c>
      <c r="F109" s="759">
        <v>4021295.64</v>
      </c>
    </row>
    <row r="110" spans="1:6" x14ac:dyDescent="0.25">
      <c r="A110" s="629" t="s">
        <v>69</v>
      </c>
      <c r="B110" s="592"/>
      <c r="C110" s="873"/>
      <c r="D110" s="757">
        <v>0</v>
      </c>
      <c r="E110" s="758">
        <v>0</v>
      </c>
      <c r="F110" s="759">
        <v>0</v>
      </c>
    </row>
    <row r="111" spans="1:6" x14ac:dyDescent="0.25">
      <c r="A111" s="629" t="s">
        <v>70</v>
      </c>
      <c r="B111" s="592"/>
      <c r="C111" s="873"/>
      <c r="D111" s="757">
        <v>0</v>
      </c>
      <c r="E111" s="758">
        <v>556621</v>
      </c>
      <c r="F111" s="759">
        <v>654359.875</v>
      </c>
    </row>
    <row r="112" spans="1:6" x14ac:dyDescent="0.25">
      <c r="A112" s="629" t="s">
        <v>71</v>
      </c>
      <c r="B112" s="592"/>
      <c r="C112" s="873"/>
      <c r="D112" s="757">
        <v>0</v>
      </c>
      <c r="E112" s="758">
        <v>0</v>
      </c>
      <c r="F112" s="759">
        <v>1837075.9995795637</v>
      </c>
    </row>
    <row r="113" spans="1:14" x14ac:dyDescent="0.25">
      <c r="A113" s="629" t="s">
        <v>271</v>
      </c>
      <c r="B113" s="592"/>
      <c r="C113" s="873"/>
      <c r="D113" s="757">
        <v>0</v>
      </c>
      <c r="E113" s="758">
        <v>0</v>
      </c>
      <c r="F113" s="759">
        <v>0</v>
      </c>
    </row>
    <row r="114" spans="1:14" x14ac:dyDescent="0.25">
      <c r="A114" s="629" t="s">
        <v>272</v>
      </c>
      <c r="B114" s="592"/>
      <c r="C114" s="846"/>
      <c r="D114" s="757">
        <v>0</v>
      </c>
      <c r="E114" s="758">
        <v>0</v>
      </c>
      <c r="F114" s="759">
        <v>0</v>
      </c>
    </row>
    <row r="115" spans="1:14" x14ac:dyDescent="0.25">
      <c r="A115" s="597" t="s">
        <v>44</v>
      </c>
      <c r="C115" s="873"/>
      <c r="D115" s="857">
        <f>SUM(D105:D114)</f>
        <v>1027698.05</v>
      </c>
      <c r="E115" s="858">
        <f>SUM(E105:E114)</f>
        <v>3360278.7199999997</v>
      </c>
      <c r="F115" s="859">
        <f>SUM(F105:F112)</f>
        <v>8008236.8345795637</v>
      </c>
    </row>
    <row r="116" spans="1:14" s="462" customFormat="1" x14ac:dyDescent="0.25">
      <c r="A116" s="592"/>
      <c r="B116" s="592"/>
      <c r="C116" s="599"/>
      <c r="D116" s="626"/>
      <c r="E116" s="626"/>
      <c r="F116" s="626"/>
    </row>
    <row r="117" spans="1:14" s="462" customFormat="1" x14ac:dyDescent="0.25">
      <c r="A117" s="592"/>
      <c r="B117" s="592"/>
      <c r="C117" s="599"/>
      <c r="D117" s="626"/>
      <c r="E117" s="626"/>
      <c r="F117" s="626"/>
    </row>
    <row r="118" spans="1:14" s="462" customFormat="1" ht="13.8" thickBot="1" x14ac:dyDescent="0.3">
      <c r="A118" s="592" t="s">
        <v>110</v>
      </c>
      <c r="B118" s="592"/>
      <c r="C118" s="599"/>
      <c r="D118" s="630">
        <f>SUM(D88,D115)</f>
        <v>1027698.05</v>
      </c>
      <c r="E118" s="630">
        <f>SUM(E88,E115)</f>
        <v>7138969.1899999995</v>
      </c>
      <c r="F118" s="630">
        <f>SUM(F88,F115)</f>
        <v>18041495.214579564</v>
      </c>
    </row>
    <row r="119" spans="1:14" s="462" customFormat="1" ht="13.8" thickTop="1" x14ac:dyDescent="0.25">
      <c r="A119" s="592"/>
      <c r="B119" s="592"/>
      <c r="C119" s="599"/>
      <c r="D119" s="626"/>
      <c r="E119" s="626"/>
      <c r="F119" s="626"/>
    </row>
    <row r="120" spans="1:14" s="462" customFormat="1" x14ac:dyDescent="0.25">
      <c r="A120" s="592"/>
      <c r="B120" s="592"/>
      <c r="C120" s="599"/>
      <c r="D120" s="626"/>
      <c r="E120" s="626"/>
      <c r="F120" s="626"/>
    </row>
    <row r="121" spans="1:14" ht="13.8" thickBot="1" x14ac:dyDescent="0.3">
      <c r="A121" s="631"/>
      <c r="B121" s="632"/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</row>
    <row r="124" spans="1:14" ht="15.6" x14ac:dyDescent="0.3">
      <c r="A124" s="633" t="s">
        <v>38</v>
      </c>
      <c r="B124" s="634"/>
    </row>
    <row r="126" spans="1:14" x14ac:dyDescent="0.25">
      <c r="A126" s="453" t="s">
        <v>77</v>
      </c>
      <c r="B126" s="453"/>
      <c r="C126" s="635"/>
    </row>
    <row r="127" spans="1:14" x14ac:dyDescent="0.25">
      <c r="A127" s="453"/>
      <c r="B127" s="453"/>
      <c r="C127" s="635"/>
    </row>
    <row r="128" spans="1:14" x14ac:dyDescent="0.25">
      <c r="A128" s="461" t="s">
        <v>78</v>
      </c>
      <c r="C128" s="636">
        <v>2.64E-2</v>
      </c>
    </row>
    <row r="129" spans="1:6" x14ac:dyDescent="0.25">
      <c r="A129" s="461" t="s">
        <v>79</v>
      </c>
      <c r="C129" s="637">
        <v>1.4250000000000001E-2</v>
      </c>
    </row>
    <row r="130" spans="1:6" x14ac:dyDescent="0.25">
      <c r="A130" s="461" t="s">
        <v>13</v>
      </c>
      <c r="C130" s="638">
        <v>0.06</v>
      </c>
    </row>
    <row r="131" spans="1:6" x14ac:dyDescent="0.25">
      <c r="A131" s="461" t="s">
        <v>14</v>
      </c>
      <c r="C131" s="639">
        <v>1</v>
      </c>
    </row>
    <row r="132" spans="1:6" x14ac:dyDescent="0.25">
      <c r="A132" s="461" t="s">
        <v>17</v>
      </c>
      <c r="C132" s="639">
        <v>0.5</v>
      </c>
    </row>
    <row r="133" spans="1:6" x14ac:dyDescent="0.25">
      <c r="A133" s="461" t="s">
        <v>15</v>
      </c>
      <c r="C133" s="640">
        <v>0.6</v>
      </c>
    </row>
    <row r="134" spans="1:6" x14ac:dyDescent="0.25">
      <c r="A134" s="461" t="s">
        <v>16</v>
      </c>
      <c r="C134" s="641">
        <v>2.5600000000000001E-2</v>
      </c>
    </row>
    <row r="135" spans="1:6" x14ac:dyDescent="0.25">
      <c r="C135" s="642"/>
    </row>
    <row r="136" spans="1:6" x14ac:dyDescent="0.25">
      <c r="A136" s="461" t="s">
        <v>80</v>
      </c>
      <c r="C136" s="643">
        <f>C128+C131*C130</f>
        <v>8.6400000000000005E-2</v>
      </c>
    </row>
    <row r="137" spans="1:6" x14ac:dyDescent="0.25">
      <c r="A137" s="461" t="s">
        <v>81</v>
      </c>
      <c r="C137" s="312">
        <f>(1+C136)*(1+C134)-1</f>
        <v>0.11421184000000006</v>
      </c>
    </row>
    <row r="138" spans="1:6" x14ac:dyDescent="0.25">
      <c r="A138" s="461" t="s">
        <v>82</v>
      </c>
      <c r="C138" s="644">
        <f>C128+C129</f>
        <v>4.0649999999999999E-2</v>
      </c>
    </row>
    <row r="139" spans="1:6" x14ac:dyDescent="0.25">
      <c r="A139" s="461" t="s">
        <v>83</v>
      </c>
      <c r="C139" s="645">
        <f>(1+C138)*(1+C134)-1</f>
        <v>6.7290640000000179E-2</v>
      </c>
    </row>
    <row r="140" spans="1:6" x14ac:dyDescent="0.25">
      <c r="C140" s="607"/>
    </row>
    <row r="141" spans="1:6" x14ac:dyDescent="0.25">
      <c r="A141" s="461" t="s">
        <v>84</v>
      </c>
      <c r="C141" s="646">
        <f>ROUND((C136*(1-C133))+(C138*C133),3)</f>
        <v>5.8999999999999997E-2</v>
      </c>
    </row>
    <row r="144" spans="1:6" x14ac:dyDescent="0.25">
      <c r="A144" s="453" t="s">
        <v>255</v>
      </c>
      <c r="B144" s="453"/>
      <c r="C144" s="913" t="s">
        <v>35</v>
      </c>
      <c r="D144" s="914"/>
      <c r="F144" s="647" t="s">
        <v>74</v>
      </c>
    </row>
    <row r="145" spans="1:9" x14ac:dyDescent="0.25">
      <c r="A145" s="453"/>
      <c r="B145" s="453"/>
      <c r="C145" s="648">
        <v>37529</v>
      </c>
      <c r="D145" s="649">
        <v>138.5</v>
      </c>
      <c r="F145" s="650"/>
    </row>
    <row r="146" spans="1:9" x14ac:dyDescent="0.25">
      <c r="C146" s="651">
        <v>37894</v>
      </c>
      <c r="D146" s="652">
        <v>142.1</v>
      </c>
      <c r="F146" s="653">
        <f t="shared" ref="F146:F151" si="2">D146/D145-1</f>
        <v>2.5992779783393427E-2</v>
      </c>
    </row>
    <row r="147" spans="1:9" x14ac:dyDescent="0.25">
      <c r="C147" s="651">
        <v>38260</v>
      </c>
      <c r="D147" s="652">
        <v>145.4</v>
      </c>
      <c r="F147" s="653">
        <f t="shared" si="2"/>
        <v>2.3223082336382816E-2</v>
      </c>
      <c r="I147" s="654"/>
    </row>
    <row r="148" spans="1:9" x14ac:dyDescent="0.25">
      <c r="C148" s="651">
        <v>38625</v>
      </c>
      <c r="D148" s="652">
        <v>149.80000000000001</v>
      </c>
      <c r="F148" s="653">
        <f t="shared" si="2"/>
        <v>3.0261348005502064E-2</v>
      </c>
    </row>
    <row r="149" spans="1:9" x14ac:dyDescent="0.25">
      <c r="C149" s="651">
        <v>38990</v>
      </c>
      <c r="D149" s="652">
        <v>155.69999999999999</v>
      </c>
      <c r="F149" s="653">
        <f t="shared" si="2"/>
        <v>3.9385847797062556E-2</v>
      </c>
    </row>
    <row r="150" spans="1:9" x14ac:dyDescent="0.25">
      <c r="C150" s="651">
        <v>39355</v>
      </c>
      <c r="D150" s="652">
        <v>158.6</v>
      </c>
      <c r="F150" s="653">
        <f t="shared" si="2"/>
        <v>1.862556197816323E-2</v>
      </c>
    </row>
    <row r="151" spans="1:9" x14ac:dyDescent="0.25">
      <c r="C151" s="655">
        <v>39721</v>
      </c>
      <c r="D151" s="656">
        <v>166.5</v>
      </c>
      <c r="F151" s="653">
        <f t="shared" si="2"/>
        <v>4.9810844892812067E-2</v>
      </c>
    </row>
    <row r="152" spans="1:9" x14ac:dyDescent="0.25">
      <c r="A152" s="657"/>
      <c r="B152" s="657"/>
    </row>
    <row r="153" spans="1:9" x14ac:dyDescent="0.25">
      <c r="A153" s="657"/>
      <c r="B153" s="594">
        <v>2004</v>
      </c>
      <c r="C153" s="594">
        <f>B153+1</f>
        <v>2005</v>
      </c>
      <c r="D153" s="594">
        <f>C153+1</f>
        <v>2006</v>
      </c>
      <c r="E153" s="594">
        <f>D153+1</f>
        <v>2007</v>
      </c>
      <c r="F153" s="594">
        <f>E153+1</f>
        <v>2008</v>
      </c>
    </row>
    <row r="154" spans="1:9" x14ac:dyDescent="0.25">
      <c r="A154" s="657"/>
      <c r="B154" s="658"/>
      <c r="C154" s="658"/>
      <c r="D154" s="658"/>
      <c r="E154" s="658"/>
    </row>
    <row r="155" spans="1:9" x14ac:dyDescent="0.25">
      <c r="A155" s="659" t="s">
        <v>75</v>
      </c>
      <c r="B155" s="660">
        <f>F146</f>
        <v>2.5992779783393427E-2</v>
      </c>
      <c r="C155" s="660">
        <f>F147</f>
        <v>2.3223082336382816E-2</v>
      </c>
      <c r="D155" s="660">
        <f>F148</f>
        <v>3.0261348005502064E-2</v>
      </c>
      <c r="E155" s="660">
        <f>F149</f>
        <v>3.9385847797062556E-2</v>
      </c>
      <c r="F155" s="660">
        <f>F150</f>
        <v>1.862556197816323E-2</v>
      </c>
    </row>
    <row r="156" spans="1:9" x14ac:dyDescent="0.25">
      <c r="A156" s="461" t="s">
        <v>76</v>
      </c>
      <c r="B156" s="661">
        <f>C156*(1+C155)</f>
        <v>1.1161154116819139</v>
      </c>
      <c r="C156" s="662">
        <f>D156*(1+D155)</f>
        <v>1.090784044016506</v>
      </c>
      <c r="D156" s="662">
        <f>E156*(1+E155)</f>
        <v>1.0587449933244324</v>
      </c>
      <c r="E156" s="662">
        <f>F156*(1+F155)</f>
        <v>1.0186255619781632</v>
      </c>
      <c r="F156" s="662">
        <v>1</v>
      </c>
    </row>
    <row r="159" spans="1:9" x14ac:dyDescent="0.25">
      <c r="A159" s="603" t="s">
        <v>274</v>
      </c>
      <c r="B159" s="604"/>
      <c r="C159" s="593" t="s">
        <v>7</v>
      </c>
    </row>
    <row r="160" spans="1:9" x14ac:dyDescent="0.25">
      <c r="A160" s="621"/>
      <c r="B160" s="622"/>
      <c r="C160" s="623" t="s">
        <v>8</v>
      </c>
    </row>
    <row r="161" spans="1:3" x14ac:dyDescent="0.25">
      <c r="A161" s="465" t="s">
        <v>41</v>
      </c>
      <c r="C161" s="663">
        <f>'IMRO Decision 2006-10'!D190</f>
        <v>35</v>
      </c>
    </row>
    <row r="162" spans="1:3" x14ac:dyDescent="0.25">
      <c r="A162" s="461" t="s">
        <v>259</v>
      </c>
      <c r="C162" s="664">
        <f>'IMRO Decision 2006-10'!D191</f>
        <v>10</v>
      </c>
    </row>
    <row r="163" spans="1:3" x14ac:dyDescent="0.25">
      <c r="A163" s="465" t="s">
        <v>42</v>
      </c>
      <c r="C163" s="664">
        <f>'IMRO Decision 2006-10'!D192</f>
        <v>5</v>
      </c>
    </row>
    <row r="164" spans="1:3" x14ac:dyDescent="0.25">
      <c r="A164" s="465" t="s">
        <v>43</v>
      </c>
      <c r="C164" s="665">
        <f>'IMRO Decision 2006-10'!D193</f>
        <v>5</v>
      </c>
    </row>
    <row r="167" spans="1:3" x14ac:dyDescent="0.25">
      <c r="A167" s="603" t="s">
        <v>91</v>
      </c>
      <c r="B167" s="604"/>
      <c r="C167" s="666"/>
    </row>
    <row r="168" spans="1:3" x14ac:dyDescent="0.25">
      <c r="A168" s="604"/>
      <c r="B168" s="604"/>
      <c r="C168" s="666"/>
    </row>
    <row r="169" spans="1:3" x14ac:dyDescent="0.25">
      <c r="A169" s="666" t="s">
        <v>87</v>
      </c>
      <c r="B169" s="667"/>
      <c r="C169" s="668">
        <v>0.3</v>
      </c>
    </row>
    <row r="170" spans="1:3" x14ac:dyDescent="0.25">
      <c r="A170" s="667" t="s">
        <v>17</v>
      </c>
      <c r="B170" s="667"/>
      <c r="C170" s="669">
        <f>C132</f>
        <v>0.5</v>
      </c>
    </row>
    <row r="171" spans="1:3" x14ac:dyDescent="0.25">
      <c r="A171" s="666" t="s">
        <v>15</v>
      </c>
      <c r="B171" s="667"/>
      <c r="C171" s="670">
        <f>C133</f>
        <v>0.6</v>
      </c>
    </row>
    <row r="174" spans="1:3" x14ac:dyDescent="0.25">
      <c r="A174" s="600" t="s">
        <v>88</v>
      </c>
      <c r="B174" s="601"/>
    </row>
    <row r="175" spans="1:3" x14ac:dyDescent="0.25">
      <c r="A175" s="659" t="s">
        <v>275</v>
      </c>
      <c r="B175" s="671"/>
    </row>
    <row r="176" spans="1:3" x14ac:dyDescent="0.25">
      <c r="A176" s="461" t="s">
        <v>356</v>
      </c>
      <c r="C176" s="672">
        <v>0.375</v>
      </c>
    </row>
    <row r="177" spans="1:8" x14ac:dyDescent="0.25">
      <c r="A177" s="461" t="s">
        <v>355</v>
      </c>
      <c r="C177" s="673">
        <v>0.06</v>
      </c>
    </row>
    <row r="178" spans="1:8" x14ac:dyDescent="0.25">
      <c r="A178" s="461" t="s">
        <v>276</v>
      </c>
      <c r="C178" s="673">
        <v>0.4</v>
      </c>
    </row>
    <row r="179" spans="1:8" x14ac:dyDescent="0.25">
      <c r="A179" s="596" t="s">
        <v>277</v>
      </c>
      <c r="B179" s="628"/>
      <c r="C179" s="674">
        <v>0.1764705882352941</v>
      </c>
    </row>
    <row r="182" spans="1:8" x14ac:dyDescent="0.25">
      <c r="A182" s="603" t="s">
        <v>92</v>
      </c>
      <c r="B182" s="604"/>
    </row>
    <row r="183" spans="1:8" x14ac:dyDescent="0.25">
      <c r="D183" s="594">
        <v>2006</v>
      </c>
      <c r="E183" s="594">
        <v>2007</v>
      </c>
      <c r="F183" s="594">
        <v>2008</v>
      </c>
      <c r="G183" s="594">
        <v>2009</v>
      </c>
      <c r="H183" s="594">
        <v>2010</v>
      </c>
    </row>
    <row r="184" spans="1:8" x14ac:dyDescent="0.25">
      <c r="A184" s="465" t="s">
        <v>365</v>
      </c>
      <c r="D184" s="675">
        <f>'IMRO Decision 2006-10'!D41*10^6</f>
        <v>-1975583.969366113</v>
      </c>
      <c r="E184" s="675">
        <f>'IMRO Decision 2006-10'!E41*10^6</f>
        <v>-2483377.9553463948</v>
      </c>
      <c r="F184" s="675">
        <f>'IMRO Decision 2006-10'!F41*10^6</f>
        <v>-6580370.5243212422</v>
      </c>
      <c r="G184" s="675">
        <f>'IMRO Decision 2006-10'!G41*10^6</f>
        <v>-9984425.5362499729</v>
      </c>
      <c r="H184" s="675">
        <f>'IMRO Decision 2006-10'!H41*10^6</f>
        <v>-9720213.2625060007</v>
      </c>
    </row>
    <row r="185" spans="1:8" x14ac:dyDescent="0.25">
      <c r="A185" s="461" t="s">
        <v>146</v>
      </c>
      <c r="D185" s="676">
        <f>'IMRO Decision 2006-10'!D71</f>
        <v>1.0510983425414364</v>
      </c>
      <c r="E185" s="676">
        <f>'IMRO Decision 2006-10'!E71</f>
        <v>1.0780064601104973</v>
      </c>
      <c r="F185" s="676">
        <f>'IMRO Decision 2006-10'!F71</f>
        <v>1.1056034254893261</v>
      </c>
      <c r="G185" s="676">
        <f>'IMRO Decision 2006-10'!G71</f>
        <v>1.1339068731818529</v>
      </c>
      <c r="H185" s="676">
        <f>'IMRO Decision 2006-10'!H71</f>
        <v>1.1629348891353084</v>
      </c>
    </row>
    <row r="187" spans="1:8" x14ac:dyDescent="0.25">
      <c r="A187" s="89" t="s">
        <v>93</v>
      </c>
      <c r="B187" s="453"/>
    </row>
    <row r="188" spans="1:8" x14ac:dyDescent="0.25">
      <c r="A188" s="612" t="s">
        <v>97</v>
      </c>
      <c r="B188" s="613"/>
      <c r="D188" s="594">
        <v>2006</v>
      </c>
      <c r="E188" s="594">
        <v>2007</v>
      </c>
      <c r="F188" s="594">
        <v>2008</v>
      </c>
    </row>
    <row r="189" spans="1:8" x14ac:dyDescent="0.25">
      <c r="A189" s="614" t="s">
        <v>263</v>
      </c>
      <c r="B189" s="615"/>
      <c r="D189" s="677"/>
      <c r="E189" s="677"/>
      <c r="F189" s="677"/>
    </row>
    <row r="190" spans="1:8" x14ac:dyDescent="0.25">
      <c r="A190" s="617" t="s">
        <v>266</v>
      </c>
      <c r="B190" s="597"/>
      <c r="D190" s="628">
        <f>D205*D218</f>
        <v>1226000.0000000002</v>
      </c>
      <c r="E190" s="628">
        <f>E205*E218</f>
        <v>1245000.0000000005</v>
      </c>
      <c r="F190" s="628">
        <f>F205*F218</f>
        <v>1228000</v>
      </c>
    </row>
    <row r="191" spans="1:8" x14ac:dyDescent="0.25">
      <c r="A191" s="617" t="s">
        <v>265</v>
      </c>
      <c r="B191" s="597"/>
      <c r="D191" s="628">
        <f>((D208*12+D210)*D222+(D208*4+D210)*D223)+((D209*12+D211)*D224+(D209*4+D211)*D225)</f>
        <v>8217758.4121904792</v>
      </c>
      <c r="E191" s="628">
        <f>((E208*12+E210)*E222+(E208*4+E210)*E223)+((E209*12+E211)*E224+(E209*4+E211)*E225)</f>
        <v>8491098.615040686</v>
      </c>
      <c r="F191" s="628">
        <f>((F208*12+F210)*F222+(F208*4+F210)*F223)+((F209*12+F211)*F224+(F209*4+F211)*F225)</f>
        <v>8814369.2569719814</v>
      </c>
    </row>
    <row r="192" spans="1:8" x14ac:dyDescent="0.25">
      <c r="A192" s="461" t="s">
        <v>264</v>
      </c>
      <c r="D192" s="628">
        <f>D213*D228</f>
        <v>524074.84200810641</v>
      </c>
      <c r="E192" s="628">
        <f>E213*E228</f>
        <v>303586.41847367201</v>
      </c>
      <c r="F192" s="628">
        <f>F213*F228</f>
        <v>1867457.5643420727</v>
      </c>
    </row>
    <row r="193" spans="1:6" x14ac:dyDescent="0.25">
      <c r="A193" s="617" t="s">
        <v>103</v>
      </c>
      <c r="B193" s="597"/>
      <c r="D193" s="678">
        <f>SUM(D190:D192)</f>
        <v>9967833.2541985866</v>
      </c>
      <c r="E193" s="678">
        <f>SUM(E190:E192)</f>
        <v>10039685.033514358</v>
      </c>
      <c r="F193" s="678">
        <f>SUM(F190:F192)</f>
        <v>11909826.821314054</v>
      </c>
    </row>
    <row r="194" spans="1:6" x14ac:dyDescent="0.25">
      <c r="A194" s="617"/>
      <c r="B194" s="597"/>
      <c r="D194" s="596"/>
      <c r="E194" s="596"/>
      <c r="F194" s="596"/>
    </row>
    <row r="195" spans="1:6" x14ac:dyDescent="0.25">
      <c r="A195" s="614" t="s">
        <v>104</v>
      </c>
      <c r="B195" s="615"/>
      <c r="D195" s="596"/>
      <c r="E195" s="596"/>
      <c r="F195" s="596"/>
    </row>
    <row r="196" spans="1:6" x14ac:dyDescent="0.25">
      <c r="A196" s="461" t="s">
        <v>108</v>
      </c>
      <c r="D196" s="675">
        <f>'IMRO Decision 2006-10'!D105*10^3</f>
        <v>420000</v>
      </c>
      <c r="E196" s="675">
        <f>'IMRO Decision 2006-10'!E105*10^3</f>
        <v>420000</v>
      </c>
      <c r="F196" s="675">
        <f>'IMRO Decision 2006-10'!F105*10^3</f>
        <v>420000</v>
      </c>
    </row>
    <row r="197" spans="1:6" s="465" customFormat="1" x14ac:dyDescent="0.25">
      <c r="A197" s="617" t="s">
        <v>107</v>
      </c>
      <c r="B197" s="597"/>
      <c r="D197" s="675">
        <f>'IMRO Decision 2006-10'!D111*10^3</f>
        <v>6244406.5512591293</v>
      </c>
      <c r="E197" s="675">
        <f>'IMRO Decision 2006-10'!E111*10^3</f>
        <v>6365762.3580535455</v>
      </c>
      <c r="F197" s="675">
        <f>'IMRO Decision 2006-10'!F111*10^3</f>
        <v>6365762.3580535455</v>
      </c>
    </row>
    <row r="198" spans="1:6" s="465" customFormat="1" x14ac:dyDescent="0.25">
      <c r="A198" s="617" t="s">
        <v>105</v>
      </c>
      <c r="B198" s="597"/>
      <c r="D198" s="608">
        <f>SUM(D196:D197)</f>
        <v>6664406.5512591293</v>
      </c>
      <c r="E198" s="608">
        <f>SUM(E196:E197)</f>
        <v>6785762.3580535455</v>
      </c>
      <c r="F198" s="608">
        <f>SUM(F196:F197)</f>
        <v>6785762.3580535455</v>
      </c>
    </row>
    <row r="199" spans="1:6" s="465" customFormat="1" x14ac:dyDescent="0.25">
      <c r="A199" s="597"/>
      <c r="B199" s="597"/>
      <c r="D199" s="628"/>
      <c r="E199" s="628"/>
      <c r="F199" s="628"/>
    </row>
    <row r="200" spans="1:6" s="465" customFormat="1" ht="13.8" thickBot="1" x14ac:dyDescent="0.3">
      <c r="A200" s="617" t="s">
        <v>106</v>
      </c>
      <c r="B200" s="597"/>
      <c r="C200" s="461"/>
      <c r="D200" s="598">
        <f>SUM(D193,D198)</f>
        <v>16632239.805457715</v>
      </c>
      <c r="E200" s="598">
        <f>SUM(E193,E198)</f>
        <v>16825447.391567905</v>
      </c>
      <c r="F200" s="598">
        <f>SUM(F193,F198)</f>
        <v>18695589.179367598</v>
      </c>
    </row>
    <row r="201" spans="1:6" s="465" customFormat="1" ht="13.8" thickTop="1" x14ac:dyDescent="0.25">
      <c r="A201" s="679" t="s">
        <v>0</v>
      </c>
      <c r="B201" s="680"/>
      <c r="C201" s="681">
        <f>SUM(D201:F201)</f>
        <v>0</v>
      </c>
      <c r="D201" s="681">
        <f>IF(ABS('IMRO Decision 2006-10'!D114*10^3-D200)&lt;0.001,0,ABS('IMRO Decision 2006-10'!D114*10^3-D200))</f>
        <v>0</v>
      </c>
      <c r="E201" s="681">
        <f>IF(ABS('IMRO Decision 2006-10'!E114*10^3-E200)&lt;0.001,0,ABS('IMRO Decision 2006-10'!E114*10^3-E200))</f>
        <v>0</v>
      </c>
      <c r="F201" s="681">
        <f>IF(ABS('IMRO Decision 2006-10'!F114*10^3-F200)&lt;0.001,0,ABS('IMRO Decision 2006-10'!F114*10^3-F200))</f>
        <v>0</v>
      </c>
    </row>
    <row r="202" spans="1:6" s="465" customFormat="1" x14ac:dyDescent="0.25">
      <c r="A202" s="597"/>
      <c r="B202" s="597"/>
      <c r="D202" s="628"/>
      <c r="E202" s="628"/>
      <c r="F202" s="628"/>
    </row>
    <row r="203" spans="1:6" s="465" customFormat="1" x14ac:dyDescent="0.25">
      <c r="A203" s="597"/>
      <c r="B203" s="597"/>
      <c r="D203" s="628"/>
      <c r="E203" s="628"/>
      <c r="F203" s="628"/>
    </row>
    <row r="204" spans="1:6" x14ac:dyDescent="0.25">
      <c r="A204" s="600" t="s">
        <v>95</v>
      </c>
      <c r="B204" s="601"/>
      <c r="D204" s="594">
        <v>2006</v>
      </c>
      <c r="E204" s="594">
        <v>2007</v>
      </c>
      <c r="F204" s="594">
        <v>2008</v>
      </c>
    </row>
    <row r="205" spans="1:6" x14ac:dyDescent="0.25">
      <c r="A205" s="617" t="s">
        <v>96</v>
      </c>
      <c r="B205" s="597"/>
      <c r="D205" s="682">
        <f>'IMRO Decision 2006-10'!D349</f>
        <v>1.640241300098602</v>
      </c>
      <c r="E205" s="682">
        <f>'IMRO Decision 2006-10'!E349</f>
        <v>1.6395822818441947</v>
      </c>
      <c r="F205" s="682">
        <f>'IMRO Decision 2006-10'!F349</f>
        <v>1.6405941226017764</v>
      </c>
    </row>
    <row r="206" spans="1:6" s="465" customFormat="1" x14ac:dyDescent="0.25">
      <c r="A206" s="617"/>
      <c r="B206" s="597"/>
      <c r="D206" s="683"/>
      <c r="E206" s="683"/>
      <c r="F206" s="683"/>
    </row>
    <row r="207" spans="1:6" x14ac:dyDescent="0.25">
      <c r="A207" s="614" t="s">
        <v>98</v>
      </c>
      <c r="B207" s="615"/>
      <c r="D207" s="683"/>
      <c r="E207" s="683"/>
      <c r="F207" s="683"/>
    </row>
    <row r="208" spans="1:6" x14ac:dyDescent="0.25">
      <c r="A208" s="617" t="s">
        <v>99</v>
      </c>
      <c r="B208" s="597"/>
      <c r="D208" s="682">
        <f>'IMRO Decision 2006-10'!D365</f>
        <v>1.5</v>
      </c>
      <c r="E208" s="682">
        <f>'IMRO Decision 2006-10'!E365</f>
        <v>1.5</v>
      </c>
      <c r="F208" s="682">
        <f>'IMRO Decision 2006-10'!F365</f>
        <v>1.5</v>
      </c>
    </row>
    <row r="209" spans="1:6" x14ac:dyDescent="0.25">
      <c r="A209" s="617" t="s">
        <v>100</v>
      </c>
      <c r="B209" s="597"/>
      <c r="D209" s="682">
        <f>'IMRO Decision 2006-10'!D366</f>
        <v>2.5</v>
      </c>
      <c r="E209" s="682">
        <f>'IMRO Decision 2006-10'!E366</f>
        <v>2.5</v>
      </c>
      <c r="F209" s="682">
        <f>'IMRO Decision 2006-10'!F366</f>
        <v>2.5</v>
      </c>
    </row>
    <row r="210" spans="1:6" x14ac:dyDescent="0.25">
      <c r="A210" s="617" t="s">
        <v>101</v>
      </c>
      <c r="B210" s="597"/>
      <c r="D210" s="682">
        <f>'IMRO Decision 2006-10'!D367</f>
        <v>4.5</v>
      </c>
      <c r="E210" s="682">
        <f>'IMRO Decision 2006-10'!E367</f>
        <v>4.5</v>
      </c>
      <c r="F210" s="682">
        <f>'IMRO Decision 2006-10'!F367</f>
        <v>4.5</v>
      </c>
    </row>
    <row r="211" spans="1:6" x14ac:dyDescent="0.25">
      <c r="A211" s="617" t="s">
        <v>102</v>
      </c>
      <c r="B211" s="597"/>
      <c r="D211" s="682">
        <f>'IMRO Decision 2006-10'!D368</f>
        <v>6.2</v>
      </c>
      <c r="E211" s="682">
        <f>'IMRO Decision 2006-10'!E368</f>
        <v>6.2</v>
      </c>
      <c r="F211" s="682">
        <f>'IMRO Decision 2006-10'!F368</f>
        <v>6.2</v>
      </c>
    </row>
    <row r="212" spans="1:6" x14ac:dyDescent="0.25">
      <c r="A212" s="617"/>
      <c r="B212" s="597"/>
      <c r="D212" s="683"/>
      <c r="E212" s="683"/>
      <c r="F212" s="683"/>
    </row>
    <row r="213" spans="1:6" x14ac:dyDescent="0.25">
      <c r="A213" s="617" t="s">
        <v>52</v>
      </c>
      <c r="B213" s="597"/>
      <c r="D213" s="682">
        <f>'IMRO Decision 2006-10'!D356</f>
        <v>34.6</v>
      </c>
      <c r="E213" s="682">
        <f>'IMRO Decision 2006-10'!E356</f>
        <v>35.110669999999999</v>
      </c>
      <c r="F213" s="682">
        <f>'IMRO Decision 2006-10'!F356</f>
        <v>35.632727940999999</v>
      </c>
    </row>
    <row r="216" spans="1:6" x14ac:dyDescent="0.25">
      <c r="A216" s="612" t="s">
        <v>94</v>
      </c>
      <c r="B216" s="613"/>
      <c r="C216" s="462"/>
      <c r="D216" s="594">
        <v>2006</v>
      </c>
      <c r="E216" s="594">
        <v>2007</v>
      </c>
      <c r="F216" s="594">
        <v>2008</v>
      </c>
    </row>
    <row r="217" spans="1:6" x14ac:dyDescent="0.25">
      <c r="A217" s="614" t="s">
        <v>51</v>
      </c>
      <c r="B217" s="615"/>
      <c r="C217" s="462"/>
      <c r="D217" s="616"/>
      <c r="E217" s="616"/>
      <c r="F217" s="602"/>
    </row>
    <row r="218" spans="1:6" x14ac:dyDescent="0.25">
      <c r="A218" s="617" t="s">
        <v>54</v>
      </c>
      <c r="B218" s="597"/>
      <c r="C218" s="462"/>
      <c r="D218" s="675">
        <f>'IMRO Decision 2006-10'!J349</f>
        <v>747451</v>
      </c>
      <c r="E218" s="675">
        <f>'IMRO Decision 2006-10'!K349</f>
        <v>759339.75</v>
      </c>
      <c r="F218" s="675">
        <f>'IMRO Decision 2006-10'!L349</f>
        <v>748509.32542202831</v>
      </c>
    </row>
    <row r="219" spans="1:6" x14ac:dyDescent="0.25">
      <c r="A219" s="612"/>
      <c r="B219" s="613"/>
      <c r="C219" s="462"/>
      <c r="D219" s="616"/>
      <c r="E219" s="616"/>
      <c r="F219" s="602"/>
    </row>
    <row r="220" spans="1:6" x14ac:dyDescent="0.25">
      <c r="A220" s="614" t="s">
        <v>23</v>
      </c>
      <c r="B220" s="615"/>
      <c r="D220" s="462"/>
      <c r="E220" s="462"/>
      <c r="F220" s="462"/>
    </row>
    <row r="221" spans="1:6" x14ac:dyDescent="0.25">
      <c r="A221" s="617" t="s">
        <v>262</v>
      </c>
      <c r="B221" s="597"/>
      <c r="D221" s="462"/>
      <c r="E221" s="462"/>
      <c r="F221" s="462"/>
    </row>
    <row r="222" spans="1:6" x14ac:dyDescent="0.25">
      <c r="A222" s="617" t="s">
        <v>55</v>
      </c>
      <c r="B222" s="597"/>
      <c r="D222" s="675">
        <f>'IMRO Decision 2006-10'!J370</f>
        <v>2840.5</v>
      </c>
      <c r="E222" s="675">
        <f>'IMRO Decision 2006-10'!K370</f>
        <v>0</v>
      </c>
      <c r="F222" s="675">
        <f>'IMRO Decision 2006-10'!L370</f>
        <v>0</v>
      </c>
    </row>
    <row r="223" spans="1:6" x14ac:dyDescent="0.25">
      <c r="A223" s="617" t="s">
        <v>56</v>
      </c>
      <c r="B223" s="597"/>
      <c r="D223" s="675">
        <f>'IMRO Decision 2006-10'!J371</f>
        <v>704157.15653132333</v>
      </c>
      <c r="E223" s="675">
        <f>'IMRO Decision 2006-10'!K371</f>
        <v>695525.52097347646</v>
      </c>
      <c r="F223" s="675">
        <f>'IMRO Decision 2006-10'!L371</f>
        <v>605602.09639550466</v>
      </c>
    </row>
    <row r="224" spans="1:6" x14ac:dyDescent="0.25">
      <c r="A224" s="617" t="s">
        <v>57</v>
      </c>
      <c r="B224" s="597"/>
      <c r="D224" s="675">
        <f>'IMRO Decision 2006-10'!J372</f>
        <v>5242.6427209510994</v>
      </c>
      <c r="E224" s="675">
        <f>'IMRO Decision 2006-10'!K372</f>
        <v>7714.5067294751007</v>
      </c>
      <c r="F224" s="675">
        <f>'IMRO Decision 2006-10'!L372</f>
        <v>7022.5067294751007</v>
      </c>
    </row>
    <row r="225" spans="1:14" x14ac:dyDescent="0.25">
      <c r="A225" s="617" t="s">
        <v>58</v>
      </c>
      <c r="B225" s="597"/>
      <c r="D225" s="675">
        <f>'IMRO Decision 2006-10'!J373</f>
        <v>35210.700747725568</v>
      </c>
      <c r="E225" s="675">
        <f>'IMRO Decision 2006-10'!K373</f>
        <v>56099.7222970484</v>
      </c>
      <c r="F225" s="675">
        <f>'IMRO Decision 2006-10'!L373</f>
        <v>135884.7222970484</v>
      </c>
    </row>
    <row r="226" spans="1:14" x14ac:dyDescent="0.25">
      <c r="D226" s="462"/>
      <c r="E226" s="462"/>
      <c r="F226" s="462"/>
    </row>
    <row r="227" spans="1:14" x14ac:dyDescent="0.25">
      <c r="A227" s="614" t="s">
        <v>52</v>
      </c>
      <c r="B227" s="615"/>
      <c r="C227" s="462"/>
      <c r="D227" s="616"/>
      <c r="E227" s="616"/>
      <c r="F227" s="602"/>
    </row>
    <row r="228" spans="1:14" x14ac:dyDescent="0.25">
      <c r="A228" s="617" t="s">
        <v>59</v>
      </c>
      <c r="B228" s="597"/>
      <c r="C228" s="462"/>
      <c r="D228" s="675">
        <f>SUM('IMRO Decision 2006-10'!J356,'IMRO Decision 2006-10'!J358:J362)</f>
        <v>15146.671734338335</v>
      </c>
      <c r="E228" s="675">
        <f>SUM('IMRO Decision 2006-10'!K356,'IMRO Decision 2006-10'!K358:K362)</f>
        <v>8646.5572566308765</v>
      </c>
      <c r="F228" s="675">
        <f>SUM('IMRO Decision 2006-10'!L356,'IMRO Decision 2006-10'!L358:L362)</f>
        <v>52408.492760761226</v>
      </c>
    </row>
    <row r="231" spans="1:14" ht="13.8" thickBot="1" x14ac:dyDescent="0.3">
      <c r="A231" s="631"/>
      <c r="B231" s="632"/>
      <c r="C231" s="631"/>
      <c r="D231" s="631"/>
      <c r="E231" s="631"/>
      <c r="F231" s="631"/>
      <c r="G231" s="631"/>
      <c r="H231" s="631"/>
      <c r="I231" s="631"/>
      <c r="J231" s="631"/>
      <c r="K231" s="631"/>
      <c r="L231" s="631"/>
      <c r="M231" s="631"/>
      <c r="N231" s="631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4" width="13.109375" style="21" customWidth="1"/>
    <col min="5" max="5" width="11.88671875" style="21" customWidth="1"/>
    <col min="6" max="10" width="11.5546875" style="21" customWidth="1"/>
    <col min="11" max="11" width="9.109375" style="1"/>
    <col min="12" max="16384" width="9.109375" style="21"/>
  </cols>
  <sheetData>
    <row r="1" spans="1:11" s="1" customFormat="1" x14ac:dyDescent="0.25">
      <c r="A1" s="554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3.8" x14ac:dyDescent="0.25">
      <c r="A2" s="30"/>
      <c r="B2" s="95"/>
      <c r="C2" s="2"/>
      <c r="D2" s="65" t="s">
        <v>21</v>
      </c>
      <c r="E2" s="66" t="s">
        <v>21</v>
      </c>
      <c r="F2" s="66" t="s">
        <v>21</v>
      </c>
      <c r="G2" s="66" t="s">
        <v>21</v>
      </c>
      <c r="H2" s="66" t="s">
        <v>21</v>
      </c>
      <c r="I2" s="66" t="s">
        <v>21</v>
      </c>
      <c r="J2" s="67" t="s">
        <v>21</v>
      </c>
      <c r="K2" s="110"/>
    </row>
    <row r="3" spans="1:11" s="1" customFormat="1" ht="15.6" x14ac:dyDescent="0.3">
      <c r="A3" s="72" t="s">
        <v>415</v>
      </c>
      <c r="B3" s="452"/>
      <c r="C3" s="2"/>
      <c r="D3" s="62" t="s">
        <v>19</v>
      </c>
      <c r="E3" s="63" t="s">
        <v>19</v>
      </c>
      <c r="F3" s="63" t="s">
        <v>19</v>
      </c>
      <c r="G3" s="63" t="s">
        <v>19</v>
      </c>
      <c r="H3" s="63" t="s">
        <v>19</v>
      </c>
      <c r="I3" s="63" t="s">
        <v>19</v>
      </c>
      <c r="J3" s="64" t="s">
        <v>19</v>
      </c>
      <c r="K3" s="110"/>
    </row>
    <row r="4" spans="1:11" s="1" customFormat="1" ht="15.6" x14ac:dyDescent="0.3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6" x14ac:dyDescent="0.3">
      <c r="A5" s="811" t="s">
        <v>404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5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5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5">
      <c r="A8" s="43" t="s">
        <v>36</v>
      </c>
      <c r="B8" s="85"/>
      <c r="C8" s="746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5">
      <c r="A9" s="7"/>
      <c r="B9" s="86"/>
      <c r="C9" s="747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27" t="str">
        <f t="shared" si="2"/>
        <v>Actual</v>
      </c>
      <c r="K9" s="110"/>
    </row>
    <row r="10" spans="1:11" s="1" customFormat="1" x14ac:dyDescent="0.25">
      <c r="A10" s="85" t="s">
        <v>41</v>
      </c>
      <c r="B10" s="85"/>
      <c r="C10" s="106" t="str">
        <f>'Data 2009-15 (Real $2008)'!C10</f>
        <v>Depreciated by end of  2013</v>
      </c>
      <c r="D10" s="757">
        <v>5642354.8024567701</v>
      </c>
      <c r="E10" s="758">
        <v>5666645.7940240987</v>
      </c>
      <c r="F10" s="758">
        <v>244000</v>
      </c>
      <c r="G10" s="758">
        <v>674105.83766478498</v>
      </c>
      <c r="H10" s="758"/>
      <c r="I10" s="758"/>
      <c r="J10" s="759"/>
      <c r="K10" s="119"/>
    </row>
    <row r="11" spans="1:11" s="1" customFormat="1" x14ac:dyDescent="0.25">
      <c r="A11" s="84" t="s">
        <v>259</v>
      </c>
      <c r="B11" s="85"/>
      <c r="C11" s="316" t="str">
        <f>'Data 2009-15 (Real $2008)'!C11</f>
        <v>Depreciated by end of  2013</v>
      </c>
      <c r="D11" s="757">
        <v>4388551.8229085337</v>
      </c>
      <c r="E11" s="758">
        <v>5905381.0176459458</v>
      </c>
      <c r="F11" s="758">
        <v>6000</v>
      </c>
      <c r="G11" s="758">
        <v>69558.012335216801</v>
      </c>
      <c r="H11" s="758"/>
      <c r="I11" s="758"/>
      <c r="J11" s="759"/>
      <c r="K11" s="119"/>
    </row>
    <row r="12" spans="1:11" s="1" customFormat="1" x14ac:dyDescent="0.25">
      <c r="A12" s="318" t="s">
        <v>366</v>
      </c>
      <c r="B12" s="85"/>
      <c r="C12" s="316">
        <f>'Data 2009-15 (Real $2008)'!C12</f>
        <v>15</v>
      </c>
      <c r="D12" s="757">
        <v>1217602.3400000001</v>
      </c>
      <c r="E12" s="758">
        <v>29691789.298330415</v>
      </c>
      <c r="F12" s="758">
        <v>80253000</v>
      </c>
      <c r="G12" s="758">
        <v>90618361.041847378</v>
      </c>
      <c r="H12" s="758"/>
      <c r="I12" s="758"/>
      <c r="J12" s="759"/>
      <c r="K12" s="19"/>
    </row>
    <row r="13" spans="1:11" s="1" customFormat="1" x14ac:dyDescent="0.25">
      <c r="A13" s="318" t="s">
        <v>276</v>
      </c>
      <c r="B13" s="85"/>
      <c r="C13" s="316">
        <f>'Data 2009-15 (Real $2008)'!C13</f>
        <v>7</v>
      </c>
      <c r="D13" s="757">
        <v>26456656.380134132</v>
      </c>
      <c r="E13" s="758">
        <v>38827401.623737566</v>
      </c>
      <c r="F13" s="758">
        <v>23232071.948036097</v>
      </c>
      <c r="G13" s="758">
        <v>24642546.559058465</v>
      </c>
      <c r="H13" s="758"/>
      <c r="I13" s="758"/>
      <c r="J13" s="759"/>
      <c r="K13" s="15"/>
    </row>
    <row r="14" spans="1:11" s="1" customFormat="1" x14ac:dyDescent="0.25">
      <c r="A14" s="318" t="s">
        <v>278</v>
      </c>
      <c r="B14" s="88"/>
      <c r="C14" s="316">
        <f>'Data 2009-15 (Real $2008)'!C14</f>
        <v>7</v>
      </c>
      <c r="D14" s="757">
        <v>888555.09</v>
      </c>
      <c r="E14" s="758">
        <v>8756866.3000000007</v>
      </c>
      <c r="F14" s="758">
        <v>8959364.2199999988</v>
      </c>
      <c r="G14" s="758">
        <v>24833830.630000003</v>
      </c>
      <c r="H14" s="758"/>
      <c r="I14" s="758"/>
      <c r="J14" s="759"/>
      <c r="K14" s="15"/>
    </row>
    <row r="15" spans="1:11" s="1" customFormat="1" x14ac:dyDescent="0.25">
      <c r="A15" s="318" t="s">
        <v>277</v>
      </c>
      <c r="B15" s="85"/>
      <c r="C15" s="107">
        <f>'Data 2009-15 (Real $2008)'!C15</f>
        <v>7</v>
      </c>
      <c r="D15" s="757">
        <v>0</v>
      </c>
      <c r="E15" s="758">
        <v>0</v>
      </c>
      <c r="F15" s="758">
        <v>0</v>
      </c>
      <c r="G15" s="758">
        <v>0</v>
      </c>
      <c r="H15" s="758"/>
      <c r="I15" s="758"/>
      <c r="J15" s="759"/>
      <c r="K15" s="15"/>
    </row>
    <row r="16" spans="1:11" s="1" customFormat="1" ht="13.8" thickBot="1" x14ac:dyDescent="0.3">
      <c r="A16" s="88" t="s">
        <v>44</v>
      </c>
      <c r="B16" s="85"/>
      <c r="C16" s="2"/>
      <c r="D16" s="11">
        <f t="shared" ref="D16:J16" si="3">SUM(D10:D15)</f>
        <v>38593720.435499437</v>
      </c>
      <c r="E16" s="12">
        <f t="shared" si="3"/>
        <v>88848084.033738032</v>
      </c>
      <c r="F16" s="12">
        <f t="shared" si="3"/>
        <v>112694436.1680361</v>
      </c>
      <c r="G16" s="12">
        <f t="shared" si="3"/>
        <v>140838402.08090585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8" thickTop="1" x14ac:dyDescent="0.25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5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5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5">
      <c r="A20" s="320"/>
      <c r="B20" s="85"/>
      <c r="C20" s="308" t="s">
        <v>275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5">
      <c r="A21" s="74" t="s">
        <v>46</v>
      </c>
      <c r="B21" s="91"/>
      <c r="C21" s="321" t="s">
        <v>47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27" t="str">
        <f t="shared" si="6"/>
        <v>Actual</v>
      </c>
      <c r="K21" s="15"/>
    </row>
    <row r="22" spans="1:11" s="1" customFormat="1" x14ac:dyDescent="0.25">
      <c r="A22" s="84" t="s">
        <v>367</v>
      </c>
      <c r="B22" s="91"/>
      <c r="C22" s="322">
        <f>'Data 2009-15 (Real $2008)'!C22</f>
        <v>0.375</v>
      </c>
      <c r="D22" s="325">
        <f t="shared" ref="D22:J22" si="7">SUM(D10:D12)-D23</f>
        <v>11248508.965365304</v>
      </c>
      <c r="E22" s="19">
        <f t="shared" si="7"/>
        <v>41263816.110000461</v>
      </c>
      <c r="F22" s="19">
        <f t="shared" si="7"/>
        <v>80503000</v>
      </c>
      <c r="G22" s="19">
        <f t="shared" si="7"/>
        <v>91362024.891847387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5">
      <c r="A23" s="84" t="s">
        <v>368</v>
      </c>
      <c r="B23" s="88"/>
      <c r="C23" s="323">
        <f>'Data 2009-15 (Real $2008)'!C23</f>
        <v>0.06</v>
      </c>
      <c r="D23" s="757">
        <v>0</v>
      </c>
      <c r="E23" s="758">
        <v>0</v>
      </c>
      <c r="F23" s="758">
        <v>0</v>
      </c>
      <c r="G23" s="758">
        <v>0</v>
      </c>
      <c r="H23" s="758"/>
      <c r="I23" s="758"/>
      <c r="J23" s="759"/>
      <c r="K23" s="15"/>
    </row>
    <row r="24" spans="1:11" s="1" customFormat="1" x14ac:dyDescent="0.25">
      <c r="A24" s="84" t="s">
        <v>276</v>
      </c>
      <c r="B24" s="85"/>
      <c r="C24" s="323">
        <f>'Data 2009-15 (Real $2008)'!C24</f>
        <v>0.4</v>
      </c>
      <c r="D24" s="325">
        <f t="shared" ref="D24:F26" si="8">D13</f>
        <v>26456656.380134132</v>
      </c>
      <c r="E24" s="19">
        <f t="shared" si="8"/>
        <v>38827401.623737566</v>
      </c>
      <c r="F24" s="19">
        <f t="shared" si="8"/>
        <v>23232071.948036097</v>
      </c>
      <c r="G24" s="19">
        <f t="shared" ref="G24:J26" si="9">G13</f>
        <v>24642546.559058465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5">
      <c r="A25" s="84" t="s">
        <v>278</v>
      </c>
      <c r="B25" s="85"/>
      <c r="C25" s="323">
        <f>'Data 2009-15 (Real $2008)'!C25</f>
        <v>0.21428571428571427</v>
      </c>
      <c r="D25" s="325">
        <f t="shared" si="8"/>
        <v>888555.09</v>
      </c>
      <c r="E25" s="19">
        <f t="shared" si="8"/>
        <v>8756866.3000000007</v>
      </c>
      <c r="F25" s="19">
        <f t="shared" si="8"/>
        <v>8959364.2199999988</v>
      </c>
      <c r="G25" s="19">
        <f t="shared" si="9"/>
        <v>24833830.630000003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5">
      <c r="A26" s="87" t="s">
        <v>277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8" thickBot="1" x14ac:dyDescent="0.3">
      <c r="A27" s="88" t="s">
        <v>44</v>
      </c>
      <c r="B27" s="60"/>
      <c r="C27" s="2"/>
      <c r="D27" s="11">
        <f t="shared" ref="D27:J27" si="10">SUM(D21:D26)</f>
        <v>38593720.435499437</v>
      </c>
      <c r="E27" s="12">
        <f t="shared" si="10"/>
        <v>88848084.033738032</v>
      </c>
      <c r="F27" s="12">
        <f t="shared" si="10"/>
        <v>112694436.1680361</v>
      </c>
      <c r="G27" s="12">
        <f t="shared" si="10"/>
        <v>140838402.08090585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8" thickTop="1" x14ac:dyDescent="0.25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5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5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5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5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27" t="str">
        <f t="shared" si="13"/>
        <v>Actual</v>
      </c>
      <c r="K32" s="110"/>
    </row>
    <row r="33" spans="1:11" x14ac:dyDescent="0.25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5">
      <c r="A34" s="85" t="s">
        <v>41</v>
      </c>
      <c r="C34" s="20"/>
      <c r="D34" s="757">
        <v>0</v>
      </c>
      <c r="E34" s="758">
        <v>0</v>
      </c>
      <c r="F34" s="758">
        <v>0</v>
      </c>
      <c r="G34" s="758">
        <v>0</v>
      </c>
      <c r="H34" s="758"/>
      <c r="I34" s="758"/>
      <c r="J34" s="759"/>
      <c r="K34" s="36"/>
    </row>
    <row r="35" spans="1:11" x14ac:dyDescent="0.25">
      <c r="A35" s="85" t="s">
        <v>259</v>
      </c>
      <c r="C35" s="20"/>
      <c r="D35" s="757">
        <v>0</v>
      </c>
      <c r="E35" s="758">
        <v>0</v>
      </c>
      <c r="F35" s="758">
        <v>0</v>
      </c>
      <c r="G35" s="758">
        <v>0</v>
      </c>
      <c r="H35" s="758"/>
      <c r="I35" s="758"/>
      <c r="J35" s="759"/>
      <c r="K35" s="36"/>
    </row>
    <row r="36" spans="1:11" x14ac:dyDescent="0.25">
      <c r="A36" s="85" t="s">
        <v>366</v>
      </c>
      <c r="C36" s="20"/>
      <c r="D36" s="757">
        <v>0</v>
      </c>
      <c r="E36" s="758">
        <v>0</v>
      </c>
      <c r="F36" s="758">
        <v>0</v>
      </c>
      <c r="G36" s="758">
        <v>0</v>
      </c>
      <c r="H36" s="758"/>
      <c r="I36" s="758"/>
      <c r="J36" s="759"/>
      <c r="K36" s="36"/>
    </row>
    <row r="37" spans="1:11" x14ac:dyDescent="0.25">
      <c r="A37" s="85" t="s">
        <v>276</v>
      </c>
      <c r="C37" s="20"/>
      <c r="D37" s="757">
        <v>0</v>
      </c>
      <c r="E37" s="758">
        <v>0</v>
      </c>
      <c r="F37" s="758">
        <v>0</v>
      </c>
      <c r="G37" s="758">
        <v>0</v>
      </c>
      <c r="H37" s="758"/>
      <c r="I37" s="758"/>
      <c r="J37" s="759"/>
      <c r="K37" s="36"/>
    </row>
    <row r="38" spans="1:11" x14ac:dyDescent="0.25">
      <c r="A38" s="85" t="s">
        <v>278</v>
      </c>
      <c r="B38" s="453"/>
      <c r="C38" s="20"/>
      <c r="D38" s="757">
        <v>0</v>
      </c>
      <c r="E38" s="758">
        <v>0</v>
      </c>
      <c r="F38" s="758">
        <v>0</v>
      </c>
      <c r="G38" s="758">
        <v>0</v>
      </c>
      <c r="H38" s="758"/>
      <c r="I38" s="758"/>
      <c r="J38" s="759"/>
      <c r="K38" s="36"/>
    </row>
    <row r="39" spans="1:11" x14ac:dyDescent="0.25">
      <c r="A39" s="85" t="s">
        <v>277</v>
      </c>
      <c r="B39" s="454"/>
      <c r="C39" s="20"/>
      <c r="D39" s="757">
        <v>0</v>
      </c>
      <c r="E39" s="758">
        <v>0</v>
      </c>
      <c r="F39" s="758">
        <v>0</v>
      </c>
      <c r="G39" s="758">
        <v>0</v>
      </c>
      <c r="H39" s="758"/>
      <c r="I39" s="758"/>
      <c r="J39" s="759"/>
      <c r="K39" s="36"/>
    </row>
    <row r="40" spans="1:11" ht="13.8" thickBot="1" x14ac:dyDescent="0.3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8" thickTop="1" x14ac:dyDescent="0.25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5">
      <c r="A42" s="38" t="s">
        <v>5</v>
      </c>
      <c r="C42" s="20"/>
      <c r="D42" s="23"/>
      <c r="E42" s="20"/>
      <c r="F42" s="20"/>
      <c r="G42" s="20"/>
      <c r="H42" s="20"/>
      <c r="I42" s="20"/>
      <c r="J42" s="728"/>
      <c r="K42" s="2"/>
    </row>
    <row r="43" spans="1:11" x14ac:dyDescent="0.25">
      <c r="A43" s="85" t="s">
        <v>41</v>
      </c>
      <c r="C43" s="20"/>
      <c r="D43" s="757">
        <v>0</v>
      </c>
      <c r="E43" s="758">
        <v>0</v>
      </c>
      <c r="F43" s="758">
        <v>0</v>
      </c>
      <c r="G43" s="758">
        <v>0</v>
      </c>
      <c r="H43" s="758"/>
      <c r="I43" s="758"/>
      <c r="J43" s="759"/>
      <c r="K43" s="36"/>
    </row>
    <row r="44" spans="1:11" x14ac:dyDescent="0.25">
      <c r="A44" s="85" t="s">
        <v>259</v>
      </c>
      <c r="B44" s="454"/>
      <c r="C44" s="20"/>
      <c r="D44" s="757">
        <v>0</v>
      </c>
      <c r="E44" s="758">
        <v>0</v>
      </c>
      <c r="F44" s="758">
        <v>0</v>
      </c>
      <c r="G44" s="758">
        <v>0</v>
      </c>
      <c r="H44" s="758"/>
      <c r="I44" s="758"/>
      <c r="J44" s="759"/>
      <c r="K44" s="36"/>
    </row>
    <row r="45" spans="1:11" x14ac:dyDescent="0.25">
      <c r="A45" s="85" t="s">
        <v>366</v>
      </c>
      <c r="C45" s="20"/>
      <c r="D45" s="757">
        <v>0</v>
      </c>
      <c r="E45" s="758">
        <v>0</v>
      </c>
      <c r="F45" s="758">
        <v>0</v>
      </c>
      <c r="G45" s="758">
        <v>0</v>
      </c>
      <c r="H45" s="758"/>
      <c r="I45" s="758"/>
      <c r="J45" s="759"/>
      <c r="K45" s="36"/>
    </row>
    <row r="46" spans="1:11" x14ac:dyDescent="0.25">
      <c r="A46" s="85" t="s">
        <v>276</v>
      </c>
      <c r="C46" s="20"/>
      <c r="D46" s="757">
        <v>0</v>
      </c>
      <c r="E46" s="758">
        <v>0</v>
      </c>
      <c r="F46" s="758">
        <v>0</v>
      </c>
      <c r="G46" s="758">
        <v>0</v>
      </c>
      <c r="H46" s="758"/>
      <c r="I46" s="758"/>
      <c r="J46" s="759"/>
      <c r="K46" s="36"/>
    </row>
    <row r="47" spans="1:11" x14ac:dyDescent="0.25">
      <c r="A47" s="85" t="s">
        <v>278</v>
      </c>
      <c r="B47" s="91"/>
      <c r="C47" s="20"/>
      <c r="D47" s="757">
        <v>0</v>
      </c>
      <c r="E47" s="758">
        <v>0</v>
      </c>
      <c r="F47" s="758">
        <v>0</v>
      </c>
      <c r="G47" s="758">
        <v>0</v>
      </c>
      <c r="H47" s="758"/>
      <c r="I47" s="758"/>
      <c r="J47" s="759"/>
      <c r="K47" s="36"/>
    </row>
    <row r="48" spans="1:11" x14ac:dyDescent="0.25">
      <c r="A48" s="85" t="s">
        <v>277</v>
      </c>
      <c r="C48" s="20"/>
      <c r="D48" s="757">
        <v>0</v>
      </c>
      <c r="E48" s="758">
        <v>0</v>
      </c>
      <c r="F48" s="758">
        <v>0</v>
      </c>
      <c r="G48" s="758">
        <v>0</v>
      </c>
      <c r="H48" s="758"/>
      <c r="I48" s="758"/>
      <c r="J48" s="759"/>
      <c r="K48" s="36"/>
    </row>
    <row r="49" spans="1:11" s="1" customFormat="1" ht="13.8" thickBot="1" x14ac:dyDescent="0.3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8" thickTop="1" x14ac:dyDescent="0.25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5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5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5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5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7" t="str">
        <f t="shared" si="18"/>
        <v>Actual</v>
      </c>
      <c r="K54" s="110"/>
    </row>
    <row r="55" spans="1:11" s="1" customFormat="1" ht="13.8" thickBot="1" x14ac:dyDescent="0.3">
      <c r="A55" s="3" t="s">
        <v>2</v>
      </c>
      <c r="B55" s="85"/>
      <c r="C55" s="2"/>
      <c r="D55" s="760">
        <v>27133020.450744912</v>
      </c>
      <c r="E55" s="761">
        <v>39809474.16262313</v>
      </c>
      <c r="F55" s="761">
        <v>42811168.404355973</v>
      </c>
      <c r="G55" s="761">
        <v>40190981.149277501</v>
      </c>
      <c r="H55" s="761"/>
      <c r="I55" s="761"/>
      <c r="J55" s="762"/>
      <c r="K55" s="119"/>
    </row>
    <row r="56" spans="1:11" s="1" customFormat="1" ht="13.8" thickTop="1" x14ac:dyDescent="0.25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5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5">
      <c r="A58" s="60" t="s">
        <v>62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5">
      <c r="B59" s="88"/>
      <c r="D59" s="725" t="s">
        <v>21</v>
      </c>
      <c r="E59" s="729" t="s">
        <v>21</v>
      </c>
      <c r="F59" s="729" t="s">
        <v>21</v>
      </c>
      <c r="G59" s="729" t="s">
        <v>21</v>
      </c>
      <c r="H59" s="729" t="s">
        <v>21</v>
      </c>
      <c r="I59" s="729" t="s">
        <v>21</v>
      </c>
      <c r="J59" s="726" t="s">
        <v>21</v>
      </c>
      <c r="K59" s="19"/>
    </row>
    <row r="60" spans="1:11" s="1" customFormat="1" ht="13.8" thickBot="1" x14ac:dyDescent="0.3">
      <c r="A60" s="78" t="s">
        <v>62</v>
      </c>
      <c r="B60" s="449"/>
      <c r="D60" s="763">
        <v>37927245.233500004</v>
      </c>
      <c r="E60" s="761">
        <v>65653893.745999992</v>
      </c>
      <c r="F60" s="761">
        <v>73478180.732400015</v>
      </c>
      <c r="G60" s="761">
        <v>83599356</v>
      </c>
      <c r="H60" s="761"/>
      <c r="I60" s="761"/>
      <c r="J60" s="762"/>
      <c r="K60" s="19"/>
    </row>
    <row r="61" spans="1:11" s="1" customFormat="1" ht="13.8" thickTop="1" x14ac:dyDescent="0.25">
      <c r="E61" s="19"/>
      <c r="K61" s="19"/>
    </row>
    <row r="62" spans="1:11" s="1" customFormat="1" x14ac:dyDescent="0.25">
      <c r="E62" s="19"/>
      <c r="K62" s="19"/>
    </row>
    <row r="63" spans="1:11" s="1" customFormat="1" x14ac:dyDescent="0.25">
      <c r="E63" s="19"/>
      <c r="K63" s="19"/>
    </row>
    <row r="64" spans="1:11" s="1" customFormat="1" x14ac:dyDescent="0.25">
      <c r="E64" s="19"/>
      <c r="K64" s="19"/>
    </row>
    <row r="65" spans="2:2" x14ac:dyDescent="0.25">
      <c r="B65" s="88"/>
    </row>
    <row r="66" spans="2:2" x14ac:dyDescent="0.25">
      <c r="B66" s="88"/>
    </row>
    <row r="67" spans="2:2" x14ac:dyDescent="0.25">
      <c r="B67" s="450"/>
    </row>
    <row r="68" spans="2:2" x14ac:dyDescent="0.25">
      <c r="B68" s="88"/>
    </row>
    <row r="69" spans="2:2" x14ac:dyDescent="0.25">
      <c r="B69" s="88"/>
    </row>
    <row r="70" spans="2:2" x14ac:dyDescent="0.25">
      <c r="B70" s="88"/>
    </row>
    <row r="71" spans="2:2" x14ac:dyDescent="0.25">
      <c r="B71" s="88"/>
    </row>
    <row r="72" spans="2:2" x14ac:dyDescent="0.25">
      <c r="B72" s="88"/>
    </row>
    <row r="73" spans="2:2" x14ac:dyDescent="0.25">
      <c r="B73" s="88"/>
    </row>
    <row r="76" spans="2:2" x14ac:dyDescent="0.25">
      <c r="B76" s="449"/>
    </row>
    <row r="77" spans="2:2" x14ac:dyDescent="0.25">
      <c r="B77" s="450"/>
    </row>
    <row r="78" spans="2:2" x14ac:dyDescent="0.25">
      <c r="B78" s="88"/>
    </row>
    <row r="79" spans="2:2" x14ac:dyDescent="0.25">
      <c r="B79" s="449"/>
    </row>
    <row r="80" spans="2:2" x14ac:dyDescent="0.25">
      <c r="B80" s="450"/>
    </row>
    <row r="81" spans="2:2" x14ac:dyDescent="0.25">
      <c r="B81" s="88"/>
    </row>
    <row r="82" spans="2:2" x14ac:dyDescent="0.25">
      <c r="B82" s="88"/>
    </row>
    <row r="83" spans="2:2" x14ac:dyDescent="0.25">
      <c r="B83" s="88"/>
    </row>
    <row r="84" spans="2:2" x14ac:dyDescent="0.25">
      <c r="B84" s="88"/>
    </row>
    <row r="85" spans="2:2" x14ac:dyDescent="0.25">
      <c r="B85" s="88"/>
    </row>
    <row r="87" spans="2:2" x14ac:dyDescent="0.25">
      <c r="B87" s="450"/>
    </row>
    <row r="88" spans="2:2" x14ac:dyDescent="0.25">
      <c r="B88" s="88"/>
    </row>
    <row r="91" spans="2:2" x14ac:dyDescent="0.25">
      <c r="B91" s="91"/>
    </row>
    <row r="92" spans="2:2" x14ac:dyDescent="0.25">
      <c r="B92" s="91"/>
    </row>
    <row r="93" spans="2:2" x14ac:dyDescent="0.25">
      <c r="B93" s="91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S231"/>
  <sheetViews>
    <sheetView zoomScale="85" zoomScaleNormal="85" workbookViewId="0">
      <pane xSplit="1" ySplit="3" topLeftCell="B139" activePane="bottomRight" state="frozen"/>
      <selection pane="topRight" activeCell="B1" sqref="B1"/>
      <selection pane="bottomLeft" activeCell="A4" sqref="A4"/>
      <selection pane="bottomRight" activeCell="L155" sqref="L155"/>
    </sheetView>
  </sheetViews>
  <sheetFormatPr defaultColWidth="9.109375" defaultRowHeight="13.2" x14ac:dyDescent="0.25"/>
  <cols>
    <col min="1" max="1" width="51.88671875" style="21" customWidth="1"/>
    <col min="2" max="2" width="6.5546875" style="85" customWidth="1"/>
    <col min="3" max="3" width="25.44140625" style="21" customWidth="1"/>
    <col min="4" max="4" width="13.109375" style="21" customWidth="1"/>
    <col min="5" max="5" width="11.88671875" style="21" customWidth="1"/>
    <col min="6" max="10" width="11.5546875" style="21" customWidth="1"/>
    <col min="11" max="13" width="9.109375" style="1"/>
    <col min="14" max="14" width="9.109375" style="20"/>
    <col min="15" max="17" width="12" style="20" customWidth="1"/>
    <col min="18" max="19" width="12" style="21" customWidth="1"/>
    <col min="20" max="16384" width="9.109375" style="21"/>
  </cols>
  <sheetData>
    <row r="1" spans="1:19" s="1" customFormat="1" x14ac:dyDescent="0.25">
      <c r="A1" s="554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56"/>
      <c r="M1" s="56"/>
      <c r="N1" s="21"/>
      <c r="O1" s="21"/>
      <c r="P1" s="21"/>
      <c r="Q1" s="4">
        <f>H1</f>
        <v>2013</v>
      </c>
      <c r="R1" s="5">
        <f>I1</f>
        <v>2014</v>
      </c>
      <c r="S1" s="6">
        <f>J1</f>
        <v>2015</v>
      </c>
    </row>
    <row r="2" spans="1:19" s="1" customFormat="1" ht="13.8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110"/>
      <c r="M2" s="110"/>
      <c r="N2" s="21"/>
      <c r="O2" s="21"/>
      <c r="P2" s="21"/>
      <c r="Q2" s="730"/>
      <c r="R2" s="2"/>
      <c r="S2" s="731"/>
    </row>
    <row r="3" spans="1:19" s="1" customFormat="1" ht="15.6" x14ac:dyDescent="0.3">
      <c r="A3" s="72" t="s">
        <v>391</v>
      </c>
      <c r="B3" s="452"/>
      <c r="C3" s="2"/>
      <c r="D3" s="701" t="s">
        <v>19</v>
      </c>
      <c r="E3" s="702" t="s">
        <v>19</v>
      </c>
      <c r="F3" s="702" t="s">
        <v>19</v>
      </c>
      <c r="G3" s="702" t="s">
        <v>19</v>
      </c>
      <c r="H3" s="702" t="s">
        <v>19</v>
      </c>
      <c r="I3" s="897" t="s">
        <v>19</v>
      </c>
      <c r="J3" s="898" t="s">
        <v>19</v>
      </c>
      <c r="K3" s="110"/>
      <c r="L3" s="110"/>
      <c r="M3" s="110"/>
      <c r="N3" s="21"/>
      <c r="O3" s="21"/>
      <c r="P3" s="21"/>
      <c r="Q3" s="62" t="str">
        <f>H3</f>
        <v>Actual</v>
      </c>
      <c r="R3" s="63" t="str">
        <f>I3</f>
        <v>Actual</v>
      </c>
      <c r="S3" s="64" t="str">
        <f>J3</f>
        <v>Actual</v>
      </c>
    </row>
    <row r="4" spans="1:19" s="1" customFormat="1" ht="15.6" x14ac:dyDescent="0.3">
      <c r="B4" s="96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21"/>
      <c r="O4" s="2"/>
      <c r="P4" s="2"/>
      <c r="Q4" s="2"/>
    </row>
    <row r="5" spans="1:19" s="1" customFormat="1" ht="15.6" x14ac:dyDescent="0.3">
      <c r="A5" s="97" t="s">
        <v>403</v>
      </c>
      <c r="B5" s="45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1"/>
      <c r="O5" s="21"/>
      <c r="P5" s="21"/>
      <c r="Q5" s="21"/>
    </row>
    <row r="6" spans="1:19" s="1" customFormat="1" x14ac:dyDescent="0.25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1"/>
      <c r="P6" s="21"/>
      <c r="Q6" s="21"/>
    </row>
    <row r="7" spans="1:19" s="1" customFormat="1" x14ac:dyDescent="0.25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56"/>
      <c r="M7" s="56"/>
      <c r="N7" s="2"/>
      <c r="O7" s="21"/>
      <c r="P7" s="21"/>
      <c r="Q7" s="21"/>
    </row>
    <row r="8" spans="1:19" s="1" customFormat="1" x14ac:dyDescent="0.25">
      <c r="A8" s="43" t="s">
        <v>36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110"/>
      <c r="M8" s="110"/>
      <c r="N8" s="2"/>
      <c r="O8" s="21"/>
      <c r="P8" s="21"/>
      <c r="Q8" s="21"/>
    </row>
    <row r="9" spans="1:19" s="1" customFormat="1" x14ac:dyDescent="0.25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Actual</v>
      </c>
      <c r="I9" s="53" t="s">
        <v>19</v>
      </c>
      <c r="J9" s="727" t="str">
        <f t="shared" si="1"/>
        <v>Actual</v>
      </c>
      <c r="K9" s="110"/>
      <c r="L9" s="110"/>
      <c r="M9" s="110"/>
      <c r="N9" s="2"/>
      <c r="O9" s="21"/>
      <c r="P9" s="21"/>
      <c r="Q9" s="21"/>
    </row>
    <row r="10" spans="1:19" s="1" customFormat="1" x14ac:dyDescent="0.25">
      <c r="A10" s="85" t="s">
        <v>41</v>
      </c>
      <c r="B10" s="85"/>
      <c r="C10" s="106" t="str">
        <f>"Depreciated by end of  "&amp;'Data 2006-08'!$C$34&amp;""</f>
        <v>Depreciated by end of  2013</v>
      </c>
      <c r="D10" s="764">
        <f>'Data 2009-12'!D10/D$145</f>
        <v>5374639.4694873495</v>
      </c>
      <c r="E10" s="765">
        <f>'Data 2009-12'!E10/E$145</f>
        <v>5330545.8062409386</v>
      </c>
      <c r="F10" s="765">
        <f>'Data 2009-12'!F10/F$145</f>
        <v>223302.94287362954</v>
      </c>
      <c r="G10" s="765">
        <f>'Data 2009-12'!G10/G$145</f>
        <v>595948.63909495482</v>
      </c>
      <c r="H10" s="765">
        <f>'DNSP Data Inputs 2013-15'!H10/$H$145</f>
        <v>0</v>
      </c>
      <c r="I10" s="765">
        <f>'DNSP Data Inputs 2013-15'!I10/$I$145</f>
        <v>0</v>
      </c>
      <c r="J10" s="766">
        <f>'DNSP Data Inputs 2013-15'!J10/$I$145</f>
        <v>0</v>
      </c>
      <c r="K10" s="119"/>
      <c r="L10" s="119"/>
      <c r="M10" s="119"/>
      <c r="N10" s="2"/>
      <c r="O10" s="21"/>
      <c r="P10" s="21"/>
      <c r="Q10" s="21"/>
    </row>
    <row r="11" spans="1:19" s="1" customFormat="1" x14ac:dyDescent="0.25">
      <c r="A11" s="84" t="s">
        <v>259</v>
      </c>
      <c r="B11" s="85"/>
      <c r="C11" s="316" t="str">
        <f>"Depreciated by end of  "&amp;'Data 2006-08'!$C$34&amp;""</f>
        <v>Depreciated by end of  2013</v>
      </c>
      <c r="D11" s="774">
        <f>'Data 2009-12'!D11/D$145</f>
        <v>4180326.2409206815</v>
      </c>
      <c r="E11" s="775">
        <f>'Data 2009-12'!E11/E$145</f>
        <v>5555121.1708104815</v>
      </c>
      <c r="F11" s="775">
        <f>'Data 2009-12'!F11/F$145</f>
        <v>5491.0559723023653</v>
      </c>
      <c r="G11" s="775">
        <f>'Data 2009-12'!G11/G$145</f>
        <v>61493.315252872831</v>
      </c>
      <c r="H11" s="765">
        <f>'DNSP Data Inputs 2013-15'!H11/$H$145</f>
        <v>0</v>
      </c>
      <c r="I11" s="765">
        <f>'DNSP Data Inputs 2013-15'!I11/$I$145</f>
        <v>0</v>
      </c>
      <c r="J11" s="766">
        <f>'DNSP Data Inputs 2013-15'!J11/$I$145</f>
        <v>0</v>
      </c>
      <c r="K11" s="119"/>
      <c r="L11" s="119"/>
      <c r="M11" s="119"/>
      <c r="N11" s="2"/>
      <c r="O11" s="21"/>
      <c r="P11" s="21"/>
      <c r="Q11" s="21"/>
    </row>
    <row r="12" spans="1:19" s="1" customFormat="1" x14ac:dyDescent="0.25">
      <c r="A12" s="318" t="str">
        <f>A$154</f>
        <v>Remotely read interval meters &amp; transformers</v>
      </c>
      <c r="B12" s="85"/>
      <c r="C12" s="316">
        <f>C154</f>
        <v>15</v>
      </c>
      <c r="D12" s="774">
        <f>'Data 2009-12'!D12/D$145</f>
        <v>1159830.216960961</v>
      </c>
      <c r="E12" s="775">
        <f>'Data 2009-12'!E12/E$145</f>
        <v>27930710.455013078</v>
      </c>
      <c r="F12" s="775">
        <f>'Data 2009-12'!F12/F$145</f>
        <v>73445619.157530293</v>
      </c>
      <c r="G12" s="775">
        <f>'Data 2009-12'!G12/G$145</f>
        <v>80111884.399314359</v>
      </c>
      <c r="H12" s="765">
        <f>'DNSP Data Inputs 2013-15'!H12/$H$145</f>
        <v>81918832.412679613</v>
      </c>
      <c r="I12" s="765">
        <f>'DNSP Data Inputs 2013-15'!I12/$I$145</f>
        <v>32238939.306252521</v>
      </c>
      <c r="J12" s="908">
        <f>'DNSP Data Inputs 2013-15'!J12/$J$145</f>
        <v>3815015.0730999834</v>
      </c>
      <c r="K12" s="19"/>
      <c r="L12" s="19"/>
      <c r="M12" s="19"/>
      <c r="N12" s="2"/>
      <c r="O12" s="21"/>
      <c r="P12" s="21"/>
      <c r="Q12" s="21"/>
    </row>
    <row r="13" spans="1:19" s="1" customFormat="1" x14ac:dyDescent="0.25">
      <c r="A13" s="318" t="str">
        <f>A$155</f>
        <v>IT</v>
      </c>
      <c r="B13" s="85"/>
      <c r="C13" s="316">
        <f>C155</f>
        <v>7</v>
      </c>
      <c r="D13" s="774">
        <f>'Data 2009-12'!D13/D$145</f>
        <v>25201355.566902544</v>
      </c>
      <c r="E13" s="775">
        <f>'Data 2009-12'!E13/E$145</f>
        <v>36524471.515568085</v>
      </c>
      <c r="F13" s="775">
        <f>'Data 2009-12'!F13/F$145</f>
        <v>21261434.569870312</v>
      </c>
      <c r="G13" s="775">
        <f>'Data 2009-12'!G13/G$145</f>
        <v>21785439.711631399</v>
      </c>
      <c r="H13" s="765">
        <f>'DNSP Data Inputs 2013-15'!H13/$H$145</f>
        <v>7831804.5605887901</v>
      </c>
      <c r="I13" s="765">
        <f>'DNSP Data Inputs 2013-15'!I13/$I$145</f>
        <v>7601474.4589772075</v>
      </c>
      <c r="J13" s="908">
        <f>'DNSP Data Inputs 2013-15'!J13/$J$145</f>
        <v>18687071.226709712</v>
      </c>
      <c r="K13" s="15"/>
      <c r="L13" s="15"/>
      <c r="M13" s="15"/>
      <c r="N13" s="2"/>
      <c r="O13" s="21"/>
      <c r="P13" s="21"/>
      <c r="Q13" s="21"/>
    </row>
    <row r="14" spans="1:19" s="1" customFormat="1" x14ac:dyDescent="0.25">
      <c r="A14" s="318" t="str">
        <f>A$156</f>
        <v>Communications</v>
      </c>
      <c r="B14" s="88"/>
      <c r="C14" s="316">
        <f>C156</f>
        <v>7</v>
      </c>
      <c r="D14" s="774">
        <f>'Data 2009-12'!D14/D$145</f>
        <v>846395.41906306311</v>
      </c>
      <c r="E14" s="775">
        <f>'Data 2009-12'!E14/E$145</f>
        <v>8237479.2122182706</v>
      </c>
      <c r="F14" s="775">
        <f>'Data 2009-12'!F14/F$145</f>
        <v>8199395.0680438532</v>
      </c>
      <c r="G14" s="775">
        <f>'Data 2009-12'!G14/G$145</f>
        <v>21954545.919275366</v>
      </c>
      <c r="H14" s="765">
        <f>'DNSP Data Inputs 2013-15'!H14/$H$145</f>
        <v>16309185.241853025</v>
      </c>
      <c r="I14" s="765">
        <f>'DNSP Data Inputs 2013-15'!I14/$I$145</f>
        <v>2942001.1014390355</v>
      </c>
      <c r="J14" s="908">
        <f>'DNSP Data Inputs 2013-15'!J14/$J$145</f>
        <v>3822.1175583512909</v>
      </c>
      <c r="K14" s="15"/>
      <c r="L14" s="15"/>
      <c r="M14" s="15"/>
      <c r="N14" s="2"/>
      <c r="O14" s="21"/>
      <c r="P14" s="21"/>
      <c r="Q14" s="21"/>
    </row>
    <row r="15" spans="1:19" s="1" customFormat="1" x14ac:dyDescent="0.25">
      <c r="A15" s="318" t="str">
        <f>A$157</f>
        <v>Other</v>
      </c>
      <c r="B15" s="85"/>
      <c r="C15" s="107">
        <f>C157</f>
        <v>7</v>
      </c>
      <c r="D15" s="774">
        <f>'Data 2009-12'!D15/D$145</f>
        <v>0</v>
      </c>
      <c r="E15" s="775">
        <f>'Data 2009-12'!E15/E$145</f>
        <v>0</v>
      </c>
      <c r="F15" s="775">
        <f>'Data 2009-12'!F15/F$145</f>
        <v>0</v>
      </c>
      <c r="G15" s="775">
        <f>'Data 2009-12'!G15/G$145</f>
        <v>0</v>
      </c>
      <c r="H15" s="765">
        <f>'DNSP Data Inputs 2013-15'!H15/$H$145</f>
        <v>0</v>
      </c>
      <c r="I15" s="765">
        <f>'DNSP Data Inputs 2013-15'!I15/$I$145</f>
        <v>0</v>
      </c>
      <c r="J15" s="766">
        <f>'DNSP Data Inputs 2013-15'!J15/$J$145</f>
        <v>0</v>
      </c>
      <c r="K15" s="15"/>
      <c r="L15" s="15"/>
      <c r="M15" s="15"/>
      <c r="N15" s="2"/>
      <c r="O15" s="21"/>
      <c r="P15" s="21"/>
      <c r="Q15" s="21"/>
    </row>
    <row r="16" spans="1:19" s="1" customFormat="1" ht="13.8" thickBot="1" x14ac:dyDescent="0.3">
      <c r="A16" s="88" t="s">
        <v>44</v>
      </c>
      <c r="B16" s="85"/>
      <c r="C16" s="2"/>
      <c r="D16" s="11">
        <f t="shared" ref="D16:J16" si="2">SUM(D10:D15)</f>
        <v>36762546.913334601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106059822.21512143</v>
      </c>
      <c r="I16" s="12">
        <f t="shared" si="2"/>
        <v>42782414.866668768</v>
      </c>
      <c r="J16" s="13">
        <f t="shared" si="2"/>
        <v>22505908.417368047</v>
      </c>
      <c r="K16" s="15"/>
      <c r="L16" s="15"/>
      <c r="M16" s="15"/>
      <c r="N16" s="2"/>
      <c r="O16" s="21"/>
      <c r="P16" s="21"/>
      <c r="Q16" s="21"/>
    </row>
    <row r="17" spans="1:17" s="1" customFormat="1" ht="13.8" thickTop="1" x14ac:dyDescent="0.25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"/>
      <c r="O17" s="21"/>
      <c r="P17" s="21"/>
      <c r="Q17" s="21"/>
    </row>
    <row r="18" spans="1:17" s="1" customFormat="1" x14ac:dyDescent="0.25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"/>
      <c r="O18" s="21"/>
      <c r="P18" s="21"/>
      <c r="Q18" s="21"/>
    </row>
    <row r="19" spans="1:17" s="1" customFormat="1" x14ac:dyDescent="0.25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15"/>
      <c r="M19" s="15"/>
      <c r="N19" s="2"/>
      <c r="O19" s="21"/>
      <c r="P19" s="21"/>
      <c r="Q19" s="21"/>
    </row>
    <row r="20" spans="1:17" s="1" customFormat="1" x14ac:dyDescent="0.25">
      <c r="A20" s="320"/>
      <c r="B20" s="85"/>
      <c r="C20" s="308" t="s">
        <v>275</v>
      </c>
      <c r="D20" s="49" t="str">
        <f t="shared" ref="D20:J20" si="3">D$2</f>
        <v>Real 2008 $</v>
      </c>
      <c r="E20" s="50" t="str">
        <f t="shared" si="3"/>
        <v>Real 2008 $</v>
      </c>
      <c r="F20" s="50" t="str">
        <f t="shared" si="3"/>
        <v>Real 2008 $</v>
      </c>
      <c r="G20" s="50" t="str">
        <f t="shared" si="3"/>
        <v>Real 2008 $</v>
      </c>
      <c r="H20" s="50" t="str">
        <f t="shared" si="3"/>
        <v>Real 2008 $</v>
      </c>
      <c r="I20" s="50" t="str">
        <f t="shared" si="3"/>
        <v>Real 2008 $</v>
      </c>
      <c r="J20" s="51" t="str">
        <f t="shared" si="3"/>
        <v>Real 2008 $</v>
      </c>
      <c r="K20" s="15"/>
      <c r="L20" s="15"/>
      <c r="M20" s="15"/>
      <c r="N20" s="2"/>
      <c r="O20" s="21"/>
      <c r="P20" s="21"/>
      <c r="Q20" s="21"/>
    </row>
    <row r="21" spans="1:17" s="1" customFormat="1" x14ac:dyDescent="0.25">
      <c r="A21" s="74" t="s">
        <v>46</v>
      </c>
      <c r="B21" s="91"/>
      <c r="C21" s="321" t="s">
        <v>47</v>
      </c>
      <c r="D21" s="52" t="str">
        <f t="shared" ref="D21:J21" si="4">D$3</f>
        <v>Actual</v>
      </c>
      <c r="E21" s="53" t="str">
        <f t="shared" si="4"/>
        <v>Actual</v>
      </c>
      <c r="F21" s="53" t="str">
        <f t="shared" si="4"/>
        <v>Actual</v>
      </c>
      <c r="G21" s="53" t="str">
        <f t="shared" si="4"/>
        <v>Actual</v>
      </c>
      <c r="H21" s="53" t="str">
        <f t="shared" si="4"/>
        <v>Actual</v>
      </c>
      <c r="I21" s="53" t="str">
        <f t="shared" si="4"/>
        <v>Actual</v>
      </c>
      <c r="J21" s="727" t="str">
        <f t="shared" si="4"/>
        <v>Actual</v>
      </c>
      <c r="K21" s="15"/>
      <c r="L21" s="15"/>
      <c r="M21" s="15"/>
      <c r="N21" s="2"/>
      <c r="O21" s="21"/>
      <c r="P21" s="21"/>
      <c r="Q21" s="21"/>
    </row>
    <row r="22" spans="1:17" s="1" customFormat="1" x14ac:dyDescent="0.25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5">SUM(D10:D12)-D23</f>
        <v>10714795.927368993</v>
      </c>
      <c r="E22" s="19">
        <f t="shared" si="5"/>
        <v>38816377.432064496</v>
      </c>
      <c r="F22" s="19">
        <f t="shared" si="5"/>
        <v>73674413.156376228</v>
      </c>
      <c r="G22" s="19">
        <f t="shared" si="5"/>
        <v>80769326.353662193</v>
      </c>
      <c r="H22" s="19">
        <f t="shared" si="5"/>
        <v>81918832.412679613</v>
      </c>
      <c r="I22" s="19">
        <f t="shared" si="5"/>
        <v>32238939.306252521</v>
      </c>
      <c r="J22" s="326">
        <f t="shared" si="5"/>
        <v>3815015.0730999834</v>
      </c>
      <c r="K22" s="15"/>
      <c r="L22" s="15"/>
      <c r="M22" s="15"/>
      <c r="N22" s="2"/>
      <c r="O22" s="21"/>
      <c r="P22" s="21"/>
      <c r="Q22" s="21"/>
    </row>
    <row r="23" spans="1:17" s="1" customFormat="1" x14ac:dyDescent="0.25">
      <c r="A23" s="84" t="str">
        <f>A$163</f>
        <v>Meters and transformers (Group 2) (Unit cost =&gt; $1,000)</v>
      </c>
      <c r="B23" s="88"/>
      <c r="C23" s="323">
        <f>C163</f>
        <v>0.06</v>
      </c>
      <c r="D23" s="774">
        <f>'Data 2009-12'!D23/D$145</f>
        <v>0</v>
      </c>
      <c r="E23" s="775">
        <f>'Data 2009-12'!E23/E$145</f>
        <v>0</v>
      </c>
      <c r="F23" s="775">
        <f>'Data 2009-12'!F23/F$145</f>
        <v>0</v>
      </c>
      <c r="G23" s="775">
        <f>'Data 2009-12'!G23/G$145</f>
        <v>0</v>
      </c>
      <c r="H23" s="765">
        <f>'DNSP Data Inputs 2013-15'!H23/$H$145</f>
        <v>0</v>
      </c>
      <c r="I23" s="765">
        <f>'DNSP Data Inputs 2013-15'!I23/$I$145</f>
        <v>0</v>
      </c>
      <c r="J23" s="766">
        <f>'DNSP Data Inputs 2013-15'!J23/$I$145</f>
        <v>0</v>
      </c>
      <c r="K23" s="15"/>
      <c r="L23" s="15"/>
      <c r="M23" s="15"/>
      <c r="N23" s="2"/>
      <c r="O23" s="21"/>
      <c r="P23" s="21"/>
      <c r="Q23" s="21"/>
    </row>
    <row r="24" spans="1:17" s="1" customFormat="1" x14ac:dyDescent="0.25">
      <c r="A24" s="84" t="str">
        <f>A$164</f>
        <v>IT</v>
      </c>
      <c r="B24" s="85"/>
      <c r="C24" s="323">
        <f>C164</f>
        <v>0.4</v>
      </c>
      <c r="D24" s="325">
        <f t="shared" ref="D24:F26" si="6">D13</f>
        <v>25201355.566902544</v>
      </c>
      <c r="E24" s="19">
        <f t="shared" si="6"/>
        <v>36524471.515568085</v>
      </c>
      <c r="F24" s="19">
        <f t="shared" si="6"/>
        <v>21261434.569870312</v>
      </c>
      <c r="G24" s="19">
        <f t="shared" ref="G24:J26" si="7">G13</f>
        <v>21785439.711631399</v>
      </c>
      <c r="H24" s="19">
        <f t="shared" si="7"/>
        <v>7831804.5605887901</v>
      </c>
      <c r="I24" s="19">
        <f t="shared" si="7"/>
        <v>7601474.4589772075</v>
      </c>
      <c r="J24" s="326">
        <f t="shared" si="7"/>
        <v>18687071.226709712</v>
      </c>
      <c r="K24" s="15"/>
      <c r="L24" s="15"/>
      <c r="M24" s="15"/>
      <c r="N24" s="2"/>
      <c r="O24" s="21"/>
      <c r="P24" s="21"/>
      <c r="Q24" s="21"/>
    </row>
    <row r="25" spans="1:17" s="1" customFormat="1" x14ac:dyDescent="0.25">
      <c r="A25" s="84" t="str">
        <f>A$165</f>
        <v>Communications</v>
      </c>
      <c r="B25" s="85"/>
      <c r="C25" s="323">
        <f>C165</f>
        <v>0.21428571428571427</v>
      </c>
      <c r="D25" s="325">
        <f t="shared" si="6"/>
        <v>846395.41906306311</v>
      </c>
      <c r="E25" s="19">
        <f t="shared" si="6"/>
        <v>8237479.2122182706</v>
      </c>
      <c r="F25" s="19">
        <f t="shared" si="6"/>
        <v>8199395.0680438532</v>
      </c>
      <c r="G25" s="19">
        <f t="shared" si="7"/>
        <v>21954545.919275366</v>
      </c>
      <c r="H25" s="19">
        <f t="shared" si="7"/>
        <v>16309185.241853025</v>
      </c>
      <c r="I25" s="19">
        <f t="shared" si="7"/>
        <v>2942001.1014390355</v>
      </c>
      <c r="J25" s="326">
        <f t="shared" si="7"/>
        <v>3822.1175583512909</v>
      </c>
      <c r="K25" s="15"/>
      <c r="L25" s="15"/>
      <c r="M25" s="15"/>
      <c r="N25" s="2"/>
      <c r="O25" s="21"/>
      <c r="P25" s="21"/>
      <c r="Q25" s="21"/>
    </row>
    <row r="26" spans="1:17" s="1" customFormat="1" x14ac:dyDescent="0.25">
      <c r="A26" s="87" t="str">
        <f>A$166</f>
        <v>Other</v>
      </c>
      <c r="B26" s="85"/>
      <c r="C26" s="324">
        <f>C166</f>
        <v>0.1764705882352941</v>
      </c>
      <c r="D26" s="325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15"/>
      <c r="M26" s="15"/>
      <c r="N26" s="2"/>
      <c r="O26" s="21"/>
      <c r="P26" s="21"/>
      <c r="Q26" s="21"/>
    </row>
    <row r="27" spans="1:17" s="1" customFormat="1" ht="13.8" thickBot="1" x14ac:dyDescent="0.3">
      <c r="A27" s="88" t="s">
        <v>44</v>
      </c>
      <c r="B27" s="60"/>
      <c r="C27" s="2"/>
      <c r="D27" s="11">
        <f t="shared" ref="D27:J27" si="8">SUM(D21:D26)</f>
        <v>36762546.913334601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106059822.21512143</v>
      </c>
      <c r="I27" s="12">
        <f t="shared" si="8"/>
        <v>42782414.866668768</v>
      </c>
      <c r="J27" s="13">
        <f t="shared" si="8"/>
        <v>22505908.417368047</v>
      </c>
      <c r="K27" s="15"/>
      <c r="L27" s="15"/>
      <c r="M27" s="15"/>
      <c r="N27" s="2"/>
      <c r="O27" s="21"/>
      <c r="P27" s="21"/>
      <c r="Q27" s="21"/>
    </row>
    <row r="28" spans="1:17" s="1" customFormat="1" ht="13.8" thickTop="1" x14ac:dyDescent="0.25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"/>
      <c r="O28" s="21"/>
      <c r="P28" s="21"/>
      <c r="Q28" s="21"/>
    </row>
    <row r="29" spans="1:17" s="1" customFormat="1" x14ac:dyDescent="0.25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2"/>
      <c r="O29" s="21"/>
      <c r="P29" s="21"/>
      <c r="Q29" s="21"/>
    </row>
    <row r="30" spans="1:17" s="1" customFormat="1" x14ac:dyDescent="0.25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56"/>
      <c r="M30" s="56"/>
      <c r="N30" s="2"/>
      <c r="O30" s="21"/>
      <c r="P30" s="21"/>
      <c r="Q30" s="21"/>
    </row>
    <row r="31" spans="1:17" x14ac:dyDescent="0.25">
      <c r="A31" s="43" t="s">
        <v>3</v>
      </c>
      <c r="C31" s="2"/>
      <c r="D31" s="49" t="str">
        <f t="shared" ref="D31:J31" si="9">D$2</f>
        <v>Real 2008 $</v>
      </c>
      <c r="E31" s="50" t="str">
        <f t="shared" si="9"/>
        <v>Real 2008 $</v>
      </c>
      <c r="F31" s="50" t="str">
        <f t="shared" si="9"/>
        <v>Real 2008 $</v>
      </c>
      <c r="G31" s="50" t="str">
        <f t="shared" si="9"/>
        <v>Real 2008 $</v>
      </c>
      <c r="H31" s="50" t="str">
        <f t="shared" si="9"/>
        <v>Real 2008 $</v>
      </c>
      <c r="I31" s="50" t="str">
        <f t="shared" si="9"/>
        <v>Real 2008 $</v>
      </c>
      <c r="J31" s="51" t="str">
        <f t="shared" si="9"/>
        <v>Real 2008 $</v>
      </c>
      <c r="K31" s="110"/>
      <c r="L31" s="110"/>
      <c r="M31" s="110"/>
      <c r="N31" s="2"/>
      <c r="O31" s="21"/>
      <c r="P31" s="21"/>
      <c r="Q31" s="21"/>
    </row>
    <row r="32" spans="1:17" x14ac:dyDescent="0.25">
      <c r="A32" s="22"/>
      <c r="B32" s="55"/>
      <c r="C32" s="20"/>
      <c r="D32" s="52" t="str">
        <f t="shared" ref="D32:J32" si="10">D$3</f>
        <v>Actual</v>
      </c>
      <c r="E32" s="53" t="str">
        <f t="shared" si="10"/>
        <v>Actual</v>
      </c>
      <c r="F32" s="53" t="str">
        <f t="shared" si="10"/>
        <v>Actual</v>
      </c>
      <c r="G32" s="53" t="str">
        <f t="shared" si="10"/>
        <v>Actual</v>
      </c>
      <c r="H32" s="53" t="str">
        <f t="shared" si="10"/>
        <v>Actual</v>
      </c>
      <c r="I32" s="53" t="str">
        <f t="shared" si="10"/>
        <v>Actual</v>
      </c>
      <c r="J32" s="727" t="str">
        <f t="shared" si="10"/>
        <v>Actual</v>
      </c>
      <c r="K32" s="110"/>
      <c r="L32" s="110"/>
      <c r="M32" s="110"/>
      <c r="O32" s="21"/>
      <c r="P32" s="21"/>
      <c r="Q32" s="21"/>
    </row>
    <row r="33" spans="1:17" x14ac:dyDescent="0.25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L33" s="36"/>
      <c r="M33" s="36"/>
      <c r="O33" s="21"/>
      <c r="P33" s="21"/>
      <c r="Q33" s="21"/>
    </row>
    <row r="34" spans="1:17" x14ac:dyDescent="0.25">
      <c r="A34" s="85" t="str">
        <f t="shared" ref="A34:A39" si="11">A10</f>
        <v>Accumulation Meters</v>
      </c>
      <c r="C34" s="20"/>
      <c r="D34" s="770">
        <f>'Data 2009-12'!D34/D$145</f>
        <v>0</v>
      </c>
      <c r="E34" s="771">
        <f>'Data 2009-12'!E34/E$145</f>
        <v>0</v>
      </c>
      <c r="F34" s="771">
        <f>'Data 2009-12'!F34/F$145</f>
        <v>0</v>
      </c>
      <c r="G34" s="771">
        <f>'Data 2009-12'!G34/G$145</f>
        <v>0</v>
      </c>
      <c r="H34" s="765">
        <f>'DNSP Data Inputs 2013-15'!H34/$H$145</f>
        <v>0</v>
      </c>
      <c r="I34" s="765">
        <f>'DNSP Data Inputs 2013-15'!I34/$I$145</f>
        <v>0</v>
      </c>
      <c r="J34" s="766">
        <f>'DNSP Data Inputs 2013-15'!J34/$I$145</f>
        <v>0</v>
      </c>
      <c r="K34" s="36"/>
      <c r="L34" s="36"/>
      <c r="M34" s="36"/>
      <c r="O34" s="21"/>
      <c r="P34" s="21"/>
      <c r="Q34" s="21"/>
    </row>
    <row r="35" spans="1:17" x14ac:dyDescent="0.25">
      <c r="A35" s="85" t="str">
        <f t="shared" si="11"/>
        <v>Manually read interval meters</v>
      </c>
      <c r="C35" s="20"/>
      <c r="D35" s="770">
        <f>'Data 2009-12'!D35/D$145</f>
        <v>0</v>
      </c>
      <c r="E35" s="771">
        <f>'Data 2009-12'!E35/E$145</f>
        <v>0</v>
      </c>
      <c r="F35" s="771">
        <f>'Data 2009-12'!F35/F$145</f>
        <v>0</v>
      </c>
      <c r="G35" s="771">
        <f>'Data 2009-12'!G35/G$145</f>
        <v>0</v>
      </c>
      <c r="H35" s="765">
        <f>'DNSP Data Inputs 2013-15'!H35/$H$145</f>
        <v>0</v>
      </c>
      <c r="I35" s="765">
        <f>'DNSP Data Inputs 2013-15'!I35/$I$145</f>
        <v>0</v>
      </c>
      <c r="J35" s="766">
        <f>'DNSP Data Inputs 2013-15'!J35/$I$145</f>
        <v>0</v>
      </c>
      <c r="K35" s="36"/>
      <c r="L35" s="36"/>
      <c r="M35" s="36"/>
      <c r="O35" s="21"/>
      <c r="P35" s="21"/>
      <c r="Q35" s="21"/>
    </row>
    <row r="36" spans="1:17" x14ac:dyDescent="0.25">
      <c r="A36" s="85" t="str">
        <f t="shared" si="11"/>
        <v>Remotely read interval meters &amp; transformers</v>
      </c>
      <c r="C36" s="20"/>
      <c r="D36" s="770">
        <f>'Data 2009-12'!D36/D$145</f>
        <v>0</v>
      </c>
      <c r="E36" s="771">
        <f>'Data 2009-12'!E36/E$145</f>
        <v>0</v>
      </c>
      <c r="F36" s="771">
        <f>'Data 2009-12'!F36/F$145</f>
        <v>0</v>
      </c>
      <c r="G36" s="771">
        <f>'Data 2009-12'!G36/G$145</f>
        <v>0</v>
      </c>
      <c r="H36" s="765">
        <f>'DNSP Data Inputs 2013-15'!H36/$H$145</f>
        <v>0</v>
      </c>
      <c r="I36" s="765">
        <f>'DNSP Data Inputs 2013-15'!I36/$I$145</f>
        <v>0</v>
      </c>
      <c r="J36" s="766">
        <f>'DNSP Data Inputs 2013-15'!J36/$I$145</f>
        <v>0</v>
      </c>
      <c r="K36" s="36"/>
      <c r="L36" s="36"/>
      <c r="M36" s="36"/>
      <c r="O36" s="21"/>
      <c r="P36" s="21"/>
      <c r="Q36" s="21"/>
    </row>
    <row r="37" spans="1:17" x14ac:dyDescent="0.25">
      <c r="A37" s="85" t="str">
        <f t="shared" si="11"/>
        <v>IT</v>
      </c>
      <c r="C37" s="20"/>
      <c r="D37" s="770">
        <f>'Data 2009-12'!D37/D$145</f>
        <v>0</v>
      </c>
      <c r="E37" s="771">
        <f>'Data 2009-12'!E37/E$145</f>
        <v>0</v>
      </c>
      <c r="F37" s="771">
        <f>'Data 2009-12'!F37/F$145</f>
        <v>0</v>
      </c>
      <c r="G37" s="771">
        <f>'Data 2009-12'!G37/G$145</f>
        <v>0</v>
      </c>
      <c r="H37" s="765">
        <f>'DNSP Data Inputs 2013-15'!H37/$H$145</f>
        <v>0</v>
      </c>
      <c r="I37" s="765">
        <f>'DNSP Data Inputs 2013-15'!I37/$I$145</f>
        <v>0</v>
      </c>
      <c r="J37" s="766">
        <f>'DNSP Data Inputs 2013-15'!J37/$I$145</f>
        <v>0</v>
      </c>
      <c r="K37" s="36"/>
      <c r="L37" s="36"/>
      <c r="M37" s="36"/>
      <c r="O37" s="21"/>
      <c r="P37" s="21"/>
      <c r="Q37" s="21"/>
    </row>
    <row r="38" spans="1:17" x14ac:dyDescent="0.25">
      <c r="A38" s="85" t="str">
        <f t="shared" si="11"/>
        <v>Communications</v>
      </c>
      <c r="B38" s="453"/>
      <c r="C38" s="20"/>
      <c r="D38" s="770">
        <f>'Data 2009-12'!D38/D$145</f>
        <v>0</v>
      </c>
      <c r="E38" s="771">
        <f>'Data 2009-12'!E38/E$145</f>
        <v>0</v>
      </c>
      <c r="F38" s="771">
        <f>'Data 2009-12'!F38/F$145</f>
        <v>0</v>
      </c>
      <c r="G38" s="771">
        <f>'Data 2009-12'!G38/G$145</f>
        <v>0</v>
      </c>
      <c r="H38" s="765">
        <f>'DNSP Data Inputs 2013-15'!H38/$H$145</f>
        <v>0</v>
      </c>
      <c r="I38" s="765">
        <f>'DNSP Data Inputs 2013-15'!I38/$I$145</f>
        <v>0</v>
      </c>
      <c r="J38" s="766">
        <f>'DNSP Data Inputs 2013-15'!J38/$I$145</f>
        <v>0</v>
      </c>
      <c r="K38" s="36"/>
      <c r="L38" s="36"/>
      <c r="M38" s="36"/>
      <c r="O38" s="21"/>
      <c r="P38" s="21"/>
      <c r="Q38" s="21"/>
    </row>
    <row r="39" spans="1:17" x14ac:dyDescent="0.25">
      <c r="A39" s="85" t="str">
        <f t="shared" si="11"/>
        <v>Other</v>
      </c>
      <c r="B39" s="454"/>
      <c r="C39" s="20"/>
      <c r="D39" s="770">
        <f>'Data 2009-12'!D39/D$145</f>
        <v>0</v>
      </c>
      <c r="E39" s="771">
        <f>'Data 2009-12'!E39/E$145</f>
        <v>0</v>
      </c>
      <c r="F39" s="771">
        <f>'Data 2009-12'!F39/F$145</f>
        <v>0</v>
      </c>
      <c r="G39" s="771">
        <f>'Data 2009-12'!G39/G$145</f>
        <v>0</v>
      </c>
      <c r="H39" s="765">
        <f>'DNSP Data Inputs 2013-15'!H39/$H$145</f>
        <v>0</v>
      </c>
      <c r="I39" s="765">
        <f>'DNSP Data Inputs 2013-15'!I39/$I$145</f>
        <v>0</v>
      </c>
      <c r="J39" s="766">
        <f>'DNSP Data Inputs 2013-15'!J39/$I$145</f>
        <v>0</v>
      </c>
      <c r="K39" s="36"/>
      <c r="L39" s="36"/>
      <c r="M39" s="36"/>
      <c r="O39" s="21"/>
      <c r="P39" s="21"/>
      <c r="Q39" s="21"/>
    </row>
    <row r="40" spans="1:17" ht="13.8" thickBot="1" x14ac:dyDescent="0.3">
      <c r="A40" s="22"/>
      <c r="C40" s="20"/>
      <c r="D40" s="327">
        <f t="shared" ref="D40:J40" si="12">SUM(D34:D39)</f>
        <v>0</v>
      </c>
      <c r="E40" s="92">
        <f t="shared" ref="E40" si="13">SUM(E34:E39)</f>
        <v>0</v>
      </c>
      <c r="F40" s="92">
        <f t="shared" si="12"/>
        <v>0</v>
      </c>
      <c r="G40" s="92">
        <f t="shared" ref="G40" si="14">SUM(G34:G39)</f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L40" s="36"/>
      <c r="M40" s="36"/>
      <c r="O40" s="21"/>
      <c r="P40" s="21"/>
      <c r="Q40" s="21"/>
    </row>
    <row r="41" spans="1:17" ht="13.8" thickTop="1" x14ac:dyDescent="0.25">
      <c r="A41" s="22"/>
      <c r="C41" s="20"/>
      <c r="D41" s="329"/>
      <c r="E41" s="94"/>
      <c r="F41" s="94"/>
      <c r="G41" s="94"/>
      <c r="H41" s="94"/>
      <c r="I41" s="94"/>
      <c r="J41" s="330"/>
      <c r="K41" s="36"/>
      <c r="L41" s="36"/>
      <c r="M41" s="36"/>
      <c r="O41" s="21"/>
      <c r="P41" s="21"/>
      <c r="Q41" s="21"/>
    </row>
    <row r="42" spans="1:17" x14ac:dyDescent="0.25">
      <c r="A42" s="38" t="s">
        <v>5</v>
      </c>
      <c r="C42" s="20"/>
      <c r="D42" s="23"/>
      <c r="E42" s="20"/>
      <c r="F42" s="20"/>
      <c r="G42" s="20"/>
      <c r="H42" s="20"/>
      <c r="I42" s="20"/>
      <c r="J42" s="728"/>
      <c r="K42" s="2"/>
      <c r="L42" s="2"/>
      <c r="M42" s="2"/>
      <c r="O42" s="2"/>
      <c r="P42" s="2"/>
      <c r="Q42" s="2"/>
    </row>
    <row r="43" spans="1:17" x14ac:dyDescent="0.25">
      <c r="A43" s="85" t="str">
        <f t="shared" ref="A43:A48" si="15">A10</f>
        <v>Accumulation Meters</v>
      </c>
      <c r="C43" s="20"/>
      <c r="D43" s="770">
        <f>'Data 2009-12'!D43/D$145</f>
        <v>0</v>
      </c>
      <c r="E43" s="771">
        <f>'Data 2009-12'!E43/E$145</f>
        <v>0</v>
      </c>
      <c r="F43" s="771">
        <f>'Data 2009-12'!F43/F$145</f>
        <v>0</v>
      </c>
      <c r="G43" s="771">
        <f>'Data 2009-12'!G43/G$145</f>
        <v>0</v>
      </c>
      <c r="H43" s="765">
        <f>'DNSP Data Inputs 2013-15'!H43/$H$145</f>
        <v>0</v>
      </c>
      <c r="I43" s="765">
        <f>'DNSP Data Inputs 2013-15'!I43/$I$145</f>
        <v>0</v>
      </c>
      <c r="J43" s="766">
        <f>'DNSP Data Inputs 2013-15'!J43/$I$145</f>
        <v>0</v>
      </c>
      <c r="K43" s="36"/>
      <c r="L43" s="36"/>
      <c r="M43" s="36"/>
      <c r="O43" s="2"/>
      <c r="P43" s="2"/>
      <c r="Q43" s="2"/>
    </row>
    <row r="44" spans="1:17" x14ac:dyDescent="0.25">
      <c r="A44" s="85" t="str">
        <f t="shared" si="15"/>
        <v>Manually read interval meters</v>
      </c>
      <c r="B44" s="454"/>
      <c r="C44" s="20"/>
      <c r="D44" s="770">
        <f>'Data 2009-12'!D44/D$145</f>
        <v>0</v>
      </c>
      <c r="E44" s="771">
        <f>'Data 2009-12'!E44/E$145</f>
        <v>0</v>
      </c>
      <c r="F44" s="771">
        <f>'Data 2009-12'!F44/F$145</f>
        <v>0</v>
      </c>
      <c r="G44" s="771">
        <f>'Data 2009-12'!G44/G$145</f>
        <v>0</v>
      </c>
      <c r="H44" s="765">
        <f>'DNSP Data Inputs 2013-15'!H44/$H$145</f>
        <v>0</v>
      </c>
      <c r="I44" s="765">
        <f>'DNSP Data Inputs 2013-15'!I44/$I$145</f>
        <v>0</v>
      </c>
      <c r="J44" s="766">
        <f>'DNSP Data Inputs 2013-15'!J44/$I$145</f>
        <v>0</v>
      </c>
      <c r="K44" s="36"/>
      <c r="L44" s="36"/>
      <c r="M44" s="36"/>
      <c r="O44" s="2"/>
      <c r="P44" s="2"/>
      <c r="Q44" s="2"/>
    </row>
    <row r="45" spans="1:17" x14ac:dyDescent="0.25">
      <c r="A45" s="85" t="str">
        <f t="shared" si="15"/>
        <v>Remotely read interval meters &amp; transformers</v>
      </c>
      <c r="C45" s="20"/>
      <c r="D45" s="770">
        <f>'Data 2009-12'!D45/D$145</f>
        <v>0</v>
      </c>
      <c r="E45" s="771">
        <f>'Data 2009-12'!E45/E$145</f>
        <v>0</v>
      </c>
      <c r="F45" s="771">
        <f>'Data 2009-12'!F45/F$145</f>
        <v>0</v>
      </c>
      <c r="G45" s="771">
        <f>'Data 2009-12'!G45/G$145</f>
        <v>0</v>
      </c>
      <c r="H45" s="765">
        <f>'DNSP Data Inputs 2013-15'!H45/$H$145</f>
        <v>0</v>
      </c>
      <c r="I45" s="765">
        <f>'DNSP Data Inputs 2013-15'!I45/$I$145</f>
        <v>0</v>
      </c>
      <c r="J45" s="766">
        <f>'DNSP Data Inputs 2013-15'!J45/$I$145</f>
        <v>0</v>
      </c>
      <c r="K45" s="36"/>
      <c r="L45" s="36"/>
      <c r="M45" s="36"/>
      <c r="O45" s="2"/>
      <c r="P45" s="2"/>
      <c r="Q45" s="2"/>
    </row>
    <row r="46" spans="1:17" x14ac:dyDescent="0.25">
      <c r="A46" s="85" t="str">
        <f t="shared" si="15"/>
        <v>IT</v>
      </c>
      <c r="C46" s="20"/>
      <c r="D46" s="770">
        <f>'Data 2009-12'!D46/D$145</f>
        <v>0</v>
      </c>
      <c r="E46" s="771">
        <f>'Data 2009-12'!E46/E$145</f>
        <v>0</v>
      </c>
      <c r="F46" s="771">
        <f>'Data 2009-12'!F46/F$145</f>
        <v>0</v>
      </c>
      <c r="G46" s="771">
        <f>'Data 2009-12'!G46/G$145</f>
        <v>0</v>
      </c>
      <c r="H46" s="765">
        <f>'DNSP Data Inputs 2013-15'!H46/$H$145</f>
        <v>0</v>
      </c>
      <c r="I46" s="765">
        <f>'DNSP Data Inputs 2013-15'!I46/$I$145</f>
        <v>0</v>
      </c>
      <c r="J46" s="766">
        <f>'DNSP Data Inputs 2013-15'!J46/$I$145</f>
        <v>0</v>
      </c>
      <c r="K46" s="36"/>
      <c r="L46" s="36"/>
      <c r="M46" s="36"/>
      <c r="O46" s="2"/>
      <c r="P46" s="2"/>
      <c r="Q46" s="2"/>
    </row>
    <row r="47" spans="1:17" x14ac:dyDescent="0.25">
      <c r="A47" s="85" t="str">
        <f t="shared" si="15"/>
        <v>Communications</v>
      </c>
      <c r="B47" s="91"/>
      <c r="C47" s="20"/>
      <c r="D47" s="770">
        <f>'Data 2009-12'!D47/D$145</f>
        <v>0</v>
      </c>
      <c r="E47" s="771">
        <f>'Data 2009-12'!E47/E$145</f>
        <v>0</v>
      </c>
      <c r="F47" s="771">
        <f>'Data 2009-12'!F47/F$145</f>
        <v>0</v>
      </c>
      <c r="G47" s="771">
        <f>'Data 2009-12'!G47/G$145</f>
        <v>0</v>
      </c>
      <c r="H47" s="765">
        <f>'DNSP Data Inputs 2013-15'!H47/$H$145</f>
        <v>0</v>
      </c>
      <c r="I47" s="765">
        <f>'DNSP Data Inputs 2013-15'!I47/$I$145</f>
        <v>0</v>
      </c>
      <c r="J47" s="766">
        <f>'DNSP Data Inputs 2013-15'!J47/$I$145</f>
        <v>0</v>
      </c>
      <c r="K47" s="36"/>
      <c r="L47" s="36"/>
      <c r="M47" s="36"/>
      <c r="O47" s="2"/>
      <c r="P47" s="2"/>
      <c r="Q47" s="2"/>
    </row>
    <row r="48" spans="1:17" x14ac:dyDescent="0.25">
      <c r="A48" s="85" t="str">
        <f t="shared" si="15"/>
        <v>Other</v>
      </c>
      <c r="C48" s="20"/>
      <c r="D48" s="772">
        <f>'Data 2009-12'!D48/D$145</f>
        <v>0</v>
      </c>
      <c r="E48" s="773">
        <f>'Data 2009-12'!E48/E$145</f>
        <v>0</v>
      </c>
      <c r="F48" s="773">
        <f>'Data 2009-12'!F48/F$145</f>
        <v>0</v>
      </c>
      <c r="G48" s="773">
        <f>'Data 2009-12'!G48/G$145</f>
        <v>0</v>
      </c>
      <c r="H48" s="765">
        <f>'DNSP Data Inputs 2013-15'!H48/$H$145</f>
        <v>0</v>
      </c>
      <c r="I48" s="765">
        <f>'DNSP Data Inputs 2013-15'!I48/$I$145</f>
        <v>0</v>
      </c>
      <c r="J48" s="766">
        <f>'DNSP Data Inputs 2013-15'!J48/$I$145</f>
        <v>0</v>
      </c>
      <c r="K48" s="36"/>
      <c r="L48" s="36"/>
      <c r="M48" s="36"/>
      <c r="O48" s="2"/>
      <c r="P48" s="2"/>
      <c r="Q48" s="2"/>
    </row>
    <row r="49" spans="1:17" s="1" customFormat="1" ht="13.8" thickBot="1" x14ac:dyDescent="0.3">
      <c r="A49" s="14"/>
      <c r="B49" s="91"/>
      <c r="C49" s="2"/>
      <c r="D49" s="327">
        <f t="shared" ref="D49:J49" si="16">SUM(D43:D48)</f>
        <v>0</v>
      </c>
      <c r="E49" s="92">
        <f t="shared" si="16"/>
        <v>0</v>
      </c>
      <c r="F49" s="92">
        <f t="shared" si="16"/>
        <v>0</v>
      </c>
      <c r="G49" s="92">
        <f t="shared" si="16"/>
        <v>0</v>
      </c>
      <c r="H49" s="92">
        <f t="shared" si="16"/>
        <v>0</v>
      </c>
      <c r="I49" s="92">
        <f t="shared" si="16"/>
        <v>0</v>
      </c>
      <c r="J49" s="328">
        <f t="shared" si="16"/>
        <v>0</v>
      </c>
      <c r="K49" s="15"/>
      <c r="L49" s="15"/>
      <c r="M49" s="15"/>
      <c r="N49" s="2"/>
      <c r="O49" s="21"/>
      <c r="P49" s="21"/>
      <c r="Q49" s="21"/>
    </row>
    <row r="50" spans="1:17" s="1" customFormat="1" ht="13.8" thickTop="1" x14ac:dyDescent="0.25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"/>
      <c r="O50" s="21"/>
      <c r="P50" s="21"/>
      <c r="Q50" s="21"/>
    </row>
    <row r="51" spans="1:17" s="1" customFormat="1" x14ac:dyDescent="0.25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"/>
      <c r="O51" s="21"/>
      <c r="P51" s="21"/>
      <c r="Q51" s="21"/>
    </row>
    <row r="52" spans="1:17" s="1" customFormat="1" x14ac:dyDescent="0.25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56"/>
      <c r="M52" s="56"/>
      <c r="N52" s="2"/>
      <c r="O52" s="21"/>
      <c r="P52" s="21"/>
      <c r="Q52" s="21"/>
    </row>
    <row r="53" spans="1:17" s="1" customFormat="1" x14ac:dyDescent="0.25">
      <c r="A53" s="43" t="s">
        <v>1</v>
      </c>
      <c r="B53" s="455"/>
      <c r="C53" s="2"/>
      <c r="D53" s="49" t="str">
        <f t="shared" ref="D53:J53" si="17">D$2</f>
        <v>Real 2008 $</v>
      </c>
      <c r="E53" s="50" t="str">
        <f t="shared" si="17"/>
        <v>Real 2008 $</v>
      </c>
      <c r="F53" s="50" t="str">
        <f t="shared" si="17"/>
        <v>Real 2008 $</v>
      </c>
      <c r="G53" s="50" t="str">
        <f t="shared" si="17"/>
        <v>Real 2008 $</v>
      </c>
      <c r="H53" s="50" t="str">
        <f t="shared" si="17"/>
        <v>Real 2008 $</v>
      </c>
      <c r="I53" s="50" t="str">
        <f t="shared" si="17"/>
        <v>Real 2008 $</v>
      </c>
      <c r="J53" s="51" t="str">
        <f t="shared" si="17"/>
        <v>Real 2008 $</v>
      </c>
      <c r="K53" s="110"/>
      <c r="L53" s="110"/>
      <c r="M53" s="110"/>
      <c r="N53" s="2"/>
      <c r="O53" s="21"/>
      <c r="P53" s="21"/>
      <c r="Q53" s="21"/>
    </row>
    <row r="54" spans="1:17" s="1" customFormat="1" x14ac:dyDescent="0.25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7" t="str">
        <f t="shared" si="18"/>
        <v>Actual</v>
      </c>
      <c r="K54" s="110"/>
      <c r="L54" s="110"/>
      <c r="M54" s="110"/>
      <c r="N54" s="2"/>
      <c r="O54" s="21"/>
      <c r="P54" s="21"/>
      <c r="Q54" s="21"/>
    </row>
    <row r="55" spans="1:17" s="1" customFormat="1" ht="13.8" thickBot="1" x14ac:dyDescent="0.3">
      <c r="A55" s="3" t="s">
        <v>406</v>
      </c>
      <c r="B55" s="85"/>
      <c r="C55" s="2"/>
      <c r="D55" s="767">
        <f>'Data 2009-12'!D55/D$145</f>
        <v>25845627.888817675</v>
      </c>
      <c r="E55" s="768">
        <f>'Data 2009-12'!E55/E$145</f>
        <v>37448295.386666842</v>
      </c>
      <c r="F55" s="768">
        <f>'Data 2009-12'!F55/F$145</f>
        <v>39179753.657996863</v>
      </c>
      <c r="G55" s="768">
        <f>'Data 2009-12'!G55/G$145</f>
        <v>35531157.247911997</v>
      </c>
      <c r="H55" s="769">
        <f>'DNSP Data Inputs 2013-15'!H55/$H$145</f>
        <v>28206455.657441419</v>
      </c>
      <c r="I55" s="788">
        <f>'DNSP Data Inputs 2013-15'!I55/$I$145+I56</f>
        <v>28733316.592284199</v>
      </c>
      <c r="J55" s="909">
        <f>'DNSP Data Inputs 2013-15'!J55/$J$145+J56</f>
        <v>25351941.248975586</v>
      </c>
      <c r="K55" s="119"/>
      <c r="L55" s="119"/>
      <c r="M55" s="119"/>
      <c r="N55" s="2"/>
      <c r="O55" s="21"/>
      <c r="P55" s="21"/>
      <c r="Q55" s="21"/>
    </row>
    <row r="56" spans="1:17" s="1" customFormat="1" ht="13.8" thickTop="1" x14ac:dyDescent="0.25">
      <c r="A56" s="3" t="s">
        <v>396</v>
      </c>
      <c r="B56" s="453"/>
      <c r="C56" s="792"/>
      <c r="D56" s="786"/>
      <c r="E56" s="786"/>
      <c r="F56" s="786"/>
      <c r="G56" s="786"/>
      <c r="H56" s="786"/>
      <c r="I56" s="787">
        <f>'AMI RAB 2009-15'!I12*10^3*$I$133*I57</f>
        <v>222621.93744812941</v>
      </c>
      <c r="J56" s="787">
        <f>'AMI RAB 2009-15'!J12*10^3*$I$133*J57</f>
        <v>213634.17217067367</v>
      </c>
      <c r="K56" s="19"/>
      <c r="L56" s="19"/>
      <c r="M56" s="19"/>
      <c r="N56" s="2"/>
      <c r="O56" s="21"/>
      <c r="P56" s="21"/>
      <c r="Q56" s="21"/>
    </row>
    <row r="57" spans="1:17" s="1" customFormat="1" x14ac:dyDescent="0.25">
      <c r="A57" s="785" t="s">
        <v>397</v>
      </c>
      <c r="B57" s="449"/>
      <c r="C57" s="792"/>
      <c r="D57" s="786"/>
      <c r="E57" s="786"/>
      <c r="F57" s="786"/>
      <c r="G57" s="786"/>
      <c r="H57" s="786"/>
      <c r="I57" s="793">
        <v>1.08E-3</v>
      </c>
      <c r="J57" s="793">
        <v>1.08E-3</v>
      </c>
      <c r="K57" s="19"/>
      <c r="L57" s="19"/>
      <c r="M57" s="19"/>
      <c r="N57" s="2"/>
      <c r="O57" s="21"/>
      <c r="P57" s="21"/>
      <c r="Q57" s="21"/>
    </row>
    <row r="58" spans="1:17" s="1" customFormat="1" x14ac:dyDescent="0.25">
      <c r="A58" s="60" t="s">
        <v>62</v>
      </c>
      <c r="B58" s="450"/>
      <c r="D58" s="46">
        <f t="shared" ref="D58:J58" si="19">D$1</f>
        <v>2009</v>
      </c>
      <c r="E58" s="47">
        <f t="shared" si="19"/>
        <v>2010</v>
      </c>
      <c r="F58" s="47">
        <f t="shared" si="19"/>
        <v>2011</v>
      </c>
      <c r="G58" s="47">
        <f t="shared" si="19"/>
        <v>2012</v>
      </c>
      <c r="H58" s="47">
        <f t="shared" si="19"/>
        <v>2013</v>
      </c>
      <c r="I58" s="47">
        <f t="shared" si="19"/>
        <v>2014</v>
      </c>
      <c r="J58" s="48">
        <f t="shared" si="19"/>
        <v>2015</v>
      </c>
      <c r="K58" s="19"/>
      <c r="L58" s="19"/>
      <c r="M58" s="19"/>
      <c r="N58" s="19"/>
      <c r="O58" s="21"/>
      <c r="P58" s="21"/>
      <c r="Q58" s="21"/>
    </row>
    <row r="59" spans="1:17" s="1" customFormat="1" x14ac:dyDescent="0.25">
      <c r="B59" s="88"/>
      <c r="D59" s="725" t="s">
        <v>21</v>
      </c>
      <c r="E59" s="729" t="s">
        <v>21</v>
      </c>
      <c r="F59" s="729" t="s">
        <v>21</v>
      </c>
      <c r="G59" s="729" t="s">
        <v>21</v>
      </c>
      <c r="H59" s="729" t="s">
        <v>21</v>
      </c>
      <c r="I59" s="729" t="s">
        <v>21</v>
      </c>
      <c r="J59" s="726" t="s">
        <v>21</v>
      </c>
      <c r="K59" s="19"/>
      <c r="L59" s="19"/>
      <c r="M59" s="19"/>
      <c r="N59" s="2"/>
      <c r="O59" s="21"/>
      <c r="P59" s="21"/>
      <c r="Q59" s="21"/>
    </row>
    <row r="60" spans="1:17" s="1" customFormat="1" ht="13.8" thickBot="1" x14ac:dyDescent="0.3">
      <c r="A60" s="78" t="s">
        <v>62</v>
      </c>
      <c r="B60" s="449"/>
      <c r="D60" s="795">
        <f>'Data 2009-12'!D60</f>
        <v>37927245.233500004</v>
      </c>
      <c r="E60" s="882">
        <f>'Data 2009-12'!E60</f>
        <v>65653893.745999992</v>
      </c>
      <c r="F60" s="882">
        <f>'Data 2009-12'!F60</f>
        <v>73478180.732400015</v>
      </c>
      <c r="G60" s="882">
        <f>'Data 2009-12'!G60</f>
        <v>83599356</v>
      </c>
      <c r="H60" s="882">
        <f>'DNSP Data Inputs 2013-15'!H60</f>
        <v>101332753</v>
      </c>
      <c r="I60" s="882">
        <f>'DNSP Data Inputs 2013-15'!I60</f>
        <v>125367551.41</v>
      </c>
      <c r="J60" s="796">
        <f>'DNSP Data Inputs 2013-15'!J60</f>
        <v>162842785.44999999</v>
      </c>
      <c r="K60" s="19"/>
      <c r="L60" s="19"/>
      <c r="M60" s="19"/>
      <c r="O60" s="21"/>
      <c r="P60" s="21"/>
      <c r="Q60" s="21"/>
    </row>
    <row r="61" spans="1:17" s="1" customFormat="1" ht="13.8" thickTop="1" x14ac:dyDescent="0.25">
      <c r="E61" s="19"/>
      <c r="K61" s="19"/>
      <c r="L61" s="19"/>
      <c r="M61" s="19"/>
      <c r="O61" s="21"/>
      <c r="P61" s="21"/>
      <c r="Q61" s="21"/>
    </row>
    <row r="62" spans="1:17" s="1" customFormat="1" x14ac:dyDescent="0.25">
      <c r="E62" s="19"/>
      <c r="K62" s="19"/>
      <c r="L62" s="19"/>
      <c r="M62" s="19"/>
      <c r="O62" s="21"/>
      <c r="P62" s="21"/>
      <c r="Q62" s="21"/>
    </row>
    <row r="63" spans="1:17" s="1" customFormat="1" x14ac:dyDescent="0.25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"/>
      <c r="O63" s="21"/>
      <c r="P63" s="21"/>
      <c r="Q63" s="21"/>
    </row>
    <row r="64" spans="1:17" s="1" customFormat="1" x14ac:dyDescent="0.25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"/>
      <c r="O64" s="21"/>
      <c r="P64" s="21"/>
      <c r="Q64" s="21"/>
    </row>
    <row r="65" spans="1:19" x14ac:dyDescent="0.25">
      <c r="A65" s="60" t="s">
        <v>285</v>
      </c>
      <c r="B65" s="88"/>
      <c r="D65" s="20"/>
      <c r="E65" s="910" t="s">
        <v>383</v>
      </c>
      <c r="F65" s="927"/>
      <c r="G65" s="927"/>
      <c r="H65" s="927"/>
      <c r="I65" s="927"/>
      <c r="J65" s="911"/>
      <c r="K65" s="32"/>
      <c r="L65" s="32"/>
      <c r="M65" s="32"/>
      <c r="N65" s="2"/>
      <c r="Q65" s="910" t="s">
        <v>22</v>
      </c>
      <c r="R65" s="928"/>
      <c r="S65" s="912"/>
    </row>
    <row r="66" spans="1:19" x14ac:dyDescent="0.25">
      <c r="N66" s="2"/>
    </row>
    <row r="67" spans="1:19" x14ac:dyDescent="0.25">
      <c r="D67" s="56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6"/>
      <c r="L67" s="56"/>
      <c r="M67" s="56"/>
      <c r="N67" s="2"/>
      <c r="O67" s="2"/>
      <c r="P67" s="2"/>
      <c r="Q67" s="4">
        <f>Q$1</f>
        <v>2013</v>
      </c>
      <c r="R67" s="5">
        <f>R$1</f>
        <v>2014</v>
      </c>
      <c r="S67" s="6">
        <f>S$1</f>
        <v>2015</v>
      </c>
    </row>
    <row r="68" spans="1:19" x14ac:dyDescent="0.25">
      <c r="A68" s="59"/>
      <c r="D68" s="309"/>
      <c r="E68" s="732" t="s">
        <v>19</v>
      </c>
      <c r="F68" s="733" t="s">
        <v>19</v>
      </c>
      <c r="G68" s="733" t="s">
        <v>19</v>
      </c>
      <c r="H68" s="733" t="s">
        <v>19</v>
      </c>
      <c r="I68" s="733" t="s">
        <v>19</v>
      </c>
      <c r="J68" s="734" t="s">
        <v>20</v>
      </c>
      <c r="K68" s="110"/>
      <c r="L68" s="110"/>
      <c r="M68" s="110"/>
      <c r="N68" s="2"/>
      <c r="O68" s="2"/>
      <c r="P68" s="2"/>
      <c r="Q68" s="689" t="str">
        <f>Q$3</f>
        <v>Actual</v>
      </c>
      <c r="R68" s="735" t="str">
        <f>R$3</f>
        <v>Actual</v>
      </c>
      <c r="S68" s="736" t="str">
        <f>S$3</f>
        <v>Actual</v>
      </c>
    </row>
    <row r="69" spans="1:19" x14ac:dyDescent="0.25">
      <c r="B69" s="1"/>
      <c r="D69" s="309"/>
      <c r="E69" s="717" t="s">
        <v>21</v>
      </c>
      <c r="F69" s="712" t="s">
        <v>21</v>
      </c>
      <c r="G69" s="727" t="s">
        <v>21</v>
      </c>
      <c r="H69" s="727" t="s">
        <v>21</v>
      </c>
      <c r="I69" s="727" t="s">
        <v>21</v>
      </c>
      <c r="J69" s="727" t="s">
        <v>21</v>
      </c>
      <c r="K69" s="110"/>
      <c r="L69" s="110"/>
      <c r="M69" s="110"/>
      <c r="N69" s="2"/>
      <c r="O69" s="2"/>
      <c r="P69" s="2"/>
      <c r="Q69" s="717"/>
      <c r="R69" s="737"/>
      <c r="S69" s="738"/>
    </row>
    <row r="70" spans="1:19" x14ac:dyDescent="0.25">
      <c r="B70" s="91"/>
      <c r="D70" s="20"/>
      <c r="E70" s="39"/>
      <c r="F70" s="742"/>
      <c r="G70" s="742"/>
      <c r="H70" s="20"/>
      <c r="I70" s="20"/>
      <c r="J70" s="40"/>
      <c r="K70" s="2"/>
      <c r="L70" s="2"/>
      <c r="M70" s="2"/>
      <c r="N70" s="2"/>
      <c r="O70" s="2"/>
      <c r="P70" s="2"/>
      <c r="Q70" s="39"/>
      <c r="R70" s="742"/>
      <c r="S70" s="40"/>
    </row>
    <row r="71" spans="1:19" x14ac:dyDescent="0.25">
      <c r="A71" s="90" t="s">
        <v>23</v>
      </c>
      <c r="B71" s="91"/>
      <c r="D71" s="332"/>
      <c r="E71" s="340" t="s">
        <v>24</v>
      </c>
      <c r="F71" s="699"/>
      <c r="G71" s="699"/>
      <c r="H71" s="699"/>
      <c r="I71" s="699"/>
      <c r="J71" s="123"/>
      <c r="K71" s="120"/>
      <c r="L71" s="120"/>
      <c r="M71" s="120"/>
      <c r="N71" s="2"/>
      <c r="O71" s="2"/>
      <c r="P71" s="2"/>
      <c r="Q71" s="23"/>
      <c r="R71" s="20"/>
      <c r="S71" s="728"/>
    </row>
    <row r="72" spans="1:19" x14ac:dyDescent="0.25">
      <c r="A72" s="84" t="s">
        <v>25</v>
      </c>
      <c r="B72" s="55"/>
      <c r="D72" s="338"/>
      <c r="E72" s="714">
        <v>0</v>
      </c>
      <c r="F72" s="740">
        <v>0</v>
      </c>
      <c r="G72" s="740">
        <v>0</v>
      </c>
      <c r="H72" s="740">
        <v>0</v>
      </c>
      <c r="I72" s="740">
        <v>0</v>
      </c>
      <c r="J72" s="694">
        <f>'DNSP Data Inputs 2013-15'!J72</f>
        <v>0</v>
      </c>
      <c r="K72" s="121"/>
      <c r="L72" s="121"/>
      <c r="M72" s="121"/>
      <c r="N72" s="2"/>
      <c r="O72" s="2"/>
      <c r="P72" s="2"/>
      <c r="Q72" s="690">
        <f>'DNSP Data Inputs 2013-15'!O72</f>
        <v>0</v>
      </c>
      <c r="R72" s="743">
        <f>'DNSP Data Inputs 2013-15'!P72</f>
        <v>0</v>
      </c>
      <c r="S72" s="691">
        <f>'DNSP Data Inputs 2013-15'!Q72</f>
        <v>0</v>
      </c>
    </row>
    <row r="73" spans="1:19" x14ac:dyDescent="0.25">
      <c r="A73" s="84" t="s">
        <v>26</v>
      </c>
      <c r="B73" s="451"/>
      <c r="D73" s="338"/>
      <c r="E73" s="714">
        <v>0</v>
      </c>
      <c r="F73" s="740">
        <v>0</v>
      </c>
      <c r="G73" s="740">
        <v>0</v>
      </c>
      <c r="H73" s="740">
        <v>0</v>
      </c>
      <c r="I73" s="740">
        <v>0</v>
      </c>
      <c r="J73" s="694">
        <f>'DNSP Data Inputs 2013-15'!J73</f>
        <v>0</v>
      </c>
      <c r="K73" s="121"/>
      <c r="L73" s="121"/>
      <c r="M73" s="121"/>
      <c r="N73" s="2"/>
      <c r="O73" s="2"/>
      <c r="P73" s="2"/>
      <c r="Q73" s="690">
        <f>'DNSP Data Inputs 2013-15'!O73</f>
        <v>0</v>
      </c>
      <c r="R73" s="743">
        <f>'DNSP Data Inputs 2013-15'!P73</f>
        <v>0</v>
      </c>
      <c r="S73" s="691">
        <f>'DNSP Data Inputs 2013-15'!Q73</f>
        <v>0</v>
      </c>
    </row>
    <row r="74" spans="1:19" x14ac:dyDescent="0.25">
      <c r="A74" s="564" t="s">
        <v>369</v>
      </c>
      <c r="B74" s="2"/>
      <c r="D74" s="338"/>
      <c r="E74" s="714">
        <v>0</v>
      </c>
      <c r="F74" s="740">
        <v>0</v>
      </c>
      <c r="G74" s="740">
        <v>0</v>
      </c>
      <c r="H74" s="740">
        <v>0</v>
      </c>
      <c r="I74" s="740">
        <v>0</v>
      </c>
      <c r="J74" s="694">
        <f>'DNSP Data Inputs 2013-15'!J74</f>
        <v>0</v>
      </c>
      <c r="K74" s="121"/>
      <c r="L74" s="121"/>
      <c r="M74" s="121"/>
      <c r="N74" s="2"/>
      <c r="O74" s="2"/>
      <c r="P74" s="2"/>
      <c r="Q74" s="690">
        <f>'DNSP Data Inputs 2013-15'!O74</f>
        <v>0</v>
      </c>
      <c r="R74" s="743">
        <f>'DNSP Data Inputs 2013-15'!P74</f>
        <v>0</v>
      </c>
      <c r="S74" s="691">
        <f>'DNSP Data Inputs 2013-15'!Q74</f>
        <v>0</v>
      </c>
    </row>
    <row r="75" spans="1:19" x14ac:dyDescent="0.25">
      <c r="A75" s="564" t="s">
        <v>370</v>
      </c>
      <c r="D75" s="338"/>
      <c r="E75" s="714">
        <v>0</v>
      </c>
      <c r="F75" s="740">
        <v>0</v>
      </c>
      <c r="G75" s="740">
        <v>0</v>
      </c>
      <c r="H75" s="740">
        <v>0</v>
      </c>
      <c r="I75" s="740">
        <v>0</v>
      </c>
      <c r="J75" s="694">
        <f>'DNSP Data Inputs 2013-15'!J75</f>
        <v>0</v>
      </c>
      <c r="K75" s="121"/>
      <c r="L75" s="121"/>
      <c r="M75" s="121"/>
      <c r="N75" s="2"/>
      <c r="O75" s="2"/>
      <c r="P75" s="2"/>
      <c r="Q75" s="690">
        <f>'DNSP Data Inputs 2013-15'!O75</f>
        <v>0</v>
      </c>
      <c r="R75" s="743">
        <f>'DNSP Data Inputs 2013-15'!P75</f>
        <v>0</v>
      </c>
      <c r="S75" s="691">
        <f>'DNSP Data Inputs 2013-15'!Q75</f>
        <v>0</v>
      </c>
    </row>
    <row r="76" spans="1:19" x14ac:dyDescent="0.25">
      <c r="A76" s="564" t="s">
        <v>371</v>
      </c>
      <c r="D76" s="338"/>
      <c r="E76" s="714">
        <v>0</v>
      </c>
      <c r="F76" s="740">
        <v>0</v>
      </c>
      <c r="G76" s="740">
        <v>0</v>
      </c>
      <c r="H76" s="740">
        <v>0</v>
      </c>
      <c r="I76" s="740">
        <v>0</v>
      </c>
      <c r="J76" s="694">
        <f>'DNSP Data Inputs 2013-15'!J76</f>
        <v>0</v>
      </c>
      <c r="K76" s="121"/>
      <c r="L76" s="121"/>
      <c r="M76" s="121"/>
      <c r="N76" s="2"/>
      <c r="O76" s="2"/>
      <c r="P76" s="2"/>
      <c r="Q76" s="690">
        <f>'DNSP Data Inputs 2013-15'!O76</f>
        <v>0</v>
      </c>
      <c r="R76" s="743">
        <f>'DNSP Data Inputs 2013-15'!P76</f>
        <v>0</v>
      </c>
      <c r="S76" s="691">
        <f>'DNSP Data Inputs 2013-15'!Q76</f>
        <v>0</v>
      </c>
    </row>
    <row r="77" spans="1:19" x14ac:dyDescent="0.25">
      <c r="A77" s="564" t="s">
        <v>372</v>
      </c>
      <c r="B77" s="2"/>
      <c r="D77" s="338"/>
      <c r="E77" s="714">
        <v>0</v>
      </c>
      <c r="F77" s="740">
        <v>0</v>
      </c>
      <c r="G77" s="740">
        <v>0</v>
      </c>
      <c r="H77" s="740">
        <v>0</v>
      </c>
      <c r="I77" s="740">
        <v>0</v>
      </c>
      <c r="J77" s="694">
        <f>'DNSP Data Inputs 2013-15'!J77</f>
        <v>0</v>
      </c>
      <c r="K77" s="121"/>
      <c r="L77" s="121"/>
      <c r="M77" s="121"/>
      <c r="N77" s="2"/>
      <c r="O77" s="2"/>
      <c r="P77" s="2"/>
      <c r="Q77" s="690">
        <f>'DNSP Data Inputs 2013-15'!O77</f>
        <v>0</v>
      </c>
      <c r="R77" s="743">
        <f>'DNSP Data Inputs 2013-15'!P77</f>
        <v>0</v>
      </c>
      <c r="S77" s="691">
        <f>'DNSP Data Inputs 2013-15'!Q77</f>
        <v>0</v>
      </c>
    </row>
    <row r="78" spans="1:19" x14ac:dyDescent="0.25">
      <c r="A78" s="564" t="s">
        <v>373</v>
      </c>
      <c r="B78" s="88"/>
      <c r="D78" s="338"/>
      <c r="E78" s="714">
        <v>0</v>
      </c>
      <c r="F78" s="740">
        <v>0</v>
      </c>
      <c r="G78" s="740">
        <v>0</v>
      </c>
      <c r="H78" s="740">
        <v>0</v>
      </c>
      <c r="I78" s="740">
        <v>0</v>
      </c>
      <c r="J78" s="694">
        <f>'DNSP Data Inputs 2013-15'!J78</f>
        <v>0</v>
      </c>
      <c r="K78" s="121"/>
      <c r="L78" s="121"/>
      <c r="M78" s="121"/>
      <c r="N78" s="2"/>
      <c r="O78" s="2"/>
      <c r="P78" s="2"/>
      <c r="Q78" s="690">
        <f>'DNSP Data Inputs 2013-15'!O78</f>
        <v>0</v>
      </c>
      <c r="R78" s="743">
        <f>'DNSP Data Inputs 2013-15'!P78</f>
        <v>0</v>
      </c>
      <c r="S78" s="691">
        <f>'DNSP Data Inputs 2013-15'!Q78</f>
        <v>0</v>
      </c>
    </row>
    <row r="79" spans="1:19" x14ac:dyDescent="0.25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"/>
      <c r="P79" s="2"/>
      <c r="Q79" s="23"/>
      <c r="R79" s="20"/>
      <c r="S79" s="728"/>
    </row>
    <row r="80" spans="1:19" x14ac:dyDescent="0.25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"/>
      <c r="P80" s="2"/>
      <c r="Q80" s="23"/>
      <c r="R80" s="20"/>
      <c r="S80" s="728"/>
    </row>
    <row r="81" spans="1:19" x14ac:dyDescent="0.25">
      <c r="A81" s="90" t="s">
        <v>23</v>
      </c>
      <c r="B81" s="320"/>
      <c r="D81" s="332"/>
      <c r="E81" s="521" t="s">
        <v>27</v>
      </c>
      <c r="F81" s="700"/>
      <c r="G81" s="700"/>
      <c r="H81" s="700"/>
      <c r="I81" s="700"/>
      <c r="J81" s="336"/>
      <c r="K81" s="120"/>
      <c r="L81" s="120"/>
      <c r="M81" s="120"/>
      <c r="N81" s="2"/>
      <c r="O81" s="2"/>
      <c r="P81" s="2"/>
      <c r="Q81" s="23"/>
      <c r="R81" s="20"/>
      <c r="S81" s="728"/>
    </row>
    <row r="82" spans="1:19" x14ac:dyDescent="0.25">
      <c r="A82" s="84" t="s">
        <v>25</v>
      </c>
      <c r="B82" s="320"/>
      <c r="D82" s="334"/>
      <c r="E82" s="714">
        <v>0</v>
      </c>
      <c r="F82" s="740">
        <v>0</v>
      </c>
      <c r="G82" s="740">
        <v>0</v>
      </c>
      <c r="H82" s="740">
        <v>0</v>
      </c>
      <c r="I82" s="740">
        <v>0</v>
      </c>
      <c r="J82" s="694">
        <f>'DNSP Data Inputs 2013-15'!J82</f>
        <v>0</v>
      </c>
      <c r="K82" s="121"/>
      <c r="L82" s="121"/>
      <c r="M82" s="121"/>
      <c r="N82" s="2"/>
      <c r="O82" s="2"/>
      <c r="P82" s="2"/>
      <c r="Q82" s="690">
        <f>'DNSP Data Inputs 2013-15'!O82</f>
        <v>0</v>
      </c>
      <c r="R82" s="743">
        <f>'DNSP Data Inputs 2013-15'!P82</f>
        <v>0</v>
      </c>
      <c r="S82" s="691">
        <f>'DNSP Data Inputs 2013-15'!Q82</f>
        <v>0</v>
      </c>
    </row>
    <row r="83" spans="1:19" x14ac:dyDescent="0.25">
      <c r="A83" s="84" t="s">
        <v>26</v>
      </c>
      <c r="B83" s="433"/>
      <c r="D83" s="334"/>
      <c r="E83" s="714">
        <v>0</v>
      </c>
      <c r="F83" s="740">
        <v>0</v>
      </c>
      <c r="G83" s="740">
        <v>0</v>
      </c>
      <c r="H83" s="740">
        <v>0</v>
      </c>
      <c r="I83" s="740">
        <v>0</v>
      </c>
      <c r="J83" s="694">
        <f>'DNSP Data Inputs 2013-15'!J83</f>
        <v>0</v>
      </c>
      <c r="K83" s="121"/>
      <c r="L83" s="121"/>
      <c r="M83" s="121"/>
      <c r="N83" s="2"/>
      <c r="O83" s="2"/>
      <c r="P83" s="2"/>
      <c r="Q83" s="690">
        <f>'DNSP Data Inputs 2013-15'!O83</f>
        <v>0</v>
      </c>
      <c r="R83" s="743">
        <f>'DNSP Data Inputs 2013-15'!P83</f>
        <v>0</v>
      </c>
      <c r="S83" s="691">
        <f>'DNSP Data Inputs 2013-15'!Q83</f>
        <v>0</v>
      </c>
    </row>
    <row r="84" spans="1:19" x14ac:dyDescent="0.25">
      <c r="A84" s="564" t="s">
        <v>369</v>
      </c>
      <c r="D84" s="338"/>
      <c r="E84" s="714">
        <v>0</v>
      </c>
      <c r="F84" s="740">
        <v>0</v>
      </c>
      <c r="G84" s="740">
        <v>0</v>
      </c>
      <c r="H84" s="740">
        <v>0</v>
      </c>
      <c r="I84" s="740">
        <v>0</v>
      </c>
      <c r="J84" s="694">
        <f>'DNSP Data Inputs 2013-15'!J84</f>
        <v>0</v>
      </c>
      <c r="K84" s="121"/>
      <c r="L84" s="121"/>
      <c r="M84" s="121"/>
      <c r="N84" s="2"/>
      <c r="O84" s="2"/>
      <c r="P84" s="2"/>
      <c r="Q84" s="690">
        <f>'DNSP Data Inputs 2013-15'!O84</f>
        <v>0</v>
      </c>
      <c r="R84" s="743">
        <f>'DNSP Data Inputs 2013-15'!P84</f>
        <v>0</v>
      </c>
      <c r="S84" s="691">
        <f>'DNSP Data Inputs 2013-15'!Q84</f>
        <v>0</v>
      </c>
    </row>
    <row r="85" spans="1:19" x14ac:dyDescent="0.25">
      <c r="A85" s="564" t="s">
        <v>370</v>
      </c>
      <c r="D85" s="338"/>
      <c r="E85" s="714">
        <v>0</v>
      </c>
      <c r="F85" s="740">
        <v>0</v>
      </c>
      <c r="G85" s="740">
        <v>0</v>
      </c>
      <c r="H85" s="740">
        <v>0</v>
      </c>
      <c r="I85" s="740">
        <v>0</v>
      </c>
      <c r="J85" s="694">
        <f>'DNSP Data Inputs 2013-15'!J85</f>
        <v>0</v>
      </c>
      <c r="K85" s="121"/>
      <c r="L85" s="121"/>
      <c r="M85" s="121"/>
      <c r="N85" s="2"/>
      <c r="O85" s="2"/>
      <c r="P85" s="2"/>
      <c r="Q85" s="690">
        <f>'DNSP Data Inputs 2013-15'!O85</f>
        <v>0</v>
      </c>
      <c r="R85" s="743">
        <f>'DNSP Data Inputs 2013-15'!P85</f>
        <v>0</v>
      </c>
      <c r="S85" s="691">
        <f>'DNSP Data Inputs 2013-15'!Q85</f>
        <v>0</v>
      </c>
    </row>
    <row r="86" spans="1:19" x14ac:dyDescent="0.25">
      <c r="A86" s="564" t="s">
        <v>371</v>
      </c>
      <c r="D86" s="338"/>
      <c r="E86" s="714">
        <v>0</v>
      </c>
      <c r="F86" s="740">
        <v>0</v>
      </c>
      <c r="G86" s="740">
        <v>0</v>
      </c>
      <c r="H86" s="740">
        <v>0</v>
      </c>
      <c r="I86" s="740">
        <v>0</v>
      </c>
      <c r="J86" s="694">
        <f>'DNSP Data Inputs 2013-15'!J86</f>
        <v>0</v>
      </c>
      <c r="K86" s="121"/>
      <c r="L86" s="121"/>
      <c r="M86" s="121"/>
      <c r="N86" s="2"/>
      <c r="O86" s="2"/>
      <c r="P86" s="2"/>
      <c r="Q86" s="690">
        <f>'DNSP Data Inputs 2013-15'!O86</f>
        <v>0</v>
      </c>
      <c r="R86" s="743">
        <f>'DNSP Data Inputs 2013-15'!P86</f>
        <v>0</v>
      </c>
      <c r="S86" s="691">
        <f>'DNSP Data Inputs 2013-15'!Q86</f>
        <v>0</v>
      </c>
    </row>
    <row r="87" spans="1:19" x14ac:dyDescent="0.25">
      <c r="A87" s="564" t="s">
        <v>372</v>
      </c>
      <c r="D87" s="338"/>
      <c r="E87" s="714">
        <v>0</v>
      </c>
      <c r="F87" s="740">
        <v>0</v>
      </c>
      <c r="G87" s="740">
        <v>0</v>
      </c>
      <c r="H87" s="740">
        <v>0</v>
      </c>
      <c r="I87" s="740">
        <v>0</v>
      </c>
      <c r="J87" s="694">
        <f>'DNSP Data Inputs 2013-15'!J87</f>
        <v>0</v>
      </c>
      <c r="K87" s="121"/>
      <c r="L87" s="121"/>
      <c r="M87" s="121"/>
      <c r="N87" s="2"/>
      <c r="O87" s="2"/>
      <c r="P87" s="2"/>
      <c r="Q87" s="690">
        <f>'DNSP Data Inputs 2013-15'!O87</f>
        <v>0</v>
      </c>
      <c r="R87" s="743">
        <f>'DNSP Data Inputs 2013-15'!P87</f>
        <v>0</v>
      </c>
      <c r="S87" s="691">
        <f>'DNSP Data Inputs 2013-15'!Q87</f>
        <v>0</v>
      </c>
    </row>
    <row r="88" spans="1:19" x14ac:dyDescent="0.25">
      <c r="A88" s="564" t="s">
        <v>373</v>
      </c>
      <c r="B88" s="108"/>
      <c r="D88" s="338"/>
      <c r="E88" s="714">
        <v>0</v>
      </c>
      <c r="F88" s="740">
        <v>0</v>
      </c>
      <c r="G88" s="740">
        <v>0</v>
      </c>
      <c r="H88" s="740">
        <v>0</v>
      </c>
      <c r="I88" s="740">
        <v>0</v>
      </c>
      <c r="J88" s="694">
        <f>'DNSP Data Inputs 2013-15'!J88</f>
        <v>0</v>
      </c>
      <c r="K88" s="121"/>
      <c r="L88" s="121"/>
      <c r="M88" s="121"/>
      <c r="N88" s="2"/>
      <c r="O88" s="2"/>
      <c r="P88" s="2"/>
      <c r="Q88" s="690">
        <f>'DNSP Data Inputs 2013-15'!O88</f>
        <v>0</v>
      </c>
      <c r="R88" s="743">
        <f>'DNSP Data Inputs 2013-15'!P88</f>
        <v>0</v>
      </c>
      <c r="S88" s="691">
        <f>'DNSP Data Inputs 2013-15'!Q88</f>
        <v>0</v>
      </c>
    </row>
    <row r="89" spans="1:19" x14ac:dyDescent="0.25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"/>
      <c r="P89" s="2"/>
      <c r="Q89" s="23"/>
      <c r="R89" s="20"/>
      <c r="S89" s="728"/>
    </row>
    <row r="90" spans="1:19" x14ac:dyDescent="0.25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"/>
      <c r="P90" s="2"/>
      <c r="Q90" s="23"/>
      <c r="R90" s="20"/>
      <c r="S90" s="728"/>
    </row>
    <row r="91" spans="1:19" x14ac:dyDescent="0.25">
      <c r="A91" s="90" t="s">
        <v>28</v>
      </c>
      <c r="B91" s="93"/>
      <c r="D91" s="332"/>
      <c r="E91" s="340" t="s">
        <v>24</v>
      </c>
      <c r="F91" s="700"/>
      <c r="G91" s="700"/>
      <c r="H91" s="700"/>
      <c r="I91" s="700"/>
      <c r="J91" s="336"/>
      <c r="K91" s="120"/>
      <c r="L91" s="120"/>
      <c r="M91" s="120"/>
      <c r="N91" s="2"/>
      <c r="O91" s="2"/>
      <c r="P91" s="2"/>
      <c r="Q91" s="23"/>
      <c r="R91" s="20"/>
      <c r="S91" s="728"/>
    </row>
    <row r="92" spans="1:19" x14ac:dyDescent="0.25">
      <c r="A92" s="84" t="s">
        <v>29</v>
      </c>
      <c r="B92" s="91"/>
      <c r="D92" s="338"/>
      <c r="E92" s="714">
        <v>0</v>
      </c>
      <c r="F92" s="740">
        <v>0</v>
      </c>
      <c r="G92" s="740">
        <v>0</v>
      </c>
      <c r="H92" s="740">
        <v>0</v>
      </c>
      <c r="I92" s="740">
        <v>0</v>
      </c>
      <c r="J92" s="694">
        <f>'DNSP Data Inputs 2013-15'!J92</f>
        <v>0</v>
      </c>
      <c r="K92" s="121"/>
      <c r="L92" s="121"/>
      <c r="M92" s="121"/>
      <c r="N92" s="2"/>
      <c r="O92" s="2"/>
      <c r="P92" s="2"/>
      <c r="Q92" s="690">
        <f>'DNSP Data Inputs 2013-15'!O92</f>
        <v>0</v>
      </c>
      <c r="R92" s="743">
        <f>'DNSP Data Inputs 2013-15'!P92</f>
        <v>0</v>
      </c>
      <c r="S92" s="691">
        <f>'DNSP Data Inputs 2013-15'!Q92</f>
        <v>0</v>
      </c>
    </row>
    <row r="93" spans="1:19" x14ac:dyDescent="0.25">
      <c r="A93" s="84" t="s">
        <v>30</v>
      </c>
      <c r="B93" s="86"/>
      <c r="D93" s="338"/>
      <c r="E93" s="714">
        <v>0</v>
      </c>
      <c r="F93" s="740">
        <v>0</v>
      </c>
      <c r="G93" s="740">
        <v>0</v>
      </c>
      <c r="H93" s="740">
        <v>0</v>
      </c>
      <c r="I93" s="740">
        <v>0</v>
      </c>
      <c r="J93" s="694">
        <f>'DNSP Data Inputs 2013-15'!J93</f>
        <v>0</v>
      </c>
      <c r="K93" s="121"/>
      <c r="L93" s="121"/>
      <c r="M93" s="121"/>
      <c r="N93" s="2"/>
      <c r="O93" s="2"/>
      <c r="P93" s="2"/>
      <c r="Q93" s="690">
        <f>'DNSP Data Inputs 2013-15'!O93</f>
        <v>0</v>
      </c>
      <c r="R93" s="743">
        <f>'DNSP Data Inputs 2013-15'!P93</f>
        <v>0</v>
      </c>
      <c r="S93" s="691">
        <f>'DNSP Data Inputs 2013-15'!Q93</f>
        <v>0</v>
      </c>
    </row>
    <row r="94" spans="1:19" x14ac:dyDescent="0.25">
      <c r="A94" s="84" t="s">
        <v>31</v>
      </c>
      <c r="B94" s="91"/>
      <c r="D94" s="338"/>
      <c r="E94" s="714">
        <v>0</v>
      </c>
      <c r="F94" s="740">
        <v>0</v>
      </c>
      <c r="G94" s="740">
        <v>0</v>
      </c>
      <c r="H94" s="740">
        <v>0</v>
      </c>
      <c r="I94" s="740">
        <v>0</v>
      </c>
      <c r="J94" s="694">
        <f>'DNSP Data Inputs 2013-15'!J94</f>
        <v>0</v>
      </c>
      <c r="K94" s="121"/>
      <c r="L94" s="121"/>
      <c r="M94" s="121"/>
      <c r="N94" s="2"/>
      <c r="O94" s="2"/>
      <c r="P94" s="2"/>
      <c r="Q94" s="690">
        <f>'DNSP Data Inputs 2013-15'!O94</f>
        <v>0</v>
      </c>
      <c r="R94" s="743">
        <f>'DNSP Data Inputs 2013-15'!P94</f>
        <v>0</v>
      </c>
      <c r="S94" s="691">
        <f>'DNSP Data Inputs 2013-15'!Q94</f>
        <v>0</v>
      </c>
    </row>
    <row r="95" spans="1:19" x14ac:dyDescent="0.25">
      <c r="A95" s="84" t="s">
        <v>32</v>
      </c>
      <c r="B95" s="93"/>
      <c r="D95" s="338"/>
      <c r="E95" s="714">
        <v>0</v>
      </c>
      <c r="F95" s="740">
        <v>0</v>
      </c>
      <c r="G95" s="740">
        <v>0</v>
      </c>
      <c r="H95" s="740">
        <v>0</v>
      </c>
      <c r="I95" s="740">
        <v>0</v>
      </c>
      <c r="J95" s="694">
        <f>'DNSP Data Inputs 2013-15'!J95</f>
        <v>0</v>
      </c>
      <c r="K95" s="121"/>
      <c r="L95" s="121"/>
      <c r="M95" s="121"/>
      <c r="N95" s="2"/>
      <c r="O95" s="2"/>
      <c r="P95" s="2"/>
      <c r="Q95" s="690">
        <f>'DNSP Data Inputs 2013-15'!O95</f>
        <v>0</v>
      </c>
      <c r="R95" s="743">
        <f>'DNSP Data Inputs 2013-15'!P95</f>
        <v>0</v>
      </c>
      <c r="S95" s="691">
        <f>'DNSP Data Inputs 2013-15'!Q95</f>
        <v>0</v>
      </c>
    </row>
    <row r="96" spans="1:19" x14ac:dyDescent="0.25">
      <c r="A96" s="84" t="s">
        <v>33</v>
      </c>
      <c r="B96" s="93"/>
      <c r="D96" s="338"/>
      <c r="E96" s="714">
        <v>0</v>
      </c>
      <c r="F96" s="740">
        <v>0</v>
      </c>
      <c r="G96" s="740">
        <v>0</v>
      </c>
      <c r="H96" s="740">
        <v>0</v>
      </c>
      <c r="I96" s="740">
        <v>0</v>
      </c>
      <c r="J96" s="694">
        <f>'DNSP Data Inputs 2013-15'!J96</f>
        <v>0</v>
      </c>
      <c r="K96" s="121"/>
      <c r="L96" s="121"/>
      <c r="M96" s="121"/>
      <c r="N96" s="2"/>
      <c r="O96" s="2"/>
      <c r="P96" s="2"/>
      <c r="Q96" s="690">
        <f>'DNSP Data Inputs 2013-15'!O96</f>
        <v>0</v>
      </c>
      <c r="R96" s="743">
        <f>'DNSP Data Inputs 2013-15'!P96</f>
        <v>0</v>
      </c>
      <c r="S96" s="691">
        <f>'DNSP Data Inputs 2013-15'!Q96</f>
        <v>0</v>
      </c>
    </row>
    <row r="97" spans="1:19" x14ac:dyDescent="0.25">
      <c r="A97" s="84" t="s">
        <v>34</v>
      </c>
      <c r="B97" s="93"/>
      <c r="D97" s="338"/>
      <c r="E97" s="714">
        <v>0</v>
      </c>
      <c r="F97" s="740">
        <v>0</v>
      </c>
      <c r="G97" s="740">
        <v>0</v>
      </c>
      <c r="H97" s="740">
        <v>0</v>
      </c>
      <c r="I97" s="740">
        <v>0</v>
      </c>
      <c r="J97" s="694">
        <f>'DNSP Data Inputs 2013-15'!J97</f>
        <v>0</v>
      </c>
      <c r="K97" s="121"/>
      <c r="L97" s="121"/>
      <c r="M97" s="121"/>
      <c r="N97" s="2"/>
      <c r="O97" s="2"/>
      <c r="P97" s="2"/>
      <c r="Q97" s="690">
        <f>'DNSP Data Inputs 2013-15'!O97</f>
        <v>0</v>
      </c>
      <c r="R97" s="743">
        <f>'DNSP Data Inputs 2013-15'!P97</f>
        <v>0</v>
      </c>
      <c r="S97" s="691">
        <f>'DNSP Data Inputs 2013-15'!Q97</f>
        <v>0</v>
      </c>
    </row>
    <row r="98" spans="1:19" x14ac:dyDescent="0.25">
      <c r="A98" s="564" t="s">
        <v>374</v>
      </c>
      <c r="B98" s="93"/>
      <c r="D98" s="338"/>
      <c r="E98" s="745">
        <f t="shared" ref="E98:F102" si="21">E185</f>
        <v>86.1</v>
      </c>
      <c r="F98" s="739">
        <f t="shared" si="21"/>
        <v>93.83</v>
      </c>
      <c r="G98" s="739">
        <f t="shared" ref="G98:H98" si="22">G185</f>
        <v>107.25</v>
      </c>
      <c r="H98" s="739">
        <f t="shared" si="22"/>
        <v>130.44999999999999</v>
      </c>
      <c r="I98" s="739">
        <f t="shared" ref="I98" si="23">I185</f>
        <v>160.21</v>
      </c>
      <c r="J98" s="694">
        <f>'DNSP Data Inputs 2013-15'!J98</f>
        <v>205.54</v>
      </c>
      <c r="K98" s="121"/>
      <c r="L98" s="121"/>
      <c r="M98" s="121"/>
      <c r="N98" s="2"/>
      <c r="O98" s="2"/>
      <c r="P98" s="2"/>
      <c r="Q98" s="690">
        <f>'DNSP Data Inputs 2013-15'!O98</f>
        <v>0</v>
      </c>
      <c r="R98" s="743">
        <f>'DNSP Data Inputs 2013-15'!P98</f>
        <v>398557.46675785119</v>
      </c>
      <c r="S98" s="691">
        <f>'DNSP Data Inputs 2013-15'!Q98</f>
        <v>406120.02995804162</v>
      </c>
    </row>
    <row r="99" spans="1:19" x14ac:dyDescent="0.25">
      <c r="A99" s="564" t="s">
        <v>375</v>
      </c>
      <c r="B99" s="93"/>
      <c r="D99" s="338"/>
      <c r="E99" s="745">
        <f t="shared" si="21"/>
        <v>98.93</v>
      </c>
      <c r="F99" s="739">
        <f t="shared" si="21"/>
        <v>107.81</v>
      </c>
      <c r="G99" s="739">
        <f t="shared" ref="G99:H99" si="24">G186</f>
        <v>123.24</v>
      </c>
      <c r="H99" s="739">
        <f t="shared" si="24"/>
        <v>149.9</v>
      </c>
      <c r="I99" s="739">
        <f t="shared" ref="I99" si="25">I186</f>
        <v>184.1</v>
      </c>
      <c r="J99" s="694">
        <f>'DNSP Data Inputs 2013-15'!J99</f>
        <v>236.19</v>
      </c>
      <c r="K99" s="121"/>
      <c r="L99" s="121"/>
      <c r="M99" s="121"/>
      <c r="N99" s="2"/>
      <c r="O99" s="2"/>
      <c r="P99" s="2"/>
      <c r="Q99" s="690">
        <f>'DNSP Data Inputs 2013-15'!O99</f>
        <v>0</v>
      </c>
      <c r="R99" s="743">
        <f>'DNSP Data Inputs 2013-15'!P99</f>
        <v>156548.59239537409</v>
      </c>
      <c r="S99" s="691">
        <f>'DNSP Data Inputs 2013-15'!Q99</f>
        <v>157702.89891689076</v>
      </c>
    </row>
    <row r="100" spans="1:19" x14ac:dyDescent="0.25">
      <c r="A100" s="564" t="s">
        <v>376</v>
      </c>
      <c r="B100" s="93"/>
      <c r="D100" s="338"/>
      <c r="E100" s="745">
        <f t="shared" si="21"/>
        <v>119.51</v>
      </c>
      <c r="F100" s="739">
        <f t="shared" si="21"/>
        <v>130.25</v>
      </c>
      <c r="G100" s="739">
        <f t="shared" ref="G100:H100" si="26">G187</f>
        <v>148.88999999999999</v>
      </c>
      <c r="H100" s="739">
        <f t="shared" si="26"/>
        <v>181.1</v>
      </c>
      <c r="I100" s="739">
        <f t="shared" ref="I100" si="27">I187</f>
        <v>222.42</v>
      </c>
      <c r="J100" s="694">
        <f>'DNSP Data Inputs 2013-15'!J100</f>
        <v>285.36</v>
      </c>
      <c r="K100" s="121"/>
      <c r="L100" s="121"/>
      <c r="M100" s="121"/>
      <c r="N100" s="2"/>
      <c r="O100" s="2"/>
      <c r="P100" s="2"/>
      <c r="Q100" s="690">
        <f>'DNSP Data Inputs 2013-15'!O100</f>
        <v>0</v>
      </c>
      <c r="R100" s="743">
        <f>'DNSP Data Inputs 2013-15'!P100</f>
        <v>84284.130234145021</v>
      </c>
      <c r="S100" s="691">
        <f>'DNSP Data Inputs 2013-15'!Q100</f>
        <v>85357.055867229894</v>
      </c>
    </row>
    <row r="101" spans="1:19" x14ac:dyDescent="0.25">
      <c r="A101" s="564" t="s">
        <v>377</v>
      </c>
      <c r="B101" s="93"/>
      <c r="D101" s="338"/>
      <c r="E101" s="745">
        <f t="shared" si="21"/>
        <v>132.58000000000001</v>
      </c>
      <c r="F101" s="739">
        <f t="shared" si="21"/>
        <v>144.49</v>
      </c>
      <c r="G101" s="739">
        <f t="shared" ref="G101:H101" si="28">G188</f>
        <v>165.16</v>
      </c>
      <c r="H101" s="739">
        <f t="shared" si="28"/>
        <v>200.89</v>
      </c>
      <c r="I101" s="739">
        <f t="shared" ref="I101" si="29">I188</f>
        <v>246.73</v>
      </c>
      <c r="J101" s="694">
        <f>'DNSP Data Inputs 2013-15'!J101</f>
        <v>316.54000000000002</v>
      </c>
      <c r="K101" s="121"/>
      <c r="L101" s="121"/>
      <c r="M101" s="121"/>
      <c r="N101" s="2"/>
      <c r="O101" s="2"/>
      <c r="P101" s="2"/>
      <c r="Q101" s="690">
        <f>'DNSP Data Inputs 2013-15'!O101</f>
        <v>0</v>
      </c>
      <c r="R101" s="743">
        <f>'DNSP Data Inputs 2013-15'!P101</f>
        <v>42292.871638879471</v>
      </c>
      <c r="S101" s="691">
        <f>'DNSP Data Inputs 2013-15'!Q101</f>
        <v>42316.309334747828</v>
      </c>
    </row>
    <row r="102" spans="1:19" x14ac:dyDescent="0.25">
      <c r="A102" s="564" t="s">
        <v>378</v>
      </c>
      <c r="B102" s="93"/>
      <c r="D102" s="338"/>
      <c r="E102" s="745">
        <f t="shared" si="21"/>
        <v>170.71</v>
      </c>
      <c r="F102" s="739">
        <f t="shared" si="21"/>
        <v>186.05</v>
      </c>
      <c r="G102" s="739">
        <f t="shared" ref="G102:H102" si="30">G189</f>
        <v>212.67</v>
      </c>
      <c r="H102" s="739">
        <f t="shared" si="30"/>
        <v>258.68</v>
      </c>
      <c r="I102" s="739">
        <f t="shared" ref="I102" si="31">I189</f>
        <v>317.7</v>
      </c>
      <c r="J102" s="694">
        <f>'DNSP Data Inputs 2013-15'!J102</f>
        <v>407.45000000000005</v>
      </c>
      <c r="K102" s="121"/>
      <c r="L102" s="121"/>
      <c r="M102" s="121"/>
      <c r="N102" s="2"/>
      <c r="O102" s="2"/>
      <c r="P102" s="2"/>
      <c r="Q102" s="690">
        <f>'DNSP Data Inputs 2013-15'!O102</f>
        <v>0</v>
      </c>
      <c r="R102" s="743">
        <f>'DNSP Data Inputs 2013-15'!P102</f>
        <v>3826.2809487502545</v>
      </c>
      <c r="S102" s="691">
        <f>'DNSP Data Inputs 2013-15'!Q102</f>
        <v>3864.6927280900645</v>
      </c>
    </row>
    <row r="103" spans="1:19" x14ac:dyDescent="0.25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"/>
      <c r="P103" s="2"/>
      <c r="Q103" s="23"/>
      <c r="R103" s="20"/>
      <c r="S103" s="728"/>
    </row>
    <row r="104" spans="1:19" x14ac:dyDescent="0.25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"/>
      <c r="P104" s="2"/>
      <c r="Q104" s="23"/>
      <c r="R104" s="20"/>
      <c r="S104" s="728"/>
    </row>
    <row r="105" spans="1:19" x14ac:dyDescent="0.25">
      <c r="A105" s="90" t="s">
        <v>28</v>
      </c>
      <c r="D105" s="332"/>
      <c r="E105" s="521" t="s">
        <v>27</v>
      </c>
      <c r="F105" s="700"/>
      <c r="G105" s="700"/>
      <c r="H105" s="700"/>
      <c r="I105" s="700"/>
      <c r="J105" s="336"/>
      <c r="K105" s="120"/>
      <c r="L105" s="120"/>
      <c r="M105" s="120"/>
      <c r="N105" s="2"/>
      <c r="O105" s="2"/>
      <c r="P105" s="2"/>
      <c r="Q105" s="23"/>
      <c r="R105" s="20"/>
      <c r="S105" s="728"/>
    </row>
    <row r="106" spans="1:19" x14ac:dyDescent="0.25">
      <c r="A106" s="84" t="s">
        <v>29</v>
      </c>
      <c r="B106" s="93"/>
      <c r="D106" s="334"/>
      <c r="E106" s="714">
        <v>0</v>
      </c>
      <c r="F106" s="740">
        <v>0</v>
      </c>
      <c r="G106" s="740">
        <v>0</v>
      </c>
      <c r="H106" s="740">
        <v>0</v>
      </c>
      <c r="I106" s="740">
        <v>0</v>
      </c>
      <c r="J106" s="694">
        <f>'DNSP Data Inputs 2013-15'!J106</f>
        <v>0</v>
      </c>
      <c r="K106" s="121"/>
      <c r="L106" s="121"/>
      <c r="M106" s="121"/>
      <c r="N106" s="2"/>
      <c r="O106" s="2"/>
      <c r="P106" s="2"/>
      <c r="Q106" s="690">
        <f>'DNSP Data Inputs 2013-15'!O106</f>
        <v>0</v>
      </c>
      <c r="R106" s="743">
        <f>'DNSP Data Inputs 2013-15'!P106</f>
        <v>0</v>
      </c>
      <c r="S106" s="691">
        <f>'DNSP Data Inputs 2013-15'!Q106</f>
        <v>0</v>
      </c>
    </row>
    <row r="107" spans="1:19" x14ac:dyDescent="0.25">
      <c r="A107" s="84" t="s">
        <v>30</v>
      </c>
      <c r="B107" s="93"/>
      <c r="D107" s="338"/>
      <c r="E107" s="714">
        <v>0</v>
      </c>
      <c r="F107" s="740">
        <v>0</v>
      </c>
      <c r="G107" s="740">
        <v>0</v>
      </c>
      <c r="H107" s="740">
        <v>0</v>
      </c>
      <c r="I107" s="740">
        <v>0</v>
      </c>
      <c r="J107" s="694">
        <f>'DNSP Data Inputs 2013-15'!J107</f>
        <v>0</v>
      </c>
      <c r="K107" s="121"/>
      <c r="L107" s="121"/>
      <c r="M107" s="121"/>
      <c r="N107" s="2"/>
      <c r="O107" s="2"/>
      <c r="P107" s="2"/>
      <c r="Q107" s="690">
        <f>'DNSP Data Inputs 2013-15'!O107</f>
        <v>0</v>
      </c>
      <c r="R107" s="743">
        <f>'DNSP Data Inputs 2013-15'!P107</f>
        <v>0</v>
      </c>
      <c r="S107" s="691">
        <f>'DNSP Data Inputs 2013-15'!Q107</f>
        <v>0</v>
      </c>
    </row>
    <row r="108" spans="1:19" x14ac:dyDescent="0.25">
      <c r="A108" s="84" t="s">
        <v>31</v>
      </c>
      <c r="B108" s="93"/>
      <c r="D108" s="334"/>
      <c r="E108" s="714">
        <v>0</v>
      </c>
      <c r="F108" s="740">
        <v>0</v>
      </c>
      <c r="G108" s="740">
        <v>0</v>
      </c>
      <c r="H108" s="740">
        <v>0</v>
      </c>
      <c r="I108" s="740">
        <v>0</v>
      </c>
      <c r="J108" s="694">
        <f>'DNSP Data Inputs 2013-15'!J108</f>
        <v>0</v>
      </c>
      <c r="K108" s="121"/>
      <c r="L108" s="121"/>
      <c r="M108" s="121"/>
      <c r="N108" s="2"/>
      <c r="O108" s="2"/>
      <c r="P108" s="2"/>
      <c r="Q108" s="690">
        <f>'DNSP Data Inputs 2013-15'!O108</f>
        <v>0</v>
      </c>
      <c r="R108" s="743">
        <f>'DNSP Data Inputs 2013-15'!P108</f>
        <v>0</v>
      </c>
      <c r="S108" s="691">
        <f>'DNSP Data Inputs 2013-15'!Q108</f>
        <v>0</v>
      </c>
    </row>
    <row r="109" spans="1:19" x14ac:dyDescent="0.25">
      <c r="A109" s="84" t="s">
        <v>32</v>
      </c>
      <c r="B109" s="93"/>
      <c r="D109" s="334"/>
      <c r="E109" s="714">
        <v>0</v>
      </c>
      <c r="F109" s="740">
        <v>0</v>
      </c>
      <c r="G109" s="740">
        <v>0</v>
      </c>
      <c r="H109" s="740">
        <v>0</v>
      </c>
      <c r="I109" s="740">
        <v>0</v>
      </c>
      <c r="J109" s="694">
        <f>'DNSP Data Inputs 2013-15'!J109</f>
        <v>0</v>
      </c>
      <c r="K109" s="121"/>
      <c r="L109" s="121"/>
      <c r="M109" s="121"/>
      <c r="N109" s="2"/>
      <c r="O109" s="2"/>
      <c r="P109" s="2"/>
      <c r="Q109" s="690">
        <f>'DNSP Data Inputs 2013-15'!O109</f>
        <v>0</v>
      </c>
      <c r="R109" s="743">
        <f>'DNSP Data Inputs 2013-15'!P109</f>
        <v>0</v>
      </c>
      <c r="S109" s="691">
        <f>'DNSP Data Inputs 2013-15'!Q109</f>
        <v>0</v>
      </c>
    </row>
    <row r="110" spans="1:19" x14ac:dyDescent="0.25">
      <c r="A110" s="84" t="s">
        <v>33</v>
      </c>
      <c r="B110" s="93"/>
      <c r="D110" s="338"/>
      <c r="E110" s="714">
        <v>0</v>
      </c>
      <c r="F110" s="740">
        <v>0</v>
      </c>
      <c r="G110" s="740">
        <v>0</v>
      </c>
      <c r="H110" s="740">
        <v>0</v>
      </c>
      <c r="I110" s="740">
        <v>0</v>
      </c>
      <c r="J110" s="694">
        <f>'DNSP Data Inputs 2013-15'!J110</f>
        <v>0</v>
      </c>
      <c r="K110" s="121"/>
      <c r="L110" s="121"/>
      <c r="M110" s="121"/>
      <c r="N110" s="2"/>
      <c r="O110" s="2"/>
      <c r="P110" s="2"/>
      <c r="Q110" s="690">
        <f>'DNSP Data Inputs 2013-15'!O110</f>
        <v>0</v>
      </c>
      <c r="R110" s="743">
        <f>'DNSP Data Inputs 2013-15'!P110</f>
        <v>0</v>
      </c>
      <c r="S110" s="691">
        <f>'DNSP Data Inputs 2013-15'!Q110</f>
        <v>0</v>
      </c>
    </row>
    <row r="111" spans="1:19" x14ac:dyDescent="0.25">
      <c r="A111" s="84" t="s">
        <v>34</v>
      </c>
      <c r="B111" s="91"/>
      <c r="D111" s="334"/>
      <c r="E111" s="714">
        <v>0</v>
      </c>
      <c r="F111" s="740">
        <v>0</v>
      </c>
      <c r="G111" s="740">
        <v>0</v>
      </c>
      <c r="H111" s="740">
        <v>0</v>
      </c>
      <c r="I111" s="740">
        <v>0</v>
      </c>
      <c r="J111" s="694">
        <f>'DNSP Data Inputs 2013-15'!J111</f>
        <v>0</v>
      </c>
      <c r="K111" s="121"/>
      <c r="L111" s="121"/>
      <c r="M111" s="121"/>
      <c r="N111" s="2"/>
      <c r="O111" s="2"/>
      <c r="P111" s="2"/>
      <c r="Q111" s="690">
        <f>'DNSP Data Inputs 2013-15'!O111</f>
        <v>0</v>
      </c>
      <c r="R111" s="743">
        <f>'DNSP Data Inputs 2013-15'!P111</f>
        <v>0</v>
      </c>
      <c r="S111" s="691">
        <f>'DNSP Data Inputs 2013-15'!Q111</f>
        <v>0</v>
      </c>
    </row>
    <row r="112" spans="1:19" x14ac:dyDescent="0.25">
      <c r="A112" s="564" t="s">
        <v>369</v>
      </c>
      <c r="B112" s="91"/>
      <c r="D112" s="338"/>
      <c r="E112" s="714">
        <v>0</v>
      </c>
      <c r="F112" s="740">
        <v>0</v>
      </c>
      <c r="G112" s="740">
        <v>0</v>
      </c>
      <c r="H112" s="740">
        <v>0</v>
      </c>
      <c r="I112" s="740">
        <v>0</v>
      </c>
      <c r="J112" s="694">
        <f>'DNSP Data Inputs 2013-15'!J112</f>
        <v>0</v>
      </c>
      <c r="K112" s="121"/>
      <c r="L112" s="121"/>
      <c r="M112" s="121"/>
      <c r="N112" s="2"/>
      <c r="O112" s="2"/>
      <c r="P112" s="2"/>
      <c r="Q112" s="690">
        <f>'DNSP Data Inputs 2013-15'!O112</f>
        <v>0</v>
      </c>
      <c r="R112" s="743">
        <f>'DNSP Data Inputs 2013-15'!P112</f>
        <v>0</v>
      </c>
      <c r="S112" s="691">
        <f>'DNSP Data Inputs 2013-15'!Q112</f>
        <v>0</v>
      </c>
    </row>
    <row r="113" spans="1:19" x14ac:dyDescent="0.25">
      <c r="A113" s="564" t="s">
        <v>370</v>
      </c>
      <c r="B113" s="91"/>
      <c r="D113" s="338"/>
      <c r="E113" s="714">
        <v>0</v>
      </c>
      <c r="F113" s="740">
        <v>0</v>
      </c>
      <c r="G113" s="740">
        <v>0</v>
      </c>
      <c r="H113" s="740">
        <v>0</v>
      </c>
      <c r="I113" s="740">
        <v>0</v>
      </c>
      <c r="J113" s="694">
        <f>'DNSP Data Inputs 2013-15'!J113</f>
        <v>0</v>
      </c>
      <c r="K113" s="121"/>
      <c r="L113" s="121"/>
      <c r="M113" s="121"/>
      <c r="N113" s="2"/>
      <c r="O113" s="2"/>
      <c r="P113" s="2"/>
      <c r="Q113" s="690">
        <f>'DNSP Data Inputs 2013-15'!O113</f>
        <v>0</v>
      </c>
      <c r="R113" s="743">
        <f>'DNSP Data Inputs 2013-15'!P113</f>
        <v>0</v>
      </c>
      <c r="S113" s="691">
        <f>'DNSP Data Inputs 2013-15'!Q113</f>
        <v>0</v>
      </c>
    </row>
    <row r="114" spans="1:19" x14ac:dyDescent="0.25">
      <c r="A114" s="564" t="s">
        <v>371</v>
      </c>
      <c r="B114" s="91"/>
      <c r="D114" s="338"/>
      <c r="E114" s="714">
        <v>0</v>
      </c>
      <c r="F114" s="740">
        <v>0</v>
      </c>
      <c r="G114" s="740">
        <v>0</v>
      </c>
      <c r="H114" s="740">
        <v>0</v>
      </c>
      <c r="I114" s="740">
        <v>0</v>
      </c>
      <c r="J114" s="694">
        <f>'DNSP Data Inputs 2013-15'!J114</f>
        <v>0</v>
      </c>
      <c r="K114" s="121"/>
      <c r="L114" s="121"/>
      <c r="M114" s="121"/>
      <c r="N114" s="2"/>
      <c r="O114" s="2"/>
      <c r="P114" s="2"/>
      <c r="Q114" s="690">
        <f>'DNSP Data Inputs 2013-15'!O114</f>
        <v>0</v>
      </c>
      <c r="R114" s="743">
        <f>'DNSP Data Inputs 2013-15'!P114</f>
        <v>0</v>
      </c>
      <c r="S114" s="691">
        <f>'DNSP Data Inputs 2013-15'!Q114</f>
        <v>0</v>
      </c>
    </row>
    <row r="115" spans="1:19" x14ac:dyDescent="0.25">
      <c r="A115" s="564" t="s">
        <v>372</v>
      </c>
      <c r="D115" s="338"/>
      <c r="E115" s="714">
        <v>0</v>
      </c>
      <c r="F115" s="740">
        <v>0</v>
      </c>
      <c r="G115" s="740">
        <v>0</v>
      </c>
      <c r="H115" s="740">
        <v>0</v>
      </c>
      <c r="I115" s="740">
        <v>0</v>
      </c>
      <c r="J115" s="694">
        <f>'DNSP Data Inputs 2013-15'!J115</f>
        <v>0</v>
      </c>
      <c r="K115" s="121"/>
      <c r="L115" s="121"/>
      <c r="M115" s="121"/>
      <c r="N115" s="2"/>
      <c r="O115" s="2"/>
      <c r="P115" s="2"/>
      <c r="Q115" s="690">
        <f>'DNSP Data Inputs 2013-15'!O115</f>
        <v>0</v>
      </c>
      <c r="R115" s="743">
        <f>'DNSP Data Inputs 2013-15'!P115</f>
        <v>0</v>
      </c>
      <c r="S115" s="691">
        <f>'DNSP Data Inputs 2013-15'!Q115</f>
        <v>0</v>
      </c>
    </row>
    <row r="116" spans="1:19" x14ac:dyDescent="0.25">
      <c r="A116" s="564" t="s">
        <v>373</v>
      </c>
      <c r="B116" s="60"/>
      <c r="D116" s="338"/>
      <c r="E116" s="715">
        <v>0</v>
      </c>
      <c r="F116" s="741">
        <v>0</v>
      </c>
      <c r="G116" s="741">
        <v>0</v>
      </c>
      <c r="H116" s="741">
        <v>0</v>
      </c>
      <c r="I116" s="741">
        <v>0</v>
      </c>
      <c r="J116" s="695">
        <f>'DNSP Data Inputs 2013-15'!J116</f>
        <v>0</v>
      </c>
      <c r="K116" s="121"/>
      <c r="L116" s="121"/>
      <c r="M116" s="121"/>
      <c r="N116" s="2"/>
      <c r="O116" s="2"/>
      <c r="P116" s="2"/>
      <c r="Q116" s="692">
        <f>'DNSP Data Inputs 2013-15'!O116</f>
        <v>0</v>
      </c>
      <c r="R116" s="744">
        <f>'DNSP Data Inputs 2013-15'!P116</f>
        <v>0</v>
      </c>
      <c r="S116" s="693">
        <f>'DNSP Data Inputs 2013-15'!Q116</f>
        <v>0</v>
      </c>
    </row>
    <row r="117" spans="1:19" x14ac:dyDescent="0.25">
      <c r="B117" s="60"/>
      <c r="N117" s="2"/>
    </row>
    <row r="119" spans="1:19" ht="13.8" thickBot="1" x14ac:dyDescent="0.3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1"/>
      <c r="M119" s="71"/>
      <c r="N119" s="70"/>
      <c r="O119" s="70"/>
      <c r="P119" s="70"/>
      <c r="Q119" s="70"/>
      <c r="R119" s="70"/>
      <c r="S119" s="70"/>
    </row>
    <row r="122" spans="1:19" ht="15.6" x14ac:dyDescent="0.3">
      <c r="A122" s="98" t="s">
        <v>38</v>
      </c>
    </row>
    <row r="124" spans="1:19" s="1" customFormat="1" x14ac:dyDescent="0.25">
      <c r="A124" s="43" t="s">
        <v>387</v>
      </c>
      <c r="B124" s="85"/>
      <c r="C124" s="697" t="s">
        <v>385</v>
      </c>
      <c r="D124" s="19"/>
      <c r="E124" s="19"/>
      <c r="F124" s="19"/>
      <c r="G124" s="19"/>
      <c r="H124" s="19"/>
      <c r="I124" s="697" t="s">
        <v>388</v>
      </c>
      <c r="J124" s="19"/>
      <c r="K124" s="19"/>
      <c r="L124" s="19"/>
      <c r="M124" s="19"/>
      <c r="N124" s="2"/>
      <c r="O124" s="2"/>
      <c r="P124" s="2"/>
      <c r="Q124" s="2"/>
    </row>
    <row r="125" spans="1:19" s="1" customFormat="1" x14ac:dyDescent="0.25">
      <c r="A125" s="30"/>
      <c r="B125" s="85"/>
      <c r="C125" s="698" t="s">
        <v>386</v>
      </c>
      <c r="D125" s="2"/>
      <c r="E125" s="2"/>
      <c r="F125" s="2"/>
      <c r="G125" s="2"/>
      <c r="H125" s="2"/>
      <c r="I125" s="698" t="s">
        <v>389</v>
      </c>
      <c r="J125" s="2"/>
      <c r="K125" s="2"/>
      <c r="L125" s="2"/>
      <c r="M125" s="2"/>
      <c r="N125" s="2"/>
      <c r="O125" s="2"/>
      <c r="P125" s="2"/>
      <c r="Q125" s="2"/>
    </row>
    <row r="126" spans="1:19" x14ac:dyDescent="0.25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L126" s="15"/>
      <c r="M126" s="15"/>
      <c r="P126" s="2"/>
      <c r="Q126" s="2"/>
    </row>
    <row r="127" spans="1:19" x14ac:dyDescent="0.25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v>4.02E-2</v>
      </c>
      <c r="J127" s="15"/>
      <c r="K127" s="15"/>
      <c r="L127" s="15"/>
      <c r="M127" s="15"/>
      <c r="P127" s="2"/>
      <c r="Q127" s="2"/>
    </row>
    <row r="128" spans="1:19" x14ac:dyDescent="0.25">
      <c r="A128" s="1" t="s">
        <v>11</v>
      </c>
      <c r="C128" s="113">
        <f>4%+0.125%</f>
        <v>4.1250000000000002E-2</v>
      </c>
      <c r="I128" s="113">
        <v>2.53E-2</v>
      </c>
      <c r="P128" s="2"/>
      <c r="Q128" s="2"/>
    </row>
    <row r="129" spans="1:18" x14ac:dyDescent="0.25">
      <c r="C129" s="44"/>
      <c r="D129" s="31"/>
      <c r="E129" s="31"/>
      <c r="F129" s="31"/>
      <c r="G129" s="31"/>
      <c r="H129" s="31"/>
      <c r="I129" s="44"/>
      <c r="J129" s="31"/>
      <c r="K129" s="122"/>
      <c r="L129" s="122"/>
      <c r="M129" s="122"/>
      <c r="P129" s="2"/>
      <c r="Q129" s="2"/>
    </row>
    <row r="130" spans="1:18" x14ac:dyDescent="0.25">
      <c r="A130" s="58" t="s">
        <v>12</v>
      </c>
      <c r="D130" s="31"/>
      <c r="E130" s="31"/>
      <c r="F130" s="31"/>
      <c r="G130" s="31"/>
      <c r="H130" s="31"/>
      <c r="J130" s="31"/>
      <c r="K130" s="122"/>
      <c r="L130" s="122"/>
      <c r="M130" s="122"/>
    </row>
    <row r="131" spans="1:18" x14ac:dyDescent="0.25">
      <c r="A131" s="21" t="s">
        <v>13</v>
      </c>
      <c r="C131" s="102">
        <f>'Data 2006-08'!C130</f>
        <v>0.06</v>
      </c>
      <c r="I131" s="707">
        <v>6.5000000000000002E-2</v>
      </c>
    </row>
    <row r="132" spans="1:18" x14ac:dyDescent="0.25">
      <c r="A132" s="21" t="s">
        <v>14</v>
      </c>
      <c r="C132" s="103">
        <f>'Data 2006-08'!C131</f>
        <v>1</v>
      </c>
      <c r="I132" s="708">
        <v>0.8</v>
      </c>
    </row>
    <row r="133" spans="1:18" x14ac:dyDescent="0.25">
      <c r="A133" s="21" t="s">
        <v>15</v>
      </c>
      <c r="B133" s="60"/>
      <c r="C133" s="104">
        <f>'Data 2006-08'!C133</f>
        <v>0.6</v>
      </c>
      <c r="I133" s="709">
        <v>0.6</v>
      </c>
    </row>
    <row r="134" spans="1:18" x14ac:dyDescent="0.25">
      <c r="A134" s="21" t="s">
        <v>16</v>
      </c>
      <c r="B134" s="60"/>
      <c r="C134" s="105">
        <f>'Data 2006-08'!C134</f>
        <v>2.5600000000000001E-2</v>
      </c>
      <c r="I134" s="710">
        <v>2.47E-2</v>
      </c>
    </row>
    <row r="135" spans="1:18" x14ac:dyDescent="0.25">
      <c r="A135" s="1"/>
      <c r="C135" s="54"/>
      <c r="I135" s="54"/>
    </row>
    <row r="136" spans="1:18" x14ac:dyDescent="0.25">
      <c r="A136" s="448" t="s">
        <v>18</v>
      </c>
    </row>
    <row r="137" spans="1:18" x14ac:dyDescent="0.25">
      <c r="A137" s="21" t="s">
        <v>87</v>
      </c>
      <c r="C137" s="311">
        <v>0.3</v>
      </c>
      <c r="E137" s="45"/>
      <c r="F137" s="45"/>
      <c r="G137" s="45"/>
      <c r="H137" s="45"/>
      <c r="I137" s="311">
        <v>0.3</v>
      </c>
      <c r="J137" s="45"/>
      <c r="K137" s="21"/>
      <c r="L137" s="21"/>
      <c r="M137" s="21"/>
      <c r="R137" s="56"/>
    </row>
    <row r="138" spans="1:18" x14ac:dyDescent="0.25">
      <c r="A138" s="1" t="s">
        <v>17</v>
      </c>
      <c r="C138" s="114">
        <v>0.65</v>
      </c>
      <c r="E138" s="1"/>
      <c r="F138" s="1"/>
      <c r="G138" s="1"/>
      <c r="H138" s="1"/>
      <c r="I138" s="708">
        <v>0.25</v>
      </c>
      <c r="J138" s="1"/>
      <c r="K138" s="21"/>
      <c r="L138" s="21"/>
      <c r="M138" s="21"/>
      <c r="R138" s="319"/>
    </row>
    <row r="139" spans="1:18" s="1" customFormat="1" x14ac:dyDescent="0.25">
      <c r="A139" s="21" t="s">
        <v>15</v>
      </c>
      <c r="B139" s="85"/>
      <c r="C139" s="104">
        <f>C133</f>
        <v>0.6</v>
      </c>
      <c r="I139" s="104">
        <f>I133</f>
        <v>0.6</v>
      </c>
      <c r="N139" s="2"/>
      <c r="O139" s="2"/>
      <c r="P139" s="2"/>
      <c r="Q139" s="2"/>
    </row>
    <row r="140" spans="1:18" x14ac:dyDescent="0.25">
      <c r="A140" s="1"/>
      <c r="C140" s="54"/>
    </row>
    <row r="141" spans="1:18" s="1" customFormat="1" x14ac:dyDescent="0.25">
      <c r="B141" s="85"/>
      <c r="C141" s="54"/>
      <c r="N141" s="2"/>
      <c r="O141" s="2"/>
      <c r="P141" s="2"/>
      <c r="Q141" s="2"/>
    </row>
    <row r="142" spans="1:18" x14ac:dyDescent="0.25">
      <c r="D142" s="716">
        <f>D$1</f>
        <v>2009</v>
      </c>
      <c r="E142" s="885">
        <f t="shared" ref="E142:J142" si="32">E$1</f>
        <v>2010</v>
      </c>
      <c r="F142" s="885">
        <f t="shared" si="32"/>
        <v>2011</v>
      </c>
      <c r="G142" s="885">
        <f t="shared" si="32"/>
        <v>2012</v>
      </c>
      <c r="H142" s="885">
        <f t="shared" si="32"/>
        <v>2013</v>
      </c>
      <c r="I142" s="885">
        <f t="shared" si="32"/>
        <v>2014</v>
      </c>
      <c r="J142" s="886">
        <f t="shared" si="32"/>
        <v>2015</v>
      </c>
      <c r="K142" s="886"/>
      <c r="L142" s="886"/>
      <c r="M142" s="56"/>
      <c r="N142" s="926" t="s">
        <v>35</v>
      </c>
      <c r="O142" s="911"/>
      <c r="P142" s="527" t="s">
        <v>74</v>
      </c>
    </row>
    <row r="143" spans="1:18" x14ac:dyDescent="0.25">
      <c r="A143" s="43" t="s">
        <v>85</v>
      </c>
      <c r="D143" s="565" t="s">
        <v>19</v>
      </c>
      <c r="E143" s="684" t="s">
        <v>19</v>
      </c>
      <c r="F143" s="684" t="s">
        <v>19</v>
      </c>
      <c r="G143" s="684" t="s">
        <v>19</v>
      </c>
      <c r="H143" s="684" t="s">
        <v>19</v>
      </c>
      <c r="I143" s="684" t="s">
        <v>19</v>
      </c>
      <c r="J143" s="896" t="s">
        <v>19</v>
      </c>
      <c r="K143" s="896"/>
      <c r="L143" s="896"/>
      <c r="M143" s="110"/>
      <c r="N143" s="313">
        <v>39355</v>
      </c>
      <c r="O143" s="685">
        <f>'Data 2006-08'!D150</f>
        <v>158.6</v>
      </c>
    </row>
    <row r="144" spans="1:18" x14ac:dyDescent="0.25">
      <c r="A144" s="21" t="s">
        <v>86</v>
      </c>
      <c r="D144" s="706">
        <f>'Data 2006-08'!F151</f>
        <v>4.9810844892812067E-2</v>
      </c>
      <c r="E144" s="706">
        <f>P145</f>
        <v>1.2612612612612484E-2</v>
      </c>
      <c r="F144" s="706">
        <f>P146</f>
        <v>2.7876631079478242E-2</v>
      </c>
      <c r="G144" s="797">
        <f>P147</f>
        <v>3.5199076745527913E-2</v>
      </c>
      <c r="H144" s="797">
        <f>P151</f>
        <v>2.0040080160320661E-2</v>
      </c>
      <c r="I144" s="797">
        <f>P152</f>
        <v>2.16110019646365E-2</v>
      </c>
      <c r="J144" s="797">
        <f>P153</f>
        <v>2.3076923076923217E-2</v>
      </c>
      <c r="K144" s="797"/>
      <c r="L144" s="797"/>
      <c r="M144" s="115"/>
      <c r="N144" s="314">
        <v>39721</v>
      </c>
      <c r="O144" s="686">
        <f>'Data 2006-08'!D151</f>
        <v>166.5</v>
      </c>
      <c r="P144" s="315">
        <f>O144/O143-1</f>
        <v>4.9810844892812067E-2</v>
      </c>
    </row>
    <row r="145" spans="1:18" x14ac:dyDescent="0.25">
      <c r="A145" s="21" t="s">
        <v>35</v>
      </c>
      <c r="D145" s="61">
        <f>1+D144</f>
        <v>1.0498108448928121</v>
      </c>
      <c r="E145" s="61">
        <f t="shared" ref="E145:J145" si="33">D145*(1+E144)</f>
        <v>1.0630517023959645</v>
      </c>
      <c r="F145" s="61">
        <f t="shared" si="33"/>
        <v>1.0926860025220682</v>
      </c>
      <c r="G145" s="61">
        <f t="shared" si="33"/>
        <v>1.1311475409836065</v>
      </c>
      <c r="H145" s="61">
        <f t="shared" si="33"/>
        <v>1.1538158283780675</v>
      </c>
      <c r="I145" s="61">
        <f t="shared" si="33"/>
        <v>1.1787509445119746</v>
      </c>
      <c r="J145" s="61">
        <f t="shared" si="33"/>
        <v>1.205952889385328</v>
      </c>
      <c r="K145" s="61"/>
      <c r="L145" s="61"/>
      <c r="M145" s="61"/>
      <c r="N145" s="703">
        <v>40086</v>
      </c>
      <c r="O145" s="687">
        <v>168.6</v>
      </c>
      <c r="P145" s="315">
        <f>O145/O144-1</f>
        <v>1.2612612612612484E-2</v>
      </c>
    </row>
    <row r="146" spans="1:18" x14ac:dyDescent="0.25">
      <c r="B146" s="100"/>
      <c r="N146" s="703">
        <v>40451</v>
      </c>
      <c r="O146" s="687">
        <v>173.3</v>
      </c>
      <c r="P146" s="315">
        <f>O146/O145-1</f>
        <v>2.7876631079478242E-2</v>
      </c>
    </row>
    <row r="147" spans="1:18" x14ac:dyDescent="0.25">
      <c r="B147" s="100"/>
      <c r="N147" s="705">
        <v>40816</v>
      </c>
      <c r="O147" s="874">
        <v>179.4</v>
      </c>
      <c r="P147" s="315">
        <f>O147/O146-1</f>
        <v>3.5199076745527913E-2</v>
      </c>
    </row>
    <row r="148" spans="1:18" x14ac:dyDescent="0.25">
      <c r="B148" s="100"/>
      <c r="P148" s="2"/>
    </row>
    <row r="149" spans="1:18" x14ac:dyDescent="0.25">
      <c r="B149" s="100"/>
      <c r="N149" s="875" t="s">
        <v>405</v>
      </c>
      <c r="O149" s="804"/>
      <c r="P149" s="804"/>
    </row>
    <row r="150" spans="1:18" x14ac:dyDescent="0.25">
      <c r="B150" s="100"/>
      <c r="N150" s="876">
        <v>40816</v>
      </c>
      <c r="O150" s="877">
        <v>99.8</v>
      </c>
      <c r="P150" s="804"/>
    </row>
    <row r="151" spans="1:18" x14ac:dyDescent="0.25">
      <c r="B151" s="100"/>
      <c r="N151" s="878">
        <v>41182</v>
      </c>
      <c r="O151" s="704">
        <v>101.8</v>
      </c>
      <c r="P151" s="315">
        <f>O151/O150-1</f>
        <v>2.0040080160320661E-2</v>
      </c>
    </row>
    <row r="152" spans="1:18" s="1" customFormat="1" x14ac:dyDescent="0.25">
      <c r="A152" s="43" t="s">
        <v>109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878">
        <v>41547</v>
      </c>
      <c r="O152" s="687">
        <v>104</v>
      </c>
      <c r="P152" s="315">
        <f>O152/O151-1</f>
        <v>2.16110019646365E-2</v>
      </c>
      <c r="Q152" s="21"/>
    </row>
    <row r="153" spans="1:18" s="1" customFormat="1" x14ac:dyDescent="0.25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879">
        <v>41912</v>
      </c>
      <c r="O153" s="688">
        <v>106.4</v>
      </c>
      <c r="P153" s="315">
        <f>O153/O152-1</f>
        <v>2.3076923076923217E-2</v>
      </c>
      <c r="Q153" s="21"/>
    </row>
    <row r="154" spans="1:18" s="1" customFormat="1" x14ac:dyDescent="0.25">
      <c r="A154" s="318" t="s">
        <v>366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902">
        <v>42277</v>
      </c>
      <c r="O154" s="903">
        <v>108</v>
      </c>
      <c r="P154" s="315">
        <f t="shared" ref="P154" si="34">O154/O153-1</f>
        <v>1.5037593984962294E-2</v>
      </c>
      <c r="Q154" s="21"/>
    </row>
    <row r="155" spans="1:18" s="1" customFormat="1" x14ac:dyDescent="0.25">
      <c r="A155" s="84" t="s">
        <v>276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902">
        <v>42643</v>
      </c>
      <c r="O155" s="903">
        <f>O154*(1+P155)</f>
        <v>110.69999999999999</v>
      </c>
      <c r="P155" s="315">
        <v>2.5000000000000001E-2</v>
      </c>
      <c r="Q155" s="21"/>
    </row>
    <row r="156" spans="1:18" s="1" customFormat="1" x14ac:dyDescent="0.25">
      <c r="A156" s="84" t="s">
        <v>278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2"/>
      <c r="O156" s="21"/>
      <c r="P156" s="315"/>
      <c r="Q156" s="21"/>
    </row>
    <row r="157" spans="1:18" s="1" customFormat="1" x14ac:dyDescent="0.25">
      <c r="A157" s="318" t="s">
        <v>277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930">
        <v>42339</v>
      </c>
      <c r="O157" s="931"/>
      <c r="P157" s="931"/>
      <c r="Q157" s="931"/>
      <c r="R157" s="931"/>
    </row>
    <row r="158" spans="1:18" x14ac:dyDescent="0.25">
      <c r="B158" s="451"/>
      <c r="N158" s="932" t="s">
        <v>19</v>
      </c>
      <c r="O158" s="933" t="s">
        <v>418</v>
      </c>
      <c r="P158" s="934"/>
      <c r="Q158" s="934"/>
      <c r="R158" s="935"/>
    </row>
    <row r="159" spans="1:18" x14ac:dyDescent="0.25">
      <c r="N159" s="936">
        <v>8.3720930232558111E-3</v>
      </c>
      <c r="O159" s="937">
        <v>107.5</v>
      </c>
      <c r="P159" s="938">
        <v>42185</v>
      </c>
      <c r="Q159" s="939"/>
      <c r="R159" s="940"/>
    </row>
    <row r="160" spans="1:18" x14ac:dyDescent="0.25">
      <c r="A160" s="74" t="s">
        <v>88</v>
      </c>
      <c r="B160" s="1"/>
      <c r="C160" s="84"/>
      <c r="N160" s="941">
        <v>1.216049239156926</v>
      </c>
      <c r="O160" s="942">
        <v>108.4</v>
      </c>
      <c r="P160" s="943">
        <v>42369</v>
      </c>
      <c r="Q160" s="944"/>
      <c r="R160" s="945"/>
    </row>
    <row r="161" spans="1:10" x14ac:dyDescent="0.25">
      <c r="A161" s="101" t="s">
        <v>275</v>
      </c>
      <c r="B161" s="1"/>
      <c r="C161" s="84"/>
    </row>
    <row r="162" spans="1:10" x14ac:dyDescent="0.25">
      <c r="A162" s="84" t="s">
        <v>367</v>
      </c>
      <c r="C162" s="116">
        <f>'Data 2006-08'!C176</f>
        <v>0.375</v>
      </c>
    </row>
    <row r="163" spans="1:10" x14ac:dyDescent="0.25">
      <c r="A163" s="84" t="s">
        <v>368</v>
      </c>
      <c r="C163" s="117">
        <f>'Data 2006-08'!C177</f>
        <v>0.06</v>
      </c>
    </row>
    <row r="164" spans="1:10" x14ac:dyDescent="0.25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5">
      <c r="A165" s="84" t="s">
        <v>278</v>
      </c>
      <c r="B165" s="457"/>
      <c r="C165" s="310">
        <f>1/7*1.5</f>
        <v>0.21428571428571427</v>
      </c>
    </row>
    <row r="166" spans="1:10" x14ac:dyDescent="0.25">
      <c r="A166" s="87" t="str">
        <f>'Data 2006-08'!A$179</f>
        <v>Other</v>
      </c>
      <c r="C166" s="118">
        <f>'Data 2006-08'!C179</f>
        <v>0.1764705882352941</v>
      </c>
    </row>
    <row r="169" spans="1:10" x14ac:dyDescent="0.25">
      <c r="A169" s="60" t="s">
        <v>390</v>
      </c>
      <c r="B169" s="108"/>
      <c r="D169" s="716">
        <f t="shared" ref="D169:J169" si="35">D$1</f>
        <v>2009</v>
      </c>
      <c r="E169" s="331">
        <f t="shared" si="35"/>
        <v>2010</v>
      </c>
      <c r="F169" s="331">
        <f t="shared" si="35"/>
        <v>2011</v>
      </c>
      <c r="G169" s="331">
        <f t="shared" si="35"/>
        <v>2012</v>
      </c>
      <c r="H169" s="331">
        <f t="shared" si="35"/>
        <v>2013</v>
      </c>
      <c r="I169" s="331">
        <f t="shared" si="35"/>
        <v>2014</v>
      </c>
      <c r="J169" s="331">
        <f t="shared" si="35"/>
        <v>2015</v>
      </c>
    </row>
    <row r="170" spans="1:10" x14ac:dyDescent="0.25">
      <c r="A170" s="30"/>
      <c r="D170" s="689" t="s">
        <v>19</v>
      </c>
      <c r="E170" s="711" t="s">
        <v>19</v>
      </c>
      <c r="F170" s="711" t="s">
        <v>19</v>
      </c>
      <c r="G170" s="711" t="s">
        <v>19</v>
      </c>
      <c r="H170" s="711" t="s">
        <v>19</v>
      </c>
      <c r="I170" s="711" t="s">
        <v>19</v>
      </c>
      <c r="J170" s="711" t="s">
        <v>19</v>
      </c>
    </row>
    <row r="171" spans="1:10" x14ac:dyDescent="0.25">
      <c r="A171" s="30"/>
      <c r="D171" s="717" t="s">
        <v>21</v>
      </c>
      <c r="E171" s="712" t="s">
        <v>21</v>
      </c>
      <c r="F171" s="712" t="s">
        <v>21</v>
      </c>
      <c r="G171" s="712" t="s">
        <v>21</v>
      </c>
      <c r="H171" s="712" t="s">
        <v>21</v>
      </c>
      <c r="I171" s="712" t="s">
        <v>21</v>
      </c>
      <c r="J171" s="712" t="s">
        <v>21</v>
      </c>
    </row>
    <row r="172" spans="1:10" x14ac:dyDescent="0.25">
      <c r="A172" s="30"/>
      <c r="B172" s="55"/>
      <c r="D172" s="718"/>
      <c r="E172" s="724"/>
      <c r="F172" s="724"/>
      <c r="G172" s="724"/>
      <c r="H172" s="724"/>
      <c r="I172" s="724"/>
      <c r="J172" s="40"/>
    </row>
    <row r="173" spans="1:10" x14ac:dyDescent="0.25">
      <c r="A173" s="90" t="s">
        <v>23</v>
      </c>
      <c r="D173" s="719" t="s">
        <v>364</v>
      </c>
      <c r="E173" s="724"/>
      <c r="F173" s="724"/>
      <c r="G173" s="724"/>
      <c r="H173" s="724"/>
      <c r="I173" s="724"/>
      <c r="J173" s="728"/>
    </row>
    <row r="174" spans="1:10" x14ac:dyDescent="0.25">
      <c r="A174" s="84" t="s">
        <v>25</v>
      </c>
      <c r="D174" s="720">
        <v>88.67</v>
      </c>
      <c r="E174" s="724"/>
      <c r="F174" s="724"/>
      <c r="G174" s="724"/>
      <c r="H174" s="724"/>
      <c r="I174" s="724"/>
      <c r="J174" s="728"/>
    </row>
    <row r="175" spans="1:10" x14ac:dyDescent="0.25">
      <c r="A175" s="84" t="s">
        <v>26</v>
      </c>
      <c r="D175" s="720">
        <v>30.42</v>
      </c>
      <c r="E175" s="724"/>
      <c r="F175" s="724"/>
      <c r="G175" s="724"/>
      <c r="H175" s="724"/>
      <c r="I175" s="724"/>
      <c r="J175" s="728"/>
    </row>
    <row r="176" spans="1:10" x14ac:dyDescent="0.25">
      <c r="A176" s="30"/>
      <c r="D176" s="721"/>
      <c r="E176" s="724"/>
      <c r="F176" s="724"/>
      <c r="G176" s="724"/>
      <c r="H176" s="724"/>
      <c r="I176" s="724"/>
      <c r="J176" s="728"/>
    </row>
    <row r="177" spans="1:19" x14ac:dyDescent="0.25">
      <c r="A177" s="90" t="s">
        <v>28</v>
      </c>
      <c r="B177" s="453"/>
      <c r="D177" s="722" t="s">
        <v>364</v>
      </c>
      <c r="E177" s="724"/>
      <c r="F177" s="724"/>
      <c r="G177" s="724"/>
      <c r="H177" s="724"/>
      <c r="I177" s="724"/>
      <c r="J177" s="728"/>
    </row>
    <row r="178" spans="1:19" x14ac:dyDescent="0.25">
      <c r="A178" s="57" t="s">
        <v>280</v>
      </c>
      <c r="B178" s="449"/>
      <c r="D178" s="720">
        <v>5.71</v>
      </c>
      <c r="E178" s="724"/>
      <c r="F178" s="724"/>
      <c r="G178" s="724"/>
      <c r="H178" s="724"/>
      <c r="I178" s="724"/>
      <c r="J178" s="728"/>
    </row>
    <row r="179" spans="1:19" x14ac:dyDescent="0.25">
      <c r="A179" s="57" t="s">
        <v>281</v>
      </c>
      <c r="B179" s="450"/>
      <c r="D179" s="720">
        <v>12.68</v>
      </c>
      <c r="E179" s="724"/>
      <c r="F179" s="724"/>
      <c r="G179" s="724"/>
      <c r="H179" s="724"/>
      <c r="I179" s="724"/>
      <c r="J179" s="728"/>
    </row>
    <row r="180" spans="1:19" x14ac:dyDescent="0.25">
      <c r="A180" s="57" t="s">
        <v>282</v>
      </c>
      <c r="B180" s="88"/>
      <c r="D180" s="720">
        <v>75.488003963798803</v>
      </c>
      <c r="E180" s="724"/>
      <c r="F180" s="724"/>
      <c r="G180" s="724"/>
      <c r="H180" s="724"/>
      <c r="I180" s="724"/>
      <c r="J180" s="728"/>
    </row>
    <row r="181" spans="1:19" x14ac:dyDescent="0.25">
      <c r="A181" s="57" t="s">
        <v>283</v>
      </c>
      <c r="B181" s="88"/>
      <c r="D181" s="723">
        <v>72.42</v>
      </c>
      <c r="E181" s="724"/>
      <c r="F181" s="724"/>
      <c r="G181" s="724"/>
      <c r="H181" s="724"/>
      <c r="I181" s="724"/>
      <c r="J181" s="728"/>
    </row>
    <row r="182" spans="1:19" x14ac:dyDescent="0.25">
      <c r="E182" s="724"/>
      <c r="F182" s="724"/>
      <c r="G182" s="724"/>
      <c r="H182" s="724"/>
      <c r="I182" s="724"/>
      <c r="J182" s="728"/>
    </row>
    <row r="183" spans="1:19" x14ac:dyDescent="0.25">
      <c r="E183" s="724"/>
      <c r="F183" s="724"/>
      <c r="G183" s="724"/>
      <c r="H183" s="724"/>
      <c r="I183" s="724"/>
      <c r="J183" s="728"/>
    </row>
    <row r="184" spans="1:19" x14ac:dyDescent="0.25">
      <c r="A184" s="90" t="s">
        <v>28</v>
      </c>
      <c r="E184" s="713" t="s">
        <v>24</v>
      </c>
      <c r="F184" s="724"/>
      <c r="G184" s="724"/>
      <c r="H184" s="724"/>
      <c r="I184" s="724"/>
      <c r="J184" s="728"/>
    </row>
    <row r="185" spans="1:19" x14ac:dyDescent="0.25">
      <c r="A185" s="21" t="s">
        <v>374</v>
      </c>
      <c r="E185" s="714">
        <v>86.1</v>
      </c>
      <c r="F185" s="714">
        <v>93.83</v>
      </c>
      <c r="G185" s="714">
        <v>107.25</v>
      </c>
      <c r="H185" s="714">
        <v>130.44999999999999</v>
      </c>
      <c r="I185" s="714">
        <v>160.21</v>
      </c>
      <c r="J185" s="728"/>
    </row>
    <row r="186" spans="1:19" x14ac:dyDescent="0.25">
      <c r="A186" s="21" t="s">
        <v>375</v>
      </c>
      <c r="E186" s="714">
        <v>98.93</v>
      </c>
      <c r="F186" s="714">
        <v>107.81</v>
      </c>
      <c r="G186" s="714">
        <v>123.24</v>
      </c>
      <c r="H186" s="714">
        <v>149.9</v>
      </c>
      <c r="I186" s="714">
        <v>184.1</v>
      </c>
      <c r="J186" s="728"/>
    </row>
    <row r="187" spans="1:19" x14ac:dyDescent="0.25">
      <c r="A187" s="21" t="s">
        <v>376</v>
      </c>
      <c r="E187" s="714">
        <v>119.51</v>
      </c>
      <c r="F187" s="714">
        <v>130.25</v>
      </c>
      <c r="G187" s="714">
        <v>148.88999999999999</v>
      </c>
      <c r="H187" s="714">
        <v>181.1</v>
      </c>
      <c r="I187" s="714">
        <v>222.42</v>
      </c>
      <c r="J187" s="728"/>
    </row>
    <row r="188" spans="1:19" x14ac:dyDescent="0.25">
      <c r="A188" s="21" t="s">
        <v>377</v>
      </c>
      <c r="E188" s="714">
        <v>132.58000000000001</v>
      </c>
      <c r="F188" s="714">
        <v>144.49</v>
      </c>
      <c r="G188" s="714">
        <v>165.16</v>
      </c>
      <c r="H188" s="714">
        <v>200.89</v>
      </c>
      <c r="I188" s="714">
        <v>246.73</v>
      </c>
      <c r="J188" s="728"/>
    </row>
    <row r="189" spans="1:19" x14ac:dyDescent="0.25">
      <c r="A189" s="21" t="s">
        <v>378</v>
      </c>
      <c r="B189" s="88"/>
      <c r="E189" s="715">
        <v>170.71</v>
      </c>
      <c r="F189" s="715">
        <v>186.05</v>
      </c>
      <c r="G189" s="715">
        <v>212.67</v>
      </c>
      <c r="H189" s="715">
        <v>258.68</v>
      </c>
      <c r="I189" s="715">
        <v>317.7</v>
      </c>
      <c r="J189" s="738"/>
    </row>
    <row r="190" spans="1:19" ht="13.8" thickBot="1" x14ac:dyDescent="0.3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1"/>
      <c r="M190" s="71"/>
      <c r="N190" s="70"/>
      <c r="O190" s="70"/>
      <c r="P190" s="70"/>
      <c r="Q190" s="70"/>
      <c r="R190" s="70"/>
      <c r="S190" s="70"/>
    </row>
    <row r="191" spans="1:19" x14ac:dyDescent="0.25">
      <c r="B191" s="450"/>
    </row>
    <row r="193" spans="2:2" x14ac:dyDescent="0.25">
      <c r="B193" s="88"/>
    </row>
    <row r="194" spans="2:2" x14ac:dyDescent="0.25">
      <c r="B194" s="88"/>
    </row>
    <row r="195" spans="2:2" x14ac:dyDescent="0.25">
      <c r="B195" s="88"/>
    </row>
    <row r="196" spans="2:2" x14ac:dyDescent="0.25">
      <c r="B196" s="88"/>
    </row>
    <row r="197" spans="2:2" x14ac:dyDescent="0.25">
      <c r="B197" s="458"/>
    </row>
    <row r="198" spans="2:2" x14ac:dyDescent="0.25">
      <c r="B198" s="88"/>
    </row>
    <row r="199" spans="2:2" x14ac:dyDescent="0.25">
      <c r="B199" s="88"/>
    </row>
    <row r="200" spans="2:2" x14ac:dyDescent="0.25">
      <c r="B200" s="433"/>
    </row>
    <row r="201" spans="2:2" x14ac:dyDescent="0.25">
      <c r="B201" s="88"/>
    </row>
    <row r="202" spans="2:2" x14ac:dyDescent="0.25">
      <c r="B202" s="88"/>
    </row>
    <row r="203" spans="2:2" x14ac:dyDescent="0.25">
      <c r="B203" s="450"/>
    </row>
    <row r="204" spans="2:2" x14ac:dyDescent="0.25">
      <c r="B204" s="88"/>
    </row>
    <row r="205" spans="2:2" x14ac:dyDescent="0.25">
      <c r="B205" s="88"/>
    </row>
    <row r="206" spans="2:2" x14ac:dyDescent="0.25">
      <c r="B206" s="88"/>
    </row>
    <row r="207" spans="2:2" x14ac:dyDescent="0.25">
      <c r="B207" s="88"/>
    </row>
    <row r="208" spans="2:2" x14ac:dyDescent="0.25">
      <c r="B208" s="88"/>
    </row>
    <row r="209" spans="2:2" x14ac:dyDescent="0.25">
      <c r="B209" s="88"/>
    </row>
    <row r="212" spans="2:2" x14ac:dyDescent="0.25">
      <c r="B212" s="449"/>
    </row>
    <row r="213" spans="2:2" x14ac:dyDescent="0.25">
      <c r="B213" s="450"/>
    </row>
    <row r="214" spans="2:2" x14ac:dyDescent="0.25">
      <c r="B214" s="88"/>
    </row>
    <row r="215" spans="2:2" x14ac:dyDescent="0.25">
      <c r="B215" s="449"/>
    </row>
    <row r="216" spans="2:2" x14ac:dyDescent="0.25">
      <c r="B216" s="450"/>
    </row>
    <row r="217" spans="2:2" x14ac:dyDescent="0.25">
      <c r="B217" s="88"/>
    </row>
    <row r="218" spans="2:2" x14ac:dyDescent="0.25">
      <c r="B218" s="88"/>
    </row>
    <row r="219" spans="2:2" x14ac:dyDescent="0.25">
      <c r="B219" s="88"/>
    </row>
    <row r="220" spans="2:2" x14ac:dyDescent="0.25">
      <c r="B220" s="88"/>
    </row>
    <row r="221" spans="2:2" x14ac:dyDescent="0.25">
      <c r="B221" s="88"/>
    </row>
    <row r="223" spans="2:2" x14ac:dyDescent="0.25">
      <c r="B223" s="450"/>
    </row>
    <row r="224" spans="2:2" x14ac:dyDescent="0.25">
      <c r="B224" s="88"/>
    </row>
    <row r="226" spans="2:2" x14ac:dyDescent="0.25">
      <c r="B226" s="91"/>
    </row>
    <row r="227" spans="2:2" x14ac:dyDescent="0.25">
      <c r="B227" s="91"/>
    </row>
    <row r="228" spans="2:2" x14ac:dyDescent="0.25">
      <c r="B228" s="91"/>
    </row>
    <row r="229" spans="2:2" x14ac:dyDescent="0.25">
      <c r="B229" s="91"/>
    </row>
    <row r="230" spans="2:2" x14ac:dyDescent="0.25">
      <c r="B230" s="91"/>
    </row>
    <row r="231" spans="2:2" x14ac:dyDescent="0.25">
      <c r="B231" s="91"/>
    </row>
  </sheetData>
  <mergeCells count="3">
    <mergeCell ref="N142:O142"/>
    <mergeCell ref="E65:J65"/>
    <mergeCell ref="Q65:S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9.109375" defaultRowHeight="13.2" x14ac:dyDescent="0.25"/>
  <cols>
    <col min="1" max="1" width="33.5546875" style="57" customWidth="1"/>
    <col min="2" max="3" width="9.109375" style="57"/>
    <col min="4" max="7" width="15" style="57" customWidth="1"/>
    <col min="8" max="8" width="16.5546875" style="57" customWidth="1"/>
    <col min="9" max="10" width="15" style="57" customWidth="1"/>
    <col min="11" max="11" width="9.109375" style="57"/>
    <col min="12" max="12" width="9.109375" style="57" customWidth="1"/>
    <col min="13" max="16384" width="9.109375" style="57"/>
  </cols>
  <sheetData>
    <row r="1" spans="1:11" x14ac:dyDescent="0.25">
      <c r="A1" s="554" t="str">
        <f>'Data 2006-08'!$A$1</f>
        <v>SP AusNet</v>
      </c>
      <c r="E1" s="495" t="s">
        <v>394</v>
      </c>
      <c r="F1" s="496" t="str">
        <f>IF(SUM('AMI RAB 2009-15'!C2,'AMI Tax Depn 2009-15'!C2,'AMI Building Blocks 2009-15'!D1,'Data 2006-08'!D1)&lt;0.001,"Ok","Error")</f>
        <v>Ok</v>
      </c>
    </row>
    <row r="3" spans="1:11" x14ac:dyDescent="0.25">
      <c r="A3" s="409" t="s">
        <v>296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  <c r="K3" s="901"/>
    </row>
    <row r="4" spans="1:11" x14ac:dyDescent="0.25">
      <c r="A4" s="57" t="s">
        <v>335</v>
      </c>
      <c r="D4" s="347">
        <f>'AMI Building Blocks 2009-15'!D34</f>
        <v>40903.67841569108</v>
      </c>
      <c r="E4" s="347">
        <f>'AMI Building Blocks 2009-15'!E34</f>
        <v>66258.231646655899</v>
      </c>
      <c r="F4" s="347">
        <f>'AMI Building Blocks 2009-15'!F34</f>
        <v>86116.67145775033</v>
      </c>
      <c r="G4" s="347">
        <f>'AMI Building Blocks 2009-15'!G34</f>
        <v>102849.11881265891</v>
      </c>
      <c r="H4" s="347">
        <f>'AMI Building Blocks 2009-15'!H34</f>
        <v>114073.02381494103</v>
      </c>
      <c r="I4" s="347">
        <f>'AMI Building Blocks 2009-15'!I34</f>
        <v>107796.82765033352</v>
      </c>
      <c r="J4" s="347">
        <f>'AMI Building Blocks 2009-15'!J34</f>
        <v>107916.20811719856</v>
      </c>
    </row>
    <row r="5" spans="1:11" x14ac:dyDescent="0.25">
      <c r="A5" s="57" t="s">
        <v>343</v>
      </c>
      <c r="D5" s="347">
        <f>'Offset of Costs and Rev 2006-08'!G20</f>
        <v>-6137.4832866242659</v>
      </c>
      <c r="E5" s="531"/>
      <c r="F5" s="531"/>
      <c r="G5" s="531"/>
      <c r="H5" s="531"/>
      <c r="I5" s="531"/>
      <c r="J5" s="531"/>
    </row>
    <row r="6" spans="1:11" x14ac:dyDescent="0.25">
      <c r="A6" s="57" t="s">
        <v>341</v>
      </c>
      <c r="D6" s="389">
        <f t="shared" ref="D6:J6" si="0">SUM(D4:D5)</f>
        <v>34766.195129066815</v>
      </c>
      <c r="E6" s="389">
        <f t="shared" si="0"/>
        <v>66258.231646655899</v>
      </c>
      <c r="F6" s="389">
        <f t="shared" si="0"/>
        <v>86116.67145775033</v>
      </c>
      <c r="G6" s="389">
        <f t="shared" si="0"/>
        <v>102849.11881265891</v>
      </c>
      <c r="H6" s="389">
        <f t="shared" si="0"/>
        <v>114073.02381494103</v>
      </c>
      <c r="I6" s="389">
        <f t="shared" si="0"/>
        <v>107796.82765033352</v>
      </c>
      <c r="J6" s="389">
        <f t="shared" si="0"/>
        <v>107916.20811719856</v>
      </c>
    </row>
    <row r="7" spans="1:11" x14ac:dyDescent="0.25">
      <c r="D7" s="347"/>
      <c r="E7" s="347"/>
      <c r="F7" s="347"/>
      <c r="G7" s="347"/>
      <c r="H7" s="347"/>
      <c r="I7" s="347"/>
      <c r="J7" s="347"/>
    </row>
    <row r="8" spans="1:11" x14ac:dyDescent="0.25">
      <c r="A8" s="57" t="s">
        <v>292</v>
      </c>
      <c r="D8" s="347">
        <f>'Data 2009-15 (Real $2008)'!D60/10^3</f>
        <v>37927.245233500005</v>
      </c>
      <c r="E8" s="347">
        <f>'Data 2009-15 (Real $2008)'!E60/10^3</f>
        <v>65653.893745999987</v>
      </c>
      <c r="F8" s="347">
        <f>'Data 2009-15 (Real $2008)'!F60/10^3</f>
        <v>73478.180732400011</v>
      </c>
      <c r="G8" s="347">
        <f>'Data 2009-15 (Real $2008)'!G60/10^3</f>
        <v>83599.356</v>
      </c>
      <c r="H8" s="347">
        <f>'Data 2009-15 (Real $2008)'!H60/10^3</f>
        <v>101332.753</v>
      </c>
      <c r="I8" s="347">
        <f>'Data 2009-15 (Real $2008)'!I60/10^3</f>
        <v>125367.55141</v>
      </c>
      <c r="J8" s="347">
        <f>'Data 2009-15 (Real $2008)'!J60/10^3</f>
        <v>162842.78545</v>
      </c>
      <c r="K8" s="347"/>
    </row>
    <row r="10" spans="1:11" x14ac:dyDescent="0.25">
      <c r="A10" s="57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7.2935813500832225E-2</v>
      </c>
      <c r="J10" s="523">
        <f>'AMI Building Blocks 2009-15'!J24</f>
        <v>7.4475381162216747E-2</v>
      </c>
    </row>
    <row r="11" spans="1:11" x14ac:dyDescent="0.25">
      <c r="A11" s="57" t="s">
        <v>338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0.61630199716376555</v>
      </c>
      <c r="J11" s="524">
        <f t="shared" si="1"/>
        <v>0.57358410250138681</v>
      </c>
    </row>
    <row r="13" spans="1:11" x14ac:dyDescent="0.25">
      <c r="A13" s="57" t="s">
        <v>339</v>
      </c>
      <c r="D13" s="347">
        <f t="shared" ref="D13:J13" si="2">D6*D$11</f>
        <v>32837.770799884573</v>
      </c>
      <c r="E13" s="347">
        <f t="shared" si="2"/>
        <v>57883.805427424391</v>
      </c>
      <c r="F13" s="347">
        <f t="shared" si="2"/>
        <v>68550.012710898474</v>
      </c>
      <c r="G13" s="347">
        <f t="shared" si="2"/>
        <v>74069.781940557063</v>
      </c>
      <c r="H13" s="347">
        <f t="shared" si="2"/>
        <v>75431.070433627756</v>
      </c>
      <c r="I13" s="347">
        <f t="shared" si="2"/>
        <v>66435.400168818771</v>
      </c>
      <c r="J13" s="347">
        <f t="shared" si="2"/>
        <v>61899.021378256213</v>
      </c>
      <c r="K13" s="347"/>
    </row>
    <row r="15" spans="1:11" x14ac:dyDescent="0.25">
      <c r="A15" s="57" t="s">
        <v>340</v>
      </c>
      <c r="D15" s="347">
        <f t="shared" ref="D15:J15" si="3">D8*D$11</f>
        <v>35823.482593509732</v>
      </c>
      <c r="E15" s="347">
        <f t="shared" si="3"/>
        <v>57355.850234769459</v>
      </c>
      <c r="F15" s="347">
        <f t="shared" si="3"/>
        <v>58489.606459660747</v>
      </c>
      <c r="G15" s="347">
        <f t="shared" si="3"/>
        <v>60206.505809448427</v>
      </c>
      <c r="H15" s="347">
        <f t="shared" si="3"/>
        <v>67006.534701636076</v>
      </c>
      <c r="I15" s="347">
        <f t="shared" si="3"/>
        <v>77264.272313514055</v>
      </c>
      <c r="J15" s="347">
        <f t="shared" si="3"/>
        <v>93404.032941164143</v>
      </c>
      <c r="K15" s="347"/>
    </row>
    <row r="17" spans="1:20" x14ac:dyDescent="0.25">
      <c r="A17" s="268" t="s">
        <v>342</v>
      </c>
      <c r="D17" s="347"/>
      <c r="E17" s="526">
        <f>SUM($D15:E15)-SUM($D13:E13)</f>
        <v>2457.7566009702277</v>
      </c>
      <c r="F17" s="526">
        <f>SUM($D15:F15)-SUM($D13:F13)</f>
        <v>-7602.6496502675</v>
      </c>
      <c r="G17" s="526">
        <f>SUM($D15:G15)-SUM($D13:G13)</f>
        <v>-21465.925781376136</v>
      </c>
      <c r="H17" s="526">
        <f>SUM($D15:H15)-SUM($D13:H13)</f>
        <v>-29890.461513367831</v>
      </c>
      <c r="I17" s="526">
        <f>SUM($D15:I15)-SUM($D13:I13)</f>
        <v>-19061.589368672576</v>
      </c>
      <c r="J17" s="526">
        <f>SUM($D15:J15)-SUM($D13:J13)</f>
        <v>12443.422194235376</v>
      </c>
      <c r="K17" s="904">
        <f>J17*'Data 2009-15 (Real $2008)'!L145/'Data 2009-15 (Real $2008)'!J145</f>
        <v>0</v>
      </c>
      <c r="L17" s="895"/>
    </row>
    <row r="18" spans="1:20" x14ac:dyDescent="0.25">
      <c r="E18" s="899"/>
      <c r="F18" s="899"/>
      <c r="G18" s="899"/>
      <c r="H18" s="899"/>
      <c r="I18" s="899"/>
      <c r="J18" s="899"/>
      <c r="N18" s="57">
        <f>455.3-6.7</f>
        <v>448.6</v>
      </c>
    </row>
    <row r="19" spans="1:20" x14ac:dyDescent="0.25">
      <c r="A19" s="525" t="s">
        <v>284</v>
      </c>
      <c r="E19" s="900"/>
      <c r="F19" s="900"/>
      <c r="G19" s="900"/>
      <c r="H19" s="900"/>
      <c r="I19" s="900"/>
      <c r="J19" s="900">
        <f>J17/'Data 2009-15 (Real $2008)'!J145*'Data 2009-15 (Real $2008)'!N160</f>
        <v>12547.599682373158</v>
      </c>
    </row>
    <row r="21" spans="1:20" x14ac:dyDescent="0.25">
      <c r="A21" s="810"/>
      <c r="E21" s="777"/>
      <c r="F21" s="777"/>
      <c r="I21" s="899"/>
      <c r="J21" s="899"/>
    </row>
    <row r="22" spans="1:20" ht="13.8" thickBot="1" x14ac:dyDescent="0.3">
      <c r="A22" s="534"/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</row>
    <row r="24" spans="1:20" s="360" customFormat="1" x14ac:dyDescent="0.25">
      <c r="A24" s="778"/>
      <c r="B24" s="395"/>
      <c r="C24" s="395"/>
      <c r="D24" s="779"/>
      <c r="E24" s="780"/>
      <c r="G24" s="780"/>
      <c r="J24" s="780"/>
    </row>
    <row r="25" spans="1:20" s="360" customFormat="1" x14ac:dyDescent="0.25">
      <c r="A25" s="88"/>
      <c r="B25" s="395"/>
      <c r="C25" s="395"/>
      <c r="D25" s="781"/>
    </row>
    <row r="26" spans="1:20" s="893" customFormat="1" x14ac:dyDescent="0.25">
      <c r="A26" s="891" t="s">
        <v>393</v>
      </c>
      <c r="B26" s="892"/>
      <c r="C26" s="892"/>
      <c r="G26" s="884" t="s">
        <v>390</v>
      </c>
      <c r="H26" s="894" t="s">
        <v>284</v>
      </c>
      <c r="L26" s="360"/>
      <c r="M26" s="929" t="s">
        <v>22</v>
      </c>
      <c r="N26" s="912"/>
      <c r="S26" s="929" t="s">
        <v>333</v>
      </c>
      <c r="T26" s="912"/>
    </row>
    <row r="27" spans="1:20" s="360" customFormat="1" x14ac:dyDescent="0.25">
      <c r="A27" s="409" t="s">
        <v>296</v>
      </c>
      <c r="B27" s="365"/>
      <c r="C27" s="365"/>
      <c r="D27" s="779"/>
      <c r="E27" s="779"/>
      <c r="F27" s="779"/>
      <c r="G27" s="782">
        <v>2014</v>
      </c>
      <c r="H27" s="782">
        <v>2015</v>
      </c>
      <c r="J27" s="780"/>
      <c r="K27" s="780"/>
      <c r="M27" s="520">
        <f>G27</f>
        <v>2014</v>
      </c>
      <c r="N27" s="520">
        <f>H27</f>
        <v>2015</v>
      </c>
      <c r="S27" s="520">
        <f>M27</f>
        <v>2014</v>
      </c>
      <c r="T27" s="520">
        <f>N27</f>
        <v>2015</v>
      </c>
    </row>
    <row r="28" spans="1:20" s="360" customFormat="1" x14ac:dyDescent="0.25">
      <c r="A28" s="500"/>
      <c r="B28" s="365"/>
      <c r="C28" s="365"/>
      <c r="D28" s="779"/>
      <c r="E28" s="779"/>
      <c r="F28" s="779"/>
      <c r="J28" s="780"/>
      <c r="K28" s="780"/>
    </row>
    <row r="29" spans="1:20" s="360" customFormat="1" x14ac:dyDescent="0.25">
      <c r="A29" s="516" t="str">
        <f>'Data 2009-15 (Real $2008)'!A71</f>
        <v>Metering data services</v>
      </c>
      <c r="B29" s="365"/>
      <c r="C29" s="365"/>
      <c r="D29" s="779"/>
      <c r="E29" s="779"/>
      <c r="F29" s="779"/>
      <c r="G29" s="516" t="str">
        <f>'Data 2009-15 (Real $2008)'!E71</f>
        <v>Charge per meter ($ p.a.)</v>
      </c>
      <c r="J29" s="780"/>
      <c r="K29" s="780"/>
    </row>
    <row r="30" spans="1:20" s="360" customFormat="1" x14ac:dyDescent="0.25">
      <c r="A30" s="360" t="str">
        <f>'Data 2009-15 (Real $2008)'!A72</f>
        <v>metering data services - monthly read meter</v>
      </c>
      <c r="B30" s="365"/>
      <c r="C30" s="365"/>
      <c r="D30" s="779"/>
      <c r="E30" s="779"/>
      <c r="F30" s="779"/>
      <c r="G30" s="518">
        <f>'Data 2009-15 (Real $2008)'!I72</f>
        <v>0</v>
      </c>
      <c r="H30" s="518">
        <f>'Data 2009-15 (Real $2008)'!J72</f>
        <v>0</v>
      </c>
      <c r="J30" s="780"/>
      <c r="K30" s="780"/>
      <c r="M30" s="517">
        <f>'Data 2009-15 (Real $2008)'!R72</f>
        <v>0</v>
      </c>
      <c r="N30" s="517">
        <f>'Data 2009-15 (Real $2008)'!S72</f>
        <v>0</v>
      </c>
      <c r="S30" s="82">
        <f t="shared" ref="S30:T36" si="4">G30*M30/10^3</f>
        <v>0</v>
      </c>
      <c r="T30" s="82">
        <f t="shared" si="4"/>
        <v>0</v>
      </c>
    </row>
    <row r="31" spans="1:20" s="360" customFormat="1" x14ac:dyDescent="0.25">
      <c r="A31" s="360" t="str">
        <f>'Data 2009-15 (Real $2008)'!A73</f>
        <v>metering data services - quarterly read meter</v>
      </c>
      <c r="B31" s="365"/>
      <c r="C31" s="365"/>
      <c r="D31" s="779"/>
      <c r="E31" s="779"/>
      <c r="F31" s="779"/>
      <c r="G31" s="518">
        <f>'Data 2009-15 (Real $2008)'!I73</f>
        <v>0</v>
      </c>
      <c r="H31" s="518">
        <f>'Data 2009-15 (Real $2008)'!J73</f>
        <v>0</v>
      </c>
      <c r="J31" s="780"/>
      <c r="K31" s="780"/>
      <c r="M31" s="517">
        <f>'Data 2009-15 (Real $2008)'!R73</f>
        <v>0</v>
      </c>
      <c r="N31" s="517">
        <f>'Data 2009-15 (Real $2008)'!S73</f>
        <v>0</v>
      </c>
      <c r="S31" s="82">
        <f t="shared" si="4"/>
        <v>0</v>
      </c>
      <c r="T31" s="82">
        <f t="shared" si="4"/>
        <v>0</v>
      </c>
    </row>
    <row r="32" spans="1:20" s="360" customFormat="1" x14ac:dyDescent="0.25">
      <c r="A32" s="360" t="str">
        <f>'Data 2009-15 (Real $2008)'!A74</f>
        <v>Other Category 1 : Describe………………..</v>
      </c>
      <c r="B32" s="365"/>
      <c r="C32" s="365"/>
      <c r="D32" s="779"/>
      <c r="E32" s="779"/>
      <c r="F32" s="779"/>
      <c r="G32" s="518">
        <f>'Data 2009-15 (Real $2008)'!I74</f>
        <v>0</v>
      </c>
      <c r="H32" s="518">
        <f>'Data 2009-15 (Real $2008)'!J74</f>
        <v>0</v>
      </c>
      <c r="J32" s="780"/>
      <c r="K32" s="780"/>
      <c r="M32" s="517">
        <f>'Data 2009-15 (Real $2008)'!R74</f>
        <v>0</v>
      </c>
      <c r="N32" s="517">
        <f>'Data 2009-15 (Real $2008)'!S74</f>
        <v>0</v>
      </c>
      <c r="S32" s="82">
        <f t="shared" si="4"/>
        <v>0</v>
      </c>
      <c r="T32" s="82">
        <f t="shared" si="4"/>
        <v>0</v>
      </c>
    </row>
    <row r="33" spans="1:20" s="360" customFormat="1" x14ac:dyDescent="0.25">
      <c r="A33" s="360" t="str">
        <f>'Data 2009-15 (Real $2008)'!A75</f>
        <v>Other Category 2 : Describe………………..</v>
      </c>
      <c r="B33" s="365"/>
      <c r="C33" s="365"/>
      <c r="D33" s="779"/>
      <c r="E33" s="779"/>
      <c r="F33" s="779"/>
      <c r="G33" s="518">
        <f>'Data 2009-15 (Real $2008)'!I75</f>
        <v>0</v>
      </c>
      <c r="H33" s="518">
        <f>'Data 2009-15 (Real $2008)'!J75</f>
        <v>0</v>
      </c>
      <c r="J33" s="780"/>
      <c r="K33" s="780"/>
      <c r="M33" s="517">
        <f>'Data 2009-15 (Real $2008)'!R75</f>
        <v>0</v>
      </c>
      <c r="N33" s="517">
        <f>'Data 2009-15 (Real $2008)'!S75</f>
        <v>0</v>
      </c>
      <c r="S33" s="82">
        <f t="shared" si="4"/>
        <v>0</v>
      </c>
      <c r="T33" s="82">
        <f t="shared" si="4"/>
        <v>0</v>
      </c>
    </row>
    <row r="34" spans="1:20" s="360" customFormat="1" x14ac:dyDescent="0.25">
      <c r="A34" s="360" t="str">
        <f>'Data 2009-15 (Real $2008)'!A76</f>
        <v>Other Category 3 : Describe………………..</v>
      </c>
      <c r="B34" s="365"/>
      <c r="C34" s="365"/>
      <c r="D34" s="779"/>
      <c r="E34" s="779"/>
      <c r="F34" s="779"/>
      <c r="G34" s="518">
        <f>'Data 2009-15 (Real $2008)'!I76</f>
        <v>0</v>
      </c>
      <c r="H34" s="518">
        <f>'Data 2009-15 (Real $2008)'!J76</f>
        <v>0</v>
      </c>
      <c r="J34" s="780"/>
      <c r="K34" s="780"/>
      <c r="M34" s="517">
        <f>'Data 2009-15 (Real $2008)'!R76</f>
        <v>0</v>
      </c>
      <c r="N34" s="517">
        <f>'Data 2009-15 (Real $2008)'!S76</f>
        <v>0</v>
      </c>
      <c r="S34" s="82">
        <f t="shared" si="4"/>
        <v>0</v>
      </c>
      <c r="T34" s="82">
        <f t="shared" si="4"/>
        <v>0</v>
      </c>
    </row>
    <row r="35" spans="1:20" s="360" customFormat="1" x14ac:dyDescent="0.25">
      <c r="A35" s="360" t="str">
        <f>'Data 2009-15 (Real $2008)'!A77</f>
        <v>Other Category 4 : Describe………………..</v>
      </c>
      <c r="B35" s="365"/>
      <c r="C35" s="365"/>
      <c r="D35" s="779"/>
      <c r="E35" s="779"/>
      <c r="F35" s="779"/>
      <c r="G35" s="518">
        <f>'Data 2009-15 (Real $2008)'!I77</f>
        <v>0</v>
      </c>
      <c r="H35" s="518">
        <f>'Data 2009-15 (Real $2008)'!J77</f>
        <v>0</v>
      </c>
      <c r="J35" s="780"/>
      <c r="K35" s="780"/>
      <c r="M35" s="517">
        <f>'Data 2009-15 (Real $2008)'!R77</f>
        <v>0</v>
      </c>
      <c r="N35" s="517">
        <f>'Data 2009-15 (Real $2008)'!S77</f>
        <v>0</v>
      </c>
      <c r="S35" s="82">
        <f t="shared" si="4"/>
        <v>0</v>
      </c>
      <c r="T35" s="82">
        <f t="shared" si="4"/>
        <v>0</v>
      </c>
    </row>
    <row r="36" spans="1:20" s="360" customFormat="1" x14ac:dyDescent="0.25">
      <c r="A36" s="360" t="str">
        <f>'Data 2009-15 (Real $2008)'!A78</f>
        <v>Other Category 5 : Describe………………..</v>
      </c>
      <c r="B36" s="365"/>
      <c r="C36" s="365"/>
      <c r="D36" s="779"/>
      <c r="E36" s="779"/>
      <c r="F36" s="779"/>
      <c r="G36" s="518">
        <f>'Data 2009-15 (Real $2008)'!I78</f>
        <v>0</v>
      </c>
      <c r="H36" s="518">
        <f>'Data 2009-15 (Real $2008)'!J78</f>
        <v>0</v>
      </c>
      <c r="J36" s="780"/>
      <c r="K36" s="780"/>
      <c r="M36" s="517">
        <f>'Data 2009-15 (Real $2008)'!R78</f>
        <v>0</v>
      </c>
      <c r="N36" s="517">
        <f>'Data 2009-15 (Real $2008)'!S78</f>
        <v>0</v>
      </c>
      <c r="S36" s="82">
        <f t="shared" si="4"/>
        <v>0</v>
      </c>
      <c r="T36" s="82">
        <f t="shared" si="4"/>
        <v>0</v>
      </c>
    </row>
    <row r="37" spans="1:20" s="360" customFormat="1" x14ac:dyDescent="0.25">
      <c r="B37" s="365"/>
      <c r="C37" s="365"/>
      <c r="D37" s="779"/>
      <c r="E37" s="779"/>
      <c r="F37" s="779"/>
      <c r="J37" s="780"/>
      <c r="K37" s="780"/>
    </row>
    <row r="38" spans="1:20" s="360" customFormat="1" x14ac:dyDescent="0.25">
      <c r="B38" s="365"/>
      <c r="C38" s="365"/>
      <c r="D38" s="779"/>
      <c r="E38" s="779"/>
      <c r="F38" s="779"/>
      <c r="J38" s="780"/>
      <c r="K38" s="780"/>
    </row>
    <row r="39" spans="1:20" s="360" customFormat="1" x14ac:dyDescent="0.25">
      <c r="A39" s="516" t="str">
        <f>'Data 2009-15 (Real $2008)'!A81</f>
        <v>Metering data services</v>
      </c>
      <c r="B39" s="365"/>
      <c r="C39" s="365"/>
      <c r="D39" s="779"/>
      <c r="E39" s="779"/>
      <c r="F39" s="779"/>
      <c r="G39" s="516" t="str">
        <f>'Data 2009-15 (Real $2008)'!E81</f>
        <v>Charge per NMIs ($ p.a.)</v>
      </c>
      <c r="J39" s="780"/>
      <c r="K39" s="780"/>
    </row>
    <row r="40" spans="1:20" s="360" customFormat="1" x14ac:dyDescent="0.25">
      <c r="A40" s="360" t="str">
        <f>'Data 2009-15 (Real $2008)'!A82</f>
        <v>metering data services - monthly read meter</v>
      </c>
      <c r="B40" s="365"/>
      <c r="C40" s="365"/>
      <c r="D40" s="779"/>
      <c r="E40" s="779"/>
      <c r="F40" s="779"/>
      <c r="G40" s="518">
        <f>'Data 2009-15 (Real $2008)'!I82</f>
        <v>0</v>
      </c>
      <c r="H40" s="518">
        <f>'Data 2009-15 (Real $2008)'!J82</f>
        <v>0</v>
      </c>
      <c r="J40" s="780"/>
      <c r="K40" s="780"/>
      <c r="M40" s="517">
        <f>'Data 2009-15 (Real $2008)'!R82</f>
        <v>0</v>
      </c>
      <c r="N40" s="517">
        <f>'Data 2009-15 (Real $2008)'!S82</f>
        <v>0</v>
      </c>
      <c r="S40" s="82">
        <f t="shared" ref="S40:T46" si="5">G40*M40/10^3</f>
        <v>0</v>
      </c>
      <c r="T40" s="82">
        <f t="shared" si="5"/>
        <v>0</v>
      </c>
    </row>
    <row r="41" spans="1:20" s="360" customFormat="1" x14ac:dyDescent="0.25">
      <c r="A41" s="360" t="str">
        <f>'Data 2009-15 (Real $2008)'!A83</f>
        <v>metering data services - quarterly read meter</v>
      </c>
      <c r="B41" s="365"/>
      <c r="C41" s="365"/>
      <c r="D41" s="779"/>
      <c r="E41" s="779"/>
      <c r="F41" s="779"/>
      <c r="G41" s="518">
        <f>'Data 2009-15 (Real $2008)'!I83</f>
        <v>0</v>
      </c>
      <c r="H41" s="518">
        <f>'Data 2009-15 (Real $2008)'!J83</f>
        <v>0</v>
      </c>
      <c r="J41" s="780"/>
      <c r="K41" s="780"/>
      <c r="M41" s="517">
        <f>'Data 2009-15 (Real $2008)'!R83</f>
        <v>0</v>
      </c>
      <c r="N41" s="517">
        <f>'Data 2009-15 (Real $2008)'!S83</f>
        <v>0</v>
      </c>
      <c r="S41" s="82">
        <f t="shared" si="5"/>
        <v>0</v>
      </c>
      <c r="T41" s="82">
        <f t="shared" si="5"/>
        <v>0</v>
      </c>
    </row>
    <row r="42" spans="1:20" s="360" customFormat="1" x14ac:dyDescent="0.25">
      <c r="A42" s="360" t="str">
        <f>'Data 2009-15 (Real $2008)'!A84</f>
        <v>Other Category 1 : Describe………………..</v>
      </c>
      <c r="B42" s="365"/>
      <c r="C42" s="365"/>
      <c r="D42" s="779"/>
      <c r="E42" s="779"/>
      <c r="F42" s="779"/>
      <c r="G42" s="518">
        <f>'Data 2009-15 (Real $2008)'!I84</f>
        <v>0</v>
      </c>
      <c r="H42" s="518">
        <f>'Data 2009-15 (Real $2008)'!J84</f>
        <v>0</v>
      </c>
      <c r="J42" s="780"/>
      <c r="K42" s="780"/>
      <c r="M42" s="517">
        <f>'Data 2009-15 (Real $2008)'!R84</f>
        <v>0</v>
      </c>
      <c r="N42" s="517">
        <f>'Data 2009-15 (Real $2008)'!S84</f>
        <v>0</v>
      </c>
      <c r="S42" s="82">
        <f t="shared" si="5"/>
        <v>0</v>
      </c>
      <c r="T42" s="82">
        <f t="shared" si="5"/>
        <v>0</v>
      </c>
    </row>
    <row r="43" spans="1:20" s="360" customFormat="1" x14ac:dyDescent="0.25">
      <c r="A43" s="360" t="str">
        <f>'Data 2009-15 (Real $2008)'!A85</f>
        <v>Other Category 2 : Describe………………..</v>
      </c>
      <c r="B43" s="365"/>
      <c r="C43" s="365"/>
      <c r="D43" s="779"/>
      <c r="E43" s="779"/>
      <c r="F43" s="779"/>
      <c r="G43" s="518">
        <f>'Data 2009-15 (Real $2008)'!I85</f>
        <v>0</v>
      </c>
      <c r="H43" s="518">
        <f>'Data 2009-15 (Real $2008)'!J85</f>
        <v>0</v>
      </c>
      <c r="J43" s="780"/>
      <c r="K43" s="780"/>
      <c r="M43" s="517">
        <f>'Data 2009-15 (Real $2008)'!R85</f>
        <v>0</v>
      </c>
      <c r="N43" s="517">
        <f>'Data 2009-15 (Real $2008)'!S85</f>
        <v>0</v>
      </c>
      <c r="S43" s="82">
        <f t="shared" si="5"/>
        <v>0</v>
      </c>
      <c r="T43" s="82">
        <f t="shared" si="5"/>
        <v>0</v>
      </c>
    </row>
    <row r="44" spans="1:20" s="360" customFormat="1" x14ac:dyDescent="0.25">
      <c r="A44" s="360" t="str">
        <f>'Data 2009-15 (Real $2008)'!A86</f>
        <v>Other Category 3 : Describe………………..</v>
      </c>
      <c r="B44" s="365"/>
      <c r="C44" s="365"/>
      <c r="D44" s="779"/>
      <c r="E44" s="779"/>
      <c r="F44" s="779"/>
      <c r="G44" s="518">
        <f>'Data 2009-15 (Real $2008)'!I86</f>
        <v>0</v>
      </c>
      <c r="H44" s="518">
        <f>'Data 2009-15 (Real $2008)'!J86</f>
        <v>0</v>
      </c>
      <c r="J44" s="780"/>
      <c r="K44" s="780"/>
      <c r="M44" s="517">
        <f>'Data 2009-15 (Real $2008)'!R86</f>
        <v>0</v>
      </c>
      <c r="N44" s="517">
        <f>'Data 2009-15 (Real $2008)'!S86</f>
        <v>0</v>
      </c>
      <c r="S44" s="82">
        <f t="shared" si="5"/>
        <v>0</v>
      </c>
      <c r="T44" s="82">
        <f t="shared" si="5"/>
        <v>0</v>
      </c>
    </row>
    <row r="45" spans="1:20" s="360" customFormat="1" x14ac:dyDescent="0.25">
      <c r="A45" s="360" t="str">
        <f>'Data 2009-15 (Real $2008)'!A87</f>
        <v>Other Category 4 : Describe………………..</v>
      </c>
      <c r="B45" s="365"/>
      <c r="C45" s="365"/>
      <c r="D45" s="779"/>
      <c r="E45" s="779"/>
      <c r="F45" s="779"/>
      <c r="G45" s="518">
        <f>'Data 2009-15 (Real $2008)'!I87</f>
        <v>0</v>
      </c>
      <c r="H45" s="518">
        <f>'Data 2009-15 (Real $2008)'!J87</f>
        <v>0</v>
      </c>
      <c r="J45" s="780"/>
      <c r="K45" s="780"/>
      <c r="M45" s="517">
        <f>'Data 2009-15 (Real $2008)'!R87</f>
        <v>0</v>
      </c>
      <c r="N45" s="517">
        <f>'Data 2009-15 (Real $2008)'!S87</f>
        <v>0</v>
      </c>
      <c r="S45" s="82">
        <f t="shared" si="5"/>
        <v>0</v>
      </c>
      <c r="T45" s="82">
        <f t="shared" si="5"/>
        <v>0</v>
      </c>
    </row>
    <row r="46" spans="1:20" s="360" customFormat="1" x14ac:dyDescent="0.25">
      <c r="A46" s="360" t="str">
        <f>'Data 2009-15 (Real $2008)'!A88</f>
        <v>Other Category 5 : Describe………………..</v>
      </c>
      <c r="B46" s="365"/>
      <c r="C46" s="365"/>
      <c r="D46" s="779"/>
      <c r="E46" s="779"/>
      <c r="F46" s="779"/>
      <c r="G46" s="518">
        <f>'Data 2009-15 (Real $2008)'!I88</f>
        <v>0</v>
      </c>
      <c r="H46" s="518">
        <f>'Data 2009-15 (Real $2008)'!J88</f>
        <v>0</v>
      </c>
      <c r="J46" s="780"/>
      <c r="K46" s="780"/>
      <c r="M46" s="517">
        <f>'Data 2009-15 (Real $2008)'!R88</f>
        <v>0</v>
      </c>
      <c r="N46" s="517">
        <f>'Data 2009-15 (Real $2008)'!S88</f>
        <v>0</v>
      </c>
      <c r="S46" s="82">
        <f t="shared" si="5"/>
        <v>0</v>
      </c>
      <c r="T46" s="82">
        <f t="shared" si="5"/>
        <v>0</v>
      </c>
    </row>
    <row r="47" spans="1:20" s="360" customFormat="1" x14ac:dyDescent="0.25">
      <c r="B47" s="365"/>
      <c r="C47" s="365"/>
      <c r="D47" s="779"/>
      <c r="E47" s="779"/>
      <c r="F47" s="779"/>
      <c r="J47" s="780"/>
      <c r="K47" s="780"/>
    </row>
    <row r="48" spans="1:20" s="360" customFormat="1" x14ac:dyDescent="0.25">
      <c r="B48" s="365"/>
      <c r="C48" s="365"/>
      <c r="D48" s="779"/>
      <c r="E48" s="779"/>
      <c r="F48" s="779"/>
      <c r="J48" s="780"/>
      <c r="K48" s="780"/>
    </row>
    <row r="49" spans="1:20" s="360" customFormat="1" x14ac:dyDescent="0.25">
      <c r="A49" s="516" t="str">
        <f>'Data 2009-15 (Real $2008)'!A91</f>
        <v>Meter provision Charge</v>
      </c>
      <c r="B49" s="365"/>
      <c r="C49" s="365"/>
      <c r="D49" s="779"/>
      <c r="E49" s="779"/>
      <c r="F49" s="779"/>
      <c r="G49" s="516" t="str">
        <f>'Data 2009-15 (Real $2008)'!E91</f>
        <v>Charge per meter ($ p.a.)</v>
      </c>
      <c r="J49" s="780"/>
      <c r="K49" s="780"/>
    </row>
    <row r="50" spans="1:20" s="360" customFormat="1" x14ac:dyDescent="0.25">
      <c r="A50" s="360" t="str">
        <f>'Data 2009-15 (Real $2008)'!A92</f>
        <v>single phase single element meter</v>
      </c>
      <c r="B50" s="365"/>
      <c r="C50" s="365"/>
      <c r="D50" s="779"/>
      <c r="E50" s="779"/>
      <c r="F50" s="779"/>
      <c r="G50" s="518">
        <f>'Data 2009-15 (Real $2008)'!I92</f>
        <v>0</v>
      </c>
      <c r="H50" s="518">
        <f>'Data 2009-15 (Real $2008)'!J92</f>
        <v>0</v>
      </c>
      <c r="J50" s="780"/>
      <c r="K50" s="780"/>
      <c r="M50" s="517">
        <f>'Data 2009-15 (Real $2008)'!R92</f>
        <v>0</v>
      </c>
      <c r="N50" s="517">
        <f>'Data 2009-15 (Real $2008)'!S92</f>
        <v>0</v>
      </c>
      <c r="S50" s="82">
        <f t="shared" ref="S50:T60" si="6">G50*M50/10^3</f>
        <v>0</v>
      </c>
      <c r="T50" s="82">
        <f t="shared" si="6"/>
        <v>0</v>
      </c>
    </row>
    <row r="51" spans="1:20" s="360" customFormat="1" x14ac:dyDescent="0.25">
      <c r="A51" s="360" t="str">
        <f>'Data 2009-15 (Real $2008)'!A93</f>
        <v>single phase single element meter with contactor</v>
      </c>
      <c r="B51" s="365"/>
      <c r="C51" s="365"/>
      <c r="D51" s="779"/>
      <c r="E51" s="779"/>
      <c r="F51" s="779"/>
      <c r="G51" s="518">
        <f>'Data 2009-15 (Real $2008)'!I93</f>
        <v>0</v>
      </c>
      <c r="H51" s="518">
        <f>'Data 2009-15 (Real $2008)'!J93</f>
        <v>0</v>
      </c>
      <c r="J51" s="780"/>
      <c r="K51" s="780"/>
      <c r="M51" s="517">
        <f>'Data 2009-15 (Real $2008)'!R93</f>
        <v>0</v>
      </c>
      <c r="N51" s="517">
        <f>'Data 2009-15 (Real $2008)'!S93</f>
        <v>0</v>
      </c>
      <c r="S51" s="82">
        <f t="shared" si="6"/>
        <v>0</v>
      </c>
      <c r="T51" s="82">
        <f t="shared" si="6"/>
        <v>0</v>
      </c>
    </row>
    <row r="52" spans="1:20" s="360" customFormat="1" x14ac:dyDescent="0.25">
      <c r="A52" s="360" t="str">
        <f>'Data 2009-15 (Real $2008)'!A94</f>
        <v>single phase two element meter with contactor</v>
      </c>
      <c r="B52" s="365"/>
      <c r="C52" s="365"/>
      <c r="D52" s="779"/>
      <c r="E52" s="779"/>
      <c r="F52" s="779"/>
      <c r="G52" s="518">
        <f>'Data 2009-15 (Real $2008)'!I94</f>
        <v>0</v>
      </c>
      <c r="H52" s="518">
        <f>'Data 2009-15 (Real $2008)'!J94</f>
        <v>0</v>
      </c>
      <c r="J52" s="780"/>
      <c r="K52" s="780"/>
      <c r="M52" s="517">
        <f>'Data 2009-15 (Real $2008)'!R94</f>
        <v>0</v>
      </c>
      <c r="N52" s="517">
        <f>'Data 2009-15 (Real $2008)'!S94</f>
        <v>0</v>
      </c>
      <c r="S52" s="82">
        <f t="shared" si="6"/>
        <v>0</v>
      </c>
      <c r="T52" s="82">
        <f t="shared" si="6"/>
        <v>0</v>
      </c>
    </row>
    <row r="53" spans="1:20" s="360" customFormat="1" x14ac:dyDescent="0.25">
      <c r="A53" s="360" t="str">
        <f>'Data 2009-15 (Real $2008)'!A95</f>
        <v>three phase direct connected meter</v>
      </c>
      <c r="B53" s="365"/>
      <c r="C53" s="365"/>
      <c r="D53" s="779"/>
      <c r="E53" s="779"/>
      <c r="F53" s="779"/>
      <c r="G53" s="518">
        <f>'Data 2009-15 (Real $2008)'!I95</f>
        <v>0</v>
      </c>
      <c r="H53" s="518">
        <f>'Data 2009-15 (Real $2008)'!J95</f>
        <v>0</v>
      </c>
      <c r="J53" s="780"/>
      <c r="K53" s="780"/>
      <c r="M53" s="517">
        <f>'Data 2009-15 (Real $2008)'!R95</f>
        <v>0</v>
      </c>
      <c r="N53" s="517">
        <f>'Data 2009-15 (Real $2008)'!S95</f>
        <v>0</v>
      </c>
      <c r="S53" s="82">
        <f t="shared" si="6"/>
        <v>0</v>
      </c>
      <c r="T53" s="82">
        <f t="shared" si="6"/>
        <v>0</v>
      </c>
    </row>
    <row r="54" spans="1:20" s="360" customFormat="1" x14ac:dyDescent="0.25">
      <c r="A54" s="360" t="str">
        <f>'Data 2009-15 (Real $2008)'!A96</f>
        <v>three phase direct connected meter with contactor</v>
      </c>
      <c r="B54" s="365"/>
      <c r="C54" s="365"/>
      <c r="D54" s="779"/>
      <c r="E54" s="779"/>
      <c r="F54" s="779"/>
      <c r="G54" s="518">
        <f>'Data 2009-15 (Real $2008)'!I96</f>
        <v>0</v>
      </c>
      <c r="H54" s="518">
        <f>'Data 2009-15 (Real $2008)'!J96</f>
        <v>0</v>
      </c>
      <c r="J54" s="780"/>
      <c r="K54" s="780"/>
      <c r="M54" s="517">
        <f>'Data 2009-15 (Real $2008)'!R96</f>
        <v>0</v>
      </c>
      <c r="N54" s="517">
        <f>'Data 2009-15 (Real $2008)'!S96</f>
        <v>0</v>
      </c>
      <c r="S54" s="82">
        <f t="shared" si="6"/>
        <v>0</v>
      </c>
      <c r="T54" s="82">
        <f t="shared" si="6"/>
        <v>0</v>
      </c>
    </row>
    <row r="55" spans="1:20" s="360" customFormat="1" x14ac:dyDescent="0.25">
      <c r="A55" s="360" t="str">
        <f>'Data 2009-15 (Real $2008)'!A97</f>
        <v>three phase Current transformer connected meter</v>
      </c>
      <c r="B55" s="365"/>
      <c r="C55" s="365"/>
      <c r="D55" s="779"/>
      <c r="E55" s="779"/>
      <c r="F55" s="779"/>
      <c r="G55" s="518">
        <f>'Data 2009-15 (Real $2008)'!I97</f>
        <v>0</v>
      </c>
      <c r="H55" s="518">
        <f>'Data 2009-15 (Real $2008)'!J97</f>
        <v>0</v>
      </c>
      <c r="J55" s="780"/>
      <c r="K55" s="780"/>
      <c r="M55" s="517">
        <f>'Data 2009-15 (Real $2008)'!R97</f>
        <v>0</v>
      </c>
      <c r="N55" s="517">
        <f>'Data 2009-15 (Real $2008)'!S97</f>
        <v>0</v>
      </c>
      <c r="S55" s="82">
        <f t="shared" si="6"/>
        <v>0</v>
      </c>
      <c r="T55" s="82">
        <f t="shared" si="6"/>
        <v>0</v>
      </c>
    </row>
    <row r="56" spans="1:20" s="360" customFormat="1" x14ac:dyDescent="0.25">
      <c r="A56" s="360" t="str">
        <f>'Data 2009-15 (Real $2008)'!A98</f>
        <v>Single phase single element 1 contactor (1load control)</v>
      </c>
      <c r="B56" s="365"/>
      <c r="C56" s="365"/>
      <c r="D56" s="779"/>
      <c r="E56" s="779"/>
      <c r="F56" s="779"/>
      <c r="G56" s="518">
        <f>'Data 2009-15 (Real $2008)'!I98</f>
        <v>160.21</v>
      </c>
      <c r="H56" s="518">
        <f>'Data 2009-15 (Real $2008)'!J98</f>
        <v>205.54</v>
      </c>
      <c r="J56" s="780"/>
      <c r="K56" s="780"/>
      <c r="M56" s="517">
        <f>'Data 2009-15 (Real $2008)'!R98</f>
        <v>398557.46675785119</v>
      </c>
      <c r="N56" s="517">
        <f>'Data 2009-15 (Real $2008)'!S98</f>
        <v>406120.02995804162</v>
      </c>
      <c r="S56" s="82">
        <f t="shared" si="6"/>
        <v>63852.891749275339</v>
      </c>
      <c r="T56" s="82">
        <f t="shared" si="6"/>
        <v>83473.910957575878</v>
      </c>
    </row>
    <row r="57" spans="1:20" s="360" customFormat="1" x14ac:dyDescent="0.25">
      <c r="A57" s="360" t="str">
        <f>'Data 2009-15 (Real $2008)'!A99</f>
        <v>Single phase two element 2 contactors (2 load controls)</v>
      </c>
      <c r="B57" s="365"/>
      <c r="C57" s="365"/>
      <c r="D57" s="779"/>
      <c r="E57" s="779"/>
      <c r="F57" s="779"/>
      <c r="G57" s="518">
        <f>'Data 2009-15 (Real $2008)'!I99</f>
        <v>184.1</v>
      </c>
      <c r="H57" s="518">
        <f>'Data 2009-15 (Real $2008)'!J99</f>
        <v>236.19</v>
      </c>
      <c r="J57" s="780"/>
      <c r="K57" s="780"/>
      <c r="M57" s="517">
        <f>'Data 2009-15 (Real $2008)'!R99</f>
        <v>156548.59239537409</v>
      </c>
      <c r="N57" s="517">
        <f>'Data 2009-15 (Real $2008)'!S99</f>
        <v>157702.89891689076</v>
      </c>
      <c r="S57" s="82">
        <f t="shared" si="6"/>
        <v>28820.595859988371</v>
      </c>
      <c r="T57" s="82">
        <f t="shared" si="6"/>
        <v>37247.847695180433</v>
      </c>
    </row>
    <row r="58" spans="1:20" s="360" customFormat="1" x14ac:dyDescent="0.25">
      <c r="A58" s="360" t="str">
        <f>'Data 2009-15 (Real $2008)'!A100</f>
        <v>Multiphase 1 contactor (1 load control)</v>
      </c>
      <c r="B58" s="365"/>
      <c r="C58" s="365"/>
      <c r="D58" s="779"/>
      <c r="E58" s="779"/>
      <c r="F58" s="779"/>
      <c r="G58" s="518">
        <f>'Data 2009-15 (Real $2008)'!I100</f>
        <v>222.42</v>
      </c>
      <c r="H58" s="518">
        <f>'Data 2009-15 (Real $2008)'!J100</f>
        <v>285.36</v>
      </c>
      <c r="J58" s="780"/>
      <c r="K58" s="780"/>
      <c r="M58" s="517">
        <f>'Data 2009-15 (Real $2008)'!R100</f>
        <v>84284.130234145021</v>
      </c>
      <c r="N58" s="517">
        <f>'Data 2009-15 (Real $2008)'!S100</f>
        <v>85357.055867229894</v>
      </c>
      <c r="S58" s="82">
        <f t="shared" si="6"/>
        <v>18746.476246678536</v>
      </c>
      <c r="T58" s="82">
        <f t="shared" si="6"/>
        <v>24357.489462272722</v>
      </c>
    </row>
    <row r="59" spans="1:20" s="360" customFormat="1" x14ac:dyDescent="0.25">
      <c r="A59" s="360" t="str">
        <f>'Data 2009-15 (Real $2008)'!A101</f>
        <v>Multiphase 2 contactors (2 load controls)</v>
      </c>
      <c r="B59" s="365"/>
      <c r="C59" s="365"/>
      <c r="D59" s="779"/>
      <c r="E59" s="779"/>
      <c r="F59" s="779"/>
      <c r="G59" s="518">
        <f>'Data 2009-15 (Real $2008)'!I101</f>
        <v>246.73</v>
      </c>
      <c r="H59" s="518">
        <f>'Data 2009-15 (Real $2008)'!J101</f>
        <v>316.54000000000002</v>
      </c>
      <c r="J59" s="780"/>
      <c r="K59" s="780"/>
      <c r="M59" s="517">
        <f>'Data 2009-15 (Real $2008)'!R101</f>
        <v>42292.871638879471</v>
      </c>
      <c r="N59" s="517">
        <f>'Data 2009-15 (Real $2008)'!S101</f>
        <v>42316.309334747828</v>
      </c>
      <c r="S59" s="82">
        <f t="shared" si="6"/>
        <v>10434.920219460731</v>
      </c>
      <c r="T59" s="82">
        <f t="shared" si="6"/>
        <v>13394.804556821078</v>
      </c>
    </row>
    <row r="60" spans="1:20" s="360" customFormat="1" x14ac:dyDescent="0.25">
      <c r="A60" s="360" t="str">
        <f>'Data 2009-15 (Real $2008)'!A102</f>
        <v>Multiphase CT connected</v>
      </c>
      <c r="B60" s="365"/>
      <c r="C60" s="365"/>
      <c r="D60" s="779"/>
      <c r="E60" s="779"/>
      <c r="F60" s="779"/>
      <c r="G60" s="518">
        <f>'Data 2009-15 (Real $2008)'!I102</f>
        <v>317.7</v>
      </c>
      <c r="H60" s="518">
        <f>'Data 2009-15 (Real $2008)'!J102</f>
        <v>407.45000000000005</v>
      </c>
      <c r="J60" s="780"/>
      <c r="K60" s="780"/>
      <c r="M60" s="517">
        <f>'Data 2009-15 (Real $2008)'!R102</f>
        <v>3826.2809487502545</v>
      </c>
      <c r="N60" s="517">
        <f>'Data 2009-15 (Real $2008)'!S102</f>
        <v>3864.6927280900645</v>
      </c>
      <c r="S60" s="82">
        <f t="shared" si="6"/>
        <v>1215.6094574179558</v>
      </c>
      <c r="T60" s="82">
        <f t="shared" si="6"/>
        <v>1574.669052060297</v>
      </c>
    </row>
    <row r="61" spans="1:20" s="360" customFormat="1" x14ac:dyDescent="0.25">
      <c r="B61" s="365"/>
      <c r="C61" s="365"/>
      <c r="D61" s="779"/>
      <c r="E61" s="779"/>
      <c r="F61" s="779"/>
      <c r="J61" s="780"/>
      <c r="K61" s="780"/>
    </row>
    <row r="62" spans="1:20" s="360" customFormat="1" x14ac:dyDescent="0.25">
      <c r="B62" s="365"/>
      <c r="C62" s="365"/>
      <c r="D62" s="779"/>
      <c r="E62" s="779"/>
      <c r="F62" s="779"/>
      <c r="J62" s="780"/>
      <c r="K62" s="780"/>
    </row>
    <row r="63" spans="1:20" s="360" customFormat="1" x14ac:dyDescent="0.25">
      <c r="A63" s="516" t="str">
        <f>'Data 2009-15 (Real $2008)'!A105</f>
        <v>Meter provision Charge</v>
      </c>
      <c r="B63" s="365"/>
      <c r="C63" s="365"/>
      <c r="D63" s="779"/>
      <c r="E63" s="779"/>
      <c r="F63" s="779"/>
      <c r="G63" s="516" t="str">
        <f>'Data 2009-15 (Real $2008)'!E105</f>
        <v>Charge per NMIs ($ p.a.)</v>
      </c>
      <c r="J63" s="780"/>
      <c r="K63" s="780"/>
    </row>
    <row r="64" spans="1:20" s="360" customFormat="1" x14ac:dyDescent="0.25">
      <c r="A64" s="360" t="str">
        <f>'Data 2009-15 (Real $2008)'!A106</f>
        <v>single phase single element meter</v>
      </c>
      <c r="B64" s="365"/>
      <c r="C64" s="365"/>
      <c r="D64" s="779"/>
      <c r="E64" s="779"/>
      <c r="F64" s="779"/>
      <c r="G64" s="518">
        <f>'Data 2009-15 (Real $2008)'!I106</f>
        <v>0</v>
      </c>
      <c r="H64" s="518">
        <f>'Data 2009-15 (Real $2008)'!J106</f>
        <v>0</v>
      </c>
      <c r="J64" s="780"/>
      <c r="K64" s="780"/>
      <c r="M64" s="517">
        <f>'Data 2009-15 (Real $2008)'!R106</f>
        <v>0</v>
      </c>
      <c r="N64" s="517">
        <f>'Data 2009-15 (Real $2008)'!S106</f>
        <v>0</v>
      </c>
      <c r="S64" s="82">
        <f t="shared" ref="S64:T74" si="7">G64*M64/10^3</f>
        <v>0</v>
      </c>
      <c r="T64" s="82">
        <f t="shared" si="7"/>
        <v>0</v>
      </c>
    </row>
    <row r="65" spans="1:20" s="360" customFormat="1" x14ac:dyDescent="0.25">
      <c r="A65" s="360" t="str">
        <f>'Data 2009-15 (Real $2008)'!A107</f>
        <v>single phase single element meter with contactor</v>
      </c>
      <c r="B65" s="365"/>
      <c r="C65" s="365"/>
      <c r="D65" s="779"/>
      <c r="E65" s="779"/>
      <c r="F65" s="779"/>
      <c r="G65" s="518">
        <f>'Data 2009-15 (Real $2008)'!I107</f>
        <v>0</v>
      </c>
      <c r="H65" s="518">
        <f>'Data 2009-15 (Real $2008)'!J107</f>
        <v>0</v>
      </c>
      <c r="J65" s="780"/>
      <c r="K65" s="780"/>
      <c r="M65" s="517">
        <f>'Data 2009-15 (Real $2008)'!R107</f>
        <v>0</v>
      </c>
      <c r="N65" s="517">
        <f>'Data 2009-15 (Real $2008)'!S107</f>
        <v>0</v>
      </c>
      <c r="S65" s="82">
        <f t="shared" si="7"/>
        <v>0</v>
      </c>
      <c r="T65" s="82">
        <f t="shared" si="7"/>
        <v>0</v>
      </c>
    </row>
    <row r="66" spans="1:20" s="360" customFormat="1" x14ac:dyDescent="0.25">
      <c r="A66" s="360" t="str">
        <f>'Data 2009-15 (Real $2008)'!A108</f>
        <v>single phase two element meter with contactor</v>
      </c>
      <c r="B66" s="365"/>
      <c r="C66" s="365"/>
      <c r="D66" s="779"/>
      <c r="E66" s="779"/>
      <c r="F66" s="779"/>
      <c r="G66" s="518">
        <f>'Data 2009-15 (Real $2008)'!I108</f>
        <v>0</v>
      </c>
      <c r="H66" s="518">
        <f>'Data 2009-15 (Real $2008)'!J108</f>
        <v>0</v>
      </c>
      <c r="J66" s="780"/>
      <c r="K66" s="780"/>
      <c r="M66" s="517">
        <f>'Data 2009-15 (Real $2008)'!R108</f>
        <v>0</v>
      </c>
      <c r="N66" s="517">
        <f>'Data 2009-15 (Real $2008)'!S108</f>
        <v>0</v>
      </c>
      <c r="S66" s="82">
        <f t="shared" si="7"/>
        <v>0</v>
      </c>
      <c r="T66" s="82">
        <f t="shared" si="7"/>
        <v>0</v>
      </c>
    </row>
    <row r="67" spans="1:20" s="360" customFormat="1" x14ac:dyDescent="0.25">
      <c r="A67" s="360" t="str">
        <f>'Data 2009-15 (Real $2008)'!A109</f>
        <v>three phase direct connected meter</v>
      </c>
      <c r="B67" s="365"/>
      <c r="C67" s="365"/>
      <c r="D67" s="779"/>
      <c r="E67" s="779"/>
      <c r="F67" s="779"/>
      <c r="G67" s="518">
        <f>'Data 2009-15 (Real $2008)'!I109</f>
        <v>0</v>
      </c>
      <c r="H67" s="518">
        <f>'Data 2009-15 (Real $2008)'!J109</f>
        <v>0</v>
      </c>
      <c r="J67" s="780"/>
      <c r="K67" s="780"/>
      <c r="M67" s="517">
        <f>'Data 2009-15 (Real $2008)'!R109</f>
        <v>0</v>
      </c>
      <c r="N67" s="517">
        <f>'Data 2009-15 (Real $2008)'!S109</f>
        <v>0</v>
      </c>
      <c r="S67" s="82">
        <f t="shared" si="7"/>
        <v>0</v>
      </c>
      <c r="T67" s="82">
        <f t="shared" si="7"/>
        <v>0</v>
      </c>
    </row>
    <row r="68" spans="1:20" s="360" customFormat="1" x14ac:dyDescent="0.25">
      <c r="A68" s="360" t="str">
        <f>'Data 2009-15 (Real $2008)'!A110</f>
        <v>three phase direct connected meter with contactor</v>
      </c>
      <c r="B68" s="365"/>
      <c r="C68" s="365"/>
      <c r="D68" s="779"/>
      <c r="E68" s="779"/>
      <c r="F68" s="779"/>
      <c r="G68" s="518">
        <f>'Data 2009-15 (Real $2008)'!I110</f>
        <v>0</v>
      </c>
      <c r="H68" s="518">
        <f>'Data 2009-15 (Real $2008)'!J110</f>
        <v>0</v>
      </c>
      <c r="J68" s="780"/>
      <c r="K68" s="780"/>
      <c r="M68" s="517">
        <f>'Data 2009-15 (Real $2008)'!R110</f>
        <v>0</v>
      </c>
      <c r="N68" s="517">
        <f>'Data 2009-15 (Real $2008)'!S110</f>
        <v>0</v>
      </c>
      <c r="S68" s="82">
        <f t="shared" si="7"/>
        <v>0</v>
      </c>
      <c r="T68" s="82">
        <f t="shared" si="7"/>
        <v>0</v>
      </c>
    </row>
    <row r="69" spans="1:20" s="360" customFormat="1" x14ac:dyDescent="0.25">
      <c r="A69" s="360" t="str">
        <f>'Data 2009-15 (Real $2008)'!A111</f>
        <v>three phase Current transformer connected meter</v>
      </c>
      <c r="B69" s="365"/>
      <c r="C69" s="365"/>
      <c r="D69" s="779"/>
      <c r="E69" s="779"/>
      <c r="F69" s="779"/>
      <c r="G69" s="518">
        <f>'Data 2009-15 (Real $2008)'!I111</f>
        <v>0</v>
      </c>
      <c r="H69" s="518">
        <f>'Data 2009-15 (Real $2008)'!J111</f>
        <v>0</v>
      </c>
      <c r="J69" s="780"/>
      <c r="K69" s="780"/>
      <c r="M69" s="517">
        <f>'Data 2009-15 (Real $2008)'!R111</f>
        <v>0</v>
      </c>
      <c r="N69" s="517">
        <f>'Data 2009-15 (Real $2008)'!S111</f>
        <v>0</v>
      </c>
      <c r="S69" s="82">
        <f t="shared" si="7"/>
        <v>0</v>
      </c>
      <c r="T69" s="82">
        <f t="shared" si="7"/>
        <v>0</v>
      </c>
    </row>
    <row r="70" spans="1:20" s="360" customFormat="1" x14ac:dyDescent="0.25">
      <c r="A70" s="360" t="str">
        <f>'Data 2009-15 (Real $2008)'!A112</f>
        <v>Other Category 1 : Describe………………..</v>
      </c>
      <c r="B70" s="365"/>
      <c r="C70" s="365"/>
      <c r="D70" s="779"/>
      <c r="E70" s="779"/>
      <c r="F70" s="779"/>
      <c r="G70" s="518">
        <f>'Data 2009-15 (Real $2008)'!I112</f>
        <v>0</v>
      </c>
      <c r="H70" s="518">
        <f>'Data 2009-15 (Real $2008)'!J112</f>
        <v>0</v>
      </c>
      <c r="J70" s="780"/>
      <c r="K70" s="780"/>
      <c r="M70" s="517">
        <f>'Data 2009-15 (Real $2008)'!R112</f>
        <v>0</v>
      </c>
      <c r="N70" s="517">
        <f>'Data 2009-15 (Real $2008)'!S112</f>
        <v>0</v>
      </c>
      <c r="S70" s="82">
        <f t="shared" si="7"/>
        <v>0</v>
      </c>
      <c r="T70" s="82">
        <f t="shared" si="7"/>
        <v>0</v>
      </c>
    </row>
    <row r="71" spans="1:20" s="360" customFormat="1" x14ac:dyDescent="0.25">
      <c r="A71" s="360" t="str">
        <f>'Data 2009-15 (Real $2008)'!A113</f>
        <v>Other Category 2 : Describe………………..</v>
      </c>
      <c r="B71" s="365"/>
      <c r="C71" s="365"/>
      <c r="D71" s="779"/>
      <c r="E71" s="779"/>
      <c r="F71" s="779"/>
      <c r="G71" s="518">
        <f>'Data 2009-15 (Real $2008)'!I113</f>
        <v>0</v>
      </c>
      <c r="H71" s="518">
        <f>'Data 2009-15 (Real $2008)'!J113</f>
        <v>0</v>
      </c>
      <c r="J71" s="780"/>
      <c r="K71" s="780"/>
      <c r="M71" s="517">
        <f>'Data 2009-15 (Real $2008)'!R113</f>
        <v>0</v>
      </c>
      <c r="N71" s="517">
        <f>'Data 2009-15 (Real $2008)'!S113</f>
        <v>0</v>
      </c>
      <c r="S71" s="82">
        <f t="shared" si="7"/>
        <v>0</v>
      </c>
      <c r="T71" s="82">
        <f t="shared" si="7"/>
        <v>0</v>
      </c>
    </row>
    <row r="72" spans="1:20" s="360" customFormat="1" x14ac:dyDescent="0.25">
      <c r="A72" s="360" t="str">
        <f>'Data 2009-15 (Real $2008)'!A114</f>
        <v>Other Category 3 : Describe………………..</v>
      </c>
      <c r="B72" s="365"/>
      <c r="C72" s="365"/>
      <c r="D72" s="779"/>
      <c r="E72" s="779"/>
      <c r="F72" s="779"/>
      <c r="G72" s="518">
        <f>'Data 2009-15 (Real $2008)'!I114</f>
        <v>0</v>
      </c>
      <c r="H72" s="518">
        <f>'Data 2009-15 (Real $2008)'!J114</f>
        <v>0</v>
      </c>
      <c r="J72" s="780"/>
      <c r="K72" s="780"/>
      <c r="M72" s="517">
        <f>'Data 2009-15 (Real $2008)'!R114</f>
        <v>0</v>
      </c>
      <c r="N72" s="517">
        <f>'Data 2009-15 (Real $2008)'!S114</f>
        <v>0</v>
      </c>
      <c r="S72" s="82">
        <f t="shared" si="7"/>
        <v>0</v>
      </c>
      <c r="T72" s="82">
        <f t="shared" si="7"/>
        <v>0</v>
      </c>
    </row>
    <row r="73" spans="1:20" s="360" customFormat="1" x14ac:dyDescent="0.25">
      <c r="A73" s="360" t="str">
        <f>'Data 2009-15 (Real $2008)'!A115</f>
        <v>Other Category 4 : Describe………………..</v>
      </c>
      <c r="B73" s="365"/>
      <c r="C73" s="365"/>
      <c r="D73" s="779"/>
      <c r="E73" s="779"/>
      <c r="F73" s="779"/>
      <c r="G73" s="518">
        <f>'Data 2009-15 (Real $2008)'!I115</f>
        <v>0</v>
      </c>
      <c r="H73" s="518">
        <f>'Data 2009-15 (Real $2008)'!J115</f>
        <v>0</v>
      </c>
      <c r="J73" s="780"/>
      <c r="K73" s="780"/>
      <c r="M73" s="517">
        <f>'Data 2009-15 (Real $2008)'!R115</f>
        <v>0</v>
      </c>
      <c r="N73" s="517">
        <f>'Data 2009-15 (Real $2008)'!S115</f>
        <v>0</v>
      </c>
      <c r="S73" s="82">
        <f t="shared" si="7"/>
        <v>0</v>
      </c>
      <c r="T73" s="82">
        <f t="shared" si="7"/>
        <v>0</v>
      </c>
    </row>
    <row r="74" spans="1:20" s="360" customFormat="1" x14ac:dyDescent="0.25">
      <c r="A74" s="360" t="str">
        <f>'Data 2009-15 (Real $2008)'!A116</f>
        <v>Other Category 5 : Describe………………..</v>
      </c>
      <c r="B74" s="365"/>
      <c r="C74" s="365"/>
      <c r="D74" s="779"/>
      <c r="E74" s="779"/>
      <c r="F74" s="779"/>
      <c r="G74" s="518">
        <f>'Data 2009-15 (Real $2008)'!I116</f>
        <v>0</v>
      </c>
      <c r="H74" s="518">
        <f>'Data 2009-15 (Real $2008)'!J116</f>
        <v>0</v>
      </c>
      <c r="J74" s="780"/>
      <c r="K74" s="780"/>
      <c r="M74" s="517">
        <f>'Data 2009-15 (Real $2008)'!R116</f>
        <v>0</v>
      </c>
      <c r="N74" s="517">
        <f>'Data 2009-15 (Real $2008)'!S116</f>
        <v>0</v>
      </c>
      <c r="S74" s="82">
        <f t="shared" si="7"/>
        <v>0</v>
      </c>
      <c r="T74" s="82">
        <f t="shared" si="7"/>
        <v>0</v>
      </c>
    </row>
    <row r="75" spans="1:20" s="360" customFormat="1" x14ac:dyDescent="0.25">
      <c r="B75" s="365"/>
      <c r="C75" s="365"/>
      <c r="F75" s="779"/>
      <c r="K75" s="780"/>
    </row>
    <row r="76" spans="1:20" s="360" customFormat="1" ht="13.8" thickBot="1" x14ac:dyDescent="0.3">
      <c r="A76" s="360" t="s">
        <v>334</v>
      </c>
      <c r="B76" s="365"/>
      <c r="C76" s="365"/>
      <c r="F76" s="779"/>
      <c r="S76" s="519">
        <f>SUM(S30:S74)</f>
        <v>123070.49353282094</v>
      </c>
      <c r="T76" s="519">
        <f>SUM(T30:T74)</f>
        <v>160048.72172391039</v>
      </c>
    </row>
    <row r="77" spans="1:20" s="360" customFormat="1" ht="13.8" thickTop="1" x14ac:dyDescent="0.25">
      <c r="B77" s="365"/>
      <c r="C77" s="365"/>
    </row>
    <row r="78" spans="1:20" s="360" customFormat="1" x14ac:dyDescent="0.25">
      <c r="B78" s="365"/>
      <c r="C78" s="365"/>
    </row>
    <row r="79" spans="1:20" s="360" customFormat="1" x14ac:dyDescent="0.25">
      <c r="B79" s="365"/>
      <c r="C79" s="365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N24" sqref="N24"/>
    </sheetView>
  </sheetViews>
  <sheetFormatPr defaultColWidth="9.109375" defaultRowHeight="13.2" x14ac:dyDescent="0.25"/>
  <cols>
    <col min="1" max="1" width="53" style="360" customWidth="1"/>
    <col min="2" max="2" width="9.5546875" style="365" customWidth="1"/>
    <col min="3" max="3" width="8.44140625" style="365" customWidth="1"/>
    <col min="4" max="4" width="10.33203125" style="360" bestFit="1" customWidth="1"/>
    <col min="5" max="16384" width="9.109375" style="360"/>
  </cols>
  <sheetData>
    <row r="1" spans="1:22" x14ac:dyDescent="0.25">
      <c r="A1" s="554" t="str">
        <f>'Data 2006-08'!$A$1</f>
        <v>SP AusNet</v>
      </c>
      <c r="B1" s="495" t="s">
        <v>0</v>
      </c>
      <c r="C1" s="496" t="str">
        <f>IF(SUM(C35)&lt;0.001,"Ok","Error")</f>
        <v>Ok</v>
      </c>
      <c r="D1" s="783">
        <f>C35</f>
        <v>0</v>
      </c>
    </row>
    <row r="2" spans="1:22" x14ac:dyDescent="0.25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5">
      <c r="C3" s="776" t="s">
        <v>392</v>
      </c>
      <c r="I3" s="776" t="s">
        <v>388</v>
      </c>
    </row>
    <row r="4" spans="1:22" s="84" customFormat="1" x14ac:dyDescent="0.25">
      <c r="A4" s="433" t="s">
        <v>307</v>
      </c>
      <c r="C4" s="776" t="s">
        <v>386</v>
      </c>
      <c r="I4" s="776" t="s">
        <v>389</v>
      </c>
    </row>
    <row r="5" spans="1:22" s="84" customFormat="1" x14ac:dyDescent="0.25"/>
    <row r="6" spans="1:22" s="84" customFormat="1" x14ac:dyDescent="0.25">
      <c r="A6" s="84" t="s">
        <v>308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4" customFormat="1" x14ac:dyDescent="0.25">
      <c r="A7" s="1" t="s">
        <v>11</v>
      </c>
      <c r="C7" s="435">
        <f>'Data 2009-15 (Real $2008)'!C128</f>
        <v>4.1250000000000002E-2</v>
      </c>
      <c r="I7" s="435">
        <f>'Data 2009-15 (Real $2008)'!I128</f>
        <v>2.53E-2</v>
      </c>
    </row>
    <row r="8" spans="1:22" s="84" customFormat="1" x14ac:dyDescent="0.25">
      <c r="A8" s="84" t="s">
        <v>13</v>
      </c>
      <c r="C8" s="435">
        <f>'Data 2009-15 (Real $2008)'!C131</f>
        <v>0.06</v>
      </c>
      <c r="I8" s="435">
        <f>'Data 2009-15 (Real $2008)'!I131</f>
        <v>6.5000000000000002E-2</v>
      </c>
    </row>
    <row r="9" spans="1:22" s="84" customFormat="1" x14ac:dyDescent="0.25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5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5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5"/>
    <row r="13" spans="1:22" s="84" customFormat="1" x14ac:dyDescent="0.25">
      <c r="A13" s="84" t="s">
        <v>80</v>
      </c>
      <c r="C13" s="439">
        <f>(C14+1)/(1+C11)-1</f>
        <v>7.868564742589701E-2</v>
      </c>
      <c r="D13" s="421"/>
      <c r="I13" s="439">
        <f>(I14+1)/(1+I11)-1</f>
        <v>6.5872938421001281E-2</v>
      </c>
    </row>
    <row r="14" spans="1:22" s="84" customFormat="1" x14ac:dyDescent="0.25">
      <c r="A14" s="84" t="s">
        <v>81</v>
      </c>
      <c r="C14" s="440">
        <f>C6+C9*C8</f>
        <v>0.10630000000000001</v>
      </c>
      <c r="D14" s="421"/>
      <c r="I14" s="440">
        <f>I6+I9*I8</f>
        <v>9.2200000000000004E-2</v>
      </c>
    </row>
    <row r="15" spans="1:22" s="84" customFormat="1" x14ac:dyDescent="0.25">
      <c r="A15" s="84" t="s">
        <v>82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3.981653166780541E-2</v>
      </c>
      <c r="J15" s="85"/>
      <c r="K15" s="85"/>
      <c r="L15" s="85"/>
    </row>
    <row r="16" spans="1:22" s="84" customFormat="1" x14ac:dyDescent="0.25">
      <c r="A16" s="84" t="s">
        <v>83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6.5500000000000003E-2</v>
      </c>
      <c r="J16" s="445"/>
      <c r="K16" s="85"/>
      <c r="L16" s="85"/>
    </row>
    <row r="17" spans="1:33" s="84" customFormat="1" x14ac:dyDescent="0.25"/>
    <row r="18" spans="1:33" s="84" customFormat="1" x14ac:dyDescent="0.25">
      <c r="A18" s="84" t="s">
        <v>336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5.0239094369083762E-2</v>
      </c>
      <c r="J18" s="446"/>
      <c r="K18" s="85"/>
      <c r="L18" s="85"/>
    </row>
    <row r="19" spans="1:33" s="84" customFormat="1" x14ac:dyDescent="0.25">
      <c r="A19" s="84" t="s">
        <v>337</v>
      </c>
      <c r="C19" s="442">
        <f>(C14*(1-C10))+(C16*C10)</f>
        <v>9.5049999999999996E-2</v>
      </c>
      <c r="D19" s="447"/>
      <c r="E19" s="528"/>
      <c r="F19" s="85"/>
      <c r="G19" s="85"/>
      <c r="H19" s="85"/>
      <c r="I19" s="442">
        <f>(I14*(1-I10))+(I16*I10)</f>
        <v>7.6179999999999998E-2</v>
      </c>
      <c r="J19" s="85"/>
      <c r="K19" s="85"/>
      <c r="L19" s="85"/>
    </row>
    <row r="20" spans="1:33" x14ac:dyDescent="0.25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5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5">
      <c r="A22" s="422" t="s">
        <v>85</v>
      </c>
      <c r="B22" s="278"/>
      <c r="C22" s="278"/>
      <c r="D22" s="553">
        <f>'Data 2009-15 (Real $2008)'!D144</f>
        <v>4.9810844892812067E-2</v>
      </c>
      <c r="E22" s="553">
        <f>'Data 2009-15 (Real $2008)'!E144</f>
        <v>1.2612612612612484E-2</v>
      </c>
      <c r="F22" s="553">
        <f>'Data 2009-15 (Real $2008)'!F144</f>
        <v>2.7876631079478242E-2</v>
      </c>
      <c r="G22" s="553">
        <f>'Data 2009-15 (Real $2008)'!G144</f>
        <v>3.5199076745527913E-2</v>
      </c>
      <c r="H22" s="553">
        <f>'Data 2009-15 (Real $2008)'!H144</f>
        <v>2.0040080160320661E-2</v>
      </c>
      <c r="I22" s="553">
        <f>'Data 2009-15 (Real $2008)'!I144</f>
        <v>2.16110019646365E-2</v>
      </c>
      <c r="J22" s="553">
        <f>'Data 2009-15 (Real $2008)'!J144</f>
        <v>2.3076923076923217E-2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5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5.0239094369083762E-2</v>
      </c>
      <c r="J23" s="513">
        <f>$I$18</f>
        <v>5.0239094369083762E-2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5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7.2935813500832225E-2</v>
      </c>
      <c r="J24" s="513">
        <f t="shared" si="0"/>
        <v>7.4475381162216747E-2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5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5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5">
      <c r="A27" s="500" t="s">
        <v>331</v>
      </c>
      <c r="B27" s="508"/>
      <c r="C27" s="508"/>
      <c r="D27" s="498"/>
      <c r="E27" s="530" t="s">
        <v>349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0" t="s">
        <v>348</v>
      </c>
      <c r="R27" s="499"/>
      <c r="S27" s="499"/>
      <c r="T27" s="499"/>
      <c r="U27" s="499"/>
      <c r="V27" s="499"/>
      <c r="X27" s="359"/>
      <c r="Y27" s="359"/>
      <c r="Z27" s="498"/>
      <c r="AB27" s="530" t="s">
        <v>348</v>
      </c>
      <c r="AC27" s="499"/>
    </row>
    <row r="28" spans="1:33" x14ac:dyDescent="0.25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5">
      <c r="A29" s="409" t="s">
        <v>296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296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288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5">
      <c r="A30" s="360" t="s">
        <v>135</v>
      </c>
      <c r="D30" s="82">
        <f>D24*('AMI RAB 2009-15'!D12*'Data 2009-15 (Real $2008)'!D145-D38)</f>
        <v>5929.1583399131969</v>
      </c>
      <c r="E30" s="82">
        <f>E24*('AMI RAB 2009-15'!E12*'Data 2009-15 (Real $2008)'!E145-E38)</f>
        <v>8104.5433403581692</v>
      </c>
      <c r="F30" s="82">
        <f>F24*('AMI RAB 2009-15'!F12*'Data 2009-15 (Real $2008)'!F145-F38)</f>
        <v>17098.547469720485</v>
      </c>
      <c r="G30" s="82">
        <f>G24*('AMI RAB 2009-15'!G12*'Data 2009-15 (Real $2008)'!G145-G38)</f>
        <v>28212.291117454864</v>
      </c>
      <c r="H30" s="82">
        <f>H24*('AMI RAB 2009-15'!H12*'Data 2009-15 (Real $2008)'!H145-H38)</f>
        <v>31900.79192654592</v>
      </c>
      <c r="I30" s="82">
        <f>I24*('AMI RAB 2009-15'!I12*'Data 2009-15 (Real $2008)'!I145-I38)</f>
        <v>28911.476791231464</v>
      </c>
      <c r="J30" s="82">
        <f>J24*('AMI RAB 2009-15'!J12*'Data 2009-15 (Real $2008)'!J145-J38)</f>
        <v>28942.130977826822</v>
      </c>
      <c r="K30" s="504"/>
      <c r="L30" s="504"/>
      <c r="M30" s="360" t="s">
        <v>135</v>
      </c>
      <c r="N30" s="504"/>
      <c r="O30" s="359"/>
      <c r="P30" s="82">
        <f>D23*'AMI RAB 2009-15'!D12*'Data 2009-15 (Real $2008)'!D145</f>
        <v>3486.3493188107677</v>
      </c>
      <c r="Q30" s="82">
        <f>E23*'AMI RAB 2009-15'!E12*'Data 2009-15 (Real $2008)'!E145</f>
        <v>6845.4216862371195</v>
      </c>
      <c r="R30" s="82">
        <f>F23*'AMI RAB 2009-15'!F12*'Data 2009-15 (Real $2008)'!F145</f>
        <v>12208.867480942394</v>
      </c>
      <c r="S30" s="82">
        <f>G23*'AMI RAB 2009-15'!G12*'Data 2009-15 (Real $2008)'!G145</f>
        <v>18781.567839711315</v>
      </c>
      <c r="T30" s="82">
        <f>H23*'AMI RAB 2009-15'!H12*'Data 2009-15 (Real $2008)'!H145</f>
        <v>24726.863862206741</v>
      </c>
      <c r="U30" s="82">
        <f>I23*'AMI RAB 2009-15'!I12*'Data 2009-15 (Real $2008)'!I145</f>
        <v>20344.958482242968</v>
      </c>
      <c r="V30" s="82">
        <f>J23*'AMI RAB 2009-15'!J12*'Data 2009-15 (Real $2008)'!J145</f>
        <v>19974.129474044112</v>
      </c>
      <c r="X30" s="360" t="s">
        <v>135</v>
      </c>
      <c r="Y30" s="504"/>
      <c r="Z30" s="359"/>
      <c r="AA30" s="82">
        <f>D23*'AMI RAB 2009-15'!D12</f>
        <v>3320.9309427230496</v>
      </c>
      <c r="AB30" s="82">
        <f>E23*'AMI RAB 2009-15'!E12</f>
        <v>6439.4061651079919</v>
      </c>
      <c r="AC30" s="82">
        <f>F23*'AMI RAB 2009-15'!F12</f>
        <v>11173.262449379477</v>
      </c>
      <c r="AD30" s="82">
        <f>G23*'AMI RAB 2009-15'!G12</f>
        <v>16603.994756846238</v>
      </c>
      <c r="AE30" s="82">
        <f>H23*'AMI RAB 2009-15'!H12</f>
        <v>21430.511918843742</v>
      </c>
      <c r="AF30" s="82">
        <f>I23*'AMI RAB 2009-15'!I12</f>
        <v>17259.760068032156</v>
      </c>
      <c r="AG30" s="82">
        <f>J23*'AMI RAB 2009-15'!J12</f>
        <v>16562.943419974632</v>
      </c>
    </row>
    <row r="31" spans="1:33" x14ac:dyDescent="0.25">
      <c r="A31" s="360" t="s">
        <v>136</v>
      </c>
      <c r="D31" s="82">
        <f t="shared" ref="D31:J31" si="1">D39</f>
        <v>7841.4996250329714</v>
      </c>
      <c r="E31" s="82">
        <f t="shared" si="1"/>
        <v>18344.214143674599</v>
      </c>
      <c r="F31" s="82">
        <f t="shared" si="1"/>
        <v>26206.955583673873</v>
      </c>
      <c r="G31" s="82">
        <f t="shared" si="1"/>
        <v>34445.846545926535</v>
      </c>
      <c r="H31" s="82">
        <f t="shared" si="1"/>
        <v>49627.176888395115</v>
      </c>
      <c r="I31" s="82">
        <f t="shared" si="1"/>
        <v>45015.926786985474</v>
      </c>
      <c r="J31" s="82">
        <f t="shared" si="1"/>
        <v>48400.830338642554</v>
      </c>
      <c r="K31" s="504"/>
      <c r="L31" s="504"/>
      <c r="M31" s="360" t="s">
        <v>136</v>
      </c>
      <c r="N31" s="504"/>
      <c r="O31" s="359"/>
      <c r="P31" s="82">
        <f>'AMI RAB 2009-15'!D9*'Data 2009-15 (Real $2008)'!D145</f>
        <v>10284.3086461354</v>
      </c>
      <c r="Q31" s="82">
        <f>'AMI RAB 2009-15'!E9*'Data 2009-15 (Real $2008)'!E145</f>
        <v>19603.335797795644</v>
      </c>
      <c r="R31" s="82">
        <f>'AMI RAB 2009-15'!F9*'Data 2009-15 (Real $2008)'!F145</f>
        <v>31096.635572451964</v>
      </c>
      <c r="S31" s="82">
        <f>'AMI RAB 2009-15'!G9*'Data 2009-15 (Real $2008)'!G145</f>
        <v>43876.569823670055</v>
      </c>
      <c r="T31" s="82">
        <f>'AMI RAB 2009-15'!H9*'Data 2009-15 (Real $2008)'!H145</f>
        <v>56801.104952734284</v>
      </c>
      <c r="U31" s="82">
        <f>'AMI RAB 2009-15'!I9*'Data 2009-15 (Real $2008)'!I145</f>
        <v>53582.445095973919</v>
      </c>
      <c r="V31" s="82">
        <f>'AMI RAB 2009-15'!J9*'Data 2009-15 (Real $2008)'!J145</f>
        <v>57368.831842425207</v>
      </c>
      <c r="X31" s="360" t="s">
        <v>136</v>
      </c>
      <c r="Y31" s="504"/>
      <c r="Z31" s="359"/>
      <c r="AA31" s="82">
        <f>'AMI RAB 2009-15'!D9</f>
        <v>9796.3444521145611</v>
      </c>
      <c r="AB31" s="82">
        <f>'AMI RAB 2009-15'!E9</f>
        <v>18440.62311702485</v>
      </c>
      <c r="AC31" s="82">
        <f>'AMI RAB 2009-15'!F9</f>
        <v>28458.894413103757</v>
      </c>
      <c r="AD31" s="82">
        <f>'AMI RAB 2009-15'!G9</f>
        <v>38789.431293389469</v>
      </c>
      <c r="AE31" s="82">
        <f>'AMI RAB 2009-15'!H9</f>
        <v>49228.918130357306</v>
      </c>
      <c r="AF31" s="82">
        <f>'AMI RAB 2009-15'!I9</f>
        <v>45456.968959764505</v>
      </c>
      <c r="AG31" s="82">
        <f>'AMI RAB 2009-15'!J9</f>
        <v>47571.370612716055</v>
      </c>
    </row>
    <row r="32" spans="1:33" x14ac:dyDescent="0.25">
      <c r="A32" s="360" t="s">
        <v>137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2">
        <f>'Data 2009-15 (Real $2008)'!G55*'Data 2009-15 (Real $2008)'!G145/10^3</f>
        <v>40190.981149277504</v>
      </c>
      <c r="H32" s="82">
        <f>'Data 2009-15 (Real $2008)'!H55*'Data 2009-15 (Real $2008)'!H145/10^3</f>
        <v>32545.055</v>
      </c>
      <c r="I32" s="82">
        <f>'Data 2009-15 (Real $2008)'!I55*'Data 2009-15 (Real $2008)'!I145/10^3</f>
        <v>33869.424072116592</v>
      </c>
      <c r="J32" s="82">
        <f>'Data 2009-15 (Real $2008)'!J55*'Data 2009-15 (Real $2008)'!J145/10^3</f>
        <v>30573.24680072919</v>
      </c>
      <c r="K32" s="504"/>
      <c r="L32" s="504"/>
      <c r="M32" s="360" t="s">
        <v>137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32545.055</v>
      </c>
      <c r="U32" s="82">
        <f>'Data 2009-15 (Real $2008)'!I55*'Data 2009-15 (Real $2008)'!I145/10^3</f>
        <v>33869.424072116592</v>
      </c>
      <c r="V32" s="82">
        <f>'Data 2009-15 (Real $2008)'!J55*'Data 2009-15 (Real $2008)'!J145/10^3</f>
        <v>30573.24680072919</v>
      </c>
      <c r="X32" s="360" t="s">
        <v>137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28206.45565744142</v>
      </c>
      <c r="AF32" s="82">
        <f>'Data 2009-15 (Real $2008)'!I55/10^3</f>
        <v>28733.316592284198</v>
      </c>
      <c r="AG32" s="82">
        <f>'Data 2009-15 (Real $2008)'!J55/10^3</f>
        <v>25351.941248975585</v>
      </c>
    </row>
    <row r="33" spans="1:33" x14ac:dyDescent="0.25">
      <c r="A33" s="360" t="s">
        <v>293</v>
      </c>
      <c r="D33" s="82">
        <f t="shared" ref="D33:J33" si="2">D60</f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2"/>
        <v>0</v>
      </c>
      <c r="K33" s="504"/>
      <c r="L33" s="504"/>
      <c r="M33" s="360" t="s">
        <v>293</v>
      </c>
      <c r="N33" s="504"/>
      <c r="O33" s="395"/>
      <c r="P33" s="82">
        <f t="shared" ref="P33:V33" si="3">D60</f>
        <v>0</v>
      </c>
      <c r="Q33" s="82">
        <f t="shared" si="3"/>
        <v>0</v>
      </c>
      <c r="R33" s="82">
        <f t="shared" si="3"/>
        <v>0</v>
      </c>
      <c r="S33" s="82">
        <f t="shared" si="3"/>
        <v>0</v>
      </c>
      <c r="T33" s="82">
        <f t="shared" si="3"/>
        <v>0</v>
      </c>
      <c r="U33" s="82">
        <f t="shared" si="3"/>
        <v>0</v>
      </c>
      <c r="V33" s="82">
        <f t="shared" si="3"/>
        <v>0</v>
      </c>
      <c r="X33" s="360" t="s">
        <v>293</v>
      </c>
      <c r="Y33" s="504"/>
      <c r="Z33" s="395"/>
      <c r="AA33" s="82">
        <f t="shared" ref="AA33:AG33" si="4">D64</f>
        <v>0</v>
      </c>
      <c r="AB33" s="82">
        <f t="shared" si="4"/>
        <v>0</v>
      </c>
      <c r="AC33" s="82">
        <f t="shared" si="4"/>
        <v>0</v>
      </c>
      <c r="AD33" s="82">
        <f t="shared" si="4"/>
        <v>0</v>
      </c>
      <c r="AE33" s="82">
        <f t="shared" si="4"/>
        <v>0</v>
      </c>
      <c r="AF33" s="82">
        <f t="shared" si="4"/>
        <v>0</v>
      </c>
      <c r="AG33" s="82">
        <f t="shared" si="4"/>
        <v>0</v>
      </c>
    </row>
    <row r="34" spans="1:33" x14ac:dyDescent="0.25">
      <c r="A34" s="357" t="s">
        <v>347</v>
      </c>
      <c r="B34" s="507"/>
      <c r="C34" s="507"/>
      <c r="D34" s="109">
        <f t="shared" ref="D34:J34" si="5">SUM(D30:D33)</f>
        <v>40903.67841569108</v>
      </c>
      <c r="E34" s="109">
        <f t="shared" si="5"/>
        <v>66258.231646655899</v>
      </c>
      <c r="F34" s="109">
        <f t="shared" si="5"/>
        <v>86116.67145775033</v>
      </c>
      <c r="G34" s="109">
        <f t="shared" si="5"/>
        <v>102849.11881265891</v>
      </c>
      <c r="H34" s="109">
        <f t="shared" si="5"/>
        <v>114073.02381494103</v>
      </c>
      <c r="I34" s="109">
        <f t="shared" si="5"/>
        <v>107796.82765033352</v>
      </c>
      <c r="J34" s="109">
        <f t="shared" si="5"/>
        <v>107916.20811719856</v>
      </c>
      <c r="K34" s="504"/>
      <c r="L34" s="504"/>
      <c r="M34" s="357" t="s">
        <v>347</v>
      </c>
      <c r="N34" s="504"/>
      <c r="O34" s="395"/>
      <c r="P34" s="109">
        <f t="shared" ref="P34:V34" si="6">SUM(P30:P33)</f>
        <v>40903.67841569108</v>
      </c>
      <c r="Q34" s="109">
        <f t="shared" si="6"/>
        <v>66258.231646655884</v>
      </c>
      <c r="R34" s="109">
        <f t="shared" si="6"/>
        <v>86116.67145775033</v>
      </c>
      <c r="S34" s="109">
        <f t="shared" si="6"/>
        <v>102849.11881265888</v>
      </c>
      <c r="T34" s="109">
        <f t="shared" si="6"/>
        <v>114073.02381494103</v>
      </c>
      <c r="U34" s="109">
        <f t="shared" si="6"/>
        <v>107796.82765033346</v>
      </c>
      <c r="V34" s="109">
        <f t="shared" si="6"/>
        <v>107916.2081171985</v>
      </c>
      <c r="X34" s="357" t="s">
        <v>347</v>
      </c>
      <c r="Y34" s="504"/>
      <c r="Z34" s="395"/>
      <c r="AA34" s="109">
        <f t="shared" ref="AA34:AG34" si="7">SUM(AA30:AA33)</f>
        <v>38962.903283655287</v>
      </c>
      <c r="AB34" s="109">
        <f t="shared" si="7"/>
        <v>62328.32466879968</v>
      </c>
      <c r="AC34" s="109">
        <f t="shared" si="7"/>
        <v>78811.910520480102</v>
      </c>
      <c r="AD34" s="109">
        <f t="shared" si="7"/>
        <v>90924.583298147714</v>
      </c>
      <c r="AE34" s="109">
        <f t="shared" si="7"/>
        <v>98865.885706642468</v>
      </c>
      <c r="AF34" s="109">
        <f t="shared" si="7"/>
        <v>91450.045620080855</v>
      </c>
      <c r="AG34" s="109">
        <f t="shared" si="7"/>
        <v>89486.255281666265</v>
      </c>
    </row>
    <row r="35" spans="1:33" x14ac:dyDescent="0.25">
      <c r="A35" s="560" t="s">
        <v>0</v>
      </c>
      <c r="B35" s="561"/>
      <c r="C35" s="557">
        <f>SUM(D35:J35,P35:V35)</f>
        <v>0</v>
      </c>
      <c r="D35" s="559">
        <f t="shared" ref="D35:J35" si="8">IF(ABS(P34-D34)&lt;0.001,0,ABS(P34-D34))</f>
        <v>0</v>
      </c>
      <c r="E35" s="559">
        <f t="shared" si="8"/>
        <v>0</v>
      </c>
      <c r="F35" s="559">
        <f t="shared" si="8"/>
        <v>0</v>
      </c>
      <c r="G35" s="559">
        <f t="shared" si="8"/>
        <v>0</v>
      </c>
      <c r="H35" s="559">
        <f t="shared" si="8"/>
        <v>0</v>
      </c>
      <c r="I35" s="559">
        <f t="shared" si="8"/>
        <v>0</v>
      </c>
      <c r="J35" s="559">
        <f t="shared" si="8"/>
        <v>0</v>
      </c>
      <c r="K35" s="567"/>
      <c r="L35" s="567"/>
      <c r="M35" s="567"/>
      <c r="N35" s="567"/>
      <c r="O35" s="567"/>
      <c r="P35" s="559">
        <f>IF(ABS(AA34*'Data 2009-15 (Real $2008)'!D145-P34)&lt;0.001,0,ABS(AA34*'Data 2009-15 (Real $2008)'!D145-P34))</f>
        <v>0</v>
      </c>
      <c r="Q35" s="559">
        <f>IF(ABS(AB34*'Data 2009-15 (Real $2008)'!E145-Q34)&lt;0.001,0,ABS(AB34*'Data 2009-15 (Real $2008)'!E145-Q34))</f>
        <v>0</v>
      </c>
      <c r="R35" s="559">
        <f>IF(ABS(AC34*'Data 2009-15 (Real $2008)'!F145-R34)&lt;0.001,0,ABS(AC34*'Data 2009-15 (Real $2008)'!F145-R34))</f>
        <v>0</v>
      </c>
      <c r="S35" s="559">
        <f>IF(ABS(AD34*'Data 2009-15 (Real $2008)'!G145-S34)&lt;0.001,0,ABS(AD34*'Data 2009-15 (Real $2008)'!G145-S34))</f>
        <v>0</v>
      </c>
      <c r="T35" s="559">
        <f>IF(ABS(AE34*'Data 2009-15 (Real $2008)'!H145-T34)&lt;0.001,0,ABS(AE34*'Data 2009-15 (Real $2008)'!H145-T34))</f>
        <v>0</v>
      </c>
      <c r="U35" s="559">
        <f>IF(ABS(AF34*'Data 2009-15 (Real $2008)'!I145-U34)&lt;0.001,0,ABS(AF34*'Data 2009-15 (Real $2008)'!I145-U34))</f>
        <v>0</v>
      </c>
      <c r="V35" s="559">
        <f>IF(ABS(AG34*'Data 2009-15 (Real $2008)'!J145-V34)&lt;0.001,0,ABS(AG34*'Data 2009-15 (Real $2008)'!J145-V34))</f>
        <v>0</v>
      </c>
    </row>
    <row r="36" spans="1:33" x14ac:dyDescent="0.25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5">
      <c r="A37" s="57" t="s">
        <v>345</v>
      </c>
      <c r="B37" s="57"/>
      <c r="C37" s="360"/>
      <c r="D37" s="517">
        <f>'AMI RAB 2009-15'!D9*'Data 2009-15 (Real $2008)'!D145</f>
        <v>10284.3086461354</v>
      </c>
      <c r="E37" s="517">
        <f>'AMI RAB 2009-15'!E9*'Data 2009-15 (Real $2008)'!E145</f>
        <v>19603.335797795644</v>
      </c>
      <c r="F37" s="517">
        <f>'AMI RAB 2009-15'!F9*'Data 2009-15 (Real $2008)'!F145</f>
        <v>31096.635572451964</v>
      </c>
      <c r="G37" s="517">
        <f>'AMI RAB 2009-15'!G9*'Data 2009-15 (Real $2008)'!G145</f>
        <v>43876.569823670055</v>
      </c>
      <c r="H37" s="517">
        <f>'AMI RAB 2009-15'!H9*'Data 2009-15 (Real $2008)'!H145</f>
        <v>56801.104952734284</v>
      </c>
      <c r="I37" s="517">
        <f>'AMI RAB 2009-15'!I9*'Data 2009-15 (Real $2008)'!I145</f>
        <v>53582.445095973919</v>
      </c>
      <c r="J37" s="517">
        <f>'AMI RAB 2009-15'!J9*'Data 2009-15 (Real $2008)'!J145</f>
        <v>57368.831842425207</v>
      </c>
    </row>
    <row r="38" spans="1:33" x14ac:dyDescent="0.25">
      <c r="A38" s="57" t="s">
        <v>346</v>
      </c>
      <c r="B38" s="57"/>
      <c r="C38" s="360"/>
      <c r="D38" s="517">
        <f>'AMI RAB 2009-15'!D12*'Data 2009-15 (Real $2008)'!D144</f>
        <v>2442.8090211024282</v>
      </c>
      <c r="E38" s="517">
        <f>'AMI RAB 2009-15'!E12*'Data 2009-15 (Real $2008)'!D145*'Data 2009-15 (Real $2008)'!E144</f>
        <v>1259.121654121044</v>
      </c>
      <c r="F38" s="517">
        <f>'AMI RAB 2009-15'!F12*'Data 2009-15 (Real $2008)'!E145*'Data 2009-15 (Real $2008)'!F144</f>
        <v>4889.6799887780917</v>
      </c>
      <c r="G38" s="517">
        <f>'AMI RAB 2009-15'!G12*'Data 2009-15 (Real $2008)'!F145*'Data 2009-15 (Real $2008)'!G144</f>
        <v>9430.7232777435202</v>
      </c>
      <c r="H38" s="517">
        <f>'AMI RAB 2009-15'!H12*'Data 2009-15 (Real $2008)'!G145*'Data 2009-15 (Real $2008)'!H144</f>
        <v>7173.9280643391658</v>
      </c>
      <c r="I38" s="517">
        <f>'AMI RAB 2009-15'!I12*'Data 2009-15 (Real $2008)'!H145*'Data 2009-15 (Real $2008)'!I144</f>
        <v>8566.5183089884431</v>
      </c>
      <c r="J38" s="517">
        <f>'AMI RAB 2009-15'!J12*'Data 2009-15 (Real $2008)'!I145*'Data 2009-15 (Real $2008)'!J144</f>
        <v>8968.0015037826543</v>
      </c>
    </row>
    <row r="39" spans="1:33" x14ac:dyDescent="0.25">
      <c r="A39" s="57" t="s">
        <v>136</v>
      </c>
      <c r="B39" s="57"/>
      <c r="C39" s="360"/>
      <c r="D39" s="529">
        <f t="shared" ref="D39:J39" si="9">D37-D38</f>
        <v>7841.4996250329714</v>
      </c>
      <c r="E39" s="529">
        <f t="shared" si="9"/>
        <v>18344.214143674599</v>
      </c>
      <c r="F39" s="529">
        <f t="shared" si="9"/>
        <v>26206.955583673873</v>
      </c>
      <c r="G39" s="529">
        <f t="shared" si="9"/>
        <v>34445.846545926535</v>
      </c>
      <c r="H39" s="529">
        <f t="shared" si="9"/>
        <v>49627.176888395115</v>
      </c>
      <c r="I39" s="529">
        <f t="shared" si="9"/>
        <v>45015.926786985474</v>
      </c>
      <c r="J39" s="529">
        <f t="shared" si="9"/>
        <v>48400.830338642554</v>
      </c>
    </row>
    <row r="40" spans="1:33" x14ac:dyDescent="0.25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5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5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5">
      <c r="A43" s="500" t="s">
        <v>332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5">
      <c r="A45" s="356" t="s">
        <v>140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5">
      <c r="A46" s="57" t="s">
        <v>83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6.2288008776539838E-2</v>
      </c>
      <c r="J46" s="513">
        <f>(1+$I$15)*(1+'Data 2009-15 (Real $2008)'!J144)-1</f>
        <v>6.3812297783216509E-2</v>
      </c>
    </row>
    <row r="47" spans="1:33" x14ac:dyDescent="0.25">
      <c r="A47" s="356" t="s">
        <v>141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5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5">
      <c r="A49" s="57"/>
      <c r="D49" s="57"/>
      <c r="E49" s="57"/>
      <c r="F49" s="57"/>
      <c r="G49" s="57"/>
      <c r="H49" s="57"/>
      <c r="I49" s="57"/>
      <c r="J49" s="57"/>
    </row>
    <row r="50" spans="1:10" x14ac:dyDescent="0.25">
      <c r="A50" s="409" t="s">
        <v>296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5">
      <c r="A51" s="57" t="s">
        <v>292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83599.356</v>
      </c>
      <c r="H51" s="83">
        <f>'Tariff Compliance'!H8</f>
        <v>101332.753</v>
      </c>
      <c r="I51" s="83">
        <f>'Tariff Compliance'!I8</f>
        <v>125367.55141</v>
      </c>
      <c r="J51" s="83">
        <f>'Tariff Compliance'!J8</f>
        <v>162842.78545</v>
      </c>
    </row>
    <row r="52" spans="1:10" x14ac:dyDescent="0.25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5">
      <c r="A53" s="57" t="s">
        <v>125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32545.055</v>
      </c>
      <c r="I53" s="82">
        <f>'Data 2009-15 (Real $2008)'!I55/10^3*'Data 2009-15 (Real $2008)'!I145</f>
        <v>33869.424072116592</v>
      </c>
      <c r="J53" s="82">
        <f>'Data 2009-15 (Real $2008)'!J55/10^3*'Data 2009-15 (Real $2008)'!J145</f>
        <v>30573.246800729186</v>
      </c>
    </row>
    <row r="54" spans="1:10" x14ac:dyDescent="0.25">
      <c r="A54" s="57" t="s">
        <v>126</v>
      </c>
      <c r="D54" s="82">
        <f>'AMI Tax Depn 2009-15'!D56</f>
        <v>17924.793563463867</v>
      </c>
      <c r="E54" s="82">
        <f>'AMI Tax Depn 2009-15'!E56</f>
        <v>34884.31047574972</v>
      </c>
      <c r="F54" s="82">
        <f>'AMI Tax Depn 2009-15'!F56</f>
        <v>58635.296516567265</v>
      </c>
      <c r="G54" s="82">
        <f>'AMI Tax Depn 2009-15'!G56</f>
        <v>81911.417257554276</v>
      </c>
      <c r="H54" s="82">
        <f>'AMI Tax Depn 2009-15'!H56</f>
        <v>97792.916413917992</v>
      </c>
      <c r="I54" s="82">
        <f>'AMI Tax Depn 2009-15'!I56</f>
        <v>92912.245974699108</v>
      </c>
      <c r="J54" s="82">
        <f>'AMI Tax Depn 2009-15'!J56</f>
        <v>73873.587120299839</v>
      </c>
    </row>
    <row r="55" spans="1:10" x14ac:dyDescent="0.25">
      <c r="A55" s="57" t="s">
        <v>127</v>
      </c>
      <c r="D55" s="82">
        <f>'AMI RAB 2009-15'!D12*D45*'Data 2009-15 (Real $2008)'!D145*D46</f>
        <v>3497.5473331633357</v>
      </c>
      <c r="E55" s="82">
        <f>'AMI RAB 2009-15'!E12*E45*'Data 2009-15 (Real $2008)'!E145*E46</f>
        <v>4474.9155450072358</v>
      </c>
      <c r="F55" s="82">
        <f>'AMI RAB 2009-15'!F12*F45*'Data 2009-15 (Real $2008)'!F145*F46</f>
        <v>9731.9946911164225</v>
      </c>
      <c r="G55" s="82">
        <f>'AMI RAB 2009-15'!G12*G45*'Data 2009-15 (Real $2008)'!G145*G46</f>
        <v>16263.418935944594</v>
      </c>
      <c r="H55" s="82">
        <f>'AMI RAB 2009-15'!H12*H45*'Data 2009-15 (Real $2008)'!H145*H46</f>
        <v>17889.771540472226</v>
      </c>
      <c r="I55" s="82">
        <f>'AMI RAB 2009-15'!I12*I45*'Data 2009-15 (Real $2008)'!I145*I46</f>
        <v>15134.591517797695</v>
      </c>
      <c r="J55" s="82">
        <f>'AMI RAB 2009-15'!J12*J45*'Data 2009-15 (Real $2008)'!J145*J46</f>
        <v>15222.34961396025</v>
      </c>
    </row>
    <row r="56" spans="1:10" x14ac:dyDescent="0.25">
      <c r="A56" s="356" t="s">
        <v>128</v>
      </c>
      <c r="D56" s="82">
        <f>IF('Offset of Costs and Rev 2006-08'!F106&lt;0,-'Offset of Costs and Rev 2006-08'!F106,0)</f>
        <v>0</v>
      </c>
      <c r="E56" s="82">
        <f t="shared" ref="E56:J56" si="10">IF(D57&lt;0,-D57,0)</f>
        <v>10628.116113872107</v>
      </c>
      <c r="F56" s="82">
        <f t="shared" si="10"/>
        <v>24142.922551252195</v>
      </c>
      <c r="G56" s="82">
        <f t="shared" si="10"/>
        <v>61843.201430891844</v>
      </c>
      <c r="H56" s="82">
        <f t="shared" si="10"/>
        <v>116609.66277366821</v>
      </c>
      <c r="I56" s="82">
        <f t="shared" si="10"/>
        <v>163504.65272805843</v>
      </c>
      <c r="J56" s="82">
        <f t="shared" si="10"/>
        <v>180053.36288267182</v>
      </c>
    </row>
    <row r="57" spans="1:10" x14ac:dyDescent="0.25">
      <c r="A57" s="57" t="s">
        <v>150</v>
      </c>
      <c r="D57" s="82">
        <f t="shared" ref="D57:J57" si="11">SUM(D51:D52)-SUM(D53:D56)</f>
        <v>-10628.116113872107</v>
      </c>
      <c r="E57" s="82">
        <f t="shared" si="11"/>
        <v>-24142.922551252195</v>
      </c>
      <c r="F57" s="82">
        <f t="shared" si="11"/>
        <v>-61843.201430891844</v>
      </c>
      <c r="G57" s="82">
        <f t="shared" si="11"/>
        <v>-116609.66277366821</v>
      </c>
      <c r="H57" s="82">
        <f t="shared" si="11"/>
        <v>-163504.65272805843</v>
      </c>
      <c r="I57" s="82">
        <f t="shared" si="11"/>
        <v>-180053.36288267182</v>
      </c>
      <c r="J57" s="82">
        <f t="shared" si="11"/>
        <v>-136879.76096766113</v>
      </c>
    </row>
    <row r="58" spans="1:10" x14ac:dyDescent="0.25">
      <c r="A58" s="57" t="s">
        <v>151</v>
      </c>
      <c r="D58" s="82">
        <f t="shared" ref="D58:J58" si="12">IF(D57&lt;0,0,D57*D47)</f>
        <v>0</v>
      </c>
      <c r="E58" s="82">
        <f t="shared" si="12"/>
        <v>0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0</v>
      </c>
    </row>
    <row r="59" spans="1:10" x14ac:dyDescent="0.25">
      <c r="A59" s="57" t="s">
        <v>131</v>
      </c>
      <c r="D59" s="82">
        <f t="shared" ref="D59:J59" si="13">D58*D48</f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 t="shared" si="13"/>
        <v>0</v>
      </c>
      <c r="J59" s="82">
        <f t="shared" si="13"/>
        <v>0</v>
      </c>
    </row>
    <row r="60" spans="1:10" x14ac:dyDescent="0.25">
      <c r="A60" s="57" t="s">
        <v>351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0</v>
      </c>
    </row>
    <row r="61" spans="1:10" x14ac:dyDescent="0.25">
      <c r="A61" s="57"/>
      <c r="D61" s="57"/>
      <c r="E61" s="57"/>
      <c r="F61" s="57"/>
      <c r="G61" s="57"/>
      <c r="H61" s="57"/>
      <c r="I61" s="57"/>
      <c r="J61" s="57"/>
    </row>
    <row r="62" spans="1:10" x14ac:dyDescent="0.25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5">
      <c r="A63" s="409" t="s">
        <v>288</v>
      </c>
    </row>
    <row r="64" spans="1:10" ht="13.8" thickBot="1" x14ac:dyDescent="0.3">
      <c r="A64" s="57" t="s">
        <v>293</v>
      </c>
      <c r="D64" s="566">
        <f>D60/'Data 2009-15 (Real $2008)'!D145</f>
        <v>0</v>
      </c>
      <c r="E64" s="566">
        <f>E60/'Data 2009-15 (Real $2008)'!E145</f>
        <v>0</v>
      </c>
      <c r="F64" s="566">
        <f>F60/'Data 2009-15 (Real $2008)'!F145</f>
        <v>0</v>
      </c>
      <c r="G64" s="566">
        <f>G60/'Data 2009-15 (Real $2008)'!G145</f>
        <v>0</v>
      </c>
      <c r="H64" s="566">
        <f>H60/'Data 2009-15 (Real $2008)'!H145</f>
        <v>0</v>
      </c>
      <c r="I64" s="566">
        <f>I60/'Data 2009-15 (Real $2008)'!I145</f>
        <v>0</v>
      </c>
      <c r="J64" s="566">
        <f>J60/'Data 2009-15 (Real $2008)'!J145</f>
        <v>0</v>
      </c>
    </row>
    <row r="65" spans="2:3" ht="13.8" thickTop="1" x14ac:dyDescent="0.25">
      <c r="B65" s="360"/>
      <c r="C65" s="360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ColWidth="9.109375" defaultRowHeight="13.2" x14ac:dyDescent="0.25"/>
  <cols>
    <col min="1" max="1" width="53" style="360" customWidth="1"/>
    <col min="2" max="2" width="9.5546875" style="365" customWidth="1"/>
    <col min="3" max="3" width="8.44140625" style="365" customWidth="1"/>
    <col min="4" max="4" width="10.33203125" style="360" bestFit="1" customWidth="1"/>
    <col min="5" max="16384" width="9.109375" style="360"/>
  </cols>
  <sheetData>
    <row r="1" spans="1:27" x14ac:dyDescent="0.25">
      <c r="A1" s="554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5">
      <c r="A2" s="268"/>
      <c r="B2" s="278"/>
      <c r="C2" s="783">
        <f>C59</f>
        <v>1.5450041246367618E-10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5">
      <c r="A3" s="74" t="s">
        <v>329</v>
      </c>
      <c r="B3" s="433"/>
      <c r="C3" s="433"/>
    </row>
    <row r="4" spans="1:27" s="84" customFormat="1" x14ac:dyDescent="0.25">
      <c r="B4" s="85"/>
      <c r="C4" s="85"/>
    </row>
    <row r="5" spans="1:27" s="84" customFormat="1" x14ac:dyDescent="0.25">
      <c r="A5" s="74" t="s">
        <v>330</v>
      </c>
      <c r="B5" s="433"/>
      <c r="C5" s="433"/>
      <c r="D5" s="490" t="s">
        <v>186</v>
      </c>
      <c r="E5" s="486"/>
      <c r="F5" s="486"/>
    </row>
    <row r="6" spans="1:27" s="84" customFormat="1" x14ac:dyDescent="0.25">
      <c r="A6" s="84" t="str">
        <f>'Data 2009-15 (Real $2008)'!A$162</f>
        <v>Meters and transformers (Group 1) (Unit cost &lt; $1,000)</v>
      </c>
      <c r="B6" s="85"/>
      <c r="C6" s="85"/>
      <c r="D6" s="487">
        <f>'Data 2009-15 (Real $2008)'!C162</f>
        <v>0.375</v>
      </c>
      <c r="E6" s="486"/>
      <c r="F6" s="486"/>
    </row>
    <row r="7" spans="1:27" s="84" customFormat="1" x14ac:dyDescent="0.25">
      <c r="A7" s="84" t="str">
        <f>'Data 2009-15 (Real $2008)'!A$163</f>
        <v>Meters and transformers (Group 2) (Unit cost =&gt; $1,000)</v>
      </c>
      <c r="B7" s="85"/>
      <c r="C7" s="85"/>
      <c r="D7" s="488">
        <f>'Data 2009-15 (Real $2008)'!C163</f>
        <v>0.06</v>
      </c>
      <c r="E7" s="486"/>
      <c r="F7" s="486"/>
    </row>
    <row r="8" spans="1:27" s="84" customFormat="1" x14ac:dyDescent="0.25">
      <c r="A8" s="84" t="str">
        <f>'Data 2009-15 (Real $2008)'!A$164</f>
        <v>IT</v>
      </c>
      <c r="B8" s="85"/>
      <c r="C8" s="85"/>
      <c r="D8" s="488">
        <f>'Data 2009-15 (Real $2008)'!C164</f>
        <v>0.4</v>
      </c>
      <c r="E8" s="486"/>
      <c r="F8" s="486"/>
    </row>
    <row r="9" spans="1:27" s="84" customFormat="1" x14ac:dyDescent="0.25">
      <c r="A9" s="84" t="str">
        <f>'Data 2009-15 (Real $2008)'!A$165</f>
        <v>Communications</v>
      </c>
      <c r="B9" s="108"/>
      <c r="C9" s="108"/>
      <c r="D9" s="488">
        <f>'Data 2009-15 (Real $2008)'!C165</f>
        <v>0.21428571428571427</v>
      </c>
      <c r="E9" s="486"/>
      <c r="F9" s="486"/>
    </row>
    <row r="10" spans="1:27" s="84" customFormat="1" x14ac:dyDescent="0.25">
      <c r="A10" s="87" t="str">
        <f>'Data 2009-15 (Real $2008)'!A$166</f>
        <v>Other</v>
      </c>
      <c r="B10" s="108"/>
      <c r="C10" s="108"/>
      <c r="D10" s="489">
        <f>'Data 2009-15 (Real $2008)'!C166</f>
        <v>0.1764705882352941</v>
      </c>
      <c r="E10" s="486"/>
      <c r="F10" s="486"/>
    </row>
    <row r="11" spans="1:27" s="84" customFormat="1" x14ac:dyDescent="0.25">
      <c r="B11" s="85"/>
      <c r="C11" s="85"/>
    </row>
    <row r="12" spans="1:27" s="84" customFormat="1" x14ac:dyDescent="0.25">
      <c r="B12" s="85"/>
      <c r="C12" s="85"/>
    </row>
    <row r="13" spans="1:27" s="84" customFormat="1" x14ac:dyDescent="0.25">
      <c r="A13" s="74" t="s">
        <v>182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4" customFormat="1" x14ac:dyDescent="0.25">
      <c r="A14" s="409" t="s">
        <v>296</v>
      </c>
      <c r="B14" s="457"/>
      <c r="C14" s="457"/>
      <c r="D14" s="485"/>
      <c r="E14" s="485"/>
      <c r="F14" s="485"/>
    </row>
    <row r="15" spans="1:27" s="84" customFormat="1" x14ac:dyDescent="0.25">
      <c r="A15" s="101" t="s">
        <v>325</v>
      </c>
      <c r="B15" s="457"/>
      <c r="C15" s="457"/>
      <c r="D15" s="485"/>
      <c r="E15" s="485"/>
      <c r="F15" s="485"/>
    </row>
    <row r="16" spans="1:27" s="84" customFormat="1" x14ac:dyDescent="0.25">
      <c r="A16" s="84" t="str">
        <f>'Data 2009-15 (Real $2008)'!A$162</f>
        <v>Meters and transformers (Group 1) (Unit cost &lt; $1,000)</v>
      </c>
      <c r="B16" s="85"/>
      <c r="C16" s="85"/>
      <c r="D16" s="82">
        <f>'Data 2009-15 (Real $2008)'!D22*'Data 2009-15 (Real $2008)'!D$145/10^3</f>
        <v>11248.508965365303</v>
      </c>
      <c r="E16" s="82">
        <f>'Data 2009-15 (Real $2008)'!E22*'Data 2009-15 (Real $2008)'!E$145/10^3</f>
        <v>41263.816110000458</v>
      </c>
      <c r="F16" s="82">
        <f>'Data 2009-15 (Real $2008)'!F22*'Data 2009-15 (Real $2008)'!F$145/10^3</f>
        <v>80503</v>
      </c>
      <c r="G16" s="82">
        <f>'Data 2009-15 (Real $2008)'!G22*'Data 2009-15 (Real $2008)'!G$145/10^3</f>
        <v>91362.024891847381</v>
      </c>
      <c r="H16" s="82">
        <f>'Data 2009-15 (Real $2008)'!H22*'Data 2009-15 (Real $2008)'!H$145/10^3</f>
        <v>94519.245480000012</v>
      </c>
      <c r="I16" s="82">
        <f>'Data 2009-15 (Real $2008)'!I22*'Data 2009-15 (Real $2008)'!I$145/10^3</f>
        <v>38001.680157309384</v>
      </c>
      <c r="J16" s="82">
        <f>'Data 2009-15 (Real $2008)'!J22*'Data 2009-15 (Real $2008)'!J$145/10^3</f>
        <v>4600.7284504535028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5">
      <c r="A17" s="84" t="str">
        <f>'Data 2009-15 (Real $2008)'!A$163</f>
        <v>Meters and transformers (Group 2) (Unit cost =&gt; $1,000)</v>
      </c>
      <c r="B17" s="85"/>
      <c r="C17" s="85"/>
      <c r="D17" s="82">
        <f>'Data 2009-15 (Real $2008)'!D23*'Data 2009-15 (Real $2008)'!D$145/10^3</f>
        <v>0</v>
      </c>
      <c r="E17" s="82">
        <f>'Data 2009-15 (Real $2008)'!E23*'Data 2009-15 (Real $2008)'!E$145/10^3</f>
        <v>0</v>
      </c>
      <c r="F17" s="82">
        <f>'Data 2009-15 (Real $2008)'!F23*'Data 2009-15 (Real $2008)'!F$145/10^3</f>
        <v>0</v>
      </c>
      <c r="G17" s="82">
        <f>'Data 2009-15 (Real $2008)'!G23*'Data 2009-15 (Real $2008)'!G$145/10^3</f>
        <v>0</v>
      </c>
      <c r="H17" s="82">
        <f>'Data 2009-15 (Real $2008)'!H23*'Data 2009-15 (Real $2008)'!H$145/10^3</f>
        <v>0</v>
      </c>
      <c r="I17" s="82">
        <f>'Data 2009-15 (Real $2008)'!I23*'Data 2009-15 (Real $2008)'!I$145/10^3</f>
        <v>0</v>
      </c>
      <c r="J17" s="82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5">
      <c r="A18" s="84" t="str">
        <f>'Data 2009-15 (Real $2008)'!A$164</f>
        <v>IT</v>
      </c>
      <c r="B18" s="85"/>
      <c r="C18" s="85"/>
      <c r="D18" s="82">
        <f>'Data 2009-15 (Real $2008)'!D24*'Data 2009-15 (Real $2008)'!D$145/10^3</f>
        <v>26456.656380134133</v>
      </c>
      <c r="E18" s="82">
        <f>'Data 2009-15 (Real $2008)'!E24*'Data 2009-15 (Real $2008)'!E$145/10^3</f>
        <v>38827.401623737569</v>
      </c>
      <c r="F18" s="82">
        <f>'Data 2009-15 (Real $2008)'!F24*'Data 2009-15 (Real $2008)'!F$145/10^3</f>
        <v>23232.071948036097</v>
      </c>
      <c r="G18" s="82">
        <f>'Data 2009-15 (Real $2008)'!G24*'Data 2009-15 (Real $2008)'!G$145/10^3</f>
        <v>24642.546559058464</v>
      </c>
      <c r="H18" s="82">
        <f>'Data 2009-15 (Real $2008)'!H24*'Data 2009-15 (Real $2008)'!H$145/10^3</f>
        <v>9036.4600667708819</v>
      </c>
      <c r="I18" s="82">
        <f>'Data 2009-15 (Real $2008)'!I24*'Data 2009-15 (Real $2008)'!I$145/10^3</f>
        <v>8960.2451982030343</v>
      </c>
      <c r="J18" s="82">
        <f>'Data 2009-15 (Real $2008)'!J24*'Data 2009-15 (Real $2008)'!J$145/10^3</f>
        <v>22535.727540000004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5">
      <c r="A19" s="84" t="str">
        <f>'Data 2009-15 (Real $2008)'!A$165</f>
        <v>Communications</v>
      </c>
      <c r="B19" s="108"/>
      <c r="C19" s="108"/>
      <c r="D19" s="82">
        <f>'Data 2009-15 (Real $2008)'!D25*'Data 2009-15 (Real $2008)'!D$145/10^3</f>
        <v>888.55508999999995</v>
      </c>
      <c r="E19" s="82">
        <f>'Data 2009-15 (Real $2008)'!E25*'Data 2009-15 (Real $2008)'!E$145/10^3</f>
        <v>8756.8663000000015</v>
      </c>
      <c r="F19" s="82">
        <f>'Data 2009-15 (Real $2008)'!F25*'Data 2009-15 (Real $2008)'!F$145/10^3</f>
        <v>8959.3642199999995</v>
      </c>
      <c r="G19" s="82">
        <f>'Data 2009-15 (Real $2008)'!G25*'Data 2009-15 (Real $2008)'!G$145/10^3</f>
        <v>24833.830630000004</v>
      </c>
      <c r="H19" s="82">
        <f>'Data 2009-15 (Real $2008)'!H25*'Data 2009-15 (Real $2008)'!H$145/10^3</f>
        <v>18817.796080000004</v>
      </c>
      <c r="I19" s="82">
        <f>'Data 2009-15 (Real $2008)'!I25*'Data 2009-15 (Real $2008)'!I$145/10^3</f>
        <v>3467.8865770765328</v>
      </c>
      <c r="J19" s="82">
        <f>'Data 2009-15 (Real $2008)'!J25*'Data 2009-15 (Real $2008)'!J$145/10^3</f>
        <v>4.609293713064134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5">
      <c r="A20" s="87" t="str">
        <f>'Data 2009-15 (Real $2008)'!A$166</f>
        <v>Other</v>
      </c>
      <c r="B20" s="108"/>
      <c r="C20" s="108"/>
      <c r="D20" s="82">
        <f>'Data 2009-15 (Real $2008)'!D26*'Data 2009-15 (Real $2008)'!D$145/10^3</f>
        <v>0</v>
      </c>
      <c r="E20" s="82">
        <f>'Data 2009-15 (Real $2008)'!E26*'Data 2009-15 (Real $2008)'!E$145/10^3</f>
        <v>0</v>
      </c>
      <c r="F20" s="82">
        <f>'Data 2009-15 (Real $2008)'!F26*'Data 2009-15 (Real $2008)'!F$145/10^3</f>
        <v>0</v>
      </c>
      <c r="G20" s="82">
        <f>'Data 2009-15 (Real $2008)'!G26*'Data 2009-15 (Real $2008)'!G$145/10^3</f>
        <v>0</v>
      </c>
      <c r="H20" s="82">
        <f>'Data 2009-15 (Real $2008)'!H26*'Data 2009-15 (Real $2008)'!H$145/10^3</f>
        <v>0</v>
      </c>
      <c r="I20" s="82">
        <f>'Data 2009-15 (Real $2008)'!I26*'Data 2009-15 (Real $2008)'!I$145/10^3</f>
        <v>0</v>
      </c>
      <c r="J20" s="82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5">
      <c r="A21" s="87"/>
      <c r="B21" s="108"/>
      <c r="C21" s="108"/>
      <c r="D21" s="109">
        <f t="shared" ref="D21:J21" si="1">SUM(D16:D19)</f>
        <v>38593.720435499439</v>
      </c>
      <c r="E21" s="109">
        <f t="shared" si="1"/>
        <v>88848.084033738036</v>
      </c>
      <c r="F21" s="109">
        <f t="shared" si="1"/>
        <v>112694.4361680361</v>
      </c>
      <c r="G21" s="109">
        <f t="shared" si="1"/>
        <v>140838.40208090586</v>
      </c>
      <c r="H21" s="109">
        <f t="shared" si="1"/>
        <v>122373.5016267709</v>
      </c>
      <c r="I21" s="109">
        <f t="shared" si="1"/>
        <v>50429.811932588949</v>
      </c>
      <c r="J21" s="109">
        <f t="shared" si="1"/>
        <v>27141.065284166569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5">
      <c r="A22" s="346" t="s">
        <v>350</v>
      </c>
      <c r="B22" s="93"/>
      <c r="C22" s="93"/>
      <c r="D22" s="91"/>
      <c r="E22" s="91"/>
      <c r="F22" s="91"/>
    </row>
    <row r="23" spans="1:27" s="84" customFormat="1" x14ac:dyDescent="0.25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5">
      <c r="A24" s="85" t="s">
        <v>352</v>
      </c>
      <c r="B24" s="85"/>
      <c r="C24" s="85"/>
      <c r="D24" s="491">
        <f>'Offset of Costs and Rev 2006-08'!F256+SUM('Data 2006-08'!D94:F94)/10^3</f>
        <v>12149.26461030576</v>
      </c>
      <c r="E24" s="82">
        <f t="shared" ref="E24:W24" si="2">D27</f>
        <v>16732.703915800408</v>
      </c>
      <c r="F24" s="82">
        <f t="shared" si="2"/>
        <v>43984.790536750632</v>
      </c>
      <c r="G24" s="82">
        <f t="shared" si="2"/>
        <v>92899.181585469138</v>
      </c>
      <c r="H24" s="82">
        <f t="shared" si="2"/>
        <v>132293.63371554419</v>
      </c>
      <c r="I24" s="82">
        <f t="shared" si="2"/>
        <v>159480.40802471511</v>
      </c>
      <c r="J24" s="82">
        <f t="shared" si="2"/>
        <v>130551.62014326082</v>
      </c>
      <c r="K24" s="82">
        <f t="shared" si="2"/>
        <v>85332.854455531487</v>
      </c>
      <c r="L24" s="82">
        <f t="shared" si="2"/>
        <v>53333.034034707176</v>
      </c>
      <c r="M24" s="82">
        <f t="shared" si="2"/>
        <v>33333.146271691985</v>
      </c>
      <c r="N24" s="82">
        <f t="shared" si="2"/>
        <v>20833.21641980749</v>
      </c>
      <c r="O24" s="82">
        <f t="shared" si="2"/>
        <v>13020.760262379681</v>
      </c>
      <c r="P24" s="82">
        <f t="shared" si="2"/>
        <v>8137.9751639873011</v>
      </c>
      <c r="Q24" s="82">
        <f t="shared" si="2"/>
        <v>5086.234477492063</v>
      </c>
      <c r="R24" s="82">
        <f t="shared" si="2"/>
        <v>3178.8965484325395</v>
      </c>
      <c r="S24" s="82">
        <f t="shared" si="2"/>
        <v>1986.8103427703372</v>
      </c>
      <c r="T24" s="82">
        <f t="shared" si="2"/>
        <v>1241.7564642314608</v>
      </c>
      <c r="U24" s="82">
        <f t="shared" si="2"/>
        <v>776.09779014466301</v>
      </c>
      <c r="V24" s="82">
        <f t="shared" si="2"/>
        <v>485.06111884041439</v>
      </c>
      <c r="W24" s="82">
        <f t="shared" si="2"/>
        <v>303.16319927525899</v>
      </c>
      <c r="X24" s="82">
        <f>W27</f>
        <v>189.47699954703688</v>
      </c>
      <c r="Y24" s="82">
        <f>X27</f>
        <v>118.42312471689806</v>
      </c>
      <c r="Z24" s="82">
        <f>Y27</f>
        <v>74.01445294806129</v>
      </c>
      <c r="AA24" s="82">
        <f>Z27</f>
        <v>46.259033092538303</v>
      </c>
    </row>
    <row r="25" spans="1:27" s="84" customFormat="1" x14ac:dyDescent="0.25">
      <c r="A25" s="85" t="s">
        <v>175</v>
      </c>
      <c r="B25" s="85"/>
      <c r="C25" s="85"/>
      <c r="D25" s="82">
        <f t="shared" ref="D25:W25" si="3">$D$6*(D24+D26*0.5)</f>
        <v>6665.0696598706545</v>
      </c>
      <c r="E25" s="82">
        <f t="shared" si="3"/>
        <v>14011.729489050238</v>
      </c>
      <c r="F25" s="82">
        <f t="shared" si="3"/>
        <v>31588.608951281487</v>
      </c>
      <c r="G25" s="82">
        <f t="shared" si="3"/>
        <v>51967.572761772317</v>
      </c>
      <c r="H25" s="82">
        <f t="shared" si="3"/>
        <v>67332.471170829085</v>
      </c>
      <c r="I25" s="82">
        <f t="shared" si="3"/>
        <v>66930.468038763676</v>
      </c>
      <c r="J25" s="82">
        <f t="shared" si="3"/>
        <v>49819.494138182839</v>
      </c>
      <c r="K25" s="82">
        <f t="shared" si="3"/>
        <v>31999.820420824308</v>
      </c>
      <c r="L25" s="82">
        <f t="shared" si="3"/>
        <v>19999.887763015191</v>
      </c>
      <c r="M25" s="82">
        <f t="shared" si="3"/>
        <v>12499.929851884495</v>
      </c>
      <c r="N25" s="82">
        <f t="shared" si="3"/>
        <v>7812.4561574278086</v>
      </c>
      <c r="O25" s="82">
        <f t="shared" si="3"/>
        <v>4882.78509839238</v>
      </c>
      <c r="P25" s="82">
        <f t="shared" si="3"/>
        <v>3051.7406864952382</v>
      </c>
      <c r="Q25" s="82">
        <f t="shared" si="3"/>
        <v>1907.3379290595235</v>
      </c>
      <c r="R25" s="82">
        <f t="shared" si="3"/>
        <v>1192.0862056622022</v>
      </c>
      <c r="S25" s="82">
        <f t="shared" si="3"/>
        <v>745.05387853887646</v>
      </c>
      <c r="T25" s="82">
        <f t="shared" si="3"/>
        <v>465.65867408679776</v>
      </c>
      <c r="U25" s="82">
        <f t="shared" si="3"/>
        <v>291.03667130424861</v>
      </c>
      <c r="V25" s="82">
        <f t="shared" si="3"/>
        <v>181.89791956515541</v>
      </c>
      <c r="W25" s="82">
        <f t="shared" si="3"/>
        <v>113.68619972822212</v>
      </c>
      <c r="X25" s="82">
        <f>$D$6*(X24+X26*0.5)</f>
        <v>71.053874830138824</v>
      </c>
      <c r="Y25" s="82">
        <f>$D$6*(Y24+Y26*0.5)</f>
        <v>44.408671768836768</v>
      </c>
      <c r="Z25" s="82">
        <f>$D$6*(Z24+Z26*0.5)</f>
        <v>27.755419855522984</v>
      </c>
      <c r="AA25" s="82">
        <f>$D$6*(AA24+AA26*0.5)</f>
        <v>17.347137409701865</v>
      </c>
    </row>
    <row r="26" spans="1:27" s="84" customFormat="1" x14ac:dyDescent="0.25">
      <c r="A26" s="85" t="s">
        <v>199</v>
      </c>
      <c r="B26" s="85"/>
      <c r="C26" s="85"/>
      <c r="D26" s="82">
        <f t="shared" ref="D26:W26" si="4">D16</f>
        <v>11248.508965365303</v>
      </c>
      <c r="E26" s="82">
        <f t="shared" si="4"/>
        <v>41263.816110000458</v>
      </c>
      <c r="F26" s="82">
        <f t="shared" si="4"/>
        <v>80503</v>
      </c>
      <c r="G26" s="82">
        <f t="shared" si="4"/>
        <v>91362.024891847381</v>
      </c>
      <c r="H26" s="82">
        <f t="shared" si="4"/>
        <v>94519.245480000012</v>
      </c>
      <c r="I26" s="82">
        <f t="shared" si="4"/>
        <v>38001.680157309384</v>
      </c>
      <c r="J26" s="82">
        <f t="shared" si="4"/>
        <v>4600.7284504535028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82">
        <f t="shared" si="4"/>
        <v>0</v>
      </c>
      <c r="O26" s="82">
        <f t="shared" si="4"/>
        <v>0</v>
      </c>
      <c r="P26" s="82">
        <f t="shared" si="4"/>
        <v>0</v>
      </c>
      <c r="Q26" s="82">
        <f t="shared" si="4"/>
        <v>0</v>
      </c>
      <c r="R26" s="82">
        <f t="shared" si="4"/>
        <v>0</v>
      </c>
      <c r="S26" s="82">
        <f t="shared" si="4"/>
        <v>0</v>
      </c>
      <c r="T26" s="82">
        <f t="shared" si="4"/>
        <v>0</v>
      </c>
      <c r="U26" s="82">
        <f t="shared" si="4"/>
        <v>0</v>
      </c>
      <c r="V26" s="82">
        <f t="shared" si="4"/>
        <v>0</v>
      </c>
      <c r="W26" s="82">
        <f t="shared" si="4"/>
        <v>0</v>
      </c>
      <c r="X26" s="82">
        <f>X16</f>
        <v>0</v>
      </c>
      <c r="Y26" s="82">
        <f>Y16</f>
        <v>0</v>
      </c>
      <c r="Z26" s="82">
        <f>Z16</f>
        <v>0</v>
      </c>
      <c r="AA26" s="82">
        <f>AA16</f>
        <v>0</v>
      </c>
    </row>
    <row r="27" spans="1:27" s="84" customFormat="1" x14ac:dyDescent="0.25">
      <c r="A27" s="85" t="s">
        <v>200</v>
      </c>
      <c r="B27" s="85"/>
      <c r="C27" s="85"/>
      <c r="D27" s="109">
        <f t="shared" ref="D27:W27" si="5">D24-D25+D26</f>
        <v>16732.703915800408</v>
      </c>
      <c r="E27" s="109">
        <f t="shared" si="5"/>
        <v>43984.790536750632</v>
      </c>
      <c r="F27" s="109">
        <f t="shared" si="5"/>
        <v>92899.181585469138</v>
      </c>
      <c r="G27" s="109">
        <f t="shared" si="5"/>
        <v>132293.63371554419</v>
      </c>
      <c r="H27" s="109">
        <f t="shared" si="5"/>
        <v>159480.40802471511</v>
      </c>
      <c r="I27" s="109">
        <f t="shared" si="5"/>
        <v>130551.62014326082</v>
      </c>
      <c r="J27" s="109">
        <f t="shared" si="5"/>
        <v>85332.854455531487</v>
      </c>
      <c r="K27" s="109">
        <f t="shared" si="5"/>
        <v>53333.034034707176</v>
      </c>
      <c r="L27" s="109">
        <f t="shared" si="5"/>
        <v>33333.146271691985</v>
      </c>
      <c r="M27" s="109">
        <f t="shared" si="5"/>
        <v>20833.21641980749</v>
      </c>
      <c r="N27" s="109">
        <f t="shared" si="5"/>
        <v>13020.760262379681</v>
      </c>
      <c r="O27" s="109">
        <f t="shared" si="5"/>
        <v>8137.9751639873011</v>
      </c>
      <c r="P27" s="109">
        <f t="shared" si="5"/>
        <v>5086.234477492063</v>
      </c>
      <c r="Q27" s="109">
        <f t="shared" si="5"/>
        <v>3178.8965484325395</v>
      </c>
      <c r="R27" s="109">
        <f t="shared" si="5"/>
        <v>1986.8103427703372</v>
      </c>
      <c r="S27" s="109">
        <f t="shared" si="5"/>
        <v>1241.7564642314608</v>
      </c>
      <c r="T27" s="109">
        <f t="shared" si="5"/>
        <v>776.09779014466301</v>
      </c>
      <c r="U27" s="109">
        <f t="shared" si="5"/>
        <v>485.06111884041439</v>
      </c>
      <c r="V27" s="109">
        <f t="shared" si="5"/>
        <v>303.16319927525899</v>
      </c>
      <c r="W27" s="109">
        <f t="shared" si="5"/>
        <v>189.47699954703688</v>
      </c>
      <c r="X27" s="109">
        <f>X24-X25+X26</f>
        <v>118.42312471689806</v>
      </c>
      <c r="Y27" s="109">
        <f>Y24-Y25+Y26</f>
        <v>74.01445294806129</v>
      </c>
      <c r="Z27" s="109">
        <f>Z24-Z25+Z26</f>
        <v>46.259033092538303</v>
      </c>
      <c r="AA27" s="109">
        <f>AA24-AA25+AA26</f>
        <v>28.911895682836438</v>
      </c>
    </row>
    <row r="28" spans="1:27" s="84" customFormat="1" x14ac:dyDescent="0.25">
      <c r="A28" s="91"/>
      <c r="B28" s="91"/>
      <c r="C28" s="91"/>
      <c r="D28" s="85"/>
      <c r="E28" s="85"/>
      <c r="F28" s="85"/>
    </row>
    <row r="29" spans="1:27" s="84" customFormat="1" x14ac:dyDescent="0.25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5">
      <c r="A30" s="85" t="str">
        <f>A$24</f>
        <v>Opening asset value</v>
      </c>
      <c r="B30" s="85"/>
      <c r="C30" s="85"/>
      <c r="D30" s="491">
        <f>'Offset of Costs and Rev 2006-08'!F262+SUM('Data 2006-08'!D95:F95)/10^3</f>
        <v>0</v>
      </c>
      <c r="E30" s="82">
        <f t="shared" ref="E30:W30" si="6">D33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>W33</f>
        <v>0</v>
      </c>
      <c r="Y30" s="82">
        <f>X33</f>
        <v>0</v>
      </c>
      <c r="Z30" s="82">
        <f>Y33</f>
        <v>0</v>
      </c>
      <c r="AA30" s="82">
        <f>Z33</f>
        <v>0</v>
      </c>
    </row>
    <row r="31" spans="1:27" s="84" customFormat="1" x14ac:dyDescent="0.25">
      <c r="A31" s="85" t="str">
        <f>A$25</f>
        <v>Depreciation</v>
      </c>
      <c r="B31" s="85"/>
      <c r="C31" s="85"/>
      <c r="D31" s="82">
        <f t="shared" ref="D31:W31" si="7">$D$7*(D30+D32*0.5)</f>
        <v>0</v>
      </c>
      <c r="E31" s="82">
        <f t="shared" si="7"/>
        <v>0</v>
      </c>
      <c r="F31" s="82">
        <f t="shared" si="7"/>
        <v>0</v>
      </c>
      <c r="G31" s="82">
        <f t="shared" si="7"/>
        <v>0</v>
      </c>
      <c r="H31" s="82">
        <f t="shared" si="7"/>
        <v>0</v>
      </c>
      <c r="I31" s="82">
        <f t="shared" si="7"/>
        <v>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 t="shared" si="7"/>
        <v>0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82">
        <f t="shared" si="7"/>
        <v>0</v>
      </c>
      <c r="U31" s="82">
        <f t="shared" si="7"/>
        <v>0</v>
      </c>
      <c r="V31" s="82">
        <f t="shared" si="7"/>
        <v>0</v>
      </c>
      <c r="W31" s="82">
        <f t="shared" si="7"/>
        <v>0</v>
      </c>
      <c r="X31" s="82">
        <f>$D$7*(X30+X32*0.5)</f>
        <v>0</v>
      </c>
      <c r="Y31" s="82">
        <f>$D$7*(Y30+Y32*0.5)</f>
        <v>0</v>
      </c>
      <c r="Z31" s="82">
        <f>$D$7*(Z30+Z32*0.5)</f>
        <v>0</v>
      </c>
      <c r="AA31" s="82">
        <f>$D$7*(AA30+AA32*0.5)</f>
        <v>0</v>
      </c>
    </row>
    <row r="32" spans="1:27" s="84" customFormat="1" x14ac:dyDescent="0.25">
      <c r="A32" s="85" t="str">
        <f>A$26</f>
        <v>Gross capex</v>
      </c>
      <c r="B32" s="85"/>
      <c r="C32" s="85"/>
      <c r="D32" s="82">
        <f t="shared" ref="D32:W32" si="8">D17</f>
        <v>0</v>
      </c>
      <c r="E32" s="82">
        <f t="shared" si="8"/>
        <v>0</v>
      </c>
      <c r="F32" s="82">
        <f t="shared" si="8"/>
        <v>0</v>
      </c>
      <c r="G32" s="82">
        <f t="shared" si="8"/>
        <v>0</v>
      </c>
      <c r="H32" s="82">
        <f t="shared" si="8"/>
        <v>0</v>
      </c>
      <c r="I32" s="82">
        <f t="shared" si="8"/>
        <v>0</v>
      </c>
      <c r="J32" s="82">
        <f t="shared" si="8"/>
        <v>0</v>
      </c>
      <c r="K32" s="82">
        <f t="shared" si="8"/>
        <v>0</v>
      </c>
      <c r="L32" s="82">
        <f t="shared" si="8"/>
        <v>0</v>
      </c>
      <c r="M32" s="82">
        <f t="shared" si="8"/>
        <v>0</v>
      </c>
      <c r="N32" s="82">
        <f t="shared" si="8"/>
        <v>0</v>
      </c>
      <c r="O32" s="82">
        <f t="shared" si="8"/>
        <v>0</v>
      </c>
      <c r="P32" s="82">
        <f t="shared" si="8"/>
        <v>0</v>
      </c>
      <c r="Q32" s="82">
        <f t="shared" si="8"/>
        <v>0</v>
      </c>
      <c r="R32" s="82">
        <f t="shared" si="8"/>
        <v>0</v>
      </c>
      <c r="S32" s="82">
        <f t="shared" si="8"/>
        <v>0</v>
      </c>
      <c r="T32" s="82">
        <f t="shared" si="8"/>
        <v>0</v>
      </c>
      <c r="U32" s="82">
        <f t="shared" si="8"/>
        <v>0</v>
      </c>
      <c r="V32" s="82">
        <f t="shared" si="8"/>
        <v>0</v>
      </c>
      <c r="W32" s="82">
        <f t="shared" si="8"/>
        <v>0</v>
      </c>
      <c r="X32" s="82">
        <f>X17</f>
        <v>0</v>
      </c>
      <c r="Y32" s="82">
        <f>Y17</f>
        <v>0</v>
      </c>
      <c r="Z32" s="82">
        <f>Z17</f>
        <v>0</v>
      </c>
      <c r="AA32" s="82">
        <f>AA17</f>
        <v>0</v>
      </c>
    </row>
    <row r="33" spans="1:27" s="84" customFormat="1" x14ac:dyDescent="0.25">
      <c r="A33" s="85" t="str">
        <f>A$27</f>
        <v>Closing asset value</v>
      </c>
      <c r="B33" s="85"/>
      <c r="C33" s="85"/>
      <c r="D33" s="109">
        <f t="shared" ref="D33:W33" si="9">D30-D31+D32</f>
        <v>0</v>
      </c>
      <c r="E33" s="109">
        <f t="shared" si="9"/>
        <v>0</v>
      </c>
      <c r="F33" s="109">
        <f t="shared" si="9"/>
        <v>0</v>
      </c>
      <c r="G33" s="109">
        <f t="shared" si="9"/>
        <v>0</v>
      </c>
      <c r="H33" s="109">
        <f t="shared" si="9"/>
        <v>0</v>
      </c>
      <c r="I33" s="109">
        <f t="shared" si="9"/>
        <v>0</v>
      </c>
      <c r="J33" s="109">
        <f t="shared" si="9"/>
        <v>0</v>
      </c>
      <c r="K33" s="109">
        <f t="shared" si="9"/>
        <v>0</v>
      </c>
      <c r="L33" s="109">
        <f t="shared" si="9"/>
        <v>0</v>
      </c>
      <c r="M33" s="109">
        <f t="shared" si="9"/>
        <v>0</v>
      </c>
      <c r="N33" s="109">
        <f t="shared" si="9"/>
        <v>0</v>
      </c>
      <c r="O33" s="109">
        <f t="shared" si="9"/>
        <v>0</v>
      </c>
      <c r="P33" s="109">
        <f t="shared" si="9"/>
        <v>0</v>
      </c>
      <c r="Q33" s="109">
        <f t="shared" si="9"/>
        <v>0</v>
      </c>
      <c r="R33" s="109">
        <f t="shared" si="9"/>
        <v>0</v>
      </c>
      <c r="S33" s="109">
        <f t="shared" si="9"/>
        <v>0</v>
      </c>
      <c r="T33" s="109">
        <f t="shared" si="9"/>
        <v>0</v>
      </c>
      <c r="U33" s="109">
        <f t="shared" si="9"/>
        <v>0</v>
      </c>
      <c r="V33" s="109">
        <f t="shared" si="9"/>
        <v>0</v>
      </c>
      <c r="W33" s="109">
        <f t="shared" si="9"/>
        <v>0</v>
      </c>
      <c r="X33" s="109">
        <f>X30-X31+X32</f>
        <v>0</v>
      </c>
      <c r="Y33" s="109">
        <f>Y30-Y31+Y32</f>
        <v>0</v>
      </c>
      <c r="Z33" s="109">
        <f>Z30-Z31+Z32</f>
        <v>0</v>
      </c>
      <c r="AA33" s="109">
        <f>AA30-AA31+AA32</f>
        <v>0</v>
      </c>
    </row>
    <row r="34" spans="1:27" s="84" customFormat="1" x14ac:dyDescent="0.25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5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5">
      <c r="A36" s="85" t="str">
        <f>A$24</f>
        <v>Opening asset value</v>
      </c>
      <c r="B36" s="85"/>
      <c r="C36" s="85"/>
      <c r="D36" s="491">
        <f>'Offset of Costs and Rev 2006-08'!F268+SUM('Data 2006-08'!D96:F96)/10^3</f>
        <v>14584.368977199998</v>
      </c>
      <c r="E36" s="82">
        <f t="shared" ref="E36:W36" si="10">D39</f>
        <v>29915.946490427305</v>
      </c>
      <c r="F36" s="82">
        <f t="shared" si="10"/>
        <v>49011.489193246438</v>
      </c>
      <c r="G36" s="82">
        <f t="shared" si="10"/>
        <v>47992.551074376737</v>
      </c>
      <c r="H36" s="82">
        <f t="shared" si="10"/>
        <v>48509.567891872808</v>
      </c>
      <c r="I36" s="82">
        <f t="shared" si="10"/>
        <v>36334.908788540386</v>
      </c>
      <c r="J36" s="82">
        <f t="shared" si="10"/>
        <v>28969.141431686658</v>
      </c>
      <c r="K36" s="82">
        <f t="shared" si="10"/>
        <v>35410.066891012</v>
      </c>
      <c r="L36" s="82">
        <f t="shared" si="10"/>
        <v>21246.040134607199</v>
      </c>
      <c r="M36" s="82">
        <f t="shared" si="10"/>
        <v>12747.624080764319</v>
      </c>
      <c r="N36" s="82">
        <f t="shared" si="10"/>
        <v>7648.5744484585912</v>
      </c>
      <c r="O36" s="82">
        <f t="shared" si="10"/>
        <v>4589.1446690751545</v>
      </c>
      <c r="P36" s="82">
        <f t="shared" si="10"/>
        <v>2753.4868014450926</v>
      </c>
      <c r="Q36" s="82">
        <f t="shared" si="10"/>
        <v>1652.0920808670555</v>
      </c>
      <c r="R36" s="82">
        <f t="shared" si="10"/>
        <v>991.25524852023329</v>
      </c>
      <c r="S36" s="82">
        <f t="shared" si="10"/>
        <v>594.75314911213991</v>
      </c>
      <c r="T36" s="82">
        <f t="shared" si="10"/>
        <v>356.85188946728397</v>
      </c>
      <c r="U36" s="82">
        <f t="shared" si="10"/>
        <v>214.11113368037039</v>
      </c>
      <c r="V36" s="82">
        <f t="shared" si="10"/>
        <v>128.46668020822221</v>
      </c>
      <c r="W36" s="82">
        <f t="shared" si="10"/>
        <v>77.080008124933329</v>
      </c>
      <c r="X36" s="82">
        <f>W39</f>
        <v>46.248004874959996</v>
      </c>
      <c r="Y36" s="82">
        <f>X39</f>
        <v>27.748802924975998</v>
      </c>
      <c r="Z36" s="82">
        <f>Y39</f>
        <v>16.649281754985598</v>
      </c>
      <c r="AA36" s="82">
        <f>Z39</f>
        <v>9.9895690529913583</v>
      </c>
    </row>
    <row r="37" spans="1:27" s="84" customFormat="1" x14ac:dyDescent="0.25">
      <c r="A37" s="85" t="str">
        <f>A$25</f>
        <v>Depreciation</v>
      </c>
      <c r="B37" s="85"/>
      <c r="C37" s="85"/>
      <c r="D37" s="82">
        <f t="shared" ref="D37:W37" si="11">$D$8*(D36+D38*0.5)</f>
        <v>11125.078866906826</v>
      </c>
      <c r="E37" s="82">
        <f t="shared" si="11"/>
        <v>19731.858920918436</v>
      </c>
      <c r="F37" s="82">
        <f t="shared" si="11"/>
        <v>24251.010066905797</v>
      </c>
      <c r="G37" s="82">
        <f t="shared" si="11"/>
        <v>24125.52974156239</v>
      </c>
      <c r="H37" s="82">
        <f t="shared" si="11"/>
        <v>21211.119170103302</v>
      </c>
      <c r="I37" s="82">
        <f t="shared" si="11"/>
        <v>16326.012555056761</v>
      </c>
      <c r="J37" s="82">
        <f t="shared" si="11"/>
        <v>16094.802080674664</v>
      </c>
      <c r="K37" s="82">
        <f t="shared" si="11"/>
        <v>14164.026756404801</v>
      </c>
      <c r="L37" s="82">
        <f t="shared" si="11"/>
        <v>8498.4160538428805</v>
      </c>
      <c r="M37" s="82">
        <f t="shared" si="11"/>
        <v>5099.0496323057278</v>
      </c>
      <c r="N37" s="82">
        <f t="shared" si="11"/>
        <v>3059.4297793834367</v>
      </c>
      <c r="O37" s="82">
        <f t="shared" si="11"/>
        <v>1835.6578676300619</v>
      </c>
      <c r="P37" s="82">
        <f t="shared" si="11"/>
        <v>1101.3947205780371</v>
      </c>
      <c r="Q37" s="82">
        <f t="shared" si="11"/>
        <v>660.83683234682223</v>
      </c>
      <c r="R37" s="82">
        <f t="shared" si="11"/>
        <v>396.50209940809333</v>
      </c>
      <c r="S37" s="82">
        <f t="shared" si="11"/>
        <v>237.90125964485597</v>
      </c>
      <c r="T37" s="82">
        <f t="shared" si="11"/>
        <v>142.74075578691358</v>
      </c>
      <c r="U37" s="82">
        <f t="shared" si="11"/>
        <v>85.644453472148157</v>
      </c>
      <c r="V37" s="82">
        <f t="shared" si="11"/>
        <v>51.386672083288886</v>
      </c>
      <c r="W37" s="82">
        <f t="shared" si="11"/>
        <v>30.832003249973333</v>
      </c>
      <c r="X37" s="82">
        <f>$D$8*(X36+X38*0.5)</f>
        <v>18.499201949983998</v>
      </c>
      <c r="Y37" s="82">
        <f>$D$8*(Y36+Y38*0.5)</f>
        <v>11.0995211699904</v>
      </c>
      <c r="Z37" s="82">
        <f>$D$8*(Z36+Z38*0.5)</f>
        <v>6.6597127019942395</v>
      </c>
      <c r="AA37" s="82">
        <f>$D$8*(AA36+AA38*0.5)</f>
        <v>3.9958276211965433</v>
      </c>
    </row>
    <row r="38" spans="1:27" s="84" customFormat="1" x14ac:dyDescent="0.25">
      <c r="A38" s="85" t="str">
        <f>A$26</f>
        <v>Gross capex</v>
      </c>
      <c r="B38" s="85"/>
      <c r="C38" s="85"/>
      <c r="D38" s="82">
        <f t="shared" ref="D38:W38" si="12">D18</f>
        <v>26456.656380134133</v>
      </c>
      <c r="E38" s="82">
        <f t="shared" si="12"/>
        <v>38827.401623737569</v>
      </c>
      <c r="F38" s="82">
        <f t="shared" si="12"/>
        <v>23232.071948036097</v>
      </c>
      <c r="G38" s="82">
        <f t="shared" si="12"/>
        <v>24642.546559058464</v>
      </c>
      <c r="H38" s="82">
        <f t="shared" si="12"/>
        <v>9036.4600667708819</v>
      </c>
      <c r="I38" s="82">
        <f t="shared" si="12"/>
        <v>8960.2451982030343</v>
      </c>
      <c r="J38" s="82">
        <f t="shared" si="12"/>
        <v>22535.727540000004</v>
      </c>
      <c r="K38" s="82">
        <f t="shared" si="12"/>
        <v>0</v>
      </c>
      <c r="L38" s="82">
        <f t="shared" si="12"/>
        <v>0</v>
      </c>
      <c r="M38" s="82">
        <f t="shared" si="12"/>
        <v>0</v>
      </c>
      <c r="N38" s="82">
        <f t="shared" si="12"/>
        <v>0</v>
      </c>
      <c r="O38" s="82">
        <f t="shared" si="12"/>
        <v>0</v>
      </c>
      <c r="P38" s="82">
        <f t="shared" si="12"/>
        <v>0</v>
      </c>
      <c r="Q38" s="82">
        <f t="shared" si="12"/>
        <v>0</v>
      </c>
      <c r="R38" s="82">
        <f t="shared" si="12"/>
        <v>0</v>
      </c>
      <c r="S38" s="82">
        <f t="shared" si="12"/>
        <v>0</v>
      </c>
      <c r="T38" s="82">
        <f t="shared" si="12"/>
        <v>0</v>
      </c>
      <c r="U38" s="82">
        <f t="shared" si="12"/>
        <v>0</v>
      </c>
      <c r="V38" s="82">
        <f t="shared" si="12"/>
        <v>0</v>
      </c>
      <c r="W38" s="82">
        <f t="shared" si="12"/>
        <v>0</v>
      </c>
      <c r="X38" s="82">
        <f>X18</f>
        <v>0</v>
      </c>
      <c r="Y38" s="82">
        <f>Y18</f>
        <v>0</v>
      </c>
      <c r="Z38" s="82">
        <f>Z18</f>
        <v>0</v>
      </c>
      <c r="AA38" s="82">
        <f>AA18</f>
        <v>0</v>
      </c>
    </row>
    <row r="39" spans="1:27" s="84" customFormat="1" x14ac:dyDescent="0.25">
      <c r="A39" s="85" t="str">
        <f>A$27</f>
        <v>Closing asset value</v>
      </c>
      <c r="B39" s="85"/>
      <c r="C39" s="85"/>
      <c r="D39" s="109">
        <f t="shared" ref="D39:W39" si="13">D36-D37+D38</f>
        <v>29915.946490427305</v>
      </c>
      <c r="E39" s="109">
        <f t="shared" si="13"/>
        <v>49011.489193246438</v>
      </c>
      <c r="F39" s="109">
        <f t="shared" si="13"/>
        <v>47992.551074376737</v>
      </c>
      <c r="G39" s="109">
        <f t="shared" si="13"/>
        <v>48509.567891872808</v>
      </c>
      <c r="H39" s="109">
        <f t="shared" si="13"/>
        <v>36334.908788540386</v>
      </c>
      <c r="I39" s="109">
        <f t="shared" si="13"/>
        <v>28969.141431686658</v>
      </c>
      <c r="J39" s="109">
        <f t="shared" si="13"/>
        <v>35410.066891012</v>
      </c>
      <c r="K39" s="109">
        <f t="shared" si="13"/>
        <v>21246.040134607199</v>
      </c>
      <c r="L39" s="109">
        <f t="shared" si="13"/>
        <v>12747.624080764319</v>
      </c>
      <c r="M39" s="109">
        <f t="shared" si="13"/>
        <v>7648.5744484585912</v>
      </c>
      <c r="N39" s="109">
        <f t="shared" si="13"/>
        <v>4589.1446690751545</v>
      </c>
      <c r="O39" s="109">
        <f t="shared" si="13"/>
        <v>2753.4868014450926</v>
      </c>
      <c r="P39" s="109">
        <f t="shared" si="13"/>
        <v>1652.0920808670555</v>
      </c>
      <c r="Q39" s="109">
        <f t="shared" si="13"/>
        <v>991.25524852023329</v>
      </c>
      <c r="R39" s="109">
        <f t="shared" si="13"/>
        <v>594.75314911213991</v>
      </c>
      <c r="S39" s="109">
        <f t="shared" si="13"/>
        <v>356.85188946728397</v>
      </c>
      <c r="T39" s="109">
        <f t="shared" si="13"/>
        <v>214.11113368037039</v>
      </c>
      <c r="U39" s="109">
        <f t="shared" si="13"/>
        <v>128.46668020822221</v>
      </c>
      <c r="V39" s="109">
        <f t="shared" si="13"/>
        <v>77.080008124933329</v>
      </c>
      <c r="W39" s="109">
        <f t="shared" si="13"/>
        <v>46.248004874959996</v>
      </c>
      <c r="X39" s="109">
        <f>X36-X37+X38</f>
        <v>27.748802924975998</v>
      </c>
      <c r="Y39" s="109">
        <f>Y36-Y37+Y38</f>
        <v>16.649281754985598</v>
      </c>
      <c r="Z39" s="109">
        <f>Z36-Z37+Z38</f>
        <v>9.9895690529913583</v>
      </c>
      <c r="AA39" s="109">
        <f>AA36-AA37+AA38</f>
        <v>5.993741431794815</v>
      </c>
    </row>
    <row r="40" spans="1:27" s="84" customFormat="1" x14ac:dyDescent="0.25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5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5">
      <c r="A42" s="85" t="str">
        <f>A$24</f>
        <v>Opening asset value</v>
      </c>
      <c r="B42" s="85"/>
      <c r="C42" s="85"/>
      <c r="D42" s="491">
        <f>SUM('Data 2006-08'!D97:F97)/10^3</f>
        <v>0</v>
      </c>
      <c r="E42" s="82">
        <f t="shared" ref="E42:W42" si="14">D45</f>
        <v>793.35275892857135</v>
      </c>
      <c r="F42" s="82">
        <f t="shared" si="14"/>
        <v>8441.9792213010223</v>
      </c>
      <c r="G42" s="82">
        <f t="shared" si="14"/>
        <v>14632.41601316509</v>
      </c>
      <c r="H42" s="82">
        <f t="shared" si="14"/>
        <v>33669.961358558285</v>
      </c>
      <c r="I42" s="82">
        <f t="shared" si="14"/>
        <v>43256.57328172437</v>
      </c>
      <c r="J42" s="82">
        <f t="shared" si="14"/>
        <v>37083.634879458907</v>
      </c>
      <c r="K42" s="82">
        <f t="shared" si="14"/>
        <v>29141.257131818664</v>
      </c>
      <c r="L42" s="82">
        <f t="shared" si="14"/>
        <v>22896.702032143236</v>
      </c>
      <c r="M42" s="82">
        <f t="shared" si="14"/>
        <v>17990.265882398257</v>
      </c>
      <c r="N42" s="82">
        <f t="shared" si="14"/>
        <v>14135.20890759863</v>
      </c>
      <c r="O42" s="82">
        <f t="shared" si="14"/>
        <v>11106.235570256067</v>
      </c>
      <c r="P42" s="82">
        <f t="shared" si="14"/>
        <v>8726.3279480583387</v>
      </c>
      <c r="Q42" s="82">
        <f t="shared" si="14"/>
        <v>6856.4005306172658</v>
      </c>
      <c r="R42" s="82">
        <f t="shared" si="14"/>
        <v>5387.1718454849943</v>
      </c>
      <c r="S42" s="82">
        <f t="shared" si="14"/>
        <v>4232.7778785953524</v>
      </c>
      <c r="T42" s="82">
        <f t="shared" si="14"/>
        <v>3325.7540474677771</v>
      </c>
      <c r="U42" s="82">
        <f t="shared" si="14"/>
        <v>2613.0924658675394</v>
      </c>
      <c r="V42" s="82">
        <f t="shared" si="14"/>
        <v>2053.1440803244955</v>
      </c>
      <c r="W42" s="82">
        <f t="shared" si="14"/>
        <v>1613.184634540675</v>
      </c>
      <c r="X42" s="82">
        <f>W45</f>
        <v>1267.5022128533874</v>
      </c>
      <c r="Y42" s="82">
        <f>X45</f>
        <v>995.89459581337587</v>
      </c>
      <c r="Z42" s="82">
        <f>Y45</f>
        <v>782.48861099622388</v>
      </c>
      <c r="AA42" s="82">
        <f>Z45</f>
        <v>614.81248006846158</v>
      </c>
    </row>
    <row r="43" spans="1:27" s="84" customFormat="1" x14ac:dyDescent="0.25">
      <c r="A43" s="85" t="str">
        <f>A$25</f>
        <v>Depreciation</v>
      </c>
      <c r="B43" s="85"/>
      <c r="C43" s="85"/>
      <c r="D43" s="82">
        <f t="shared" ref="D43:W43" si="15">$D$9*(D42+D44*0.5)</f>
        <v>95.20233107142856</v>
      </c>
      <c r="E43" s="82">
        <f t="shared" si="15"/>
        <v>1108.2398376275512</v>
      </c>
      <c r="F43" s="82">
        <f t="shared" si="15"/>
        <v>2768.927428135933</v>
      </c>
      <c r="G43" s="82">
        <f t="shared" si="15"/>
        <v>5796.2852846068054</v>
      </c>
      <c r="H43" s="82">
        <f t="shared" si="15"/>
        <v>9231.1841568339169</v>
      </c>
      <c r="I43" s="82">
        <f t="shared" si="15"/>
        <v>9640.8249793419927</v>
      </c>
      <c r="J43" s="82">
        <f t="shared" si="15"/>
        <v>7946.9870413533072</v>
      </c>
      <c r="K43" s="82">
        <f t="shared" si="15"/>
        <v>6244.5550996754273</v>
      </c>
      <c r="L43" s="82">
        <f t="shared" si="15"/>
        <v>4906.436149744979</v>
      </c>
      <c r="M43" s="82">
        <f t="shared" si="15"/>
        <v>3855.056974799626</v>
      </c>
      <c r="N43" s="82">
        <f t="shared" si="15"/>
        <v>3028.9733373425634</v>
      </c>
      <c r="O43" s="82">
        <f t="shared" si="15"/>
        <v>2379.9076221977284</v>
      </c>
      <c r="P43" s="82">
        <f t="shared" si="15"/>
        <v>1869.9274174410725</v>
      </c>
      <c r="Q43" s="82">
        <f t="shared" si="15"/>
        <v>1469.228685132271</v>
      </c>
      <c r="R43" s="82">
        <f t="shared" si="15"/>
        <v>1154.3939668896417</v>
      </c>
      <c r="S43" s="82">
        <f t="shared" si="15"/>
        <v>907.02383112757548</v>
      </c>
      <c r="T43" s="82">
        <f t="shared" si="15"/>
        <v>712.66158160023792</v>
      </c>
      <c r="U43" s="82">
        <f t="shared" si="15"/>
        <v>559.94838554304408</v>
      </c>
      <c r="V43" s="82">
        <f t="shared" si="15"/>
        <v>439.95944578382046</v>
      </c>
      <c r="W43" s="82">
        <f t="shared" si="15"/>
        <v>345.6824216872875</v>
      </c>
      <c r="X43" s="82">
        <f>$D$9*(X42+X44*0.5)</f>
        <v>271.60761704001158</v>
      </c>
      <c r="Y43" s="82">
        <f>$D$9*(Y42+Y44*0.5)</f>
        <v>213.40598481715196</v>
      </c>
      <c r="Z43" s="82">
        <f>$D$9*(Z42+Z44*0.5)</f>
        <v>167.67613092776224</v>
      </c>
      <c r="AA43" s="82">
        <f>$D$9*(AA42+AA44*0.5)</f>
        <v>131.74553144324176</v>
      </c>
    </row>
    <row r="44" spans="1:27" s="84" customFormat="1" x14ac:dyDescent="0.25">
      <c r="A44" s="85" t="str">
        <f>A$26</f>
        <v>Gross capex</v>
      </c>
      <c r="B44" s="85"/>
      <c r="C44" s="85"/>
      <c r="D44" s="82">
        <f t="shared" ref="D44:W44" si="16">D19</f>
        <v>888.55508999999995</v>
      </c>
      <c r="E44" s="82">
        <f t="shared" si="16"/>
        <v>8756.8663000000015</v>
      </c>
      <c r="F44" s="82">
        <f t="shared" si="16"/>
        <v>8959.3642199999995</v>
      </c>
      <c r="G44" s="82">
        <f t="shared" si="16"/>
        <v>24833.830630000004</v>
      </c>
      <c r="H44" s="82">
        <f t="shared" si="16"/>
        <v>18817.796080000004</v>
      </c>
      <c r="I44" s="82">
        <f t="shared" si="16"/>
        <v>3467.8865770765328</v>
      </c>
      <c r="J44" s="82">
        <f t="shared" si="16"/>
        <v>4.609293713064134</v>
      </c>
      <c r="K44" s="82">
        <f t="shared" si="16"/>
        <v>0</v>
      </c>
      <c r="L44" s="82">
        <f t="shared" si="16"/>
        <v>0</v>
      </c>
      <c r="M44" s="82">
        <f t="shared" si="16"/>
        <v>0</v>
      </c>
      <c r="N44" s="82">
        <f t="shared" si="16"/>
        <v>0</v>
      </c>
      <c r="O44" s="82">
        <f t="shared" si="16"/>
        <v>0</v>
      </c>
      <c r="P44" s="82">
        <f t="shared" si="16"/>
        <v>0</v>
      </c>
      <c r="Q44" s="82">
        <f t="shared" si="16"/>
        <v>0</v>
      </c>
      <c r="R44" s="82">
        <f t="shared" si="16"/>
        <v>0</v>
      </c>
      <c r="S44" s="82">
        <f t="shared" si="16"/>
        <v>0</v>
      </c>
      <c r="T44" s="82">
        <f t="shared" si="16"/>
        <v>0</v>
      </c>
      <c r="U44" s="82">
        <f t="shared" si="16"/>
        <v>0</v>
      </c>
      <c r="V44" s="82">
        <f t="shared" si="16"/>
        <v>0</v>
      </c>
      <c r="W44" s="82">
        <f t="shared" si="16"/>
        <v>0</v>
      </c>
      <c r="X44" s="82">
        <f>X19</f>
        <v>0</v>
      </c>
      <c r="Y44" s="82">
        <f>Y19</f>
        <v>0</v>
      </c>
      <c r="Z44" s="82">
        <f>Z19</f>
        <v>0</v>
      </c>
      <c r="AA44" s="82">
        <f>AA19</f>
        <v>0</v>
      </c>
    </row>
    <row r="45" spans="1:27" s="84" customFormat="1" x14ac:dyDescent="0.25">
      <c r="A45" s="85" t="str">
        <f>A$27</f>
        <v>Closing asset value</v>
      </c>
      <c r="B45" s="85"/>
      <c r="C45" s="85"/>
      <c r="D45" s="109">
        <f t="shared" ref="D45:W45" si="17">D42-D43+D44</f>
        <v>793.35275892857135</v>
      </c>
      <c r="E45" s="109">
        <f t="shared" si="17"/>
        <v>8441.9792213010223</v>
      </c>
      <c r="F45" s="109">
        <f t="shared" si="17"/>
        <v>14632.41601316509</v>
      </c>
      <c r="G45" s="109">
        <f t="shared" si="17"/>
        <v>33669.961358558285</v>
      </c>
      <c r="H45" s="109">
        <f t="shared" si="17"/>
        <v>43256.57328172437</v>
      </c>
      <c r="I45" s="109">
        <f t="shared" si="17"/>
        <v>37083.634879458907</v>
      </c>
      <c r="J45" s="109">
        <f t="shared" si="17"/>
        <v>29141.257131818664</v>
      </c>
      <c r="K45" s="109">
        <f t="shared" si="17"/>
        <v>22896.702032143236</v>
      </c>
      <c r="L45" s="109">
        <f t="shared" si="17"/>
        <v>17990.265882398257</v>
      </c>
      <c r="M45" s="109">
        <f t="shared" si="17"/>
        <v>14135.20890759863</v>
      </c>
      <c r="N45" s="109">
        <f t="shared" si="17"/>
        <v>11106.235570256067</v>
      </c>
      <c r="O45" s="109">
        <f t="shared" si="17"/>
        <v>8726.3279480583387</v>
      </c>
      <c r="P45" s="109">
        <f t="shared" si="17"/>
        <v>6856.4005306172658</v>
      </c>
      <c r="Q45" s="109">
        <f t="shared" si="17"/>
        <v>5387.1718454849943</v>
      </c>
      <c r="R45" s="109">
        <f t="shared" si="17"/>
        <v>4232.7778785953524</v>
      </c>
      <c r="S45" s="109">
        <f t="shared" si="17"/>
        <v>3325.7540474677771</v>
      </c>
      <c r="T45" s="109">
        <f t="shared" si="17"/>
        <v>2613.0924658675394</v>
      </c>
      <c r="U45" s="109">
        <f t="shared" si="17"/>
        <v>2053.1440803244955</v>
      </c>
      <c r="V45" s="109">
        <f t="shared" si="17"/>
        <v>1613.184634540675</v>
      </c>
      <c r="W45" s="109">
        <f t="shared" si="17"/>
        <v>1267.5022128533874</v>
      </c>
      <c r="X45" s="109">
        <f>X42-X43+X44</f>
        <v>995.89459581337587</v>
      </c>
      <c r="Y45" s="109">
        <f>Y42-Y43+Y44</f>
        <v>782.48861099622388</v>
      </c>
      <c r="Z45" s="109">
        <f>Z42-Z43+Z44</f>
        <v>614.81248006846158</v>
      </c>
      <c r="AA45" s="109">
        <f>AA42-AA43+AA44</f>
        <v>483.06694862521982</v>
      </c>
    </row>
    <row r="46" spans="1:27" s="84" customFormat="1" x14ac:dyDescent="0.25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5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5">
      <c r="A48" s="85" t="str">
        <f>A$24</f>
        <v>Opening asset value</v>
      </c>
      <c r="B48" s="85"/>
      <c r="C48" s="85"/>
      <c r="D48" s="491">
        <f>'Offset of Costs and Rev 2006-08'!F274+SUM('Data 2006-08'!D98:F98)/10^3</f>
        <v>223.50866515143426</v>
      </c>
      <c r="E48" s="82">
        <f t="shared" ref="E48:W48" si="18">D51</f>
        <v>184.06595953647528</v>
      </c>
      <c r="F48" s="82">
        <f t="shared" si="18"/>
        <v>151.58373138297964</v>
      </c>
      <c r="G48" s="82">
        <f t="shared" si="18"/>
        <v>124.83366113892441</v>
      </c>
      <c r="H48" s="82">
        <f t="shared" si="18"/>
        <v>102.80419152617304</v>
      </c>
      <c r="I48" s="82">
        <f t="shared" si="18"/>
        <v>84.662275374495451</v>
      </c>
      <c r="J48" s="82">
        <f t="shared" si="18"/>
        <v>69.721873837819786</v>
      </c>
      <c r="K48" s="82">
        <f t="shared" si="18"/>
        <v>57.418013748792767</v>
      </c>
      <c r="L48" s="82">
        <f t="shared" si="18"/>
        <v>47.285423087241099</v>
      </c>
      <c r="M48" s="82">
        <f t="shared" si="18"/>
        <v>38.940936660080908</v>
      </c>
      <c r="N48" s="82">
        <f t="shared" si="18"/>
        <v>32.069006661243101</v>
      </c>
      <c r="O48" s="82">
        <f t="shared" si="18"/>
        <v>26.409770191611965</v>
      </c>
      <c r="P48" s="82">
        <f t="shared" si="18"/>
        <v>21.749222510739266</v>
      </c>
      <c r="Q48" s="82">
        <f t="shared" si="18"/>
        <v>17.911124420608807</v>
      </c>
      <c r="R48" s="82">
        <f t="shared" si="18"/>
        <v>14.750337758148429</v>
      </c>
      <c r="S48" s="82">
        <f t="shared" si="18"/>
        <v>12.147336977298707</v>
      </c>
      <c r="T48" s="82">
        <f t="shared" si="18"/>
        <v>10.003689275422465</v>
      </c>
      <c r="U48" s="82">
        <f t="shared" si="18"/>
        <v>8.2383323444655598</v>
      </c>
      <c r="V48" s="82">
        <f t="shared" si="18"/>
        <v>6.7845089895598729</v>
      </c>
      <c r="W48" s="82">
        <f t="shared" si="18"/>
        <v>5.5872426972846014</v>
      </c>
      <c r="X48" s="82">
        <f>W51</f>
        <v>4.6012586918814362</v>
      </c>
      <c r="Y48" s="82">
        <f>X51</f>
        <v>3.7892718639023593</v>
      </c>
      <c r="Z48" s="82">
        <f>Y51</f>
        <v>3.1205768290960605</v>
      </c>
      <c r="AA48" s="82">
        <f>Z51</f>
        <v>2.5698868004320499</v>
      </c>
    </row>
    <row r="49" spans="1:27" s="84" customFormat="1" x14ac:dyDescent="0.25">
      <c r="A49" s="85" t="str">
        <f>A$25</f>
        <v>Depreciation</v>
      </c>
      <c r="B49" s="85"/>
      <c r="C49" s="85"/>
      <c r="D49" s="82">
        <f t="shared" ref="D49:W49" si="19">$D$10*(D48+D50*0.5)</f>
        <v>39.442705614958982</v>
      </c>
      <c r="E49" s="82">
        <f t="shared" si="19"/>
        <v>32.482228153495633</v>
      </c>
      <c r="F49" s="82">
        <f t="shared" si="19"/>
        <v>26.750070244055227</v>
      </c>
      <c r="G49" s="82">
        <f t="shared" si="19"/>
        <v>22.029469612751363</v>
      </c>
      <c r="H49" s="82">
        <f t="shared" si="19"/>
        <v>18.141916151677595</v>
      </c>
      <c r="I49" s="82">
        <f t="shared" si="19"/>
        <v>14.940401536675667</v>
      </c>
      <c r="J49" s="82">
        <f t="shared" si="19"/>
        <v>12.303860089027021</v>
      </c>
      <c r="K49" s="82">
        <f t="shared" si="19"/>
        <v>10.132590661551664</v>
      </c>
      <c r="L49" s="82">
        <f t="shared" si="19"/>
        <v>8.3444864271601933</v>
      </c>
      <c r="M49" s="82">
        <f t="shared" si="19"/>
        <v>6.8719299988378069</v>
      </c>
      <c r="N49" s="82">
        <f t="shared" si="19"/>
        <v>5.6592364696311348</v>
      </c>
      <c r="O49" s="82">
        <f t="shared" si="19"/>
        <v>4.6605476808726998</v>
      </c>
      <c r="P49" s="82">
        <f t="shared" si="19"/>
        <v>3.8380980901304582</v>
      </c>
      <c r="Q49" s="82">
        <f t="shared" si="19"/>
        <v>3.1607866624603775</v>
      </c>
      <c r="R49" s="82">
        <f t="shared" si="19"/>
        <v>2.6030007808497224</v>
      </c>
      <c r="S49" s="82">
        <f t="shared" si="19"/>
        <v>2.1436477018762421</v>
      </c>
      <c r="T49" s="82">
        <f t="shared" si="19"/>
        <v>1.7653569309569055</v>
      </c>
      <c r="U49" s="82">
        <f t="shared" si="19"/>
        <v>1.4538233549056869</v>
      </c>
      <c r="V49" s="82">
        <f t="shared" si="19"/>
        <v>1.1972662922752715</v>
      </c>
      <c r="W49" s="82">
        <f t="shared" si="19"/>
        <v>0.98598400540316489</v>
      </c>
      <c r="X49" s="82">
        <f>$D$10*(X48+X50*0.5)</f>
        <v>0.81198682797907695</v>
      </c>
      <c r="Y49" s="82">
        <f>$D$10*(Y48+Y50*0.5)</f>
        <v>0.66869503480629866</v>
      </c>
      <c r="Z49" s="82">
        <f>$D$10*(Z48+Z50*0.5)</f>
        <v>0.55069002866401062</v>
      </c>
      <c r="AA49" s="82">
        <f>$D$10*(AA48+AA50*0.5)</f>
        <v>0.4535094353703617</v>
      </c>
    </row>
    <row r="50" spans="1:27" s="84" customFormat="1" x14ac:dyDescent="0.25">
      <c r="A50" s="85" t="str">
        <f>A$26</f>
        <v>Gross capex</v>
      </c>
      <c r="B50" s="85"/>
      <c r="C50" s="85"/>
      <c r="D50" s="82">
        <f t="shared" ref="D50:W50" si="20">D20</f>
        <v>0</v>
      </c>
      <c r="E50" s="82">
        <f t="shared" si="20"/>
        <v>0</v>
      </c>
      <c r="F50" s="82">
        <f t="shared" si="20"/>
        <v>0</v>
      </c>
      <c r="G50" s="82">
        <f t="shared" si="20"/>
        <v>0</v>
      </c>
      <c r="H50" s="82">
        <f t="shared" si="20"/>
        <v>0</v>
      </c>
      <c r="I50" s="82">
        <f t="shared" si="20"/>
        <v>0</v>
      </c>
      <c r="J50" s="82">
        <f t="shared" si="20"/>
        <v>0</v>
      </c>
      <c r="K50" s="82">
        <f t="shared" si="20"/>
        <v>0</v>
      </c>
      <c r="L50" s="82">
        <f t="shared" si="20"/>
        <v>0</v>
      </c>
      <c r="M50" s="82">
        <f t="shared" si="20"/>
        <v>0</v>
      </c>
      <c r="N50" s="82">
        <f t="shared" si="20"/>
        <v>0</v>
      </c>
      <c r="O50" s="82">
        <f t="shared" si="20"/>
        <v>0</v>
      </c>
      <c r="P50" s="82">
        <f t="shared" si="20"/>
        <v>0</v>
      </c>
      <c r="Q50" s="82">
        <f t="shared" si="20"/>
        <v>0</v>
      </c>
      <c r="R50" s="82">
        <f t="shared" si="20"/>
        <v>0</v>
      </c>
      <c r="S50" s="82">
        <f t="shared" si="20"/>
        <v>0</v>
      </c>
      <c r="T50" s="82">
        <f t="shared" si="20"/>
        <v>0</v>
      </c>
      <c r="U50" s="82">
        <f t="shared" si="20"/>
        <v>0</v>
      </c>
      <c r="V50" s="82">
        <f t="shared" si="20"/>
        <v>0</v>
      </c>
      <c r="W50" s="82">
        <f t="shared" si="20"/>
        <v>0</v>
      </c>
      <c r="X50" s="82">
        <f>X20</f>
        <v>0</v>
      </c>
      <c r="Y50" s="82">
        <f>Y20</f>
        <v>0</v>
      </c>
      <c r="Z50" s="82">
        <f>Z20</f>
        <v>0</v>
      </c>
      <c r="AA50" s="82">
        <f>AA20</f>
        <v>0</v>
      </c>
    </row>
    <row r="51" spans="1:27" s="84" customFormat="1" x14ac:dyDescent="0.25">
      <c r="A51" s="85" t="str">
        <f>A$27</f>
        <v>Closing asset value</v>
      </c>
      <c r="B51" s="85"/>
      <c r="C51" s="85"/>
      <c r="D51" s="109">
        <f t="shared" ref="D51:W51" si="21">D48-D49+D50</f>
        <v>184.06595953647528</v>
      </c>
      <c r="E51" s="109">
        <f t="shared" si="21"/>
        <v>151.58373138297964</v>
      </c>
      <c r="F51" s="109">
        <f t="shared" si="21"/>
        <v>124.83366113892441</v>
      </c>
      <c r="G51" s="109">
        <f t="shared" si="21"/>
        <v>102.80419152617304</v>
      </c>
      <c r="H51" s="109">
        <f t="shared" si="21"/>
        <v>84.662275374495451</v>
      </c>
      <c r="I51" s="109">
        <f t="shared" si="21"/>
        <v>69.721873837819786</v>
      </c>
      <c r="J51" s="109">
        <f t="shared" si="21"/>
        <v>57.418013748792767</v>
      </c>
      <c r="K51" s="109">
        <f t="shared" si="21"/>
        <v>47.285423087241099</v>
      </c>
      <c r="L51" s="109">
        <f t="shared" si="21"/>
        <v>38.940936660080908</v>
      </c>
      <c r="M51" s="109">
        <f t="shared" si="21"/>
        <v>32.069006661243101</v>
      </c>
      <c r="N51" s="109">
        <f t="shared" si="21"/>
        <v>26.409770191611965</v>
      </c>
      <c r="O51" s="109">
        <f t="shared" si="21"/>
        <v>21.749222510739266</v>
      </c>
      <c r="P51" s="109">
        <f t="shared" si="21"/>
        <v>17.911124420608807</v>
      </c>
      <c r="Q51" s="109">
        <f t="shared" si="21"/>
        <v>14.750337758148429</v>
      </c>
      <c r="R51" s="109">
        <f t="shared" si="21"/>
        <v>12.147336977298707</v>
      </c>
      <c r="S51" s="109">
        <f t="shared" si="21"/>
        <v>10.003689275422465</v>
      </c>
      <c r="T51" s="109">
        <f t="shared" si="21"/>
        <v>8.2383323444655598</v>
      </c>
      <c r="U51" s="109">
        <f t="shared" si="21"/>
        <v>6.7845089895598729</v>
      </c>
      <c r="V51" s="109">
        <f t="shared" si="21"/>
        <v>5.5872426972846014</v>
      </c>
      <c r="W51" s="109">
        <f t="shared" si="21"/>
        <v>4.6012586918814362</v>
      </c>
      <c r="X51" s="109">
        <f>X48-X49+X50</f>
        <v>3.7892718639023593</v>
      </c>
      <c r="Y51" s="109">
        <f>Y48-Y49+Y50</f>
        <v>3.1205768290960605</v>
      </c>
      <c r="Z51" s="109">
        <f>Z48-Z49+Z50</f>
        <v>2.5698868004320499</v>
      </c>
      <c r="AA51" s="109">
        <f>AA48-AA49+AA50</f>
        <v>2.1163773650616884</v>
      </c>
    </row>
    <row r="52" spans="1:27" s="84" customFormat="1" x14ac:dyDescent="0.25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5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5">
      <c r="A54" s="455" t="s">
        <v>44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4" customFormat="1" x14ac:dyDescent="0.25">
      <c r="A55" s="85" t="str">
        <f>A$24</f>
        <v>Opening asset value</v>
      </c>
      <c r="B55" s="85"/>
      <c r="C55" s="85"/>
      <c r="D55" s="82">
        <f t="shared" ref="D55:W55" si="23">SUM(D24,D30,D36,D42,D48)</f>
        <v>26957.142252657191</v>
      </c>
      <c r="E55" s="82">
        <f t="shared" si="23"/>
        <v>47626.06912469276</v>
      </c>
      <c r="F55" s="82">
        <f t="shared" si="23"/>
        <v>101589.84268268108</v>
      </c>
      <c r="G55" s="82">
        <f t="shared" si="23"/>
        <v>155648.98233414988</v>
      </c>
      <c r="H55" s="82">
        <f t="shared" si="23"/>
        <v>214575.96715750147</v>
      </c>
      <c r="I55" s="82">
        <f t="shared" si="23"/>
        <v>239156.55237035433</v>
      </c>
      <c r="J55" s="82">
        <f t="shared" si="23"/>
        <v>196674.11832824419</v>
      </c>
      <c r="K55" s="82">
        <f t="shared" si="23"/>
        <v>149941.59649211096</v>
      </c>
      <c r="L55" s="82">
        <f t="shared" si="23"/>
        <v>97523.061624544862</v>
      </c>
      <c r="M55" s="82">
        <f t="shared" si="23"/>
        <v>64109.977171514642</v>
      </c>
      <c r="N55" s="82">
        <f t="shared" si="23"/>
        <v>42649.068782525952</v>
      </c>
      <c r="O55" s="82">
        <f t="shared" si="23"/>
        <v>28742.550271902513</v>
      </c>
      <c r="P55" s="82">
        <f t="shared" si="23"/>
        <v>19639.539136001473</v>
      </c>
      <c r="Q55" s="82">
        <f t="shared" si="23"/>
        <v>13612.638213396993</v>
      </c>
      <c r="R55" s="82">
        <f t="shared" si="23"/>
        <v>9572.0739801959171</v>
      </c>
      <c r="S55" s="82">
        <f t="shared" si="23"/>
        <v>6826.488707455128</v>
      </c>
      <c r="T55" s="82">
        <f t="shared" si="23"/>
        <v>4934.3660904419439</v>
      </c>
      <c r="U55" s="82">
        <f t="shared" si="23"/>
        <v>3611.5397220370382</v>
      </c>
      <c r="V55" s="82">
        <f t="shared" si="23"/>
        <v>2673.456388362692</v>
      </c>
      <c r="W55" s="82">
        <f t="shared" si="23"/>
        <v>1999.0150846381521</v>
      </c>
      <c r="X55" s="82">
        <f t="shared" ref="X55:AA58" si="24">SUM(X24,X30,X36,X42,X48)</f>
        <v>1507.8284759672656</v>
      </c>
      <c r="Y55" s="82">
        <f t="shared" si="24"/>
        <v>1145.8557953191521</v>
      </c>
      <c r="Z55" s="82">
        <f t="shared" si="24"/>
        <v>876.27292252836685</v>
      </c>
      <c r="AA55" s="82">
        <f t="shared" si="24"/>
        <v>673.63096901442327</v>
      </c>
    </row>
    <row r="56" spans="1:27" s="84" customFormat="1" x14ac:dyDescent="0.25">
      <c r="A56" s="85" t="str">
        <f>A$25</f>
        <v>Depreciation</v>
      </c>
      <c r="B56" s="85"/>
      <c r="C56" s="85"/>
      <c r="D56" s="82">
        <f t="shared" ref="D56:W56" si="25">SUM(D25,D31,D37,D43,D49)</f>
        <v>17924.793563463867</v>
      </c>
      <c r="E56" s="82">
        <f t="shared" si="25"/>
        <v>34884.31047574972</v>
      </c>
      <c r="F56" s="82">
        <f t="shared" si="25"/>
        <v>58635.296516567265</v>
      </c>
      <c r="G56" s="82">
        <f t="shared" si="25"/>
        <v>81911.417257554276</v>
      </c>
      <c r="H56" s="82">
        <f t="shared" si="25"/>
        <v>97792.916413917992</v>
      </c>
      <c r="I56" s="82">
        <f t="shared" si="25"/>
        <v>92912.245974699108</v>
      </c>
      <c r="J56" s="82">
        <f t="shared" si="25"/>
        <v>73873.587120299839</v>
      </c>
      <c r="K56" s="82">
        <f t="shared" si="25"/>
        <v>52418.534867566086</v>
      </c>
      <c r="L56" s="82">
        <f t="shared" si="25"/>
        <v>33413.084453030213</v>
      </c>
      <c r="M56" s="82">
        <f t="shared" si="25"/>
        <v>21460.908388988686</v>
      </c>
      <c r="N56" s="82">
        <f t="shared" si="25"/>
        <v>13906.51851062344</v>
      </c>
      <c r="O56" s="82">
        <f t="shared" si="25"/>
        <v>9103.0111359010425</v>
      </c>
      <c r="P56" s="82">
        <f t="shared" si="25"/>
        <v>6026.9009226044773</v>
      </c>
      <c r="Q56" s="82">
        <f t="shared" si="25"/>
        <v>4040.5642332010771</v>
      </c>
      <c r="R56" s="82">
        <f t="shared" si="25"/>
        <v>2745.5852727407869</v>
      </c>
      <c r="S56" s="82">
        <f t="shared" si="25"/>
        <v>1892.1226170131843</v>
      </c>
      <c r="T56" s="82">
        <f t="shared" si="25"/>
        <v>1322.8263684049061</v>
      </c>
      <c r="U56" s="82">
        <f t="shared" si="25"/>
        <v>938.08333367434659</v>
      </c>
      <c r="V56" s="82">
        <f t="shared" si="25"/>
        <v>674.44130372454003</v>
      </c>
      <c r="W56" s="82">
        <f t="shared" si="25"/>
        <v>491.18660867088613</v>
      </c>
      <c r="X56" s="82">
        <f t="shared" si="24"/>
        <v>361.97268064811345</v>
      </c>
      <c r="Y56" s="82">
        <f t="shared" si="24"/>
        <v>269.58287279078547</v>
      </c>
      <c r="Z56" s="82">
        <f t="shared" si="24"/>
        <v>202.64195351394346</v>
      </c>
      <c r="AA56" s="82">
        <f t="shared" si="24"/>
        <v>153.54200590951052</v>
      </c>
    </row>
    <row r="57" spans="1:27" s="84" customFormat="1" x14ac:dyDescent="0.25">
      <c r="A57" s="85" t="str">
        <f>A$26</f>
        <v>Gross capex</v>
      </c>
      <c r="B57" s="85"/>
      <c r="C57" s="85"/>
      <c r="D57" s="82">
        <f t="shared" ref="D57:W57" si="26">SUM(D26,D32,D38,D44,D50)</f>
        <v>38593.720435499439</v>
      </c>
      <c r="E57" s="82">
        <f t="shared" si="26"/>
        <v>88848.084033738036</v>
      </c>
      <c r="F57" s="82">
        <f t="shared" si="26"/>
        <v>112694.4361680361</v>
      </c>
      <c r="G57" s="82">
        <f t="shared" si="26"/>
        <v>140838.40208090586</v>
      </c>
      <c r="H57" s="82">
        <f t="shared" si="26"/>
        <v>122373.5016267709</v>
      </c>
      <c r="I57" s="82">
        <f t="shared" si="26"/>
        <v>50429.811932588949</v>
      </c>
      <c r="J57" s="82">
        <f t="shared" si="26"/>
        <v>27141.065284166569</v>
      </c>
      <c r="K57" s="82">
        <f t="shared" si="26"/>
        <v>0</v>
      </c>
      <c r="L57" s="82">
        <f t="shared" si="26"/>
        <v>0</v>
      </c>
      <c r="M57" s="82">
        <f t="shared" si="26"/>
        <v>0</v>
      </c>
      <c r="N57" s="82">
        <f t="shared" si="26"/>
        <v>0</v>
      </c>
      <c r="O57" s="82">
        <f t="shared" si="26"/>
        <v>0</v>
      </c>
      <c r="P57" s="82">
        <f t="shared" si="26"/>
        <v>0</v>
      </c>
      <c r="Q57" s="82">
        <f t="shared" si="26"/>
        <v>0</v>
      </c>
      <c r="R57" s="82">
        <f t="shared" si="26"/>
        <v>0</v>
      </c>
      <c r="S57" s="82">
        <f t="shared" si="26"/>
        <v>0</v>
      </c>
      <c r="T57" s="82">
        <f t="shared" si="26"/>
        <v>0</v>
      </c>
      <c r="U57" s="82">
        <f t="shared" si="26"/>
        <v>0</v>
      </c>
      <c r="V57" s="82">
        <f t="shared" si="26"/>
        <v>0</v>
      </c>
      <c r="W57" s="82">
        <f t="shared" si="26"/>
        <v>0</v>
      </c>
      <c r="X57" s="82">
        <f t="shared" si="24"/>
        <v>0</v>
      </c>
      <c r="Y57" s="82">
        <f t="shared" si="24"/>
        <v>0</v>
      </c>
      <c r="Z57" s="82">
        <f t="shared" si="24"/>
        <v>0</v>
      </c>
      <c r="AA57" s="82">
        <f t="shared" si="24"/>
        <v>0</v>
      </c>
    </row>
    <row r="58" spans="1:27" s="84" customFormat="1" x14ac:dyDescent="0.25">
      <c r="A58" s="85" t="str">
        <f>A$27</f>
        <v>Closing asset value</v>
      </c>
      <c r="B58" s="85"/>
      <c r="C58" s="85"/>
      <c r="D58" s="109">
        <f t="shared" ref="D58:W58" si="27">SUM(D27,D33,D39,D45,D51)</f>
        <v>47626.06912469276</v>
      </c>
      <c r="E58" s="109">
        <f t="shared" si="27"/>
        <v>101589.84268268108</v>
      </c>
      <c r="F58" s="109">
        <f t="shared" si="27"/>
        <v>155648.98233414988</v>
      </c>
      <c r="G58" s="109">
        <f t="shared" si="27"/>
        <v>214575.96715750147</v>
      </c>
      <c r="H58" s="109">
        <f t="shared" si="27"/>
        <v>239156.55237035433</v>
      </c>
      <c r="I58" s="109">
        <f t="shared" si="27"/>
        <v>196674.11832824419</v>
      </c>
      <c r="J58" s="109">
        <f t="shared" si="27"/>
        <v>149941.59649211096</v>
      </c>
      <c r="K58" s="109">
        <f t="shared" si="27"/>
        <v>97523.061624544862</v>
      </c>
      <c r="L58" s="109">
        <f t="shared" si="27"/>
        <v>64109.977171514642</v>
      </c>
      <c r="M58" s="109">
        <f t="shared" si="27"/>
        <v>42649.068782525952</v>
      </c>
      <c r="N58" s="109">
        <f t="shared" si="27"/>
        <v>28742.550271902513</v>
      </c>
      <c r="O58" s="109">
        <f t="shared" si="27"/>
        <v>19639.539136001473</v>
      </c>
      <c r="P58" s="109">
        <f t="shared" si="27"/>
        <v>13612.638213396993</v>
      </c>
      <c r="Q58" s="109">
        <f t="shared" si="27"/>
        <v>9572.0739801959171</v>
      </c>
      <c r="R58" s="109">
        <f t="shared" si="27"/>
        <v>6826.488707455128</v>
      </c>
      <c r="S58" s="109">
        <f t="shared" si="27"/>
        <v>4934.3660904419439</v>
      </c>
      <c r="T58" s="109">
        <f t="shared" si="27"/>
        <v>3611.5397220370382</v>
      </c>
      <c r="U58" s="109">
        <f t="shared" si="27"/>
        <v>2673.456388362692</v>
      </c>
      <c r="V58" s="109">
        <f t="shared" si="27"/>
        <v>1999.0150846381521</v>
      </c>
      <c r="W58" s="109">
        <f t="shared" si="27"/>
        <v>1507.8284759672656</v>
      </c>
      <c r="X58" s="109">
        <f t="shared" si="24"/>
        <v>1145.8557953191521</v>
      </c>
      <c r="Y58" s="109">
        <f t="shared" si="24"/>
        <v>876.27292252836685</v>
      </c>
      <c r="Z58" s="109">
        <f t="shared" si="24"/>
        <v>673.63096901442327</v>
      </c>
      <c r="AA58" s="109">
        <f t="shared" si="24"/>
        <v>520.08896310491275</v>
      </c>
    </row>
    <row r="59" spans="1:27" s="84" customFormat="1" x14ac:dyDescent="0.25">
      <c r="A59" s="560" t="s">
        <v>0</v>
      </c>
      <c r="B59" s="556"/>
      <c r="C59" s="556">
        <f>SUM(D59:AA59)</f>
        <v>1.5450041246367618E-10</v>
      </c>
      <c r="D59" s="559">
        <f>ABS(D55-D56+D57-D58)</f>
        <v>0</v>
      </c>
      <c r="E59" s="559">
        <f t="shared" ref="E59:W59" si="28">ABS(E55-E56+E57-E58)</f>
        <v>0</v>
      </c>
      <c r="F59" s="559">
        <f t="shared" si="28"/>
        <v>2.9103830456733704E-11</v>
      </c>
      <c r="G59" s="559">
        <f t="shared" si="28"/>
        <v>0</v>
      </c>
      <c r="H59" s="559">
        <f t="shared" si="28"/>
        <v>2.9103830456733704E-11</v>
      </c>
      <c r="I59" s="559">
        <f t="shared" si="28"/>
        <v>2.9103830456733704E-11</v>
      </c>
      <c r="J59" s="559">
        <f t="shared" si="28"/>
        <v>2.9103830456733704E-11</v>
      </c>
      <c r="K59" s="559">
        <f t="shared" si="28"/>
        <v>1.4551915228366852E-11</v>
      </c>
      <c r="L59" s="559">
        <f t="shared" si="28"/>
        <v>7.2759576141834259E-12</v>
      </c>
      <c r="M59" s="559">
        <f t="shared" si="28"/>
        <v>0</v>
      </c>
      <c r="N59" s="559">
        <f t="shared" si="28"/>
        <v>3.637978807091713E-12</v>
      </c>
      <c r="O59" s="559">
        <f t="shared" si="28"/>
        <v>3.637978807091713E-12</v>
      </c>
      <c r="P59" s="559">
        <f t="shared" si="28"/>
        <v>3.637978807091713E-12</v>
      </c>
      <c r="Q59" s="559">
        <f t="shared" si="28"/>
        <v>1.8189894035458565E-12</v>
      </c>
      <c r="R59" s="559">
        <f t="shared" si="28"/>
        <v>1.8189894035458565E-12</v>
      </c>
      <c r="S59" s="559">
        <f t="shared" si="28"/>
        <v>0</v>
      </c>
      <c r="T59" s="559">
        <f t="shared" si="28"/>
        <v>4.5474735088646412E-13</v>
      </c>
      <c r="U59" s="559">
        <f t="shared" si="28"/>
        <v>4.5474735088646412E-13</v>
      </c>
      <c r="V59" s="559">
        <f t="shared" si="28"/>
        <v>0</v>
      </c>
      <c r="W59" s="559">
        <f t="shared" si="28"/>
        <v>4.5474735088646412E-13</v>
      </c>
      <c r="X59" s="559">
        <f>ABS(X55-X56+X57-X58)</f>
        <v>0</v>
      </c>
      <c r="Y59" s="559">
        <f>ABS(Y55-Y56+Y57-Y58)</f>
        <v>2.2737367544323206E-13</v>
      </c>
      <c r="Z59" s="559">
        <f>ABS(Z55-Z56+Z57-Z58)</f>
        <v>1.1368683772161603E-13</v>
      </c>
      <c r="AA59" s="559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zoomScaleNormal="85" workbookViewId="0">
      <pane ySplit="1" topLeftCell="A2" activePane="bottomLeft" state="frozen"/>
      <selection pane="bottomLeft" activeCell="J6" sqref="J6"/>
    </sheetView>
  </sheetViews>
  <sheetFormatPr defaultColWidth="9.109375" defaultRowHeight="13.2" outlineLevelRow="1" x14ac:dyDescent="0.25"/>
  <cols>
    <col min="1" max="1" width="44.6640625" style="84" customWidth="1"/>
    <col min="2" max="2" width="14.33203125" style="84" customWidth="1"/>
    <col min="3" max="3" width="12.109375" style="84" customWidth="1"/>
    <col min="4" max="16" width="9" style="84" customWidth="1"/>
    <col min="17" max="16384" width="9.109375" style="84"/>
  </cols>
  <sheetData>
    <row r="1" spans="1:27" x14ac:dyDescent="0.25">
      <c r="A1" s="554" t="str">
        <f>'Data 2006-08'!$A$1</f>
        <v>SP AusNet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5">
      <c r="C2" s="783">
        <f>SUM(C14,C77,C85,C129,C174)</f>
        <v>0</v>
      </c>
    </row>
    <row r="3" spans="1:27" s="461" customFormat="1" x14ac:dyDescent="0.25">
      <c r="A3" s="460" t="s">
        <v>313</v>
      </c>
      <c r="B3" s="460"/>
      <c r="C3" s="460"/>
      <c r="D3" s="84"/>
      <c r="E3" s="84"/>
      <c r="F3" s="84"/>
      <c r="G3" s="84"/>
    </row>
    <row r="4" spans="1:27" s="461" customFormat="1" x14ac:dyDescent="0.25">
      <c r="A4" s="409" t="s">
        <v>288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5">
      <c r="A5" s="73" t="s">
        <v>314</v>
      </c>
      <c r="B5" s="73"/>
      <c r="C5" s="73"/>
      <c r="D5" s="82">
        <f>D82+D126</f>
        <v>35558.60899050966</v>
      </c>
      <c r="E5" s="82">
        <f>D10</f>
        <v>62524.811451729693</v>
      </c>
      <c r="F5" s="82">
        <f>E10</f>
        <v>127662.51649455568</v>
      </c>
      <c r="G5" s="82">
        <f t="shared" ref="G5:W5" si="1">F10</f>
        <v>202338.86487574229</v>
      </c>
      <c r="H5" s="82">
        <f t="shared" si="1"/>
        <v>288058.74556692177</v>
      </c>
      <c r="I5" s="82">
        <f t="shared" si="1"/>
        <v>344889.6496516859</v>
      </c>
      <c r="J5" s="82">
        <f t="shared" si="1"/>
        <v>342215.09555859014</v>
      </c>
      <c r="K5" s="82">
        <f t="shared" si="1"/>
        <v>317149.63336324214</v>
      </c>
      <c r="L5" s="82">
        <f t="shared" si="1"/>
        <v>270770.81602898787</v>
      </c>
      <c r="M5" s="82">
        <f t="shared" si="1"/>
        <v>229449.83453143016</v>
      </c>
      <c r="N5" s="82">
        <f t="shared" si="1"/>
        <v>193430.48020285106</v>
      </c>
      <c r="O5" s="82">
        <f t="shared" si="1"/>
        <v>162639.7555363306</v>
      </c>
      <c r="P5" s="82">
        <f t="shared" si="1"/>
        <v>136697.67197219218</v>
      </c>
      <c r="Q5" s="82">
        <f t="shared" si="1"/>
        <v>113233.05021968648</v>
      </c>
      <c r="R5" s="82">
        <f t="shared" si="1"/>
        <v>91856.597674658231</v>
      </c>
      <c r="S5" s="82">
        <f t="shared" si="1"/>
        <v>71815.208939934848</v>
      </c>
      <c r="T5" s="82">
        <f t="shared" si="1"/>
        <v>51812.481212443497</v>
      </c>
      <c r="U5" s="82">
        <f t="shared" si="1"/>
        <v>32779.438174017938</v>
      </c>
      <c r="V5" s="82">
        <f t="shared" si="1"/>
        <v>17125.606122677156</v>
      </c>
      <c r="W5" s="82">
        <f t="shared" si="1"/>
        <v>6590.3575232312123</v>
      </c>
      <c r="X5" s="82">
        <f>W10</f>
        <v>1456.1328175183571</v>
      </c>
      <c r="Y5" s="82">
        <f>X10</f>
        <v>127.16716910326386</v>
      </c>
      <c r="Z5" s="82">
        <f>Y10</f>
        <v>-6.957634468562901E-11</v>
      </c>
      <c r="AA5" s="82">
        <f>Z10</f>
        <v>-6.957634468562901E-11</v>
      </c>
    </row>
    <row r="6" spans="1:27" s="461" customFormat="1" x14ac:dyDescent="0.25">
      <c r="A6" s="73" t="s">
        <v>315</v>
      </c>
      <c r="B6" s="73"/>
      <c r="C6" s="73"/>
      <c r="D6" s="82">
        <f>'Data 2009-15 (Real $2008)'!D16/10^3</f>
        <v>36762.546913334598</v>
      </c>
      <c r="E6" s="82">
        <f>'Data 2009-15 (Real $2008)'!E16/10^3</f>
        <v>83578.328159850847</v>
      </c>
      <c r="F6" s="82">
        <f>'Data 2009-15 (Real $2008)'!F16/10^3</f>
        <v>103135.24279429039</v>
      </c>
      <c r="G6" s="82">
        <f>'Data 2009-15 (Real $2008)'!G16/10^3</f>
        <v>124509.31198456895</v>
      </c>
      <c r="H6" s="82">
        <f>'Data 2009-15 (Real $2008)'!H16/10^3</f>
        <v>106059.82221512143</v>
      </c>
      <c r="I6" s="82">
        <f>'Data 2009-15 (Real $2008)'!I16/10^3</f>
        <v>42782.414866668769</v>
      </c>
      <c r="J6" s="82">
        <f>'Data 2009-15 (Real $2008)'!J16/10^3</f>
        <v>22505.908417368046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5">
      <c r="A7" s="73" t="s">
        <v>4</v>
      </c>
      <c r="B7" s="73"/>
      <c r="C7" s="73"/>
      <c r="D7" s="82">
        <f>'Data 2009-15 (Real $2008)'!D40/10^3</f>
        <v>0</v>
      </c>
      <c r="E7" s="82">
        <f>'Data 2009-15 (Real $2008)'!E40/10^3</f>
        <v>0</v>
      </c>
      <c r="F7" s="82">
        <f>'Data 2009-15 (Real $2008)'!F40/10^3</f>
        <v>0</v>
      </c>
      <c r="G7" s="82">
        <f>'Data 2009-15 (Real $2008)'!G40/10^3</f>
        <v>0</v>
      </c>
      <c r="H7" s="82">
        <f>'Data 2009-15 (Real $2008)'!H40/10^3</f>
        <v>0</v>
      </c>
      <c r="I7" s="82">
        <f>'Data 2009-15 (Real $2008)'!I40/10^3</f>
        <v>0</v>
      </c>
      <c r="J7" s="82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5">
      <c r="A8" s="84" t="s">
        <v>5</v>
      </c>
      <c r="B8" s="84"/>
      <c r="C8" s="84"/>
      <c r="D8" s="82">
        <f>'Data 2009-15 (Real $2008)'!D49/10^3</f>
        <v>0</v>
      </c>
      <c r="E8" s="82">
        <f>'Data 2009-15 (Real $2008)'!E49/10^3</f>
        <v>0</v>
      </c>
      <c r="F8" s="82">
        <f>'Data 2009-15 (Real $2008)'!F49/10^3</f>
        <v>0</v>
      </c>
      <c r="G8" s="82">
        <f>'Data 2009-15 (Real $2008)'!G49/10^3</f>
        <v>0</v>
      </c>
      <c r="H8" s="82">
        <f>'Data 2009-15 (Real $2008)'!H49/10^3</f>
        <v>0</v>
      </c>
      <c r="I8" s="82">
        <f>'Data 2009-15 (Real $2008)'!I49/10^3</f>
        <v>0</v>
      </c>
      <c r="J8" s="82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5">
      <c r="A9" s="73" t="s">
        <v>136</v>
      </c>
      <c r="B9" s="73"/>
      <c r="C9" s="73"/>
      <c r="D9" s="82">
        <f>SUM(D83,D127,D172)</f>
        <v>9796.3444521145611</v>
      </c>
      <c r="E9" s="82">
        <f t="shared" ref="E9:W9" si="2">SUM(E83,E127,E172)</f>
        <v>18440.62311702485</v>
      </c>
      <c r="F9" s="82">
        <f t="shared" si="2"/>
        <v>28458.894413103757</v>
      </c>
      <c r="G9" s="82">
        <f t="shared" si="2"/>
        <v>38789.431293389469</v>
      </c>
      <c r="H9" s="82">
        <f t="shared" si="2"/>
        <v>49228.918130357306</v>
      </c>
      <c r="I9" s="82">
        <f t="shared" si="2"/>
        <v>45456.968959764505</v>
      </c>
      <c r="J9" s="82">
        <f t="shared" si="2"/>
        <v>47571.370612716055</v>
      </c>
      <c r="K9" s="82">
        <f t="shared" si="2"/>
        <v>46378.817334254272</v>
      </c>
      <c r="L9" s="82">
        <f t="shared" si="2"/>
        <v>41320.981497557703</v>
      </c>
      <c r="M9" s="82">
        <f t="shared" si="2"/>
        <v>36019.354328579095</v>
      </c>
      <c r="N9" s="82">
        <f t="shared" si="2"/>
        <v>30790.724666520458</v>
      </c>
      <c r="O9" s="82">
        <f t="shared" si="2"/>
        <v>25942.083564138415</v>
      </c>
      <c r="P9" s="82">
        <f t="shared" si="2"/>
        <v>23464.621752505696</v>
      </c>
      <c r="Q9" s="82">
        <f t="shared" si="2"/>
        <v>21376.452545028245</v>
      </c>
      <c r="R9" s="82">
        <f t="shared" si="2"/>
        <v>20041.388734723387</v>
      </c>
      <c r="S9" s="82">
        <f t="shared" si="2"/>
        <v>20002.727727491354</v>
      </c>
      <c r="T9" s="82">
        <f t="shared" si="2"/>
        <v>19033.04303842556</v>
      </c>
      <c r="U9" s="82">
        <f t="shared" si="2"/>
        <v>15653.832051340783</v>
      </c>
      <c r="V9" s="82">
        <f t="shared" si="2"/>
        <v>10535.248599445944</v>
      </c>
      <c r="W9" s="82">
        <f t="shared" si="2"/>
        <v>5134.2247057128552</v>
      </c>
      <c r="X9" s="82">
        <f>SUM(X83,X127,X172)</f>
        <v>1328.9656484150933</v>
      </c>
      <c r="Y9" s="82">
        <f>SUM(Y83,Y127,Y172)</f>
        <v>127.16716910333344</v>
      </c>
      <c r="Z9" s="82">
        <f>SUM(Z83,Z127,Z172)</f>
        <v>0</v>
      </c>
      <c r="AA9" s="82">
        <f>SUM(AA83,AA127,AA172)</f>
        <v>0</v>
      </c>
    </row>
    <row r="10" spans="1:27" s="461" customFormat="1" x14ac:dyDescent="0.25">
      <c r="A10" s="73" t="s">
        <v>316</v>
      </c>
      <c r="B10" s="73"/>
      <c r="C10" s="73"/>
      <c r="D10" s="109">
        <f>D5+D6-SUM(D7:D9)</f>
        <v>62524.811451729693</v>
      </c>
      <c r="E10" s="109">
        <f>E5+E6-SUM(E7:E9)</f>
        <v>127662.51649455568</v>
      </c>
      <c r="F10" s="109">
        <f>F5+F6-SUM(F7:F9)</f>
        <v>202338.86487574229</v>
      </c>
      <c r="G10" s="109">
        <f t="shared" ref="G10:W10" si="3">G5+G6-SUM(G7:G9)</f>
        <v>288058.74556692177</v>
      </c>
      <c r="H10" s="109">
        <f t="shared" si="3"/>
        <v>344889.6496516859</v>
      </c>
      <c r="I10" s="109">
        <f t="shared" si="3"/>
        <v>342215.09555859014</v>
      </c>
      <c r="J10" s="109">
        <f t="shared" si="3"/>
        <v>317149.63336324214</v>
      </c>
      <c r="K10" s="109">
        <f t="shared" si="3"/>
        <v>270770.81602898787</v>
      </c>
      <c r="L10" s="109">
        <f t="shared" si="3"/>
        <v>229449.83453143016</v>
      </c>
      <c r="M10" s="109">
        <f t="shared" si="3"/>
        <v>193430.48020285106</v>
      </c>
      <c r="N10" s="109">
        <f t="shared" si="3"/>
        <v>162639.7555363306</v>
      </c>
      <c r="O10" s="109">
        <f t="shared" si="3"/>
        <v>136697.67197219218</v>
      </c>
      <c r="P10" s="109">
        <f t="shared" si="3"/>
        <v>113233.05021968648</v>
      </c>
      <c r="Q10" s="109">
        <f t="shared" si="3"/>
        <v>91856.597674658231</v>
      </c>
      <c r="R10" s="109">
        <f t="shared" si="3"/>
        <v>71815.208939934848</v>
      </c>
      <c r="S10" s="109">
        <f t="shared" si="3"/>
        <v>51812.481212443497</v>
      </c>
      <c r="T10" s="109">
        <f t="shared" si="3"/>
        <v>32779.438174017938</v>
      </c>
      <c r="U10" s="109">
        <f t="shared" si="3"/>
        <v>17125.606122677156</v>
      </c>
      <c r="V10" s="109">
        <f t="shared" si="3"/>
        <v>6590.3575232312123</v>
      </c>
      <c r="W10" s="109">
        <f t="shared" si="3"/>
        <v>1456.1328175183571</v>
      </c>
      <c r="X10" s="109">
        <f>X5+X6-SUM(X7:X9)</f>
        <v>127.16716910326386</v>
      </c>
      <c r="Y10" s="109">
        <f>Y5+Y6-SUM(Y7:Y9)</f>
        <v>-6.957634468562901E-11</v>
      </c>
      <c r="Z10" s="109">
        <f>Z5+Z6-SUM(Z7:Z9)</f>
        <v>-6.957634468562901E-11</v>
      </c>
      <c r="AA10" s="109">
        <f>AA5+AA6-SUM(AA7:AA9)</f>
        <v>-6.957634468562901E-11</v>
      </c>
    </row>
    <row r="11" spans="1:27" s="461" customFormat="1" x14ac:dyDescent="0.25">
      <c r="A11" s="73"/>
      <c r="B11" s="73"/>
      <c r="C11" s="7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5">
      <c r="A12" s="73" t="s">
        <v>317</v>
      </c>
      <c r="B12" s="73"/>
      <c r="C12" s="73"/>
      <c r="D12" s="82">
        <f>AVERAGE(D5,D10)</f>
        <v>49041.710221119676</v>
      </c>
      <c r="E12" s="82">
        <f>AVERAGE(E5,E10)</f>
        <v>95093.663973142684</v>
      </c>
      <c r="F12" s="82">
        <f>AVERAGE(F5,F10)</f>
        <v>165000.69068514899</v>
      </c>
      <c r="G12" s="82">
        <f t="shared" ref="G12:W12" si="4">AVERAGE(G5,G10)</f>
        <v>245198.80522133203</v>
      </c>
      <c r="H12" s="82">
        <f t="shared" si="4"/>
        <v>316474.19760930387</v>
      </c>
      <c r="I12" s="82">
        <f t="shared" si="4"/>
        <v>343552.37260513799</v>
      </c>
      <c r="J12" s="82">
        <f t="shared" si="4"/>
        <v>329682.36446091614</v>
      </c>
      <c r="K12" s="82">
        <f t="shared" si="4"/>
        <v>293960.22469611501</v>
      </c>
      <c r="L12" s="82">
        <f t="shared" si="4"/>
        <v>250110.32528020901</v>
      </c>
      <c r="M12" s="82">
        <f t="shared" si="4"/>
        <v>211440.15736714061</v>
      </c>
      <c r="N12" s="82">
        <f t="shared" si="4"/>
        <v>178035.11786959082</v>
      </c>
      <c r="O12" s="82">
        <f t="shared" si="4"/>
        <v>149668.71375426138</v>
      </c>
      <c r="P12" s="82">
        <f t="shared" si="4"/>
        <v>124965.36109593933</v>
      </c>
      <c r="Q12" s="82">
        <f t="shared" si="4"/>
        <v>102544.82394717235</v>
      </c>
      <c r="R12" s="82">
        <f t="shared" si="4"/>
        <v>81835.903307296539</v>
      </c>
      <c r="S12" s="82">
        <f t="shared" si="4"/>
        <v>61813.845076189173</v>
      </c>
      <c r="T12" s="82">
        <f t="shared" si="4"/>
        <v>42295.959693230718</v>
      </c>
      <c r="U12" s="82">
        <f t="shared" si="4"/>
        <v>24952.522148347547</v>
      </c>
      <c r="V12" s="82">
        <f t="shared" si="4"/>
        <v>11857.981822954185</v>
      </c>
      <c r="W12" s="82">
        <f t="shared" si="4"/>
        <v>4023.2451703747847</v>
      </c>
      <c r="X12" s="82">
        <f>AVERAGE(X5,X10)</f>
        <v>791.64999331081049</v>
      </c>
      <c r="Y12" s="82">
        <f>AVERAGE(Y5,Y10)</f>
        <v>63.583584551597141</v>
      </c>
      <c r="Z12" s="82">
        <f>AVERAGE(Z5,Z10)</f>
        <v>-6.957634468562901E-11</v>
      </c>
      <c r="AA12" s="82">
        <f>AVERAGE(AA5,AA10)</f>
        <v>-6.957634468562901E-11</v>
      </c>
    </row>
    <row r="13" spans="1:27" s="461" customFormat="1" outlineLevel="1" x14ac:dyDescent="0.25">
      <c r="A13" s="462"/>
      <c r="B13" s="462"/>
      <c r="C13" s="462"/>
      <c r="D13" s="463"/>
      <c r="E13" s="463"/>
      <c r="F13" s="463"/>
    </row>
    <row r="14" spans="1:27" s="101" customFormat="1" outlineLevel="1" x14ac:dyDescent="0.25">
      <c r="A14" s="555" t="s">
        <v>0</v>
      </c>
      <c r="B14" s="558"/>
      <c r="C14" s="556">
        <f>SUM(D14:AA14)</f>
        <v>0</v>
      </c>
      <c r="D14" s="559">
        <f t="shared" ref="D14:W14" si="5">IF(ABS(D10-D84-D128-D173)&lt;0.001,0,ABS(D10-D84-D128-D173))</f>
        <v>0</v>
      </c>
      <c r="E14" s="559">
        <f t="shared" si="5"/>
        <v>0</v>
      </c>
      <c r="F14" s="559">
        <f t="shared" si="5"/>
        <v>0</v>
      </c>
      <c r="G14" s="559">
        <f t="shared" si="5"/>
        <v>0</v>
      </c>
      <c r="H14" s="559">
        <f t="shared" si="5"/>
        <v>0</v>
      </c>
      <c r="I14" s="559">
        <f t="shared" si="5"/>
        <v>0</v>
      </c>
      <c r="J14" s="559">
        <f t="shared" si="5"/>
        <v>0</v>
      </c>
      <c r="K14" s="559">
        <f t="shared" si="5"/>
        <v>0</v>
      </c>
      <c r="L14" s="559">
        <f t="shared" si="5"/>
        <v>0</v>
      </c>
      <c r="M14" s="559">
        <f t="shared" si="5"/>
        <v>0</v>
      </c>
      <c r="N14" s="559">
        <f t="shared" si="5"/>
        <v>0</v>
      </c>
      <c r="O14" s="559">
        <f t="shared" si="5"/>
        <v>0</v>
      </c>
      <c r="P14" s="559">
        <f t="shared" si="5"/>
        <v>0</v>
      </c>
      <c r="Q14" s="559">
        <f t="shared" si="5"/>
        <v>0</v>
      </c>
      <c r="R14" s="559">
        <f t="shared" si="5"/>
        <v>0</v>
      </c>
      <c r="S14" s="559">
        <f t="shared" si="5"/>
        <v>0</v>
      </c>
      <c r="T14" s="559">
        <f t="shared" si="5"/>
        <v>0</v>
      </c>
      <c r="U14" s="559">
        <f t="shared" si="5"/>
        <v>0</v>
      </c>
      <c r="V14" s="559">
        <f t="shared" si="5"/>
        <v>0</v>
      </c>
      <c r="W14" s="559">
        <f t="shared" si="5"/>
        <v>0</v>
      </c>
      <c r="X14" s="559">
        <f>IF(ABS(X10-X84-X128-X173)&lt;0.001,0,ABS(X10-X84-X128-X173))</f>
        <v>0</v>
      </c>
      <c r="Y14" s="559">
        <f>IF(ABS(Y10-Y84-Y128-Y173)&lt;0.001,0,ABS(Y10-Y84-Y128-Y173))</f>
        <v>0</v>
      </c>
      <c r="Z14" s="559">
        <f>IF(ABS(Z10-Z84-Z128-Z173)&lt;0.001,0,ABS(Z10-Z84-Z128-Z173))</f>
        <v>0</v>
      </c>
      <c r="AA14" s="559">
        <f>IF(ABS(AA10-AA84-AA128-AA173)&lt;0.001,0,ABS(AA10-AA84-AA128-AA173))</f>
        <v>0</v>
      </c>
    </row>
    <row r="15" spans="1:27" s="85" customFormat="1" outlineLevel="1" x14ac:dyDescent="0.25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5">
      <c r="A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5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5">
      <c r="A18" s="346" t="s">
        <v>260</v>
      </c>
      <c r="B18" s="460"/>
      <c r="C18" s="460"/>
      <c r="D18" s="84"/>
      <c r="E18" s="84"/>
      <c r="F18" s="84"/>
      <c r="G18" s="84"/>
    </row>
    <row r="19" spans="1:27" s="461" customFormat="1" outlineLevel="1" x14ac:dyDescent="0.25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5">
      <c r="A20" s="73" t="s">
        <v>314</v>
      </c>
      <c r="B20" s="73"/>
      <c r="C20" s="73"/>
      <c r="D20" s="82">
        <f>B92</f>
        <v>12046.751022758806</v>
      </c>
      <c r="E20" s="82">
        <f>D25</f>
        <v>14414.85812441802</v>
      </c>
      <c r="F20" s="82">
        <f t="shared" ref="F20:W20" si="7">E25</f>
        <v>15380.182855805746</v>
      </c>
      <c r="G20" s="82">
        <f t="shared" si="7"/>
        <v>10432.097591502734</v>
      </c>
      <c r="H20" s="82">
        <f t="shared" si="7"/>
        <v>5613.3478884813358</v>
      </c>
      <c r="I20" s="82">
        <f t="shared" si="7"/>
        <v>0</v>
      </c>
      <c r="J20" s="82">
        <f t="shared" si="7"/>
        <v>-2.8421709430404007E-14</v>
      </c>
      <c r="K20" s="82">
        <f t="shared" si="7"/>
        <v>-2.8421709430404007E-14</v>
      </c>
      <c r="L20" s="82">
        <f t="shared" si="7"/>
        <v>-2.8421709430404007E-14</v>
      </c>
      <c r="M20" s="82">
        <f t="shared" si="7"/>
        <v>-2.8421709430404007E-14</v>
      </c>
      <c r="N20" s="82">
        <f t="shared" si="7"/>
        <v>-2.8421709430404007E-14</v>
      </c>
      <c r="O20" s="82">
        <f t="shared" si="7"/>
        <v>-2.8421709430404007E-14</v>
      </c>
      <c r="P20" s="82">
        <f t="shared" si="7"/>
        <v>-2.8421709430404007E-14</v>
      </c>
      <c r="Q20" s="82">
        <f t="shared" si="7"/>
        <v>-2.8421709430404007E-14</v>
      </c>
      <c r="R20" s="82">
        <f t="shared" si="7"/>
        <v>-2.8421709430404007E-14</v>
      </c>
      <c r="S20" s="82">
        <f t="shared" si="7"/>
        <v>-2.8421709430404007E-14</v>
      </c>
      <c r="T20" s="82">
        <f t="shared" si="7"/>
        <v>-2.8421709430404007E-14</v>
      </c>
      <c r="U20" s="82">
        <f t="shared" si="7"/>
        <v>-2.8421709430404007E-14</v>
      </c>
      <c r="V20" s="82">
        <f t="shared" si="7"/>
        <v>-2.8421709430404007E-14</v>
      </c>
      <c r="W20" s="82">
        <f t="shared" si="7"/>
        <v>-2.8421709430404007E-14</v>
      </c>
      <c r="X20" s="82">
        <f>W25</f>
        <v>-2.8421709430404007E-14</v>
      </c>
      <c r="Y20" s="82">
        <f>X25</f>
        <v>-2.8421709430404007E-14</v>
      </c>
      <c r="Z20" s="82">
        <f>Y25</f>
        <v>-2.8421709430404007E-14</v>
      </c>
      <c r="AA20" s="82">
        <f>Z25</f>
        <v>-2.8421709430404007E-14</v>
      </c>
    </row>
    <row r="21" spans="1:27" s="461" customFormat="1" outlineLevel="1" x14ac:dyDescent="0.25">
      <c r="A21" s="73" t="s">
        <v>315</v>
      </c>
      <c r="B21" s="73"/>
      <c r="C21" s="73"/>
      <c r="D21" s="82">
        <f>'Data 2009-15 (Real $2008)'!D10/10^3</f>
        <v>5374.6394694873497</v>
      </c>
      <c r="E21" s="82">
        <f>'Data 2009-15 (Real $2008)'!E10/10^3</f>
        <v>5330.5458062409389</v>
      </c>
      <c r="F21" s="82">
        <f>'Data 2009-15 (Real $2008)'!F10/10^3</f>
        <v>223.30294287362955</v>
      </c>
      <c r="G21" s="82">
        <f>'Data 2009-15 (Real $2008)'!G10/10^3</f>
        <v>595.94863909495484</v>
      </c>
      <c r="H21" s="82">
        <f>'Data 2009-15 (Real $2008)'!H10/10^3</f>
        <v>0</v>
      </c>
      <c r="I21" s="82">
        <f>'Data 2009-15 (Real $2008)'!I10/10^3</f>
        <v>0</v>
      </c>
      <c r="J21" s="82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5">
      <c r="A22" s="73" t="s">
        <v>4</v>
      </c>
      <c r="B22" s="73"/>
      <c r="C22" s="73"/>
      <c r="D22" s="82">
        <f>'Data 2009-15 (Real $2008)'!D34/10^3</f>
        <v>0</v>
      </c>
      <c r="E22" s="82">
        <f>'Data 2009-15 (Real $2008)'!E34/10^3</f>
        <v>0</v>
      </c>
      <c r="F22" s="82">
        <f>'Data 2009-15 (Real $2008)'!F34/10^3</f>
        <v>0</v>
      </c>
      <c r="G22" s="82">
        <f>'Data 2009-15 (Real $2008)'!G34/10^3</f>
        <v>0</v>
      </c>
      <c r="H22" s="82">
        <f>'Data 2009-15 (Real $2008)'!H34/10^3</f>
        <v>0</v>
      </c>
      <c r="I22" s="82">
        <f>'Data 2009-15 (Real $2008)'!I34/10^3</f>
        <v>0</v>
      </c>
      <c r="J22" s="82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5">
      <c r="A23" s="84" t="s">
        <v>5</v>
      </c>
      <c r="B23" s="84"/>
      <c r="C23" s="84"/>
      <c r="D23" s="82">
        <f>'Data 2009-15 (Real $2008)'!D43/10^3</f>
        <v>0</v>
      </c>
      <c r="E23" s="82">
        <f>'Data 2009-15 (Real $2008)'!E43/10^3</f>
        <v>0</v>
      </c>
      <c r="F23" s="82">
        <f>'Data 2009-15 (Real $2008)'!F43/10^3</f>
        <v>0</v>
      </c>
      <c r="G23" s="82">
        <f>'Data 2009-15 (Real $2008)'!G43/10^3</f>
        <v>0</v>
      </c>
      <c r="H23" s="82">
        <f>'Data 2009-15 (Real $2008)'!H43/10^3</f>
        <v>0</v>
      </c>
      <c r="I23" s="82">
        <f>'Data 2009-15 (Real $2008)'!I43/10^3</f>
        <v>0</v>
      </c>
      <c r="J23" s="82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5">
      <c r="A24" s="73" t="s">
        <v>136</v>
      </c>
      <c r="B24" s="73"/>
      <c r="C24" s="73"/>
      <c r="D24" s="82">
        <f>D92+D198</f>
        <v>3006.5323678281338</v>
      </c>
      <c r="E24" s="82">
        <f t="shared" ref="E24:W24" si="8">E92+E198</f>
        <v>4365.2210748532116</v>
      </c>
      <c r="F24" s="82">
        <f t="shared" si="8"/>
        <v>5171.3882071766429</v>
      </c>
      <c r="G24" s="82">
        <f t="shared" si="8"/>
        <v>5414.6983421163532</v>
      </c>
      <c r="H24" s="82">
        <f t="shared" si="8"/>
        <v>5613.3478884813385</v>
      </c>
      <c r="I24" s="82">
        <f t="shared" si="8"/>
        <v>2.8421709430404007E-14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2">
        <f t="shared" si="8"/>
        <v>0</v>
      </c>
      <c r="X24" s="82">
        <f>X92+X198</f>
        <v>0</v>
      </c>
      <c r="Y24" s="82">
        <f>Y92+Y198</f>
        <v>0</v>
      </c>
      <c r="Z24" s="82">
        <f>Z92+Z198</f>
        <v>0</v>
      </c>
      <c r="AA24" s="82">
        <f>AA92+AA198</f>
        <v>0</v>
      </c>
    </row>
    <row r="25" spans="1:27" s="461" customFormat="1" outlineLevel="1" x14ac:dyDescent="0.25">
      <c r="A25" s="73" t="s">
        <v>316</v>
      </c>
      <c r="B25" s="73"/>
      <c r="C25" s="73"/>
      <c r="D25" s="109">
        <f>D20+D21-SUM(D22:D24)</f>
        <v>14414.85812441802</v>
      </c>
      <c r="E25" s="109">
        <f t="shared" ref="E25:W25" si="9">E20+E21-SUM(E22:E24)</f>
        <v>15380.182855805746</v>
      </c>
      <c r="F25" s="109">
        <f t="shared" si="9"/>
        <v>10432.097591502734</v>
      </c>
      <c r="G25" s="109">
        <f t="shared" si="9"/>
        <v>5613.3478884813358</v>
      </c>
      <c r="H25" s="109">
        <f t="shared" si="9"/>
        <v>0</v>
      </c>
      <c r="I25" s="109">
        <f t="shared" si="9"/>
        <v>-2.8421709430404007E-14</v>
      </c>
      <c r="J25" s="109">
        <f t="shared" si="9"/>
        <v>-2.8421709430404007E-14</v>
      </c>
      <c r="K25" s="109">
        <f t="shared" si="9"/>
        <v>-2.8421709430404007E-14</v>
      </c>
      <c r="L25" s="109">
        <f t="shared" si="9"/>
        <v>-2.8421709430404007E-14</v>
      </c>
      <c r="M25" s="109">
        <f t="shared" si="9"/>
        <v>-2.8421709430404007E-14</v>
      </c>
      <c r="N25" s="109">
        <f t="shared" si="9"/>
        <v>-2.8421709430404007E-14</v>
      </c>
      <c r="O25" s="109">
        <f t="shared" si="9"/>
        <v>-2.8421709430404007E-14</v>
      </c>
      <c r="P25" s="109">
        <f t="shared" si="9"/>
        <v>-2.8421709430404007E-14</v>
      </c>
      <c r="Q25" s="109">
        <f t="shared" si="9"/>
        <v>-2.8421709430404007E-14</v>
      </c>
      <c r="R25" s="109">
        <f t="shared" si="9"/>
        <v>-2.8421709430404007E-14</v>
      </c>
      <c r="S25" s="109">
        <f t="shared" si="9"/>
        <v>-2.8421709430404007E-14</v>
      </c>
      <c r="T25" s="109">
        <f t="shared" si="9"/>
        <v>-2.8421709430404007E-14</v>
      </c>
      <c r="U25" s="109">
        <f t="shared" si="9"/>
        <v>-2.8421709430404007E-14</v>
      </c>
      <c r="V25" s="109">
        <f t="shared" si="9"/>
        <v>-2.8421709430404007E-14</v>
      </c>
      <c r="W25" s="109">
        <f t="shared" si="9"/>
        <v>-2.8421709430404007E-14</v>
      </c>
      <c r="X25" s="109">
        <f>X20+X21-SUM(X22:X24)</f>
        <v>-2.8421709430404007E-14</v>
      </c>
      <c r="Y25" s="109">
        <f>Y20+Y21-SUM(Y22:Y24)</f>
        <v>-2.8421709430404007E-14</v>
      </c>
      <c r="Z25" s="109">
        <f>Z20+Z21-SUM(Z22:Z24)</f>
        <v>-2.8421709430404007E-14</v>
      </c>
      <c r="AA25" s="109">
        <f>AA20+AA21-SUM(AA22:AA24)</f>
        <v>-2.8421709430404007E-14</v>
      </c>
    </row>
    <row r="26" spans="1:27" s="85" customFormat="1" outlineLevel="1" x14ac:dyDescent="0.25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5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5">
      <c r="A28" s="346" t="s">
        <v>259</v>
      </c>
      <c r="B28" s="460"/>
      <c r="C28" s="460"/>
      <c r="D28" s="84"/>
      <c r="E28" s="84"/>
      <c r="F28" s="84"/>
      <c r="G28" s="84"/>
    </row>
    <row r="29" spans="1:27" s="461" customFormat="1" outlineLevel="1" x14ac:dyDescent="0.25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5">
      <c r="A30" s="73" t="s">
        <v>314</v>
      </c>
      <c r="B30" s="73"/>
      <c r="C30" s="73"/>
      <c r="D30" s="82">
        <f>B100</f>
        <v>7447.4591759152208</v>
      </c>
      <c r="E30" s="82">
        <f>D35</f>
        <v>9673.8128882172277</v>
      </c>
      <c r="F30" s="82">
        <f t="shared" ref="F30:W30" si="11">E35</f>
        <v>12016.892098286191</v>
      </c>
      <c r="G30" s="82">
        <f t="shared" si="11"/>
        <v>8015.6542436353029</v>
      </c>
      <c r="H30" s="82">
        <f t="shared" si="11"/>
        <v>4048.822665319567</v>
      </c>
      <c r="I30" s="82">
        <f t="shared" si="11"/>
        <v>0</v>
      </c>
      <c r="J30" s="82">
        <f t="shared" si="11"/>
        <v>8.8817841970012523E-16</v>
      </c>
      <c r="K30" s="82">
        <f t="shared" si="11"/>
        <v>8.8817841970012523E-16</v>
      </c>
      <c r="L30" s="82">
        <f t="shared" si="11"/>
        <v>8.8817841970012523E-16</v>
      </c>
      <c r="M30" s="82">
        <f t="shared" si="11"/>
        <v>8.8817841970012523E-16</v>
      </c>
      <c r="N30" s="82">
        <f t="shared" si="11"/>
        <v>8.8817841970012523E-16</v>
      </c>
      <c r="O30" s="82">
        <f t="shared" si="11"/>
        <v>8.8817841970012523E-16</v>
      </c>
      <c r="P30" s="82">
        <f t="shared" si="11"/>
        <v>8.8817841970012523E-16</v>
      </c>
      <c r="Q30" s="82">
        <f t="shared" si="11"/>
        <v>8.8817841970012523E-16</v>
      </c>
      <c r="R30" s="82">
        <f t="shared" si="11"/>
        <v>8.8817841970012523E-16</v>
      </c>
      <c r="S30" s="82">
        <f t="shared" si="11"/>
        <v>8.8817841970012523E-16</v>
      </c>
      <c r="T30" s="82">
        <f t="shared" si="11"/>
        <v>8.8817841970012523E-16</v>
      </c>
      <c r="U30" s="82">
        <f t="shared" si="11"/>
        <v>8.8817841970012523E-16</v>
      </c>
      <c r="V30" s="82">
        <f t="shared" si="11"/>
        <v>8.8817841970012523E-16</v>
      </c>
      <c r="W30" s="82">
        <f t="shared" si="11"/>
        <v>8.8817841970012523E-16</v>
      </c>
      <c r="X30" s="82">
        <f>W35</f>
        <v>8.8817841970012523E-16</v>
      </c>
      <c r="Y30" s="82">
        <f>X35</f>
        <v>8.8817841970012523E-16</v>
      </c>
      <c r="Z30" s="82">
        <f>Y35</f>
        <v>8.8817841970012523E-16</v>
      </c>
      <c r="AA30" s="82">
        <f>Z35</f>
        <v>8.8817841970012523E-16</v>
      </c>
    </row>
    <row r="31" spans="1:27" s="461" customFormat="1" outlineLevel="1" x14ac:dyDescent="0.25">
      <c r="A31" s="73" t="s">
        <v>315</v>
      </c>
      <c r="B31" s="73"/>
      <c r="C31" s="73"/>
      <c r="D31" s="82">
        <f>'Data 2009-15 (Real $2008)'!D11/10^3</f>
        <v>4180.3262409206818</v>
      </c>
      <c r="E31" s="82">
        <f>'Data 2009-15 (Real $2008)'!E11/10^3</f>
        <v>5555.1211708104811</v>
      </c>
      <c r="F31" s="82">
        <f>'Data 2009-15 (Real $2008)'!F11/10^3</f>
        <v>5.4910559723023651</v>
      </c>
      <c r="G31" s="82">
        <f>'Data 2009-15 (Real $2008)'!G11/10^3</f>
        <v>61.493315252872833</v>
      </c>
      <c r="H31" s="82">
        <f>'Data 2009-15 (Real $2008)'!H11/10^3</f>
        <v>0</v>
      </c>
      <c r="I31" s="82">
        <f>'Data 2009-15 (Real $2008)'!I11/10^3</f>
        <v>0</v>
      </c>
      <c r="J31" s="82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5">
      <c r="A32" s="73" t="s">
        <v>4</v>
      </c>
      <c r="B32" s="73"/>
      <c r="C32" s="73"/>
      <c r="D32" s="82">
        <f>'Data 2009-15 (Real $2008)'!D35/10^3</f>
        <v>0</v>
      </c>
      <c r="E32" s="82">
        <f>'Data 2009-15 (Real $2008)'!E35/10^3</f>
        <v>0</v>
      </c>
      <c r="F32" s="82">
        <f>'Data 2009-15 (Real $2008)'!F35/10^3</f>
        <v>0</v>
      </c>
      <c r="G32" s="82">
        <f>'Data 2009-15 (Real $2008)'!G35/10^3</f>
        <v>0</v>
      </c>
      <c r="H32" s="82">
        <f>'Data 2009-15 (Real $2008)'!H35/10^3</f>
        <v>0</v>
      </c>
      <c r="I32" s="82">
        <f>'Data 2009-15 (Real $2008)'!I35/10^3</f>
        <v>0</v>
      </c>
      <c r="J32" s="82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5">
      <c r="A33" s="84" t="s">
        <v>5</v>
      </c>
      <c r="B33" s="84"/>
      <c r="C33" s="84"/>
      <c r="D33" s="82">
        <f>'Data 2009-15 (Real $2008)'!D44/10^3</f>
        <v>0</v>
      </c>
      <c r="E33" s="82">
        <f>'Data 2009-15 (Real $2008)'!E44/10^3</f>
        <v>0</v>
      </c>
      <c r="F33" s="82">
        <f>'Data 2009-15 (Real $2008)'!F44/10^3</f>
        <v>0</v>
      </c>
      <c r="G33" s="82">
        <f>'Data 2009-15 (Real $2008)'!G44/10^3</f>
        <v>0</v>
      </c>
      <c r="H33" s="82">
        <f>'Data 2009-15 (Real $2008)'!H44/10^3</f>
        <v>0</v>
      </c>
      <c r="I33" s="82">
        <f>'Data 2009-15 (Real $2008)'!I44/10^3</f>
        <v>0</v>
      </c>
      <c r="J33" s="82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5">
      <c r="A34" s="73" t="s">
        <v>136</v>
      </c>
      <c r="B34" s="73"/>
      <c r="C34" s="73"/>
      <c r="D34" s="82">
        <f>D100+D210</f>
        <v>1953.9725286186756</v>
      </c>
      <c r="E34" s="82">
        <f t="shared" ref="E34:W34" si="12">E100+E210</f>
        <v>3212.0419607415188</v>
      </c>
      <c r="F34" s="82">
        <f t="shared" si="12"/>
        <v>4006.7289106231906</v>
      </c>
      <c r="G34" s="82">
        <f t="shared" si="12"/>
        <v>4028.3248935686088</v>
      </c>
      <c r="H34" s="82">
        <f t="shared" si="12"/>
        <v>4048.8226653195661</v>
      </c>
      <c r="I34" s="82">
        <f t="shared" si="12"/>
        <v>-8.8817841970012523E-16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2">
        <f t="shared" si="12"/>
        <v>0</v>
      </c>
      <c r="O34" s="82">
        <f t="shared" si="12"/>
        <v>0</v>
      </c>
      <c r="P34" s="82">
        <f t="shared" si="12"/>
        <v>0</v>
      </c>
      <c r="Q34" s="82">
        <f t="shared" si="12"/>
        <v>0</v>
      </c>
      <c r="R34" s="82">
        <f t="shared" si="12"/>
        <v>0</v>
      </c>
      <c r="S34" s="82">
        <f t="shared" si="12"/>
        <v>0</v>
      </c>
      <c r="T34" s="82">
        <f t="shared" si="12"/>
        <v>0</v>
      </c>
      <c r="U34" s="82">
        <f t="shared" si="12"/>
        <v>0</v>
      </c>
      <c r="V34" s="82">
        <f t="shared" si="12"/>
        <v>0</v>
      </c>
      <c r="W34" s="82">
        <f t="shared" si="12"/>
        <v>0</v>
      </c>
      <c r="X34" s="82">
        <f>X100+X210</f>
        <v>0</v>
      </c>
      <c r="Y34" s="82">
        <f>Y100+Y210</f>
        <v>0</v>
      </c>
      <c r="Z34" s="82">
        <f>Z100+Z210</f>
        <v>0</v>
      </c>
      <c r="AA34" s="82">
        <f>AA100+AA210</f>
        <v>0</v>
      </c>
    </row>
    <row r="35" spans="1:27" s="461" customFormat="1" outlineLevel="1" x14ac:dyDescent="0.25">
      <c r="A35" s="73" t="s">
        <v>316</v>
      </c>
      <c r="B35" s="73"/>
      <c r="C35" s="73"/>
      <c r="D35" s="109">
        <f t="shared" ref="D35:W35" si="13">D30+D31-SUM(D32:D34)</f>
        <v>9673.8128882172277</v>
      </c>
      <c r="E35" s="109">
        <f t="shared" si="13"/>
        <v>12016.892098286191</v>
      </c>
      <c r="F35" s="109">
        <f t="shared" si="13"/>
        <v>8015.6542436353029</v>
      </c>
      <c r="G35" s="109">
        <f t="shared" si="13"/>
        <v>4048.822665319567</v>
      </c>
      <c r="H35" s="109">
        <f t="shared" si="13"/>
        <v>0</v>
      </c>
      <c r="I35" s="109">
        <f t="shared" si="13"/>
        <v>8.8817841970012523E-16</v>
      </c>
      <c r="J35" s="109">
        <f t="shared" si="13"/>
        <v>8.8817841970012523E-16</v>
      </c>
      <c r="K35" s="109">
        <f t="shared" si="13"/>
        <v>8.8817841970012523E-16</v>
      </c>
      <c r="L35" s="109">
        <f t="shared" si="13"/>
        <v>8.8817841970012523E-16</v>
      </c>
      <c r="M35" s="109">
        <f t="shared" si="13"/>
        <v>8.8817841970012523E-16</v>
      </c>
      <c r="N35" s="109">
        <f t="shared" si="13"/>
        <v>8.8817841970012523E-16</v>
      </c>
      <c r="O35" s="109">
        <f t="shared" si="13"/>
        <v>8.8817841970012523E-16</v>
      </c>
      <c r="P35" s="109">
        <f t="shared" si="13"/>
        <v>8.8817841970012523E-16</v>
      </c>
      <c r="Q35" s="109">
        <f t="shared" si="13"/>
        <v>8.8817841970012523E-16</v>
      </c>
      <c r="R35" s="109">
        <f t="shared" si="13"/>
        <v>8.8817841970012523E-16</v>
      </c>
      <c r="S35" s="109">
        <f t="shared" si="13"/>
        <v>8.8817841970012523E-16</v>
      </c>
      <c r="T35" s="109">
        <f t="shared" si="13"/>
        <v>8.8817841970012523E-16</v>
      </c>
      <c r="U35" s="109">
        <f t="shared" si="13"/>
        <v>8.8817841970012523E-16</v>
      </c>
      <c r="V35" s="109">
        <f t="shared" si="13"/>
        <v>8.8817841970012523E-16</v>
      </c>
      <c r="W35" s="109">
        <f t="shared" si="13"/>
        <v>8.8817841970012523E-16</v>
      </c>
      <c r="X35" s="109">
        <f>X30+X31-SUM(X32:X34)</f>
        <v>8.8817841970012523E-16</v>
      </c>
      <c r="Y35" s="109">
        <f>Y30+Y31-SUM(Y32:Y34)</f>
        <v>8.8817841970012523E-16</v>
      </c>
      <c r="Z35" s="109">
        <f>Z30+Z31-SUM(Z32:Z34)</f>
        <v>8.8817841970012523E-16</v>
      </c>
      <c r="AA35" s="109">
        <f>AA30+AA31-SUM(AA32:AA34)</f>
        <v>8.8817841970012523E-16</v>
      </c>
    </row>
    <row r="36" spans="1:27" s="85" customFormat="1" outlineLevel="1" x14ac:dyDescent="0.25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5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5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5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5">
      <c r="A40" s="73" t="s">
        <v>314</v>
      </c>
      <c r="B40" s="73"/>
      <c r="C40" s="73"/>
      <c r="D40" s="82">
        <f>B136</f>
        <v>0</v>
      </c>
      <c r="E40" s="82">
        <f>D45</f>
        <v>1121.169209728929</v>
      </c>
      <c r="F40" s="82">
        <f t="shared" ref="F40:W40" si="15">E45</f>
        <v>28043.533968444175</v>
      </c>
      <c r="G40" s="82">
        <f t="shared" si="15"/>
        <v>97101.59644259185</v>
      </c>
      <c r="H40" s="82">
        <f t="shared" si="15"/>
        <v>167707.34070662878</v>
      </c>
      <c r="I40" s="82">
        <f t="shared" si="15"/>
        <v>234719.0090902978</v>
      </c>
      <c r="J40" s="82">
        <f t="shared" si="15"/>
        <v>248245.52531024202</v>
      </c>
      <c r="K40" s="82">
        <f t="shared" si="15"/>
        <v>232146.31881772197</v>
      </c>
      <c r="L40" s="82">
        <f t="shared" si="15"/>
        <v>212104.93008299859</v>
      </c>
      <c r="M40" s="82">
        <f t="shared" si="15"/>
        <v>192063.5413482752</v>
      </c>
      <c r="N40" s="82">
        <f t="shared" si="15"/>
        <v>172022.15261355182</v>
      </c>
      <c r="O40" s="82">
        <f t="shared" si="15"/>
        <v>151980.76387882844</v>
      </c>
      <c r="P40" s="82">
        <f t="shared" si="15"/>
        <v>131939.37514410506</v>
      </c>
      <c r="Q40" s="82">
        <f t="shared" si="15"/>
        <v>111897.98640938167</v>
      </c>
      <c r="R40" s="82">
        <f t="shared" si="15"/>
        <v>91856.597674658289</v>
      </c>
      <c r="S40" s="82">
        <f t="shared" si="15"/>
        <v>71815.208939934906</v>
      </c>
      <c r="T40" s="82">
        <f t="shared" si="15"/>
        <v>51812.481212443556</v>
      </c>
      <c r="U40" s="82">
        <f t="shared" si="15"/>
        <v>32779.438174017996</v>
      </c>
      <c r="V40" s="82">
        <f t="shared" si="15"/>
        <v>17125.606122677214</v>
      </c>
      <c r="W40" s="82">
        <f t="shared" si="15"/>
        <v>6590.3575232312705</v>
      </c>
      <c r="X40" s="82">
        <f>W45</f>
        <v>1456.1328175184153</v>
      </c>
      <c r="Y40" s="82">
        <f>X45</f>
        <v>127.16716910332207</v>
      </c>
      <c r="Z40" s="82">
        <f>Y45</f>
        <v>-1.1368683772161603E-11</v>
      </c>
      <c r="AA40" s="82">
        <f>Z45</f>
        <v>-1.1368683772161603E-11</v>
      </c>
    </row>
    <row r="41" spans="1:27" s="461" customFormat="1" outlineLevel="1" x14ac:dyDescent="0.25">
      <c r="A41" s="73" t="s">
        <v>315</v>
      </c>
      <c r="B41" s="73"/>
      <c r="C41" s="73"/>
      <c r="D41" s="82">
        <f>'Data 2009-15 (Real $2008)'!D12/10^3</f>
        <v>1159.830216960961</v>
      </c>
      <c r="E41" s="82">
        <f>'Data 2009-15 (Real $2008)'!E12/10^3</f>
        <v>27930.710455013079</v>
      </c>
      <c r="F41" s="82">
        <f>'Data 2009-15 (Real $2008)'!F12/10^3</f>
        <v>73445.619157530295</v>
      </c>
      <c r="G41" s="82">
        <f>'Data 2009-15 (Real $2008)'!G12/10^3</f>
        <v>80111.884399314353</v>
      </c>
      <c r="H41" s="82">
        <f>'Data 2009-15 (Real $2008)'!H12/10^3</f>
        <v>81918.832412679607</v>
      </c>
      <c r="I41" s="82">
        <f>'Data 2009-15 (Real $2008)'!I12/10^3</f>
        <v>32238.93930625252</v>
      </c>
      <c r="J41" s="82">
        <f>'Data 2009-15 (Real $2008)'!J12/10^3</f>
        <v>3815.0150730999835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5">
      <c r="A42" s="73" t="s">
        <v>4</v>
      </c>
      <c r="B42" s="73"/>
      <c r="C42" s="73"/>
      <c r="D42" s="82">
        <f>'Data 2009-15 (Real $2008)'!D36/10^3</f>
        <v>0</v>
      </c>
      <c r="E42" s="82">
        <f>'Data 2009-15 (Real $2008)'!E36/10^3</f>
        <v>0</v>
      </c>
      <c r="F42" s="82">
        <f>'Data 2009-15 (Real $2008)'!F36/10^3</f>
        <v>0</v>
      </c>
      <c r="G42" s="82">
        <f>'Data 2009-15 (Real $2008)'!G36/10^3</f>
        <v>0</v>
      </c>
      <c r="H42" s="82">
        <f>'Data 2009-15 (Real $2008)'!H36/10^3</f>
        <v>0</v>
      </c>
      <c r="I42" s="82">
        <f>'Data 2009-15 (Real $2008)'!I36/10^3</f>
        <v>0</v>
      </c>
      <c r="J42" s="82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5">
      <c r="A43" s="84" t="s">
        <v>5</v>
      </c>
      <c r="B43" s="84"/>
      <c r="C43" s="84"/>
      <c r="D43" s="82">
        <f>'Data 2009-15 (Real $2008)'!D45/10^3</f>
        <v>0</v>
      </c>
      <c r="E43" s="82">
        <f>'Data 2009-15 (Real $2008)'!E45/10^3</f>
        <v>0</v>
      </c>
      <c r="F43" s="82">
        <f>'Data 2009-15 (Real $2008)'!F45/10^3</f>
        <v>0</v>
      </c>
      <c r="G43" s="82">
        <f>'Data 2009-15 (Real $2008)'!G45/10^3</f>
        <v>0</v>
      </c>
      <c r="H43" s="82">
        <f>'Data 2009-15 (Real $2008)'!H45/10^3</f>
        <v>0</v>
      </c>
      <c r="I43" s="82">
        <f>'Data 2009-15 (Real $2008)'!I45/10^3</f>
        <v>0</v>
      </c>
      <c r="J43" s="82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5">
      <c r="A44" s="73" t="s">
        <v>136</v>
      </c>
      <c r="B44" s="73"/>
      <c r="C44" s="73"/>
      <c r="D44" s="82">
        <f>D136+D222</f>
        <v>38.661007232032034</v>
      </c>
      <c r="E44" s="82">
        <f t="shared" ref="E44:W44" si="16">E136+E222</f>
        <v>1008.3456962978333</v>
      </c>
      <c r="F44" s="82">
        <f t="shared" si="16"/>
        <v>4387.5566833826124</v>
      </c>
      <c r="G44" s="82">
        <f t="shared" si="16"/>
        <v>9506.1401352774337</v>
      </c>
      <c r="H44" s="82">
        <f t="shared" si="16"/>
        <v>14907.164029010566</v>
      </c>
      <c r="I44" s="82">
        <f t="shared" si="16"/>
        <v>18712.423086308303</v>
      </c>
      <c r="J44" s="82">
        <f t="shared" si="16"/>
        <v>19914.221565620053</v>
      </c>
      <c r="K44" s="82">
        <f t="shared" si="16"/>
        <v>20041.388734723387</v>
      </c>
      <c r="L44" s="82">
        <f t="shared" si="16"/>
        <v>20041.388734723387</v>
      </c>
      <c r="M44" s="82">
        <f t="shared" si="16"/>
        <v>20041.388734723387</v>
      </c>
      <c r="N44" s="82">
        <f t="shared" si="16"/>
        <v>20041.388734723387</v>
      </c>
      <c r="O44" s="82">
        <f t="shared" si="16"/>
        <v>20041.388734723387</v>
      </c>
      <c r="P44" s="82">
        <f t="shared" si="16"/>
        <v>20041.388734723387</v>
      </c>
      <c r="Q44" s="82">
        <f t="shared" si="16"/>
        <v>20041.388734723387</v>
      </c>
      <c r="R44" s="82">
        <f t="shared" si="16"/>
        <v>20041.388734723387</v>
      </c>
      <c r="S44" s="82">
        <f t="shared" si="16"/>
        <v>20002.727727491354</v>
      </c>
      <c r="T44" s="82">
        <f t="shared" si="16"/>
        <v>19033.04303842556</v>
      </c>
      <c r="U44" s="82">
        <f t="shared" si="16"/>
        <v>15653.832051340783</v>
      </c>
      <c r="V44" s="82">
        <f t="shared" si="16"/>
        <v>10535.248599445944</v>
      </c>
      <c r="W44" s="82">
        <f t="shared" si="16"/>
        <v>5134.2247057128552</v>
      </c>
      <c r="X44" s="82">
        <f>X136+X222</f>
        <v>1328.9656484150933</v>
      </c>
      <c r="Y44" s="82">
        <f>Y136+Y222</f>
        <v>127.16716910333344</v>
      </c>
      <c r="Z44" s="82">
        <f>Z136+Z222</f>
        <v>0</v>
      </c>
      <c r="AA44" s="82">
        <f>AA136+AA222</f>
        <v>0</v>
      </c>
    </row>
    <row r="45" spans="1:27" s="461" customFormat="1" outlineLevel="1" x14ac:dyDescent="0.25">
      <c r="A45" s="73" t="s">
        <v>316</v>
      </c>
      <c r="B45" s="73"/>
      <c r="C45" s="73"/>
      <c r="D45" s="109">
        <f t="shared" ref="D45:W45" si="17">D40+D41-SUM(D42:D44)</f>
        <v>1121.169209728929</v>
      </c>
      <c r="E45" s="109">
        <f t="shared" si="17"/>
        <v>28043.533968444175</v>
      </c>
      <c r="F45" s="109">
        <f t="shared" si="17"/>
        <v>97101.59644259185</v>
      </c>
      <c r="G45" s="109">
        <f t="shared" si="17"/>
        <v>167707.34070662878</v>
      </c>
      <c r="H45" s="109">
        <f t="shared" si="17"/>
        <v>234719.0090902978</v>
      </c>
      <c r="I45" s="109">
        <f t="shared" si="17"/>
        <v>248245.52531024202</v>
      </c>
      <c r="J45" s="109">
        <f t="shared" si="17"/>
        <v>232146.31881772197</v>
      </c>
      <c r="K45" s="109">
        <f t="shared" si="17"/>
        <v>212104.93008299859</v>
      </c>
      <c r="L45" s="109">
        <f t="shared" si="17"/>
        <v>192063.5413482752</v>
      </c>
      <c r="M45" s="109">
        <f t="shared" si="17"/>
        <v>172022.15261355182</v>
      </c>
      <c r="N45" s="109">
        <f t="shared" si="17"/>
        <v>151980.76387882844</v>
      </c>
      <c r="O45" s="109">
        <f t="shared" si="17"/>
        <v>131939.37514410506</v>
      </c>
      <c r="P45" s="109">
        <f t="shared" si="17"/>
        <v>111897.98640938167</v>
      </c>
      <c r="Q45" s="109">
        <f t="shared" si="17"/>
        <v>91856.597674658289</v>
      </c>
      <c r="R45" s="109">
        <f t="shared" si="17"/>
        <v>71815.208939934906</v>
      </c>
      <c r="S45" s="109">
        <f t="shared" si="17"/>
        <v>51812.481212443556</v>
      </c>
      <c r="T45" s="109">
        <f t="shared" si="17"/>
        <v>32779.438174017996</v>
      </c>
      <c r="U45" s="109">
        <f t="shared" si="17"/>
        <v>17125.606122677214</v>
      </c>
      <c r="V45" s="109">
        <f t="shared" si="17"/>
        <v>6590.3575232312705</v>
      </c>
      <c r="W45" s="109">
        <f t="shared" si="17"/>
        <v>1456.1328175184153</v>
      </c>
      <c r="X45" s="109">
        <f>X40+X41-SUM(X42:X44)</f>
        <v>127.16716910332207</v>
      </c>
      <c r="Y45" s="109">
        <f>Y40+Y41-SUM(Y42:Y44)</f>
        <v>-1.1368683772161603E-11</v>
      </c>
      <c r="Z45" s="109">
        <f>Z40+Z41-SUM(Z42:Z44)</f>
        <v>-1.1368683772161603E-11</v>
      </c>
      <c r="AA45" s="109">
        <f>AA40+AA41-SUM(AA42:AA44)</f>
        <v>-1.1368683772161603E-11</v>
      </c>
    </row>
    <row r="46" spans="1:27" s="85" customFormat="1" outlineLevel="1" x14ac:dyDescent="0.25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5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5">
      <c r="A48" s="346" t="s">
        <v>276</v>
      </c>
      <c r="B48" s="460"/>
      <c r="C48" s="460"/>
      <c r="D48" s="84"/>
      <c r="E48" s="84"/>
      <c r="F48" s="84"/>
      <c r="G48" s="84"/>
    </row>
    <row r="49" spans="1:27" s="461" customFormat="1" outlineLevel="1" x14ac:dyDescent="0.25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5">
      <c r="A50" s="73" t="s">
        <v>314</v>
      </c>
      <c r="B50" s="73"/>
      <c r="C50" s="73"/>
      <c r="D50" s="82">
        <f>B108+B144</f>
        <v>15865.005731412783</v>
      </c>
      <c r="E50" s="82">
        <f>D55</f>
        <v>36400.056948268422</v>
      </c>
      <c r="F50" s="82">
        <f t="shared" ref="F50:W50" si="19">E55</f>
        <v>63849.236465041686</v>
      </c>
      <c r="G50" s="82">
        <f t="shared" si="19"/>
        <v>72147.7013683322</v>
      </c>
      <c r="H50" s="82">
        <f t="shared" si="19"/>
        <v>78141.768339172966</v>
      </c>
      <c r="I50" s="82">
        <f t="shared" si="19"/>
        <v>68084.333386434082</v>
      </c>
      <c r="J50" s="82">
        <f t="shared" si="19"/>
        <v>57086.690744979809</v>
      </c>
      <c r="K50" s="82">
        <f t="shared" si="19"/>
        <v>56472.457641832349</v>
      </c>
      <c r="L50" s="82">
        <f t="shared" si="19"/>
        <v>38430.689952289948</v>
      </c>
      <c r="M50" s="82">
        <f t="shared" si="19"/>
        <v>24797.909911495452</v>
      </c>
      <c r="N50" s="82">
        <f t="shared" si="19"/>
        <v>15292.69459108941</v>
      </c>
      <c r="O50" s="82">
        <f t="shared" si="19"/>
        <v>8862.2560050763532</v>
      </c>
      <c r="P50" s="82">
        <f t="shared" si="19"/>
        <v>4547.334867079021</v>
      </c>
      <c r="Q50" s="82">
        <f t="shared" si="19"/>
        <v>1334.7908019078327</v>
      </c>
      <c r="R50" s="82">
        <f t="shared" si="19"/>
        <v>-2.2737367544323206E-12</v>
      </c>
      <c r="S50" s="82">
        <f t="shared" si="19"/>
        <v>-2.2737367544323206E-12</v>
      </c>
      <c r="T50" s="82">
        <f t="shared" si="19"/>
        <v>-2.2737367544323206E-12</v>
      </c>
      <c r="U50" s="82">
        <f t="shared" si="19"/>
        <v>-2.2737367544323206E-12</v>
      </c>
      <c r="V50" s="82">
        <f t="shared" si="19"/>
        <v>-2.2737367544323206E-12</v>
      </c>
      <c r="W50" s="82">
        <f t="shared" si="19"/>
        <v>-2.2737367544323206E-12</v>
      </c>
      <c r="X50" s="82">
        <f>W55</f>
        <v>-2.2737367544323206E-12</v>
      </c>
      <c r="Y50" s="82">
        <f>X55</f>
        <v>-2.2737367544323206E-12</v>
      </c>
      <c r="Z50" s="82">
        <f>Y55</f>
        <v>-2.2737367544323206E-12</v>
      </c>
      <c r="AA50" s="82">
        <f>Z55</f>
        <v>-2.2737367544323206E-12</v>
      </c>
    </row>
    <row r="51" spans="1:27" s="461" customFormat="1" outlineLevel="1" x14ac:dyDescent="0.25">
      <c r="A51" s="73" t="s">
        <v>315</v>
      </c>
      <c r="B51" s="73"/>
      <c r="C51" s="73"/>
      <c r="D51" s="82">
        <f>'Data 2009-15 (Real $2008)'!D13/10^3</f>
        <v>25201.355566902545</v>
      </c>
      <c r="E51" s="82">
        <f>'Data 2009-15 (Real $2008)'!E13/10^3</f>
        <v>36524.471515568082</v>
      </c>
      <c r="F51" s="82">
        <f>'Data 2009-15 (Real $2008)'!F13/10^3</f>
        <v>21261.434569870311</v>
      </c>
      <c r="G51" s="82">
        <f>'Data 2009-15 (Real $2008)'!G13/10^3</f>
        <v>21785.439711631399</v>
      </c>
      <c r="H51" s="82">
        <f>'Data 2009-15 (Real $2008)'!H13/10^3</f>
        <v>7831.8045605887901</v>
      </c>
      <c r="I51" s="82">
        <f>'Data 2009-15 (Real $2008)'!I13/10^3</f>
        <v>7601.4744589772072</v>
      </c>
      <c r="J51" s="82">
        <f>'Data 2009-15 (Real $2008)'!J13/10^3</f>
        <v>18687.071226709711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5">
      <c r="A52" s="73" t="s">
        <v>4</v>
      </c>
      <c r="B52" s="73"/>
      <c r="C52" s="73"/>
      <c r="D52" s="82">
        <f>'Data 2009-15 (Real $2008)'!D37/10^3</f>
        <v>0</v>
      </c>
      <c r="E52" s="82">
        <f>'Data 2009-15 (Real $2008)'!E37/10^3</f>
        <v>0</v>
      </c>
      <c r="F52" s="82">
        <f>'Data 2009-15 (Real $2008)'!F37/10^3</f>
        <v>0</v>
      </c>
      <c r="G52" s="82">
        <f>'Data 2009-15 (Real $2008)'!G37/10^3</f>
        <v>0</v>
      </c>
      <c r="H52" s="82">
        <f>'Data 2009-15 (Real $2008)'!H37/10^3</f>
        <v>0</v>
      </c>
      <c r="I52" s="82">
        <f>'Data 2009-15 (Real $2008)'!I37/10^3</f>
        <v>0</v>
      </c>
      <c r="J52" s="82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5">
      <c r="A53" s="84" t="s">
        <v>5</v>
      </c>
      <c r="B53" s="84"/>
      <c r="C53" s="84"/>
      <c r="D53" s="82">
        <f>'Data 2009-15 (Real $2008)'!D46/10^3</f>
        <v>0</v>
      </c>
      <c r="E53" s="82">
        <f>'Data 2009-15 (Real $2008)'!E46/10^3</f>
        <v>0</v>
      </c>
      <c r="F53" s="82">
        <f>'Data 2009-15 (Real $2008)'!F46/10^3</f>
        <v>0</v>
      </c>
      <c r="G53" s="82">
        <f>'Data 2009-15 (Real $2008)'!G46/10^3</f>
        <v>0</v>
      </c>
      <c r="H53" s="82">
        <f>'Data 2009-15 (Real $2008)'!H46/10^3</f>
        <v>0</v>
      </c>
      <c r="I53" s="82">
        <f>'Data 2009-15 (Real $2008)'!I46/10^3</f>
        <v>0</v>
      </c>
      <c r="J53" s="82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5">
      <c r="A54" s="73" t="s">
        <v>136</v>
      </c>
      <c r="B54" s="73"/>
      <c r="C54" s="73"/>
      <c r="D54" s="82">
        <f>D108+D144+D234</f>
        <v>4666.3043500469103</v>
      </c>
      <c r="E54" s="82">
        <f t="shared" ref="E54:W54" si="20">E108+E144+E234</f>
        <v>9075.2919987948117</v>
      </c>
      <c r="F54" s="82">
        <f t="shared" si="20"/>
        <v>12962.969666579796</v>
      </c>
      <c r="G54" s="82">
        <f t="shared" si="20"/>
        <v>15791.372740790626</v>
      </c>
      <c r="H54" s="82">
        <f t="shared" si="20"/>
        <v>17889.239513327677</v>
      </c>
      <c r="I54" s="82">
        <f t="shared" si="20"/>
        <v>18599.117100431475</v>
      </c>
      <c r="J54" s="82">
        <f t="shared" si="20"/>
        <v>19301.304329857179</v>
      </c>
      <c r="K54" s="82">
        <f t="shared" si="20"/>
        <v>18041.767689542397</v>
      </c>
      <c r="L54" s="82">
        <f t="shared" si="20"/>
        <v>13632.780040794494</v>
      </c>
      <c r="M54" s="82">
        <f t="shared" si="20"/>
        <v>9505.2153204060414</v>
      </c>
      <c r="N54" s="82">
        <f t="shared" si="20"/>
        <v>6430.4385860130569</v>
      </c>
      <c r="O54" s="82">
        <f t="shared" si="20"/>
        <v>4314.9211379973322</v>
      </c>
      <c r="P54" s="82">
        <f t="shared" si="20"/>
        <v>3212.5440651711883</v>
      </c>
      <c r="Q54" s="82">
        <f t="shared" si="20"/>
        <v>1334.790801907835</v>
      </c>
      <c r="R54" s="82">
        <f t="shared" si="20"/>
        <v>0</v>
      </c>
      <c r="S54" s="82">
        <f t="shared" si="20"/>
        <v>0</v>
      </c>
      <c r="T54" s="82">
        <f t="shared" si="20"/>
        <v>0</v>
      </c>
      <c r="U54" s="82">
        <f t="shared" si="20"/>
        <v>0</v>
      </c>
      <c r="V54" s="82">
        <f t="shared" si="20"/>
        <v>0</v>
      </c>
      <c r="W54" s="82">
        <f t="shared" si="20"/>
        <v>0</v>
      </c>
      <c r="X54" s="82">
        <f>X108+X144+X234</f>
        <v>0</v>
      </c>
      <c r="Y54" s="82">
        <f>Y108+Y144+Y234</f>
        <v>0</v>
      </c>
      <c r="Z54" s="82">
        <f>Z108+Z144+Z234</f>
        <v>0</v>
      </c>
      <c r="AA54" s="82">
        <f>AA108+AA144+AA234</f>
        <v>0</v>
      </c>
    </row>
    <row r="55" spans="1:27" s="461" customFormat="1" outlineLevel="1" x14ac:dyDescent="0.25">
      <c r="A55" s="73" t="s">
        <v>316</v>
      </c>
      <c r="B55" s="73"/>
      <c r="C55" s="73"/>
      <c r="D55" s="109">
        <f t="shared" ref="D55:W55" si="21">D50+D51-SUM(D52:D54)</f>
        <v>36400.056948268422</v>
      </c>
      <c r="E55" s="109">
        <f t="shared" si="21"/>
        <v>63849.236465041686</v>
      </c>
      <c r="F55" s="109">
        <f t="shared" si="21"/>
        <v>72147.7013683322</v>
      </c>
      <c r="G55" s="109">
        <f t="shared" si="21"/>
        <v>78141.768339172966</v>
      </c>
      <c r="H55" s="109">
        <f t="shared" si="21"/>
        <v>68084.333386434082</v>
      </c>
      <c r="I55" s="109">
        <f t="shared" si="21"/>
        <v>57086.690744979809</v>
      </c>
      <c r="J55" s="109">
        <f t="shared" si="21"/>
        <v>56472.457641832349</v>
      </c>
      <c r="K55" s="109">
        <f t="shared" si="21"/>
        <v>38430.689952289948</v>
      </c>
      <c r="L55" s="109">
        <f t="shared" si="21"/>
        <v>24797.909911495452</v>
      </c>
      <c r="M55" s="109">
        <f t="shared" si="21"/>
        <v>15292.69459108941</v>
      </c>
      <c r="N55" s="109">
        <f t="shared" si="21"/>
        <v>8862.2560050763532</v>
      </c>
      <c r="O55" s="109">
        <f t="shared" si="21"/>
        <v>4547.334867079021</v>
      </c>
      <c r="P55" s="109">
        <f t="shared" si="21"/>
        <v>1334.7908019078327</v>
      </c>
      <c r="Q55" s="109">
        <f t="shared" si="21"/>
        <v>-2.2737367544323206E-12</v>
      </c>
      <c r="R55" s="109">
        <f t="shared" si="21"/>
        <v>-2.2737367544323206E-12</v>
      </c>
      <c r="S55" s="109">
        <f t="shared" si="21"/>
        <v>-2.2737367544323206E-12</v>
      </c>
      <c r="T55" s="109">
        <f t="shared" si="21"/>
        <v>-2.2737367544323206E-12</v>
      </c>
      <c r="U55" s="109">
        <f t="shared" si="21"/>
        <v>-2.2737367544323206E-12</v>
      </c>
      <c r="V55" s="109">
        <f t="shared" si="21"/>
        <v>-2.2737367544323206E-12</v>
      </c>
      <c r="W55" s="109">
        <f t="shared" si="21"/>
        <v>-2.2737367544323206E-12</v>
      </c>
      <c r="X55" s="109">
        <f>X50+X51-SUM(X52:X54)</f>
        <v>-2.2737367544323206E-12</v>
      </c>
      <c r="Y55" s="109">
        <f>Y50+Y51-SUM(Y52:Y54)</f>
        <v>-2.2737367544323206E-12</v>
      </c>
      <c r="Z55" s="109">
        <f>Z50+Z51-SUM(Z52:Z54)</f>
        <v>-2.2737367544323206E-12</v>
      </c>
      <c r="AA55" s="109">
        <f>AA50+AA51-SUM(AA52:AA54)</f>
        <v>-2.2737367544323206E-12</v>
      </c>
    </row>
    <row r="56" spans="1:27" s="85" customFormat="1" outlineLevel="1" x14ac:dyDescent="0.25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5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5">
      <c r="A58" s="346" t="s">
        <v>278</v>
      </c>
      <c r="B58" s="460"/>
      <c r="C58" s="460"/>
      <c r="D58" s="84"/>
      <c r="E58" s="84"/>
      <c r="F58" s="84"/>
      <c r="G58" s="84"/>
    </row>
    <row r="59" spans="1:27" s="461" customFormat="1" outlineLevel="1" x14ac:dyDescent="0.25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5">
      <c r="A60" s="73" t="s">
        <v>314</v>
      </c>
      <c r="B60" s="73"/>
      <c r="C60" s="73"/>
      <c r="D60" s="82">
        <f>B152</f>
        <v>0</v>
      </c>
      <c r="E60" s="82">
        <f>D65</f>
        <v>785.93860341570144</v>
      </c>
      <c r="F60" s="82">
        <f t="shared" ref="F60:W60" si="23">E65</f>
        <v>8314.1128120379435</v>
      </c>
      <c r="G60" s="82">
        <f t="shared" si="23"/>
        <v>14630.140427895618</v>
      </c>
      <c r="H60" s="82">
        <f t="shared" si="23"/>
        <v>32547.465967319142</v>
      </c>
      <c r="I60" s="82">
        <f t="shared" si="23"/>
        <v>42086.30717495401</v>
      </c>
      <c r="J60" s="82">
        <f t="shared" si="23"/>
        <v>36882.879503368313</v>
      </c>
      <c r="K60" s="82">
        <f t="shared" si="23"/>
        <v>28530.85690368784</v>
      </c>
      <c r="L60" s="82">
        <f t="shared" si="23"/>
        <v>20235.195993699348</v>
      </c>
      <c r="M60" s="82">
        <f t="shared" si="23"/>
        <v>12588.383271659523</v>
      </c>
      <c r="N60" s="82">
        <f t="shared" si="23"/>
        <v>6115.6329982098523</v>
      </c>
      <c r="O60" s="82">
        <f t="shared" si="23"/>
        <v>1796.7356524258385</v>
      </c>
      <c r="P60" s="82">
        <f t="shared" si="23"/>
        <v>210.96196100814154</v>
      </c>
      <c r="Q60" s="82">
        <f t="shared" si="23"/>
        <v>0.273008397017378</v>
      </c>
      <c r="R60" s="82">
        <f t="shared" si="23"/>
        <v>-7.7138295750955876E-12</v>
      </c>
      <c r="S60" s="82">
        <f t="shared" si="23"/>
        <v>-7.7138295750955876E-12</v>
      </c>
      <c r="T60" s="82">
        <f t="shared" si="23"/>
        <v>-7.7138295750955876E-12</v>
      </c>
      <c r="U60" s="82">
        <f t="shared" si="23"/>
        <v>-7.7138295750955876E-12</v>
      </c>
      <c r="V60" s="82">
        <f t="shared" si="23"/>
        <v>-7.7138295750955876E-12</v>
      </c>
      <c r="W60" s="82">
        <f t="shared" si="23"/>
        <v>-7.7138295750955876E-12</v>
      </c>
      <c r="X60" s="82">
        <f>W65</f>
        <v>-7.7138295750955876E-12</v>
      </c>
      <c r="Y60" s="82">
        <f>X65</f>
        <v>-7.7138295750955876E-12</v>
      </c>
      <c r="Z60" s="82">
        <f>Y65</f>
        <v>-7.7138295750955876E-12</v>
      </c>
      <c r="AA60" s="82">
        <f>Z65</f>
        <v>-7.7138295750955876E-12</v>
      </c>
    </row>
    <row r="61" spans="1:27" s="461" customFormat="1" outlineLevel="1" x14ac:dyDescent="0.25">
      <c r="A61" s="73" t="s">
        <v>315</v>
      </c>
      <c r="B61" s="73"/>
      <c r="C61" s="73"/>
      <c r="D61" s="82">
        <f>'Data 2009-15 (Real $2008)'!D14/10^3</f>
        <v>846.39541906306306</v>
      </c>
      <c r="E61" s="82">
        <f>'Data 2009-15 (Real $2008)'!E14/10^3</f>
        <v>8237.4792122182698</v>
      </c>
      <c r="F61" s="82">
        <f>'Data 2009-15 (Real $2008)'!F14/10^3</f>
        <v>8199.3950680438538</v>
      </c>
      <c r="G61" s="82">
        <f>'Data 2009-15 (Real $2008)'!G14/10^3</f>
        <v>21954.545919275366</v>
      </c>
      <c r="H61" s="82">
        <f>'Data 2009-15 (Real $2008)'!H14/10^3</f>
        <v>16309.185241853025</v>
      </c>
      <c r="I61" s="82">
        <f>'Data 2009-15 (Real $2008)'!I14/10^3</f>
        <v>2942.0011014390357</v>
      </c>
      <c r="J61" s="82">
        <f>'Data 2009-15 (Real $2008)'!J14/10^3</f>
        <v>3.822117558351291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5">
      <c r="A62" s="73" t="s">
        <v>4</v>
      </c>
      <c r="B62" s="73"/>
      <c r="C62" s="73"/>
      <c r="D62" s="82">
        <f>'Data 2009-15 (Real $2008)'!D38/10^3</f>
        <v>0</v>
      </c>
      <c r="E62" s="82">
        <f>'Data 2009-15 (Real $2008)'!E38/10^3</f>
        <v>0</v>
      </c>
      <c r="F62" s="82">
        <f>'Data 2009-15 (Real $2008)'!F38/10^3</f>
        <v>0</v>
      </c>
      <c r="G62" s="82">
        <f>'Data 2009-15 (Real $2008)'!G38/10^3</f>
        <v>0</v>
      </c>
      <c r="H62" s="82">
        <f>'Data 2009-15 (Real $2008)'!H38/10^3</f>
        <v>0</v>
      </c>
      <c r="I62" s="82">
        <f>'Data 2009-15 (Real $2008)'!I38/10^3</f>
        <v>0</v>
      </c>
      <c r="J62" s="82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5">
      <c r="A63" s="84" t="s">
        <v>5</v>
      </c>
      <c r="B63" s="84"/>
      <c r="C63" s="84"/>
      <c r="D63" s="82">
        <f>'Data 2009-15 (Real $2008)'!D47/10^3</f>
        <v>0</v>
      </c>
      <c r="E63" s="82">
        <f>'Data 2009-15 (Real $2008)'!E47/10^3</f>
        <v>0</v>
      </c>
      <c r="F63" s="82">
        <f>'Data 2009-15 (Real $2008)'!F47/10^3</f>
        <v>0</v>
      </c>
      <c r="G63" s="82">
        <f>'Data 2009-15 (Real $2008)'!G47/10^3</f>
        <v>0</v>
      </c>
      <c r="H63" s="82">
        <f>'Data 2009-15 (Real $2008)'!H47/10^3</f>
        <v>0</v>
      </c>
      <c r="I63" s="82">
        <f>'Data 2009-15 (Real $2008)'!I47/10^3</f>
        <v>0</v>
      </c>
      <c r="J63" s="82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5">
      <c r="A64" s="73" t="s">
        <v>136</v>
      </c>
      <c r="B64" s="73"/>
      <c r="C64" s="73"/>
      <c r="D64" s="82">
        <f>D152+D246</f>
        <v>60.456815647361644</v>
      </c>
      <c r="E64" s="82">
        <f t="shared" ref="E64:W64" si="24">E152+E246</f>
        <v>709.3050035960282</v>
      </c>
      <c r="F64" s="82">
        <f t="shared" si="24"/>
        <v>1883.3674521861799</v>
      </c>
      <c r="G64" s="82">
        <f t="shared" si="24"/>
        <v>4037.2203798518385</v>
      </c>
      <c r="H64" s="82">
        <f t="shared" si="24"/>
        <v>6770.344034218153</v>
      </c>
      <c r="I64" s="82">
        <f t="shared" si="24"/>
        <v>8145.4287730247288</v>
      </c>
      <c r="J64" s="82">
        <f t="shared" si="24"/>
        <v>8355.8447172388278</v>
      </c>
      <c r="K64" s="82">
        <f t="shared" si="24"/>
        <v>8295.6609099884918</v>
      </c>
      <c r="L64" s="82">
        <f t="shared" si="24"/>
        <v>7646.8127220398255</v>
      </c>
      <c r="M64" s="82">
        <f t="shared" si="24"/>
        <v>6472.7502734496702</v>
      </c>
      <c r="N64" s="82">
        <f t="shared" si="24"/>
        <v>4318.8973457840139</v>
      </c>
      <c r="O64" s="82">
        <f t="shared" si="24"/>
        <v>1585.7736914176969</v>
      </c>
      <c r="P64" s="82">
        <f t="shared" si="24"/>
        <v>210.68895261112417</v>
      </c>
      <c r="Q64" s="82">
        <f t="shared" si="24"/>
        <v>0.27300839702509183</v>
      </c>
      <c r="R64" s="82">
        <f t="shared" si="24"/>
        <v>0</v>
      </c>
      <c r="S64" s="82">
        <f t="shared" si="24"/>
        <v>0</v>
      </c>
      <c r="T64" s="82">
        <f t="shared" si="24"/>
        <v>0</v>
      </c>
      <c r="U64" s="82">
        <f t="shared" si="24"/>
        <v>0</v>
      </c>
      <c r="V64" s="82">
        <f t="shared" si="24"/>
        <v>0</v>
      </c>
      <c r="W64" s="82">
        <f t="shared" si="24"/>
        <v>0</v>
      </c>
      <c r="X64" s="82">
        <f>X152+X246</f>
        <v>0</v>
      </c>
      <c r="Y64" s="82">
        <f>Y152+Y246</f>
        <v>0</v>
      </c>
      <c r="Z64" s="82">
        <f>Z152+Z246</f>
        <v>0</v>
      </c>
      <c r="AA64" s="82">
        <f>AA152+AA246</f>
        <v>0</v>
      </c>
    </row>
    <row r="65" spans="1:27" s="461" customFormat="1" outlineLevel="1" x14ac:dyDescent="0.25">
      <c r="A65" s="73" t="s">
        <v>316</v>
      </c>
      <c r="B65" s="73"/>
      <c r="C65" s="73"/>
      <c r="D65" s="109">
        <f t="shared" ref="D65:W65" si="25">D60+D61-SUM(D62:D64)</f>
        <v>785.93860341570144</v>
      </c>
      <c r="E65" s="109">
        <f t="shared" si="25"/>
        <v>8314.1128120379435</v>
      </c>
      <c r="F65" s="109">
        <f t="shared" si="25"/>
        <v>14630.140427895618</v>
      </c>
      <c r="G65" s="109">
        <f t="shared" si="25"/>
        <v>32547.465967319142</v>
      </c>
      <c r="H65" s="109">
        <f t="shared" si="25"/>
        <v>42086.30717495401</v>
      </c>
      <c r="I65" s="109">
        <f t="shared" si="25"/>
        <v>36882.879503368313</v>
      </c>
      <c r="J65" s="109">
        <f t="shared" si="25"/>
        <v>28530.85690368784</v>
      </c>
      <c r="K65" s="109">
        <f t="shared" si="25"/>
        <v>20235.195993699348</v>
      </c>
      <c r="L65" s="109">
        <f t="shared" si="25"/>
        <v>12588.383271659523</v>
      </c>
      <c r="M65" s="109">
        <f t="shared" si="25"/>
        <v>6115.6329982098523</v>
      </c>
      <c r="N65" s="109">
        <f t="shared" si="25"/>
        <v>1796.7356524258385</v>
      </c>
      <c r="O65" s="109">
        <f t="shared" si="25"/>
        <v>210.96196100814154</v>
      </c>
      <c r="P65" s="109">
        <f t="shared" si="25"/>
        <v>0.273008397017378</v>
      </c>
      <c r="Q65" s="109">
        <f t="shared" si="25"/>
        <v>-7.7138295750955876E-12</v>
      </c>
      <c r="R65" s="109">
        <f t="shared" si="25"/>
        <v>-7.7138295750955876E-12</v>
      </c>
      <c r="S65" s="109">
        <f t="shared" si="25"/>
        <v>-7.7138295750955876E-12</v>
      </c>
      <c r="T65" s="109">
        <f t="shared" si="25"/>
        <v>-7.7138295750955876E-12</v>
      </c>
      <c r="U65" s="109">
        <f t="shared" si="25"/>
        <v>-7.7138295750955876E-12</v>
      </c>
      <c r="V65" s="109">
        <f t="shared" si="25"/>
        <v>-7.7138295750955876E-12</v>
      </c>
      <c r="W65" s="109">
        <f t="shared" si="25"/>
        <v>-7.7138295750955876E-12</v>
      </c>
      <c r="X65" s="109">
        <f>X60+X61-SUM(X62:X64)</f>
        <v>-7.7138295750955876E-12</v>
      </c>
      <c r="Y65" s="109">
        <f>Y60+Y61-SUM(Y62:Y64)</f>
        <v>-7.7138295750955876E-12</v>
      </c>
      <c r="Z65" s="109">
        <f>Z60+Z61-SUM(Z62:Z64)</f>
        <v>-7.7138295750955876E-12</v>
      </c>
      <c r="AA65" s="109">
        <f>AA60+AA61-SUM(AA62:AA64)</f>
        <v>-7.7138295750955876E-12</v>
      </c>
    </row>
    <row r="66" spans="1:27" s="85" customFormat="1" outlineLevel="1" x14ac:dyDescent="0.25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5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5">
      <c r="A68" s="346" t="s">
        <v>277</v>
      </c>
      <c r="B68" s="460"/>
      <c r="C68" s="460"/>
      <c r="D68" s="84"/>
      <c r="E68" s="84"/>
      <c r="F68" s="84"/>
      <c r="G68" s="84"/>
    </row>
    <row r="69" spans="1:27" s="461" customFormat="1" outlineLevel="1" x14ac:dyDescent="0.25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5">
      <c r="A70" s="73" t="s">
        <v>314</v>
      </c>
      <c r="B70" s="73"/>
      <c r="C70" s="73"/>
      <c r="D70" s="82">
        <f>B116+B160</f>
        <v>199.3930604228442</v>
      </c>
      <c r="E70" s="82">
        <f>D75</f>
        <v>128.97567768139453</v>
      </c>
      <c r="F70" s="82">
        <f t="shared" ref="F70:W70" si="27">E75</f>
        <v>58.558294939944872</v>
      </c>
      <c r="G70" s="82">
        <f t="shared" si="27"/>
        <v>11.674801784610025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82">
        <f t="shared" si="27"/>
        <v>0</v>
      </c>
      <c r="R70" s="82">
        <f t="shared" si="27"/>
        <v>0</v>
      </c>
      <c r="S70" s="82">
        <f t="shared" si="27"/>
        <v>0</v>
      </c>
      <c r="T70" s="82">
        <f t="shared" si="27"/>
        <v>0</v>
      </c>
      <c r="U70" s="82">
        <f t="shared" si="27"/>
        <v>0</v>
      </c>
      <c r="V70" s="82">
        <f t="shared" si="27"/>
        <v>0</v>
      </c>
      <c r="W70" s="82">
        <f t="shared" si="27"/>
        <v>0</v>
      </c>
      <c r="X70" s="82">
        <f>W75</f>
        <v>0</v>
      </c>
      <c r="Y70" s="82">
        <f>X75</f>
        <v>0</v>
      </c>
      <c r="Z70" s="82">
        <f>Y75</f>
        <v>0</v>
      </c>
      <c r="AA70" s="82">
        <f>Z75</f>
        <v>0</v>
      </c>
    </row>
    <row r="71" spans="1:27" s="461" customFormat="1" outlineLevel="1" x14ac:dyDescent="0.25">
      <c r="A71" s="73" t="s">
        <v>315</v>
      </c>
      <c r="B71" s="73"/>
      <c r="C71" s="73"/>
      <c r="D71" s="82">
        <f>'Data 2009-15 (Real $2008)'!D15/10^3</f>
        <v>0</v>
      </c>
      <c r="E71" s="82">
        <f>'Data 2009-15 (Real $2008)'!E15/10^3</f>
        <v>0</v>
      </c>
      <c r="F71" s="82">
        <f>'Data 2009-15 (Real $2008)'!F15/10^3</f>
        <v>0</v>
      </c>
      <c r="G71" s="82">
        <f>'Data 2009-15 (Real $2008)'!G15/10^3</f>
        <v>0</v>
      </c>
      <c r="H71" s="82">
        <f>'Data 2009-15 (Real $2008)'!H15/10^3</f>
        <v>0</v>
      </c>
      <c r="I71" s="82">
        <f>'Data 2009-15 (Real $2008)'!I15/10^3</f>
        <v>0</v>
      </c>
      <c r="J71" s="82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5">
      <c r="A72" s="73" t="s">
        <v>4</v>
      </c>
      <c r="B72" s="73"/>
      <c r="C72" s="73"/>
      <c r="D72" s="82">
        <f>'Data 2009-15 (Real $2008)'!D39/10^3</f>
        <v>0</v>
      </c>
      <c r="E72" s="82">
        <f>'Data 2009-15 (Real $2008)'!E39/10^3</f>
        <v>0</v>
      </c>
      <c r="F72" s="82">
        <f>'Data 2009-15 (Real $2008)'!F39/10^3</f>
        <v>0</v>
      </c>
      <c r="G72" s="82">
        <f>'Data 2009-15 (Real $2008)'!G39/10^3</f>
        <v>0</v>
      </c>
      <c r="H72" s="82">
        <f>'Data 2009-15 (Real $2008)'!H39/10^3</f>
        <v>0</v>
      </c>
      <c r="I72" s="82">
        <f>'Data 2009-15 (Real $2008)'!I39/10^3</f>
        <v>0</v>
      </c>
      <c r="J72" s="82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5">
      <c r="A73" s="84" t="s">
        <v>5</v>
      </c>
      <c r="B73" s="84"/>
      <c r="C73" s="84"/>
      <c r="D73" s="82">
        <f>'Data 2009-15 (Real $2008)'!D48/10^3</f>
        <v>0</v>
      </c>
      <c r="E73" s="82">
        <f>'Data 2009-15 (Real $2008)'!E48/10^3</f>
        <v>0</v>
      </c>
      <c r="F73" s="82">
        <f>'Data 2009-15 (Real $2008)'!F48/10^3</f>
        <v>0</v>
      </c>
      <c r="G73" s="82">
        <f>'Data 2009-15 (Real $2008)'!G48/10^3</f>
        <v>0</v>
      </c>
      <c r="H73" s="82">
        <f>'Data 2009-15 (Real $2008)'!H48/10^3</f>
        <v>0</v>
      </c>
      <c r="I73" s="82">
        <f>'Data 2009-15 (Real $2008)'!I48/10^3</f>
        <v>0</v>
      </c>
      <c r="J73" s="82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5">
      <c r="A74" s="73" t="s">
        <v>136</v>
      </c>
      <c r="B74" s="73"/>
      <c r="C74" s="73"/>
      <c r="D74" s="82">
        <f>D116+D160+D258</f>
        <v>70.417382741449657</v>
      </c>
      <c r="E74" s="82">
        <f t="shared" ref="E74:W74" si="28">E116+E160+E258</f>
        <v>70.417382741449657</v>
      </c>
      <c r="F74" s="82">
        <f t="shared" si="28"/>
        <v>46.883493155334847</v>
      </c>
      <c r="G74" s="82">
        <f t="shared" si="28"/>
        <v>11.674801784610025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0</v>
      </c>
      <c r="N74" s="82">
        <f t="shared" si="28"/>
        <v>0</v>
      </c>
      <c r="O74" s="82">
        <f t="shared" si="28"/>
        <v>0</v>
      </c>
      <c r="P74" s="82">
        <f t="shared" si="28"/>
        <v>0</v>
      </c>
      <c r="Q74" s="82">
        <f t="shared" si="28"/>
        <v>0</v>
      </c>
      <c r="R74" s="82">
        <f t="shared" si="28"/>
        <v>0</v>
      </c>
      <c r="S74" s="82">
        <f t="shared" si="28"/>
        <v>0</v>
      </c>
      <c r="T74" s="82">
        <f t="shared" si="28"/>
        <v>0</v>
      </c>
      <c r="U74" s="82">
        <f t="shared" si="28"/>
        <v>0</v>
      </c>
      <c r="V74" s="82">
        <f t="shared" si="28"/>
        <v>0</v>
      </c>
      <c r="W74" s="82">
        <f t="shared" si="28"/>
        <v>0</v>
      </c>
      <c r="X74" s="82">
        <f>X116+X160+X258</f>
        <v>0</v>
      </c>
      <c r="Y74" s="82">
        <f>Y116+Y160+Y258</f>
        <v>0</v>
      </c>
      <c r="Z74" s="82">
        <f>Z116+Z160+Z258</f>
        <v>0</v>
      </c>
      <c r="AA74" s="82">
        <f>AA116+AA160+AA258</f>
        <v>0</v>
      </c>
    </row>
    <row r="75" spans="1:27" s="461" customFormat="1" outlineLevel="1" x14ac:dyDescent="0.25">
      <c r="A75" s="73" t="s">
        <v>316</v>
      </c>
      <c r="B75" s="73"/>
      <c r="C75" s="73"/>
      <c r="D75" s="109">
        <f t="shared" ref="D75:W75" si="29">D70+D71-SUM(D72:D74)</f>
        <v>128.97567768139453</v>
      </c>
      <c r="E75" s="109">
        <f t="shared" si="29"/>
        <v>58.558294939944872</v>
      </c>
      <c r="F75" s="109">
        <f t="shared" si="29"/>
        <v>11.674801784610025</v>
      </c>
      <c r="G75" s="109">
        <f t="shared" si="29"/>
        <v>0</v>
      </c>
      <c r="H75" s="109">
        <f t="shared" si="29"/>
        <v>0</v>
      </c>
      <c r="I75" s="109">
        <f t="shared" si="29"/>
        <v>0</v>
      </c>
      <c r="J75" s="109">
        <f t="shared" si="29"/>
        <v>0</v>
      </c>
      <c r="K75" s="109">
        <f t="shared" si="29"/>
        <v>0</v>
      </c>
      <c r="L75" s="109">
        <f t="shared" si="29"/>
        <v>0</v>
      </c>
      <c r="M75" s="109">
        <f t="shared" si="29"/>
        <v>0</v>
      </c>
      <c r="N75" s="109">
        <f t="shared" si="29"/>
        <v>0</v>
      </c>
      <c r="O75" s="109">
        <f t="shared" si="29"/>
        <v>0</v>
      </c>
      <c r="P75" s="109">
        <f t="shared" si="29"/>
        <v>0</v>
      </c>
      <c r="Q75" s="109">
        <f t="shared" si="29"/>
        <v>0</v>
      </c>
      <c r="R75" s="109">
        <f t="shared" si="29"/>
        <v>0</v>
      </c>
      <c r="S75" s="109">
        <f t="shared" si="29"/>
        <v>0</v>
      </c>
      <c r="T75" s="109">
        <f t="shared" si="29"/>
        <v>0</v>
      </c>
      <c r="U75" s="109">
        <f t="shared" si="29"/>
        <v>0</v>
      </c>
      <c r="V75" s="109">
        <f t="shared" si="29"/>
        <v>0</v>
      </c>
      <c r="W75" s="109">
        <f t="shared" si="29"/>
        <v>0</v>
      </c>
      <c r="X75" s="109">
        <f>X70+X71-SUM(X72:X74)</f>
        <v>0</v>
      </c>
      <c r="Y75" s="109">
        <f>Y70+Y71-SUM(Y72:Y74)</f>
        <v>0</v>
      </c>
      <c r="Z75" s="109">
        <f>Z70+Z71-SUM(Z72:Z74)</f>
        <v>0</v>
      </c>
      <c r="AA75" s="109">
        <f>AA70+AA71-SUM(AA72:AA74)</f>
        <v>0</v>
      </c>
    </row>
    <row r="76" spans="1:27" s="85" customFormat="1" outlineLevel="1" x14ac:dyDescent="0.25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5">
      <c r="A77" s="555" t="s">
        <v>0</v>
      </c>
      <c r="B77" s="558"/>
      <c r="C77" s="556">
        <f>SUM(D77:AA77)</f>
        <v>0</v>
      </c>
      <c r="D77" s="559">
        <f>IF(ABS(D10-D25-D35-D45-D55-D65-D75)&lt;0.001,0,ABS(D10-D25-D35-D45-D55-D65-D75))</f>
        <v>0</v>
      </c>
      <c r="E77" s="559">
        <f t="shared" ref="E77:W77" si="30">IF(ABS(E10-E25-E35-E45-E55-E65-E75)&lt;0.001,0,ABS(E10-E25-E35-E45-E55-E65-E75))</f>
        <v>0</v>
      </c>
      <c r="F77" s="559">
        <f t="shared" si="30"/>
        <v>0</v>
      </c>
      <c r="G77" s="559">
        <f t="shared" si="30"/>
        <v>0</v>
      </c>
      <c r="H77" s="559">
        <f t="shared" si="30"/>
        <v>0</v>
      </c>
      <c r="I77" s="559">
        <f t="shared" si="30"/>
        <v>0</v>
      </c>
      <c r="J77" s="559">
        <f t="shared" si="30"/>
        <v>0</v>
      </c>
      <c r="K77" s="559">
        <f t="shared" si="30"/>
        <v>0</v>
      </c>
      <c r="L77" s="559">
        <f t="shared" si="30"/>
        <v>0</v>
      </c>
      <c r="M77" s="559">
        <f t="shared" si="30"/>
        <v>0</v>
      </c>
      <c r="N77" s="559">
        <f t="shared" si="30"/>
        <v>0</v>
      </c>
      <c r="O77" s="559">
        <f t="shared" si="30"/>
        <v>0</v>
      </c>
      <c r="P77" s="559">
        <f t="shared" si="30"/>
        <v>0</v>
      </c>
      <c r="Q77" s="559">
        <f t="shared" si="30"/>
        <v>0</v>
      </c>
      <c r="R77" s="559">
        <f t="shared" si="30"/>
        <v>0</v>
      </c>
      <c r="S77" s="559">
        <f t="shared" si="30"/>
        <v>0</v>
      </c>
      <c r="T77" s="559">
        <f t="shared" si="30"/>
        <v>0</v>
      </c>
      <c r="U77" s="559">
        <f t="shared" si="30"/>
        <v>0</v>
      </c>
      <c r="V77" s="559">
        <f t="shared" si="30"/>
        <v>0</v>
      </c>
      <c r="W77" s="559">
        <f t="shared" si="30"/>
        <v>0</v>
      </c>
      <c r="X77" s="559">
        <f>IF(ABS(X10-X25-X35-X45-X55-X65-X75)&lt;0.001,0,ABS(X10-X25-X35-X45-X55-X65-X75))</f>
        <v>0</v>
      </c>
      <c r="Y77" s="559">
        <f>IF(ABS(Y10-Y25-Y35-Y45-Y55-Y65-Y75)&lt;0.001,0,ABS(Y10-Y25-Y35-Y45-Y55-Y65-Y75))</f>
        <v>0</v>
      </c>
      <c r="Z77" s="559">
        <f>IF(ABS(Z10-Z25-Z35-Z45-Z55-Z65-Z75)&lt;0.001,0,ABS(Z10-Z25-Z35-Z45-Z55-Z65-Z75))</f>
        <v>0</v>
      </c>
      <c r="AA77" s="559">
        <f>IF(ABS(AA10-AA25-AA35-AA45-AA55-AA65-AA75)&lt;0.001,0,ABS(AA10-AA25-AA35-AA45-AA55-AA65-AA75))</f>
        <v>0</v>
      </c>
    </row>
    <row r="78" spans="1:27" s="85" customFormat="1" x14ac:dyDescent="0.25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5">
      <c r="A79" s="464" t="s">
        <v>327</v>
      </c>
      <c r="B79" s="464"/>
      <c r="C79" s="464"/>
      <c r="G79" s="60"/>
    </row>
    <row r="80" spans="1:27" x14ac:dyDescent="0.25">
      <c r="A80" s="346" t="str">
        <f>$A$4</f>
        <v>($000 Real 2008)</v>
      </c>
      <c r="B80" s="464"/>
      <c r="C80" s="464"/>
      <c r="G80" s="60"/>
    </row>
    <row r="81" spans="1:27" x14ac:dyDescent="0.25">
      <c r="A81" s="101" t="s">
        <v>323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5">
      <c r="A82" s="73" t="s">
        <v>170</v>
      </c>
      <c r="D82" s="87">
        <f>B119</f>
        <v>21038.921386264967</v>
      </c>
      <c r="E82" s="87">
        <f>D84</f>
        <v>16554.586507624415</v>
      </c>
      <c r="F82" s="87">
        <f t="shared" ref="F82:W82" si="32">E84</f>
        <v>12070.251628983864</v>
      </c>
      <c r="G82" s="87">
        <f t="shared" si="32"/>
        <v>7849.3376925328985</v>
      </c>
      <c r="H82" s="87">
        <f t="shared" si="32"/>
        <v>3910.0061076348061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0</v>
      </c>
      <c r="M82" s="87">
        <f t="shared" si="32"/>
        <v>0</v>
      </c>
      <c r="N82" s="87">
        <f t="shared" si="32"/>
        <v>0</v>
      </c>
      <c r="O82" s="87">
        <f t="shared" si="32"/>
        <v>0</v>
      </c>
      <c r="P82" s="87">
        <f t="shared" si="32"/>
        <v>0</v>
      </c>
      <c r="Q82" s="87">
        <f t="shared" si="32"/>
        <v>0</v>
      </c>
      <c r="R82" s="87">
        <f t="shared" si="32"/>
        <v>0</v>
      </c>
      <c r="S82" s="87">
        <f t="shared" si="32"/>
        <v>0</v>
      </c>
      <c r="T82" s="87">
        <f t="shared" si="32"/>
        <v>0</v>
      </c>
      <c r="U82" s="87">
        <f t="shared" si="32"/>
        <v>0</v>
      </c>
      <c r="V82" s="87">
        <f t="shared" si="32"/>
        <v>0</v>
      </c>
      <c r="W82" s="87">
        <f t="shared" si="32"/>
        <v>0</v>
      </c>
      <c r="X82" s="87">
        <f>W84</f>
        <v>0</v>
      </c>
      <c r="Y82" s="87">
        <f>X84</f>
        <v>0</v>
      </c>
      <c r="Z82" s="87">
        <f>Y84</f>
        <v>0</v>
      </c>
      <c r="AA82" s="87">
        <f>Z84</f>
        <v>0</v>
      </c>
    </row>
    <row r="83" spans="1:27" x14ac:dyDescent="0.25">
      <c r="A83" s="84" t="s">
        <v>136</v>
      </c>
      <c r="D83" s="87">
        <f>D119</f>
        <v>4484.3348786405513</v>
      </c>
      <c r="E83" s="87">
        <f t="shared" ref="E83:W83" si="33">E119</f>
        <v>4484.3348786405513</v>
      </c>
      <c r="F83" s="87">
        <f t="shared" si="33"/>
        <v>4220.9139364509656</v>
      </c>
      <c r="G83" s="87">
        <f t="shared" si="33"/>
        <v>3939.3315848980924</v>
      </c>
      <c r="H83" s="87">
        <f t="shared" si="33"/>
        <v>3910.0061076348061</v>
      </c>
      <c r="I83" s="87">
        <f t="shared" si="33"/>
        <v>0</v>
      </c>
      <c r="J83" s="87">
        <f t="shared" si="33"/>
        <v>0</v>
      </c>
      <c r="K83" s="87">
        <f t="shared" si="33"/>
        <v>0</v>
      </c>
      <c r="L83" s="87">
        <f t="shared" si="33"/>
        <v>0</v>
      </c>
      <c r="M83" s="87">
        <f t="shared" si="33"/>
        <v>0</v>
      </c>
      <c r="N83" s="87">
        <f t="shared" si="33"/>
        <v>0</v>
      </c>
      <c r="O83" s="87">
        <f t="shared" si="33"/>
        <v>0</v>
      </c>
      <c r="P83" s="87">
        <f t="shared" si="33"/>
        <v>0</v>
      </c>
      <c r="Q83" s="87">
        <f t="shared" si="33"/>
        <v>0</v>
      </c>
      <c r="R83" s="87">
        <f t="shared" si="33"/>
        <v>0</v>
      </c>
      <c r="S83" s="87">
        <f t="shared" si="33"/>
        <v>0</v>
      </c>
      <c r="T83" s="87">
        <f t="shared" si="33"/>
        <v>0</v>
      </c>
      <c r="U83" s="87">
        <f t="shared" si="33"/>
        <v>0</v>
      </c>
      <c r="V83" s="87">
        <f t="shared" si="33"/>
        <v>0</v>
      </c>
      <c r="W83" s="87">
        <f t="shared" si="33"/>
        <v>0</v>
      </c>
      <c r="X83" s="87">
        <f>X119</f>
        <v>0</v>
      </c>
      <c r="Y83" s="87">
        <f>Y119</f>
        <v>0</v>
      </c>
      <c r="Z83" s="87">
        <f>Z119</f>
        <v>0</v>
      </c>
      <c r="AA83" s="87">
        <f>AA119</f>
        <v>0</v>
      </c>
    </row>
    <row r="84" spans="1:27" ht="13.8" thickBot="1" x14ac:dyDescent="0.3">
      <c r="A84" s="73" t="s">
        <v>172</v>
      </c>
      <c r="D84" s="76">
        <f>D82-D83</f>
        <v>16554.586507624415</v>
      </c>
      <c r="E84" s="76">
        <f t="shared" ref="E84:W84" si="34">E82-E83</f>
        <v>12070.251628983864</v>
      </c>
      <c r="F84" s="76">
        <f t="shared" si="34"/>
        <v>7849.3376925328985</v>
      </c>
      <c r="G84" s="76">
        <f t="shared" si="34"/>
        <v>3910.0061076348061</v>
      </c>
      <c r="H84" s="76">
        <f t="shared" si="34"/>
        <v>0</v>
      </c>
      <c r="I84" s="76">
        <f t="shared" si="34"/>
        <v>0</v>
      </c>
      <c r="J84" s="76">
        <f t="shared" si="34"/>
        <v>0</v>
      </c>
      <c r="K84" s="76">
        <f t="shared" si="34"/>
        <v>0</v>
      </c>
      <c r="L84" s="76">
        <f t="shared" si="34"/>
        <v>0</v>
      </c>
      <c r="M84" s="76">
        <f t="shared" si="34"/>
        <v>0</v>
      </c>
      <c r="N84" s="76">
        <f t="shared" si="34"/>
        <v>0</v>
      </c>
      <c r="O84" s="76">
        <f t="shared" si="34"/>
        <v>0</v>
      </c>
      <c r="P84" s="76">
        <f t="shared" si="34"/>
        <v>0</v>
      </c>
      <c r="Q84" s="76">
        <f t="shared" si="34"/>
        <v>0</v>
      </c>
      <c r="R84" s="76">
        <f t="shared" si="34"/>
        <v>0</v>
      </c>
      <c r="S84" s="76">
        <f t="shared" si="34"/>
        <v>0</v>
      </c>
      <c r="T84" s="76">
        <f t="shared" si="34"/>
        <v>0</v>
      </c>
      <c r="U84" s="76">
        <f t="shared" si="34"/>
        <v>0</v>
      </c>
      <c r="V84" s="76">
        <f t="shared" si="34"/>
        <v>0</v>
      </c>
      <c r="W84" s="76">
        <f t="shared" si="34"/>
        <v>0</v>
      </c>
      <c r="X84" s="76">
        <f>X82-X83</f>
        <v>0</v>
      </c>
      <c r="Y84" s="76">
        <f>Y82-Y83</f>
        <v>0</v>
      </c>
      <c r="Z84" s="76">
        <f>Z82-Z83</f>
        <v>0</v>
      </c>
      <c r="AA84" s="76">
        <f>AA82-AA83</f>
        <v>0</v>
      </c>
    </row>
    <row r="85" spans="1:27" s="101" customFormat="1" ht="13.8" outlineLevel="1" thickTop="1" x14ac:dyDescent="0.25">
      <c r="A85" s="555" t="s">
        <v>0</v>
      </c>
      <c r="B85" s="484"/>
      <c r="C85" s="556">
        <f>SUM(D85:E85)</f>
        <v>0</v>
      </c>
      <c r="D85" s="557">
        <f>IF(ABS(D82-SUM(D83:AA83))&lt;0.001,0,ABS(D82-SUM(D83:AA83)))</f>
        <v>0</v>
      </c>
      <c r="E85" s="557">
        <f>IF(ABS(D82-'Offset of Costs and Rev 2006-08'!F183)&lt;0.001,0,ABS(D82-'Offset of Costs and Rev 2006-08'!F183))</f>
        <v>0</v>
      </c>
      <c r="G85" s="60"/>
    </row>
    <row r="86" spans="1:27" outlineLevel="1" x14ac:dyDescent="0.25"/>
    <row r="87" spans="1:27" outlineLevel="1" x14ac:dyDescent="0.25">
      <c r="A87" s="346" t="s">
        <v>260</v>
      </c>
      <c r="B87" s="473" t="s">
        <v>319</v>
      </c>
      <c r="C87" s="308" t="s">
        <v>322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5">
      <c r="A88" s="346" t="str">
        <f>$A$4</f>
        <v>($000 Real 2008)</v>
      </c>
      <c r="B88" s="474" t="s">
        <v>320</v>
      </c>
      <c r="C88" s="475" t="s">
        <v>321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5">
      <c r="A89" s="469">
        <v>2006</v>
      </c>
      <c r="B89" s="471">
        <f>'Offset of Costs and Rev 2006-08'!D$140-SUM('Offset of Costs and Rev 2006-08'!D206:F206)</f>
        <v>3819.2908252908633</v>
      </c>
      <c r="C89" s="467">
        <f>IF('Data 2006-08'!C$34="",5,('Data 2006-08'!C$34-D$87+1))</f>
        <v>5</v>
      </c>
      <c r="D89" s="87">
        <f>IF(C89&lt;1,B89,B89/C89)</f>
        <v>763.85816505817263</v>
      </c>
      <c r="E89" s="87">
        <f>IF((SUM($D89:D89)+$B89/$C89)&gt;$B89,$B89-SUM($D89:D89),$B89/$C89)</f>
        <v>763.85816505817263</v>
      </c>
      <c r="F89" s="87">
        <f>IF((SUM($D89:E89)+$B89/$C89)&gt;$B89,$B89-SUM($D89:E89),$B89/$C89)</f>
        <v>763.85816505817263</v>
      </c>
      <c r="G89" s="87">
        <f>IF((SUM($D89:F89)+$B89/$C89)&gt;$B89,$B89-SUM($D89:F89),$B89/$C89)</f>
        <v>763.85816505817263</v>
      </c>
      <c r="H89" s="87">
        <f>IF((SUM($D89:G89)+$B89/$C89)&gt;$B89,$B89-SUM($D89:G89),$B89/$C89)</f>
        <v>763.85816505817263</v>
      </c>
      <c r="I89" s="87">
        <f>IF((SUM($D89:H89)+$B89/$C89)&gt;$B89,$B89-SUM($D89:H89),$B89/$C89)</f>
        <v>0</v>
      </c>
      <c r="J89" s="87">
        <f>IF((SUM($D89:I89)+$B89/$C89)&gt;$B89,$B89-SUM($D89:I89),$B89/$C89)</f>
        <v>0</v>
      </c>
      <c r="K89" s="87">
        <f>IF((SUM($D89:J89)+$B89/$C89)&gt;$B89,$B89-SUM($D89:J89),$B89/$C89)</f>
        <v>0</v>
      </c>
      <c r="L89" s="87">
        <f>IF((SUM($D89:K89)+$B89/$C89)&gt;$B89,$B89-SUM($D89:K89),$B89/$C89)</f>
        <v>0</v>
      </c>
      <c r="M89" s="87">
        <f>IF((SUM($D89:L89)+$B89/$C89)&gt;$B89,$B89-SUM($D89:L89),$B89/$C89)</f>
        <v>0</v>
      </c>
      <c r="N89" s="87">
        <f>IF((SUM($D89:M89)+$B89/$C89)&gt;$B89,$B89-SUM($D89:M89),$B89/$C89)</f>
        <v>0</v>
      </c>
      <c r="O89" s="87">
        <f>IF((SUM($D89:N89)+$B89/$C89)&gt;$B89,$B89-SUM($D89:N89),$B89/$C89)</f>
        <v>0</v>
      </c>
      <c r="P89" s="87">
        <f>IF((SUM($D89:O89)+$B89/$C89)&gt;$B89,$B89-SUM($D89:O89),$B89/$C89)</f>
        <v>0</v>
      </c>
      <c r="Q89" s="87">
        <f>IF((SUM($D89:P89)+$B89/$C89)&gt;$B89,$B89-SUM($D89:P89),$B89/$C89)</f>
        <v>0</v>
      </c>
      <c r="R89" s="87">
        <f>IF((SUM($D89:Q89)+$B89/$C89)&gt;$B89,$B89-SUM($D89:Q89),$B89/$C89)</f>
        <v>0</v>
      </c>
      <c r="S89" s="87">
        <f>IF((SUM($D89:R89)+$B89/$C89)&gt;$B89,$B89-SUM($D89:R89),$B89/$C89)</f>
        <v>0</v>
      </c>
      <c r="T89" s="87">
        <f>IF((SUM($D89:S89)+$B89/$C89)&gt;$B89,$B89-SUM($D89:S89),$B89/$C89)</f>
        <v>0</v>
      </c>
      <c r="U89" s="87">
        <f>IF((SUM($D89:T89)+$B89/$C89)&gt;$B89,$B89-SUM($D89:T89),$B89/$C89)</f>
        <v>0</v>
      </c>
      <c r="V89" s="87">
        <f>IF((SUM($D89:U89)+$B89/$C89)&gt;$B89,$B89-SUM($D89:U89),$B89/$C89)</f>
        <v>0</v>
      </c>
      <c r="W89" s="87">
        <f>IF((SUM($D89:V89)+$B89/$C89)&gt;$B89,$B89-SUM($D89:V89),$B89/$C89)</f>
        <v>0</v>
      </c>
      <c r="X89" s="87">
        <f>IF((SUM($D89:W89)+$B89/$C89)&gt;$B89,$B89-SUM($D89:W89),$B89/$C89)</f>
        <v>0</v>
      </c>
      <c r="Y89" s="87">
        <f>IF((SUM($D89:X89)+$B89/$C89)&gt;$B89,$B89-SUM($D89:X89),$B89/$C89)</f>
        <v>0</v>
      </c>
      <c r="Z89" s="87">
        <f>IF((SUM($D89:Y89)+$B89/$C89)&gt;$B89,$B89-SUM($D89:Y89),$B89/$C89)</f>
        <v>0</v>
      </c>
      <c r="AA89" s="87">
        <f>IF((SUM($D89:Z89)+$B89/$C89)&gt;$B89,$B89-SUM($D89:Z89),$B89/$C89)</f>
        <v>0</v>
      </c>
    </row>
    <row r="90" spans="1:27" outlineLevel="1" x14ac:dyDescent="0.25">
      <c r="A90" s="469">
        <v>2007</v>
      </c>
      <c r="B90" s="471">
        <f>'Offset of Costs and Rev 2006-08'!E$140-SUM('Offset of Costs and Rev 2006-08'!D207:F207)</f>
        <v>3638.309581055496</v>
      </c>
      <c r="C90" s="467">
        <f>IF('Data 2006-08'!C$34="",5,('Data 2006-08'!C$34-D$87+1))</f>
        <v>5</v>
      </c>
      <c r="D90" s="87">
        <f>IF(C90&lt;1,B90,B90/C90)</f>
        <v>727.6619162110992</v>
      </c>
      <c r="E90" s="87">
        <f>IF((SUM($D90:D90)+$B90/$C90)&gt;$B90,$B90-SUM($D90:D90),$B90/$C90)</f>
        <v>727.6619162110992</v>
      </c>
      <c r="F90" s="87">
        <f>IF((SUM($D90:E90)+$B90/$C90)&gt;$B90,$B90-SUM($D90:E90),$B90/$C90)</f>
        <v>727.6619162110992</v>
      </c>
      <c r="G90" s="87">
        <f>IF((SUM($D90:F90)+$B90/$C90)&gt;$B90,$B90-SUM($D90:F90),$B90/$C90)</f>
        <v>727.6619162110992</v>
      </c>
      <c r="H90" s="87">
        <f>IF((SUM($D90:G90)+$B90/$C90)&gt;$B90,$B90-SUM($D90:G90),$B90/$C90)</f>
        <v>727.6619162110992</v>
      </c>
      <c r="I90" s="87">
        <f>IF((SUM($D90:H90)+$B90/$C90)&gt;$B90,$B90-SUM($D90:H90),$B90/$C90)</f>
        <v>0</v>
      </c>
      <c r="J90" s="87">
        <f>IF((SUM($D90:I90)+$B90/$C90)&gt;$B90,$B90-SUM($D90:I90),$B90/$C90)</f>
        <v>0</v>
      </c>
      <c r="K90" s="87">
        <f>IF((SUM($D90:J90)+$B90/$C90)&gt;$B90,$B90-SUM($D90:J90),$B90/$C90)</f>
        <v>0</v>
      </c>
      <c r="L90" s="87">
        <f>IF((SUM($D90:K90)+$B90/$C90)&gt;$B90,$B90-SUM($D90:K90),$B90/$C90)</f>
        <v>0</v>
      </c>
      <c r="M90" s="87">
        <f>IF((SUM($D90:L90)+$B90/$C90)&gt;$B90,$B90-SUM($D90:L90),$B90/$C90)</f>
        <v>0</v>
      </c>
      <c r="N90" s="87">
        <f>IF((SUM($D90:M90)+$B90/$C90)&gt;$B90,$B90-SUM($D90:M90),$B90/$C90)</f>
        <v>0</v>
      </c>
      <c r="O90" s="87">
        <f>IF((SUM($D90:N90)+$B90/$C90)&gt;$B90,$B90-SUM($D90:N90),$B90/$C90)</f>
        <v>0</v>
      </c>
      <c r="P90" s="87">
        <f>IF((SUM($D90:O90)+$B90/$C90)&gt;$B90,$B90-SUM($D90:O90),$B90/$C90)</f>
        <v>0</v>
      </c>
      <c r="Q90" s="87">
        <f>IF((SUM($D90:P90)+$B90/$C90)&gt;$B90,$B90-SUM($D90:P90),$B90/$C90)</f>
        <v>0</v>
      </c>
      <c r="R90" s="87">
        <f>IF((SUM($D90:Q90)+$B90/$C90)&gt;$B90,$B90-SUM($D90:Q90),$B90/$C90)</f>
        <v>0</v>
      </c>
      <c r="S90" s="87">
        <f>IF((SUM($D90:R90)+$B90/$C90)&gt;$B90,$B90-SUM($D90:R90),$B90/$C90)</f>
        <v>0</v>
      </c>
      <c r="T90" s="87">
        <f>IF((SUM($D90:S90)+$B90/$C90)&gt;$B90,$B90-SUM($D90:S90),$B90/$C90)</f>
        <v>0</v>
      </c>
      <c r="U90" s="87">
        <f>IF((SUM($D90:T90)+$B90/$C90)&gt;$B90,$B90-SUM($D90:T90),$B90/$C90)</f>
        <v>0</v>
      </c>
      <c r="V90" s="87">
        <f>IF((SUM($D90:U90)+$B90/$C90)&gt;$B90,$B90-SUM($D90:U90),$B90/$C90)</f>
        <v>0</v>
      </c>
      <c r="W90" s="87">
        <f>IF((SUM($D90:V90)+$B90/$C90)&gt;$B90,$B90-SUM($D90:V90),$B90/$C90)</f>
        <v>0</v>
      </c>
      <c r="X90" s="87">
        <f>IF((SUM($D90:W90)+$B90/$C90)&gt;$B90,$B90-SUM($D90:W90),$B90/$C90)</f>
        <v>0</v>
      </c>
      <c r="Y90" s="87">
        <f>IF((SUM($D90:X90)+$B90/$C90)&gt;$B90,$B90-SUM($D90:X90),$B90/$C90)</f>
        <v>0</v>
      </c>
      <c r="Z90" s="87">
        <f>IF((SUM($D90:Y90)+$B90/$C90)&gt;$B90,$B90-SUM($D90:Y90),$B90/$C90)</f>
        <v>0</v>
      </c>
      <c r="AA90" s="87">
        <f>IF((SUM($D90:Z90)+$B90/$C90)&gt;$B90,$B90-SUM($D90:Z90),$B90/$C90)</f>
        <v>0</v>
      </c>
    </row>
    <row r="91" spans="1:27" outlineLevel="1" x14ac:dyDescent="0.25">
      <c r="A91" s="469">
        <v>2008</v>
      </c>
      <c r="B91" s="471">
        <f>'Offset of Costs and Rev 2006-08'!F$140-SUM('Offset of Costs and Rev 2006-08'!D208:F208)</f>
        <v>4589.1506164124485</v>
      </c>
      <c r="C91" s="467">
        <f>IF('Data 2006-08'!C$34="",5,('Data 2006-08'!C$34-D$87+1))</f>
        <v>5</v>
      </c>
      <c r="D91" s="87">
        <f>IF(C91&lt;1,B91,B91/C91)</f>
        <v>917.83012328248969</v>
      </c>
      <c r="E91" s="87">
        <f>IF((SUM($D91:D91)+$B91/$C91)&gt;$B91,$B91-SUM($D91:D91),$B91/$C91)</f>
        <v>917.83012328248969</v>
      </c>
      <c r="F91" s="87">
        <f>IF((SUM($D91:E91)+$B91/$C91)&gt;$B91,$B91-SUM($D91:E91),$B91/$C91)</f>
        <v>917.83012328248969</v>
      </c>
      <c r="G91" s="87">
        <f>IF((SUM($D91:F91)+$B91/$C91)&gt;$B91,$B91-SUM($D91:F91),$B91/$C91)</f>
        <v>917.83012328248969</v>
      </c>
      <c r="H91" s="87">
        <f>IF((SUM($D91:G91)+$B91/$C91)&gt;$B91,$B91-SUM($D91:G91),$B91/$C91)</f>
        <v>917.83012328248969</v>
      </c>
      <c r="I91" s="87">
        <f>IF((SUM($D91:H91)+$B91/$C91)&gt;$B91,$B91-SUM($D91:H91),$B91/$C91)</f>
        <v>0</v>
      </c>
      <c r="J91" s="87">
        <f>IF((SUM($D91:I91)+$B91/$C91)&gt;$B91,$B91-SUM($D91:I91),$B91/$C91)</f>
        <v>0</v>
      </c>
      <c r="K91" s="87">
        <f>IF((SUM($D91:J91)+$B91/$C91)&gt;$B91,$B91-SUM($D91:J91),$B91/$C91)</f>
        <v>0</v>
      </c>
      <c r="L91" s="87">
        <f>IF((SUM($D91:K91)+$B91/$C91)&gt;$B91,$B91-SUM($D91:K91),$B91/$C91)</f>
        <v>0</v>
      </c>
      <c r="M91" s="87">
        <f>IF((SUM($D91:L91)+$B91/$C91)&gt;$B91,$B91-SUM($D91:L91),$B91/$C91)</f>
        <v>0</v>
      </c>
      <c r="N91" s="87">
        <f>IF((SUM($D91:M91)+$B91/$C91)&gt;$B91,$B91-SUM($D91:M91),$B91/$C91)</f>
        <v>0</v>
      </c>
      <c r="O91" s="87">
        <f>IF((SUM($D91:N91)+$B91/$C91)&gt;$B91,$B91-SUM($D91:N91),$B91/$C91)</f>
        <v>0</v>
      </c>
      <c r="P91" s="87">
        <f>IF((SUM($D91:O91)+$B91/$C91)&gt;$B91,$B91-SUM($D91:O91),$B91/$C91)</f>
        <v>0</v>
      </c>
      <c r="Q91" s="87">
        <f>IF((SUM($D91:P91)+$B91/$C91)&gt;$B91,$B91-SUM($D91:P91),$B91/$C91)</f>
        <v>0</v>
      </c>
      <c r="R91" s="87">
        <f>IF((SUM($D91:Q91)+$B91/$C91)&gt;$B91,$B91-SUM($D91:Q91),$B91/$C91)</f>
        <v>0</v>
      </c>
      <c r="S91" s="87">
        <f>IF((SUM($D91:R91)+$B91/$C91)&gt;$B91,$B91-SUM($D91:R91),$B91/$C91)</f>
        <v>0</v>
      </c>
      <c r="T91" s="87">
        <f>IF((SUM($D91:S91)+$B91/$C91)&gt;$B91,$B91-SUM($D91:S91),$B91/$C91)</f>
        <v>0</v>
      </c>
      <c r="U91" s="87">
        <f>IF((SUM($D91:T91)+$B91/$C91)&gt;$B91,$B91-SUM($D91:T91),$B91/$C91)</f>
        <v>0</v>
      </c>
      <c r="V91" s="87">
        <f>IF((SUM($D91:U91)+$B91/$C91)&gt;$B91,$B91-SUM($D91:U91),$B91/$C91)</f>
        <v>0</v>
      </c>
      <c r="W91" s="87">
        <f>IF((SUM($D91:V91)+$B91/$C91)&gt;$B91,$B91-SUM($D91:V91),$B91/$C91)</f>
        <v>0</v>
      </c>
      <c r="X91" s="87">
        <f>IF((SUM($D91:W91)+$B91/$C91)&gt;$B91,$B91-SUM($D91:W91),$B91/$C91)</f>
        <v>0</v>
      </c>
      <c r="Y91" s="87">
        <f>IF((SUM($D91:X91)+$B91/$C91)&gt;$B91,$B91-SUM($D91:X91),$B91/$C91)</f>
        <v>0</v>
      </c>
      <c r="Z91" s="87">
        <f>IF((SUM($D91:Y91)+$B91/$C91)&gt;$B91,$B91-SUM($D91:Y91),$B91/$C91)</f>
        <v>0</v>
      </c>
      <c r="AA91" s="87">
        <f>IF((SUM($D91:Z91)+$B91/$C91)&gt;$B91,$B91-SUM($D91:Z91),$B91/$C91)</f>
        <v>0</v>
      </c>
    </row>
    <row r="92" spans="1:27" outlineLevel="1" x14ac:dyDescent="0.25">
      <c r="A92" s="356"/>
      <c r="B92" s="472">
        <f>SUM(B89:B91)</f>
        <v>12046.751022758806</v>
      </c>
      <c r="D92" s="109">
        <f>SUM(D89:D91)</f>
        <v>2409.3502045517616</v>
      </c>
      <c r="E92" s="109">
        <f t="shared" ref="E92:W92" si="36">SUM(E89:E91)</f>
        <v>2409.3502045517616</v>
      </c>
      <c r="F92" s="109">
        <f t="shared" si="36"/>
        <v>2409.3502045517616</v>
      </c>
      <c r="G92" s="109">
        <f t="shared" si="36"/>
        <v>2409.3502045517616</v>
      </c>
      <c r="H92" s="109">
        <f t="shared" si="36"/>
        <v>2409.3502045517616</v>
      </c>
      <c r="I92" s="109">
        <f t="shared" si="36"/>
        <v>0</v>
      </c>
      <c r="J92" s="109">
        <f t="shared" si="36"/>
        <v>0</v>
      </c>
      <c r="K92" s="109">
        <f t="shared" si="36"/>
        <v>0</v>
      </c>
      <c r="L92" s="109">
        <f t="shared" si="36"/>
        <v>0</v>
      </c>
      <c r="M92" s="109">
        <f t="shared" si="36"/>
        <v>0</v>
      </c>
      <c r="N92" s="109">
        <f t="shared" si="36"/>
        <v>0</v>
      </c>
      <c r="O92" s="109">
        <f t="shared" si="36"/>
        <v>0</v>
      </c>
      <c r="P92" s="109">
        <f t="shared" si="36"/>
        <v>0</v>
      </c>
      <c r="Q92" s="109">
        <f t="shared" si="36"/>
        <v>0</v>
      </c>
      <c r="R92" s="109">
        <f t="shared" si="36"/>
        <v>0</v>
      </c>
      <c r="S92" s="109">
        <f t="shared" si="36"/>
        <v>0</v>
      </c>
      <c r="T92" s="109">
        <f t="shared" si="36"/>
        <v>0</v>
      </c>
      <c r="U92" s="109">
        <f t="shared" si="36"/>
        <v>0</v>
      </c>
      <c r="V92" s="109">
        <f t="shared" si="36"/>
        <v>0</v>
      </c>
      <c r="W92" s="109">
        <f t="shared" si="36"/>
        <v>0</v>
      </c>
      <c r="X92" s="109">
        <f>SUM(X89:X91)</f>
        <v>0</v>
      </c>
      <c r="Y92" s="109">
        <f>SUM(Y89:Y91)</f>
        <v>0</v>
      </c>
      <c r="Z92" s="109">
        <f>SUM(Z89:Z91)</f>
        <v>0</v>
      </c>
      <c r="AA92" s="109">
        <f>SUM(AA89:AA91)</f>
        <v>0</v>
      </c>
    </row>
    <row r="93" spans="1:27" outlineLevel="1" x14ac:dyDescent="0.25"/>
    <row r="94" spans="1:27" outlineLevel="1" x14ac:dyDescent="0.25"/>
    <row r="95" spans="1:27" outlineLevel="1" x14ac:dyDescent="0.25">
      <c r="A95" s="346" t="s">
        <v>259</v>
      </c>
      <c r="B95" s="473" t="s">
        <v>319</v>
      </c>
      <c r="C95" s="308" t="s">
        <v>322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5">
      <c r="A96" s="346" t="str">
        <f>$A$4</f>
        <v>($000 Real 2008)</v>
      </c>
      <c r="B96" s="474" t="s">
        <v>320</v>
      </c>
      <c r="C96" s="475" t="s">
        <v>321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5">
      <c r="A97" s="469">
        <v>2006</v>
      </c>
      <c r="B97" s="471">
        <f>'Offset of Costs and Rev 2006-08'!D$150-'Offset of Costs and Rev 2006-08'!D$151-SUM('Offset of Costs and Rev 2006-08'!D214:F214)</f>
        <v>915.10506008010668</v>
      </c>
      <c r="C97" s="467">
        <f>IF('Data 2006-08'!C$34="",5,('Data 2006-08'!C$34-D$95+1))</f>
        <v>5</v>
      </c>
      <c r="D97" s="87">
        <f>IF(C97&lt;1,B97,B97/C97)</f>
        <v>183.02101201602133</v>
      </c>
      <c r="E97" s="87">
        <f>IF((SUM($D97:D97)+$B97/$C97)&gt;$B97,$B97-SUM($D97:D97),$B97/$C97)</f>
        <v>183.02101201602133</v>
      </c>
      <c r="F97" s="87">
        <f>IF((SUM($D97:E97)+$B97/$C97)&gt;$B97,$B97-SUM($D97:E97),$B97/$C97)</f>
        <v>183.02101201602133</v>
      </c>
      <c r="G97" s="87">
        <f>IF((SUM($D97:F97)+$B97/$C97)&gt;$B97,$B97-SUM($D97:F97),$B97/$C97)</f>
        <v>183.02101201602133</v>
      </c>
      <c r="H97" s="87">
        <f>IF((SUM($D97:G97)+$B97/$C97)&gt;$B97,$B97-SUM($D97:G97),$B97/$C97)</f>
        <v>183.02101201602133</v>
      </c>
      <c r="I97" s="87">
        <f>IF((SUM($D97:H97)+$B97/$C97)&gt;$B97,$B97-SUM($D97:H97),$B97/$C97)</f>
        <v>0</v>
      </c>
      <c r="J97" s="87">
        <f>IF((SUM($D97:I97)+$B97/$C97)&gt;$B97,$B97-SUM($D97:I97),$B97/$C97)</f>
        <v>0</v>
      </c>
      <c r="K97" s="87">
        <f>IF((SUM($D97:J97)+$B97/$C97)&gt;$B97,$B97-SUM($D97:J97),$B97/$C97)</f>
        <v>0</v>
      </c>
      <c r="L97" s="87">
        <f>IF((SUM($D97:K97)+$B97/$C97)&gt;$B97,$B97-SUM($D97:K97),$B97/$C97)</f>
        <v>0</v>
      </c>
      <c r="M97" s="87">
        <f>IF((SUM($D97:L97)+$B97/$C97)&gt;$B97,$B97-SUM($D97:L97),$B97/$C97)</f>
        <v>0</v>
      </c>
      <c r="N97" s="87">
        <f>IF((SUM($D97:M97)+$B97/$C97)&gt;$B97,$B97-SUM($D97:M97),$B97/$C97)</f>
        <v>0</v>
      </c>
      <c r="O97" s="87">
        <f>IF((SUM($D97:N97)+$B97/$C97)&gt;$B97,$B97-SUM($D97:N97),$B97/$C97)</f>
        <v>0</v>
      </c>
      <c r="P97" s="87">
        <f>IF((SUM($D97:O97)+$B97/$C97)&gt;$B97,$B97-SUM($D97:O97),$B97/$C97)</f>
        <v>0</v>
      </c>
      <c r="Q97" s="87">
        <f>IF((SUM($D97:P97)+$B97/$C97)&gt;$B97,$B97-SUM($D97:P97),$B97/$C97)</f>
        <v>0</v>
      </c>
      <c r="R97" s="87">
        <f>IF((SUM($D97:Q97)+$B97/$C97)&gt;$B97,$B97-SUM($D97:Q97),$B97/$C97)</f>
        <v>0</v>
      </c>
      <c r="S97" s="87">
        <f>IF((SUM($D97:R97)+$B97/$C97)&gt;$B97,$B97-SUM($D97:R97),$B97/$C97)</f>
        <v>0</v>
      </c>
      <c r="T97" s="87">
        <f>IF((SUM($D97:S97)+$B97/$C97)&gt;$B97,$B97-SUM($D97:S97),$B97/$C97)</f>
        <v>0</v>
      </c>
      <c r="U97" s="87">
        <f>IF((SUM($D97:T97)+$B97/$C97)&gt;$B97,$B97-SUM($D97:T97),$B97/$C97)</f>
        <v>0</v>
      </c>
      <c r="V97" s="87">
        <f>IF((SUM($D97:U97)+$B97/$C97)&gt;$B97,$B97-SUM($D97:U97),$B97/$C97)</f>
        <v>0</v>
      </c>
      <c r="W97" s="87">
        <f>IF((SUM($D97:V97)+$B97/$C97)&gt;$B97,$B97-SUM($D97:V97),$B97/$C97)</f>
        <v>0</v>
      </c>
      <c r="X97" s="87">
        <f>IF((SUM($D97:W97)+$B97/$C97)&gt;$B97,$B97-SUM($D97:W97),$B97/$C97)</f>
        <v>0</v>
      </c>
      <c r="Y97" s="87">
        <f>IF((SUM($D97:X97)+$B97/$C97)&gt;$B97,$B97-SUM($D97:X97),$B97/$C97)</f>
        <v>0</v>
      </c>
      <c r="Z97" s="87">
        <f>IF((SUM($D97:Y97)+$B97/$C97)&gt;$B97,$B97-SUM($D97:Y97),$B97/$C97)</f>
        <v>0</v>
      </c>
      <c r="AA97" s="87">
        <f>IF((SUM($D97:Z97)+$B97/$C97)&gt;$B97,$B97-SUM($D97:Z97),$B97/$C97)</f>
        <v>0</v>
      </c>
    </row>
    <row r="98" spans="1:27" outlineLevel="1" x14ac:dyDescent="0.25">
      <c r="A98" s="469">
        <v>2007</v>
      </c>
      <c r="B98" s="471">
        <f>'Offset of Costs and Rev 2006-08'!E$150-'Offset of Costs and Rev 2006-08'!E$151-SUM('Offset of Costs and Rev 2006-08'!D215:F215)</f>
        <v>2657.0342715261895</v>
      </c>
      <c r="C98" s="467">
        <f>IF('Data 2006-08'!C$34="",5,('Data 2006-08'!C$34-D$95+1))</f>
        <v>5</v>
      </c>
      <c r="D98" s="87">
        <f>IF(C98&lt;1,B98,B98/C98)</f>
        <v>531.40685430523786</v>
      </c>
      <c r="E98" s="87">
        <f>IF((SUM($D98:D98)+$B98/$C98)&gt;$B98,$B98-SUM($D98:D98),$B98/$C98)</f>
        <v>531.40685430523786</v>
      </c>
      <c r="F98" s="87">
        <f>IF((SUM($D98:E98)+$B98/$C98)&gt;$B98,$B98-SUM($D98:E98),$B98/$C98)</f>
        <v>531.40685430523786</v>
      </c>
      <c r="G98" s="87">
        <f>IF((SUM($D98:F98)+$B98/$C98)&gt;$B98,$B98-SUM($D98:F98),$B98/$C98)</f>
        <v>531.40685430523786</v>
      </c>
      <c r="H98" s="87">
        <f>IF((SUM($D98:G98)+$B98/$C98)&gt;$B98,$B98-SUM($D98:G98),$B98/$C98)</f>
        <v>531.40685430523786</v>
      </c>
      <c r="I98" s="87">
        <f>IF((SUM($D98:H98)+$B98/$C98)&gt;$B98,$B98-SUM($D98:H98),$B98/$C98)</f>
        <v>0</v>
      </c>
      <c r="J98" s="87">
        <f>IF((SUM($D98:I98)+$B98/$C98)&gt;$B98,$B98-SUM($D98:I98),$B98/$C98)</f>
        <v>0</v>
      </c>
      <c r="K98" s="87">
        <f>IF((SUM($D98:J98)+$B98/$C98)&gt;$B98,$B98-SUM($D98:J98),$B98/$C98)</f>
        <v>0</v>
      </c>
      <c r="L98" s="87">
        <f>IF((SUM($D98:K98)+$B98/$C98)&gt;$B98,$B98-SUM($D98:K98),$B98/$C98)</f>
        <v>0</v>
      </c>
      <c r="M98" s="87">
        <f>IF((SUM($D98:L98)+$B98/$C98)&gt;$B98,$B98-SUM($D98:L98),$B98/$C98)</f>
        <v>0</v>
      </c>
      <c r="N98" s="87">
        <f>IF((SUM($D98:M98)+$B98/$C98)&gt;$B98,$B98-SUM($D98:M98),$B98/$C98)</f>
        <v>0</v>
      </c>
      <c r="O98" s="87">
        <f>IF((SUM($D98:N98)+$B98/$C98)&gt;$B98,$B98-SUM($D98:N98),$B98/$C98)</f>
        <v>0</v>
      </c>
      <c r="P98" s="87">
        <f>IF((SUM($D98:O98)+$B98/$C98)&gt;$B98,$B98-SUM($D98:O98),$B98/$C98)</f>
        <v>0</v>
      </c>
      <c r="Q98" s="87">
        <f>IF((SUM($D98:P98)+$B98/$C98)&gt;$B98,$B98-SUM($D98:P98),$B98/$C98)</f>
        <v>0</v>
      </c>
      <c r="R98" s="87">
        <f>IF((SUM($D98:Q98)+$B98/$C98)&gt;$B98,$B98-SUM($D98:Q98),$B98/$C98)</f>
        <v>0</v>
      </c>
      <c r="S98" s="87">
        <f>IF((SUM($D98:R98)+$B98/$C98)&gt;$B98,$B98-SUM($D98:R98),$B98/$C98)</f>
        <v>0</v>
      </c>
      <c r="T98" s="87">
        <f>IF((SUM($D98:S98)+$B98/$C98)&gt;$B98,$B98-SUM($D98:S98),$B98/$C98)</f>
        <v>0</v>
      </c>
      <c r="U98" s="87">
        <f>IF((SUM($D98:T98)+$B98/$C98)&gt;$B98,$B98-SUM($D98:T98),$B98/$C98)</f>
        <v>0</v>
      </c>
      <c r="V98" s="87">
        <f>IF((SUM($D98:U98)+$B98/$C98)&gt;$B98,$B98-SUM($D98:U98),$B98/$C98)</f>
        <v>0</v>
      </c>
      <c r="W98" s="87">
        <f>IF((SUM($D98:V98)+$B98/$C98)&gt;$B98,$B98-SUM($D98:V98),$B98/$C98)</f>
        <v>0</v>
      </c>
      <c r="X98" s="87">
        <f>IF((SUM($D98:W98)+$B98/$C98)&gt;$B98,$B98-SUM($D98:W98),$B98/$C98)</f>
        <v>0</v>
      </c>
      <c r="Y98" s="87">
        <f>IF((SUM($D98:X98)+$B98/$C98)&gt;$B98,$B98-SUM($D98:X98),$B98/$C98)</f>
        <v>0</v>
      </c>
      <c r="Z98" s="87">
        <f>IF((SUM($D98:Y98)+$B98/$C98)&gt;$B98,$B98-SUM($D98:Y98),$B98/$C98)</f>
        <v>0</v>
      </c>
      <c r="AA98" s="87">
        <f>IF((SUM($D98:Z98)+$B98/$C98)&gt;$B98,$B98-SUM($D98:Z98),$B98/$C98)</f>
        <v>0</v>
      </c>
    </row>
    <row r="99" spans="1:27" outlineLevel="1" x14ac:dyDescent="0.25">
      <c r="A99" s="469">
        <v>2008</v>
      </c>
      <c r="B99" s="471">
        <f>'Offset of Costs and Rev 2006-08'!F$150-'Offset of Costs and Rev 2006-08'!F$151-SUM('Offset of Costs and Rev 2006-08'!D216:F216)</f>
        <v>3875.319844308925</v>
      </c>
      <c r="C99" s="467">
        <f>IF('Data 2006-08'!C$34="",5,('Data 2006-08'!C$34-D$95+1))</f>
        <v>5</v>
      </c>
      <c r="D99" s="87">
        <f>IF(C99&lt;1,B99,B99/C99)</f>
        <v>775.06396886178504</v>
      </c>
      <c r="E99" s="87">
        <f>IF((SUM($D99:D99)+$B99/$C99)&gt;$B99,$B99-SUM($D99:D99),$B99/$C99)</f>
        <v>775.06396886178504</v>
      </c>
      <c r="F99" s="87">
        <f>IF((SUM($D99:E99)+$B99/$C99)&gt;$B99,$B99-SUM($D99:E99),$B99/$C99)</f>
        <v>775.06396886178504</v>
      </c>
      <c r="G99" s="87">
        <f>IF((SUM($D99:F99)+$B99/$C99)&gt;$B99,$B99-SUM($D99:F99),$B99/$C99)</f>
        <v>775.06396886178504</v>
      </c>
      <c r="H99" s="87">
        <f>IF((SUM($D99:G99)+$B99/$C99)&gt;$B99,$B99-SUM($D99:G99),$B99/$C99)</f>
        <v>775.06396886178504</v>
      </c>
      <c r="I99" s="87">
        <f>IF((SUM($D99:H99)+$B99/$C99)&gt;$B99,$B99-SUM($D99:H99),$B99/$C99)</f>
        <v>0</v>
      </c>
      <c r="J99" s="87">
        <f>IF((SUM($D99:I99)+$B99/$C99)&gt;$B99,$B99-SUM($D99:I99),$B99/$C99)</f>
        <v>0</v>
      </c>
      <c r="K99" s="87">
        <f>IF((SUM($D99:J99)+$B99/$C99)&gt;$B99,$B99-SUM($D99:J99),$B99/$C99)</f>
        <v>0</v>
      </c>
      <c r="L99" s="87">
        <f>IF((SUM($D99:K99)+$B99/$C99)&gt;$B99,$B99-SUM($D99:K99),$B99/$C99)</f>
        <v>0</v>
      </c>
      <c r="M99" s="87">
        <f>IF((SUM($D99:L99)+$B99/$C99)&gt;$B99,$B99-SUM($D99:L99),$B99/$C99)</f>
        <v>0</v>
      </c>
      <c r="N99" s="87">
        <f>IF((SUM($D99:M99)+$B99/$C99)&gt;$B99,$B99-SUM($D99:M99),$B99/$C99)</f>
        <v>0</v>
      </c>
      <c r="O99" s="87">
        <f>IF((SUM($D99:N99)+$B99/$C99)&gt;$B99,$B99-SUM($D99:N99),$B99/$C99)</f>
        <v>0</v>
      </c>
      <c r="P99" s="87">
        <f>IF((SUM($D99:O99)+$B99/$C99)&gt;$B99,$B99-SUM($D99:O99),$B99/$C99)</f>
        <v>0</v>
      </c>
      <c r="Q99" s="87">
        <f>IF((SUM($D99:P99)+$B99/$C99)&gt;$B99,$B99-SUM($D99:P99),$B99/$C99)</f>
        <v>0</v>
      </c>
      <c r="R99" s="87">
        <f>IF((SUM($D99:Q99)+$B99/$C99)&gt;$B99,$B99-SUM($D99:Q99),$B99/$C99)</f>
        <v>0</v>
      </c>
      <c r="S99" s="87">
        <f>IF((SUM($D99:R99)+$B99/$C99)&gt;$B99,$B99-SUM($D99:R99),$B99/$C99)</f>
        <v>0</v>
      </c>
      <c r="T99" s="87">
        <f>IF((SUM($D99:S99)+$B99/$C99)&gt;$B99,$B99-SUM($D99:S99),$B99/$C99)</f>
        <v>0</v>
      </c>
      <c r="U99" s="87">
        <f>IF((SUM($D99:T99)+$B99/$C99)&gt;$B99,$B99-SUM($D99:T99),$B99/$C99)</f>
        <v>0</v>
      </c>
      <c r="V99" s="87">
        <f>IF((SUM($D99:U99)+$B99/$C99)&gt;$B99,$B99-SUM($D99:U99),$B99/$C99)</f>
        <v>0</v>
      </c>
      <c r="W99" s="87">
        <f>IF((SUM($D99:V99)+$B99/$C99)&gt;$B99,$B99-SUM($D99:V99),$B99/$C99)</f>
        <v>0</v>
      </c>
      <c r="X99" s="87">
        <f>IF((SUM($D99:W99)+$B99/$C99)&gt;$B99,$B99-SUM($D99:W99),$B99/$C99)</f>
        <v>0</v>
      </c>
      <c r="Y99" s="87">
        <f>IF((SUM($D99:X99)+$B99/$C99)&gt;$B99,$B99-SUM($D99:X99),$B99/$C99)</f>
        <v>0</v>
      </c>
      <c r="Z99" s="87">
        <f>IF((SUM($D99:Y99)+$B99/$C99)&gt;$B99,$B99-SUM($D99:Y99),$B99/$C99)</f>
        <v>0</v>
      </c>
      <c r="AA99" s="87">
        <f>IF((SUM($D99:Z99)+$B99/$C99)&gt;$B99,$B99-SUM($D99:Z99),$B99/$C99)</f>
        <v>0</v>
      </c>
    </row>
    <row r="100" spans="1:27" outlineLevel="1" x14ac:dyDescent="0.25">
      <c r="A100" s="356"/>
      <c r="B100" s="472">
        <f>SUM(B97:B99)</f>
        <v>7447.4591759152208</v>
      </c>
      <c r="D100" s="109">
        <f>SUM(D97:D99)</f>
        <v>1489.4918351830443</v>
      </c>
      <c r="E100" s="109">
        <f t="shared" ref="E100:W100" si="38">SUM(E97:E99)</f>
        <v>1489.4918351830443</v>
      </c>
      <c r="F100" s="109">
        <f t="shared" si="38"/>
        <v>1489.4918351830443</v>
      </c>
      <c r="G100" s="109">
        <f t="shared" si="38"/>
        <v>1489.4918351830443</v>
      </c>
      <c r="H100" s="109">
        <f t="shared" si="38"/>
        <v>1489.4918351830443</v>
      </c>
      <c r="I100" s="109">
        <f t="shared" si="38"/>
        <v>0</v>
      </c>
      <c r="J100" s="109">
        <f t="shared" si="38"/>
        <v>0</v>
      </c>
      <c r="K100" s="109">
        <f t="shared" si="38"/>
        <v>0</v>
      </c>
      <c r="L100" s="109">
        <f t="shared" si="38"/>
        <v>0</v>
      </c>
      <c r="M100" s="109">
        <f t="shared" si="38"/>
        <v>0</v>
      </c>
      <c r="N100" s="109">
        <f t="shared" si="38"/>
        <v>0</v>
      </c>
      <c r="O100" s="109">
        <f t="shared" si="38"/>
        <v>0</v>
      </c>
      <c r="P100" s="109">
        <f t="shared" si="38"/>
        <v>0</v>
      </c>
      <c r="Q100" s="109">
        <f t="shared" si="38"/>
        <v>0</v>
      </c>
      <c r="R100" s="109">
        <f t="shared" si="38"/>
        <v>0</v>
      </c>
      <c r="S100" s="109">
        <f t="shared" si="38"/>
        <v>0</v>
      </c>
      <c r="T100" s="109">
        <f t="shared" si="38"/>
        <v>0</v>
      </c>
      <c r="U100" s="109">
        <f t="shared" si="38"/>
        <v>0</v>
      </c>
      <c r="V100" s="109">
        <f t="shared" si="38"/>
        <v>0</v>
      </c>
      <c r="W100" s="109">
        <f t="shared" si="38"/>
        <v>0</v>
      </c>
      <c r="X100" s="109">
        <f>SUM(X97:X99)</f>
        <v>0</v>
      </c>
      <c r="Y100" s="109">
        <f>SUM(Y97:Y99)</f>
        <v>0</v>
      </c>
      <c r="Z100" s="109">
        <f>SUM(Z97:Z99)</f>
        <v>0</v>
      </c>
      <c r="AA100" s="109">
        <f>SUM(AA97:AA99)</f>
        <v>0</v>
      </c>
    </row>
    <row r="101" spans="1:27" outlineLevel="1" x14ac:dyDescent="0.25"/>
    <row r="102" spans="1:27" outlineLevel="1" x14ac:dyDescent="0.25"/>
    <row r="103" spans="1:27" outlineLevel="1" x14ac:dyDescent="0.25">
      <c r="A103" s="346" t="s">
        <v>276</v>
      </c>
      <c r="B103" s="473" t="s">
        <v>319</v>
      </c>
      <c r="C103" s="308" t="s">
        <v>322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5">
      <c r="A104" s="346" t="str">
        <f>$A$4</f>
        <v>($000 Real 2008)</v>
      </c>
      <c r="B104" s="474" t="s">
        <v>320</v>
      </c>
      <c r="C104" s="475" t="s">
        <v>321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5">
      <c r="A105" s="469">
        <v>2006</v>
      </c>
      <c r="B105" s="471">
        <f>'Offset of Costs and Rev 2006-08'!D$160-SUM('Offset of Costs and Rev 2006-08'!D222:F222)</f>
        <v>1199.4352630173562</v>
      </c>
      <c r="C105" s="470">
        <f>'Offset of Costs and Rev 2006-08'!C222-(D$103-A105-0.5)</f>
        <v>2.5</v>
      </c>
      <c r="D105" s="87">
        <f>IF(C105&lt;1,B105,B105/C105)</f>
        <v>479.77410520694247</v>
      </c>
      <c r="E105" s="87">
        <f>IF((SUM($D105:D105)+$B105/$C105)&gt;$B105,$B105-SUM($D105:D105),$B105/$C105)</f>
        <v>479.77410520694247</v>
      </c>
      <c r="F105" s="87">
        <f>IF((SUM($D105:E105)+$B105/$C105)&gt;$B105,$B105-SUM($D105:E105),$B105/$C105)</f>
        <v>239.88705260347126</v>
      </c>
      <c r="G105" s="87">
        <f>IF((SUM($D105:F105)+$B105/$C105)&gt;$B105,$B105-SUM($D105:F105),$B105/$C105)</f>
        <v>0</v>
      </c>
      <c r="H105" s="87">
        <f>IF((SUM($D105:G105)+$B105/$C105)&gt;$B105,$B105-SUM($D105:G105),$B105/$C105)</f>
        <v>0</v>
      </c>
      <c r="I105" s="87">
        <f>IF((SUM($D105:H105)+$B105/$C105)&gt;$B105,$B105-SUM($D105:H105),$B105/$C105)</f>
        <v>0</v>
      </c>
      <c r="J105" s="87">
        <f>IF((SUM($D105:I105)+$B105/$C105)&gt;$B105,$B105-SUM($D105:I105),$B105/$C105)</f>
        <v>0</v>
      </c>
      <c r="K105" s="87">
        <f>IF((SUM($D105:J105)+$B105/$C105)&gt;$B105,$B105-SUM($D105:J105),$B105/$C105)</f>
        <v>0</v>
      </c>
      <c r="L105" s="87">
        <f>IF((SUM($D105:K105)+$B105/$C105)&gt;$B105,$B105-SUM($D105:K105),$B105/$C105)</f>
        <v>0</v>
      </c>
      <c r="M105" s="87">
        <f>IF((SUM($D105:L105)+$B105/$C105)&gt;$B105,$B105-SUM($D105:L105),$B105/$C105)</f>
        <v>0</v>
      </c>
      <c r="N105" s="87">
        <f>IF((SUM($D105:M105)+$B105/$C105)&gt;$B105,$B105-SUM($D105:M105),$B105/$C105)</f>
        <v>0</v>
      </c>
      <c r="O105" s="87">
        <f>IF((SUM($D105:N105)+$B105/$C105)&gt;$B105,$B105-SUM($D105:N105),$B105/$C105)</f>
        <v>0</v>
      </c>
      <c r="P105" s="87">
        <f>IF((SUM($D105:O105)+$B105/$C105)&gt;$B105,$B105-SUM($D105:O105),$B105/$C105)</f>
        <v>0</v>
      </c>
      <c r="Q105" s="87">
        <f>IF((SUM($D105:P105)+$B105/$C105)&gt;$B105,$B105-SUM($D105:P105),$B105/$C105)</f>
        <v>0</v>
      </c>
      <c r="R105" s="87">
        <f>IF((SUM($D105:Q105)+$B105/$C105)&gt;$B105,$B105-SUM($D105:Q105),$B105/$C105)</f>
        <v>0</v>
      </c>
      <c r="S105" s="87">
        <f>IF((SUM($D105:R105)+$B105/$C105)&gt;$B105,$B105-SUM($D105:R105),$B105/$C105)</f>
        <v>0</v>
      </c>
      <c r="T105" s="87">
        <f>IF((SUM($D105:S105)+$B105/$C105)&gt;$B105,$B105-SUM($D105:S105),$B105/$C105)</f>
        <v>0</v>
      </c>
      <c r="U105" s="87">
        <f>IF((SUM($D105:T105)+$B105/$C105)&gt;$B105,$B105-SUM($D105:T105),$B105/$C105)</f>
        <v>0</v>
      </c>
      <c r="V105" s="87">
        <f>IF((SUM($D105:U105)+$B105/$C105)&gt;$B105,$B105-SUM($D105:U105),$B105/$C105)</f>
        <v>0</v>
      </c>
      <c r="W105" s="87">
        <f>IF((SUM($D105:V105)+$B105/$C105)&gt;$B105,$B105-SUM($D105:V105),$B105/$C105)</f>
        <v>0</v>
      </c>
      <c r="X105" s="87">
        <f>IF((SUM($D105:W105)+$B105/$C105)&gt;$B105,$B105-SUM($D105:W105),$B105/$C105)</f>
        <v>0</v>
      </c>
      <c r="Y105" s="87">
        <f>IF((SUM($D105:X105)+$B105/$C105)&gt;$B105,$B105-SUM($D105:X105),$B105/$C105)</f>
        <v>0</v>
      </c>
      <c r="Z105" s="87">
        <f>IF((SUM($D105:Y105)+$B105/$C105)&gt;$B105,$B105-SUM($D105:Y105),$B105/$C105)</f>
        <v>0</v>
      </c>
      <c r="AA105" s="87">
        <f>IF((SUM($D105:Z105)+$B105/$C105)&gt;$B105,$B105-SUM($D105:Z105),$B105/$C105)</f>
        <v>0</v>
      </c>
    </row>
    <row r="106" spans="1:27" outlineLevel="1" x14ac:dyDescent="0.25">
      <c r="A106" s="469">
        <v>2007</v>
      </c>
      <c r="B106" s="471">
        <f>'Offset of Costs and Rev 2006-08'!E$160-SUM('Offset of Costs and Rev 2006-08'!D223:F223)</f>
        <v>45.406253050737178</v>
      </c>
      <c r="C106" s="470">
        <f>'Offset of Costs and Rev 2006-08'!C223-(D$103-A106-0.5)</f>
        <v>3.5</v>
      </c>
      <c r="D106" s="87">
        <f>IF(C106&lt;1,B106,B106/C106)</f>
        <v>12.973215157353479</v>
      </c>
      <c r="E106" s="87">
        <f>IF((SUM($D106:D106)+$B106/$C106)&gt;$B106,$B106-SUM($D106:D106),$B106/$C106)</f>
        <v>12.973215157353479</v>
      </c>
      <c r="F106" s="87">
        <f>IF((SUM($D106:E106)+$B106/$C106)&gt;$B106,$B106-SUM($D106:E106),$B106/$C106)</f>
        <v>12.973215157353479</v>
      </c>
      <c r="G106" s="87">
        <f>IF((SUM($D106:F106)+$B106/$C106)&gt;$B106,$B106-SUM($D106:F106),$B106/$C106)</f>
        <v>6.4866075786767396</v>
      </c>
      <c r="H106" s="87">
        <f>IF((SUM($D106:G106)+$B106/$C106)&gt;$B106,$B106-SUM($D106:G106),$B106/$C106)</f>
        <v>0</v>
      </c>
      <c r="I106" s="87">
        <f>IF((SUM($D106:H106)+$B106/$C106)&gt;$B106,$B106-SUM($D106:H106),$B106/$C106)</f>
        <v>0</v>
      </c>
      <c r="J106" s="87">
        <f>IF((SUM($D106:I106)+$B106/$C106)&gt;$B106,$B106-SUM($D106:I106),$B106/$C106)</f>
        <v>0</v>
      </c>
      <c r="K106" s="87">
        <f>IF((SUM($D106:J106)+$B106/$C106)&gt;$B106,$B106-SUM($D106:J106),$B106/$C106)</f>
        <v>0</v>
      </c>
      <c r="L106" s="87">
        <f>IF((SUM($D106:K106)+$B106/$C106)&gt;$B106,$B106-SUM($D106:K106),$B106/$C106)</f>
        <v>0</v>
      </c>
      <c r="M106" s="87">
        <f>IF((SUM($D106:L106)+$B106/$C106)&gt;$B106,$B106-SUM($D106:L106),$B106/$C106)</f>
        <v>0</v>
      </c>
      <c r="N106" s="87">
        <f>IF((SUM($D106:M106)+$B106/$C106)&gt;$B106,$B106-SUM($D106:M106),$B106/$C106)</f>
        <v>0</v>
      </c>
      <c r="O106" s="87">
        <f>IF((SUM($D106:N106)+$B106/$C106)&gt;$B106,$B106-SUM($D106:N106),$B106/$C106)</f>
        <v>0</v>
      </c>
      <c r="P106" s="87">
        <f>IF((SUM($D106:O106)+$B106/$C106)&gt;$B106,$B106-SUM($D106:O106),$B106/$C106)</f>
        <v>0</v>
      </c>
      <c r="Q106" s="87">
        <f>IF((SUM($D106:P106)+$B106/$C106)&gt;$B106,$B106-SUM($D106:P106),$B106/$C106)</f>
        <v>0</v>
      </c>
      <c r="R106" s="87">
        <f>IF((SUM($D106:Q106)+$B106/$C106)&gt;$B106,$B106-SUM($D106:Q106),$B106/$C106)</f>
        <v>0</v>
      </c>
      <c r="S106" s="87">
        <f>IF((SUM($D106:R106)+$B106/$C106)&gt;$B106,$B106-SUM($D106:R106),$B106/$C106)</f>
        <v>0</v>
      </c>
      <c r="T106" s="87">
        <f>IF((SUM($D106:S106)+$B106/$C106)&gt;$B106,$B106-SUM($D106:S106),$B106/$C106)</f>
        <v>0</v>
      </c>
      <c r="U106" s="87">
        <f>IF((SUM($D106:T106)+$B106/$C106)&gt;$B106,$B106-SUM($D106:T106),$B106/$C106)</f>
        <v>0</v>
      </c>
      <c r="V106" s="87">
        <f>IF((SUM($D106:U106)+$B106/$C106)&gt;$B106,$B106-SUM($D106:U106),$B106/$C106)</f>
        <v>0</v>
      </c>
      <c r="W106" s="87">
        <f>IF((SUM($D106:V106)+$B106/$C106)&gt;$B106,$B106-SUM($D106:V106),$B106/$C106)</f>
        <v>0</v>
      </c>
      <c r="X106" s="87">
        <f>IF((SUM($D106:W106)+$B106/$C106)&gt;$B106,$B106-SUM($D106:W106),$B106/$C106)</f>
        <v>0</v>
      </c>
      <c r="Y106" s="87">
        <f>IF((SUM($D106:X106)+$B106/$C106)&gt;$B106,$B106-SUM($D106:X106),$B106/$C106)</f>
        <v>0</v>
      </c>
      <c r="Z106" s="87">
        <f>IF((SUM($D106:Y106)+$B106/$C106)&gt;$B106,$B106-SUM($D106:Y106),$B106/$C106)</f>
        <v>0</v>
      </c>
      <c r="AA106" s="87">
        <f>IF((SUM($D106:Z106)+$B106/$C106)&gt;$B106,$B106-SUM($D106:Z106),$B106/$C106)</f>
        <v>0</v>
      </c>
    </row>
    <row r="107" spans="1:27" outlineLevel="1" x14ac:dyDescent="0.25">
      <c r="A107" s="469">
        <v>2008</v>
      </c>
      <c r="B107" s="471">
        <f>'Offset of Costs and Rev 2006-08'!F$160-SUM('Offset of Costs and Rev 2006-08'!D224:F224)</f>
        <v>100.47661110000008</v>
      </c>
      <c r="C107" s="470">
        <f>'Offset of Costs and Rev 2006-08'!C224-(D$103-A107-0.5)</f>
        <v>4.5</v>
      </c>
      <c r="D107" s="87">
        <f>IF(C107&lt;1,B107,B107/C107)</f>
        <v>22.32813580000002</v>
      </c>
      <c r="E107" s="87">
        <f>IF((SUM($D107:D107)+$B107/$C107)&gt;$B107,$B107-SUM($D107:D107),$B107/$C107)</f>
        <v>22.32813580000002</v>
      </c>
      <c r="F107" s="87">
        <f>IF((SUM($D107:E107)+$B107/$C107)&gt;$B107,$B107-SUM($D107:E107),$B107/$C107)</f>
        <v>22.32813580000002</v>
      </c>
      <c r="G107" s="87">
        <f>IF((SUM($D107:F107)+$B107/$C107)&gt;$B107,$B107-SUM($D107:F107),$B107/$C107)</f>
        <v>22.32813580000002</v>
      </c>
      <c r="H107" s="87">
        <f>IF((SUM($D107:G107)+$B107/$C107)&gt;$B107,$B107-SUM($D107:G107),$B107/$C107)</f>
        <v>11.164067900000006</v>
      </c>
      <c r="I107" s="87">
        <f>IF((SUM($D107:H107)+$B107/$C107)&gt;$B107,$B107-SUM($D107:H107),$B107/$C107)</f>
        <v>0</v>
      </c>
      <c r="J107" s="87">
        <f>IF((SUM($D107:I107)+$B107/$C107)&gt;$B107,$B107-SUM($D107:I107),$B107/$C107)</f>
        <v>0</v>
      </c>
      <c r="K107" s="87">
        <f>IF((SUM($D107:J107)+$B107/$C107)&gt;$B107,$B107-SUM($D107:J107),$B107/$C107)</f>
        <v>0</v>
      </c>
      <c r="L107" s="87">
        <f>IF((SUM($D107:K107)+$B107/$C107)&gt;$B107,$B107-SUM($D107:K107),$B107/$C107)</f>
        <v>0</v>
      </c>
      <c r="M107" s="87">
        <f>IF((SUM($D107:L107)+$B107/$C107)&gt;$B107,$B107-SUM($D107:L107),$B107/$C107)</f>
        <v>0</v>
      </c>
      <c r="N107" s="87">
        <f>IF((SUM($D107:M107)+$B107/$C107)&gt;$B107,$B107-SUM($D107:M107),$B107/$C107)</f>
        <v>0</v>
      </c>
      <c r="O107" s="87">
        <f>IF((SUM($D107:N107)+$B107/$C107)&gt;$B107,$B107-SUM($D107:N107),$B107/$C107)</f>
        <v>0</v>
      </c>
      <c r="P107" s="87">
        <f>IF((SUM($D107:O107)+$B107/$C107)&gt;$B107,$B107-SUM($D107:O107),$B107/$C107)</f>
        <v>0</v>
      </c>
      <c r="Q107" s="87">
        <f>IF((SUM($D107:P107)+$B107/$C107)&gt;$B107,$B107-SUM($D107:P107),$B107/$C107)</f>
        <v>0</v>
      </c>
      <c r="R107" s="87">
        <f>IF((SUM($D107:Q107)+$B107/$C107)&gt;$B107,$B107-SUM($D107:Q107),$B107/$C107)</f>
        <v>0</v>
      </c>
      <c r="S107" s="87">
        <f>IF((SUM($D107:R107)+$B107/$C107)&gt;$B107,$B107-SUM($D107:R107),$B107/$C107)</f>
        <v>0</v>
      </c>
      <c r="T107" s="87">
        <f>IF((SUM($D107:S107)+$B107/$C107)&gt;$B107,$B107-SUM($D107:S107),$B107/$C107)</f>
        <v>0</v>
      </c>
      <c r="U107" s="87">
        <f>IF((SUM($D107:T107)+$B107/$C107)&gt;$B107,$B107-SUM($D107:T107),$B107/$C107)</f>
        <v>0</v>
      </c>
      <c r="V107" s="87">
        <f>IF((SUM($D107:U107)+$B107/$C107)&gt;$B107,$B107-SUM($D107:U107),$B107/$C107)</f>
        <v>0</v>
      </c>
      <c r="W107" s="87">
        <f>IF((SUM($D107:V107)+$B107/$C107)&gt;$B107,$B107-SUM($D107:V107),$B107/$C107)</f>
        <v>0</v>
      </c>
      <c r="X107" s="87">
        <f>IF((SUM($D107:W107)+$B107/$C107)&gt;$B107,$B107-SUM($D107:W107),$B107/$C107)</f>
        <v>0</v>
      </c>
      <c r="Y107" s="87">
        <f>IF((SUM($D107:X107)+$B107/$C107)&gt;$B107,$B107-SUM($D107:X107),$B107/$C107)</f>
        <v>0</v>
      </c>
      <c r="Z107" s="87">
        <f>IF((SUM($D107:Y107)+$B107/$C107)&gt;$B107,$B107-SUM($D107:Y107),$B107/$C107)</f>
        <v>0</v>
      </c>
      <c r="AA107" s="87">
        <f>IF((SUM($D107:Z107)+$B107/$C107)&gt;$B107,$B107-SUM($D107:Z107),$B107/$C107)</f>
        <v>0</v>
      </c>
    </row>
    <row r="108" spans="1:27" outlineLevel="1" x14ac:dyDescent="0.25">
      <c r="B108" s="472">
        <f>SUM(B105:B107)</f>
        <v>1345.3181271680935</v>
      </c>
      <c r="D108" s="109">
        <f>SUM(D105:D107)</f>
        <v>515.07545616429593</v>
      </c>
      <c r="E108" s="109">
        <f t="shared" ref="E108:W108" si="40">SUM(E105:E107)</f>
        <v>515.07545616429593</v>
      </c>
      <c r="F108" s="109">
        <f t="shared" si="40"/>
        <v>275.18840356082478</v>
      </c>
      <c r="G108" s="109">
        <f t="shared" si="40"/>
        <v>28.814743378676759</v>
      </c>
      <c r="H108" s="109">
        <f t="shared" si="40"/>
        <v>11.164067900000006</v>
      </c>
      <c r="I108" s="109">
        <f t="shared" si="40"/>
        <v>0</v>
      </c>
      <c r="J108" s="109">
        <f t="shared" si="40"/>
        <v>0</v>
      </c>
      <c r="K108" s="109">
        <f t="shared" si="40"/>
        <v>0</v>
      </c>
      <c r="L108" s="109">
        <f t="shared" si="40"/>
        <v>0</v>
      </c>
      <c r="M108" s="109">
        <f t="shared" si="40"/>
        <v>0</v>
      </c>
      <c r="N108" s="109">
        <f t="shared" si="40"/>
        <v>0</v>
      </c>
      <c r="O108" s="109">
        <f t="shared" si="40"/>
        <v>0</v>
      </c>
      <c r="P108" s="109">
        <f t="shared" si="40"/>
        <v>0</v>
      </c>
      <c r="Q108" s="109">
        <f t="shared" si="40"/>
        <v>0</v>
      </c>
      <c r="R108" s="109">
        <f t="shared" si="40"/>
        <v>0</v>
      </c>
      <c r="S108" s="109">
        <f t="shared" si="40"/>
        <v>0</v>
      </c>
      <c r="T108" s="109">
        <f t="shared" si="40"/>
        <v>0</v>
      </c>
      <c r="U108" s="109">
        <f t="shared" si="40"/>
        <v>0</v>
      </c>
      <c r="V108" s="109">
        <f t="shared" si="40"/>
        <v>0</v>
      </c>
      <c r="W108" s="109">
        <f t="shared" si="40"/>
        <v>0</v>
      </c>
      <c r="X108" s="109">
        <f>SUM(X105:X107)</f>
        <v>0</v>
      </c>
      <c r="Y108" s="109">
        <f>SUM(Y105:Y107)</f>
        <v>0</v>
      </c>
      <c r="Z108" s="109">
        <f>SUM(Z105:Z107)</f>
        <v>0</v>
      </c>
      <c r="AA108" s="109">
        <f>SUM(AA105:AA107)</f>
        <v>0</v>
      </c>
    </row>
    <row r="109" spans="1:27" outlineLevel="1" x14ac:dyDescent="0.25"/>
    <row r="110" spans="1:27" outlineLevel="1" x14ac:dyDescent="0.25"/>
    <row r="111" spans="1:27" outlineLevel="1" x14ac:dyDescent="0.25">
      <c r="A111" s="346" t="s">
        <v>277</v>
      </c>
      <c r="B111" s="473" t="s">
        <v>319</v>
      </c>
      <c r="C111" s="308" t="s">
        <v>322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5">
      <c r="A112" s="346" t="str">
        <f>$A$4</f>
        <v>($000 Real 2008)</v>
      </c>
      <c r="B112" s="474" t="s">
        <v>320</v>
      </c>
      <c r="C112" s="475" t="s">
        <v>321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5">
      <c r="A113" s="469">
        <v>2006</v>
      </c>
      <c r="B113" s="471">
        <f>'Offset of Costs and Rev 2006-08'!D$170-SUM('Offset of Costs and Rev 2006-08'!D230:F230)</f>
        <v>117.66944793057407</v>
      </c>
      <c r="C113" s="470">
        <f>'Offset of Costs and Rev 2006-08'!C230-(D$111-A113-0.5)</f>
        <v>2.5</v>
      </c>
      <c r="D113" s="87">
        <f>IF(C113&lt;1,B113,B113/C113)</f>
        <v>47.067779172229628</v>
      </c>
      <c r="E113" s="87">
        <f>IF((SUM($D113:D113)+$B113/$C113)&gt;$B113,$B113-SUM($D113:D113),$B113/$C113)</f>
        <v>47.067779172229628</v>
      </c>
      <c r="F113" s="87">
        <f>IF((SUM($D113:E113)+$B113/$C113)&gt;$B113,$B113-SUM($D113:E113),$B113/$C113)</f>
        <v>23.53388958611481</v>
      </c>
      <c r="G113" s="87">
        <f>IF((SUM($D113:F113)+$B113/$C113)&gt;$B113,$B113-SUM($D113:F113),$B113/$C113)</f>
        <v>0</v>
      </c>
      <c r="H113" s="87">
        <f>IF((SUM($D113:G113)+$B113/$C113)&gt;$B113,$B113-SUM($D113:G113),$B113/$C113)</f>
        <v>0</v>
      </c>
      <c r="I113" s="87">
        <f>IF((SUM($D113:H113)+$B113/$C113)&gt;$B113,$B113-SUM($D113:H113),$B113/$C113)</f>
        <v>0</v>
      </c>
      <c r="J113" s="87">
        <f>IF((SUM($D113:I113)+$B113/$C113)&gt;$B113,$B113-SUM($D113:I113),$B113/$C113)</f>
        <v>0</v>
      </c>
      <c r="K113" s="87">
        <f>IF((SUM($D113:J113)+$B113/$C113)&gt;$B113,$B113-SUM($D113:J113),$B113/$C113)</f>
        <v>0</v>
      </c>
      <c r="L113" s="87">
        <f>IF((SUM($D113:K113)+$B113/$C113)&gt;$B113,$B113-SUM($D113:K113),$B113/$C113)</f>
        <v>0</v>
      </c>
      <c r="M113" s="87">
        <f>IF((SUM($D113:L113)+$B113/$C113)&gt;$B113,$B113-SUM($D113:L113),$B113/$C113)</f>
        <v>0</v>
      </c>
      <c r="N113" s="87">
        <f>IF((SUM($D113:M113)+$B113/$C113)&gt;$B113,$B113-SUM($D113:M113),$B113/$C113)</f>
        <v>0</v>
      </c>
      <c r="O113" s="87">
        <f>IF((SUM($D113:N113)+$B113/$C113)&gt;$B113,$B113-SUM($D113:N113),$B113/$C113)</f>
        <v>0</v>
      </c>
      <c r="P113" s="87">
        <f>IF((SUM($D113:O113)+$B113/$C113)&gt;$B113,$B113-SUM($D113:O113),$B113/$C113)</f>
        <v>0</v>
      </c>
      <c r="Q113" s="87">
        <f>IF((SUM($D113:P113)+$B113/$C113)&gt;$B113,$B113-SUM($D113:P113),$B113/$C113)</f>
        <v>0</v>
      </c>
      <c r="R113" s="87">
        <f>IF((SUM($D113:Q113)+$B113/$C113)&gt;$B113,$B113-SUM($D113:Q113),$B113/$C113)</f>
        <v>0</v>
      </c>
      <c r="S113" s="87">
        <f>IF((SUM($D113:R113)+$B113/$C113)&gt;$B113,$B113-SUM($D113:R113),$B113/$C113)</f>
        <v>0</v>
      </c>
      <c r="T113" s="87">
        <f>IF((SUM($D113:S113)+$B113/$C113)&gt;$B113,$B113-SUM($D113:S113),$B113/$C113)</f>
        <v>0</v>
      </c>
      <c r="U113" s="87">
        <f>IF((SUM($D113:T113)+$B113/$C113)&gt;$B113,$B113-SUM($D113:T113),$B113/$C113)</f>
        <v>0</v>
      </c>
      <c r="V113" s="87">
        <f>IF((SUM($D113:U113)+$B113/$C113)&gt;$B113,$B113-SUM($D113:U113),$B113/$C113)</f>
        <v>0</v>
      </c>
      <c r="W113" s="87">
        <f>IF((SUM($D113:V113)+$B113/$C113)&gt;$B113,$B113-SUM($D113:V113),$B113/$C113)</f>
        <v>0</v>
      </c>
      <c r="X113" s="87">
        <f>IF((SUM($D113:W113)+$B113/$C113)&gt;$B113,$B113-SUM($D113:W113),$B113/$C113)</f>
        <v>0</v>
      </c>
      <c r="Y113" s="87">
        <f>IF((SUM($D113:X113)+$B113/$C113)&gt;$B113,$B113-SUM($D113:X113),$B113/$C113)</f>
        <v>0</v>
      </c>
      <c r="Z113" s="87">
        <f>IF((SUM($D113:Y113)+$B113/$C113)&gt;$B113,$B113-SUM($D113:Y113),$B113/$C113)</f>
        <v>0</v>
      </c>
      <c r="AA113" s="87">
        <f>IF((SUM($D113:Z113)+$B113/$C113)&gt;$B113,$B113-SUM($D113:Z113),$B113/$C113)</f>
        <v>0</v>
      </c>
    </row>
    <row r="114" spans="1:27" outlineLevel="1" x14ac:dyDescent="0.25">
      <c r="A114" s="469">
        <v>2007</v>
      </c>
      <c r="B114" s="471">
        <f>'Offset of Costs and Rev 2006-08'!E$170-SUM('Offset of Costs and Rev 2006-08'!D231:F231)</f>
        <v>81.723612492270121</v>
      </c>
      <c r="C114" s="470">
        <f>'Offset of Costs and Rev 2006-08'!C231-(D$111-A114-0.5)</f>
        <v>3.5</v>
      </c>
      <c r="D114" s="87">
        <f>IF(C114&lt;1,B114,B114/C114)</f>
        <v>23.349603569220033</v>
      </c>
      <c r="E114" s="87">
        <f>IF((SUM($D114:D114)+$B114/$C114)&gt;$B114,$B114-SUM($D114:D114),$B114/$C114)</f>
        <v>23.349603569220033</v>
      </c>
      <c r="F114" s="87">
        <f>IF((SUM($D114:E114)+$B114/$C114)&gt;$B114,$B114-SUM($D114:E114),$B114/$C114)</f>
        <v>23.349603569220033</v>
      </c>
      <c r="G114" s="87">
        <f>IF((SUM($D114:F114)+$B114/$C114)&gt;$B114,$B114-SUM($D114:F114),$B114/$C114)</f>
        <v>11.674801784610025</v>
      </c>
      <c r="H114" s="87">
        <f>IF((SUM($D114:G114)+$B114/$C114)&gt;$B114,$B114-SUM($D114:G114),$B114/$C114)</f>
        <v>0</v>
      </c>
      <c r="I114" s="87">
        <f>IF((SUM($D114:H114)+$B114/$C114)&gt;$B114,$B114-SUM($D114:H114),$B114/$C114)</f>
        <v>0</v>
      </c>
      <c r="J114" s="87">
        <f>IF((SUM($D114:I114)+$B114/$C114)&gt;$B114,$B114-SUM($D114:I114),$B114/$C114)</f>
        <v>0</v>
      </c>
      <c r="K114" s="87">
        <f>IF((SUM($D114:J114)+$B114/$C114)&gt;$B114,$B114-SUM($D114:J114),$B114/$C114)</f>
        <v>0</v>
      </c>
      <c r="L114" s="87">
        <f>IF((SUM($D114:K114)+$B114/$C114)&gt;$B114,$B114-SUM($D114:K114),$B114/$C114)</f>
        <v>0</v>
      </c>
      <c r="M114" s="87">
        <f>IF((SUM($D114:L114)+$B114/$C114)&gt;$B114,$B114-SUM($D114:L114),$B114/$C114)</f>
        <v>0</v>
      </c>
      <c r="N114" s="87">
        <f>IF((SUM($D114:M114)+$B114/$C114)&gt;$B114,$B114-SUM($D114:M114),$B114/$C114)</f>
        <v>0</v>
      </c>
      <c r="O114" s="87">
        <f>IF((SUM($D114:N114)+$B114/$C114)&gt;$B114,$B114-SUM($D114:N114),$B114/$C114)</f>
        <v>0</v>
      </c>
      <c r="P114" s="87">
        <f>IF((SUM($D114:O114)+$B114/$C114)&gt;$B114,$B114-SUM($D114:O114),$B114/$C114)</f>
        <v>0</v>
      </c>
      <c r="Q114" s="87">
        <f>IF((SUM($D114:P114)+$B114/$C114)&gt;$B114,$B114-SUM($D114:P114),$B114/$C114)</f>
        <v>0</v>
      </c>
      <c r="R114" s="87">
        <f>IF((SUM($D114:Q114)+$B114/$C114)&gt;$B114,$B114-SUM($D114:Q114),$B114/$C114)</f>
        <v>0</v>
      </c>
      <c r="S114" s="87">
        <f>IF((SUM($D114:R114)+$B114/$C114)&gt;$B114,$B114-SUM($D114:R114),$B114/$C114)</f>
        <v>0</v>
      </c>
      <c r="T114" s="87">
        <f>IF((SUM($D114:S114)+$B114/$C114)&gt;$B114,$B114-SUM($D114:S114),$B114/$C114)</f>
        <v>0</v>
      </c>
      <c r="U114" s="87">
        <f>IF((SUM($D114:T114)+$B114/$C114)&gt;$B114,$B114-SUM($D114:T114),$B114/$C114)</f>
        <v>0</v>
      </c>
      <c r="V114" s="87">
        <f>IF((SUM($D114:U114)+$B114/$C114)&gt;$B114,$B114-SUM($D114:U114),$B114/$C114)</f>
        <v>0</v>
      </c>
      <c r="W114" s="87">
        <f>IF((SUM($D114:V114)+$B114/$C114)&gt;$B114,$B114-SUM($D114:V114),$B114/$C114)</f>
        <v>0</v>
      </c>
      <c r="X114" s="87">
        <f>IF((SUM($D114:W114)+$B114/$C114)&gt;$B114,$B114-SUM($D114:W114),$B114/$C114)</f>
        <v>0</v>
      </c>
      <c r="Y114" s="87">
        <f>IF((SUM($D114:X114)+$B114/$C114)&gt;$B114,$B114-SUM($D114:X114),$B114/$C114)</f>
        <v>0</v>
      </c>
      <c r="Z114" s="87">
        <f>IF((SUM($D114:Y114)+$B114/$C114)&gt;$B114,$B114-SUM($D114:Y114),$B114/$C114)</f>
        <v>0</v>
      </c>
      <c r="AA114" s="87">
        <f>IF((SUM($D114:Z114)+$B114/$C114)&gt;$B114,$B114-SUM($D114:Z114),$B114/$C114)</f>
        <v>0</v>
      </c>
    </row>
    <row r="115" spans="1:27" outlineLevel="1" x14ac:dyDescent="0.25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7">
        <f>IF(C115&lt;1,B115,B115/C115)</f>
        <v>0</v>
      </c>
      <c r="E115" s="87">
        <f>IF((SUM($D115:D115)+$B115/$C115)&gt;$B115,$B115-SUM($D115:D115),$B115/$C115)</f>
        <v>0</v>
      </c>
      <c r="F115" s="87">
        <f>IF((SUM($D115:E115)+$B115/$C115)&gt;$B115,$B115-SUM($D115:E115),$B115/$C115)</f>
        <v>0</v>
      </c>
      <c r="G115" s="87">
        <f>IF((SUM($D115:F115)+$B115/$C115)&gt;$B115,$B115-SUM($D115:F115),$B115/$C115)</f>
        <v>0</v>
      </c>
      <c r="H115" s="87">
        <f>IF((SUM($D115:G115)+$B115/$C115)&gt;$B115,$B115-SUM($D115:G115),$B115/$C115)</f>
        <v>0</v>
      </c>
      <c r="I115" s="87">
        <f>IF((SUM($D115:H115)+$B115/$C115)&gt;$B115,$B115-SUM($D115:H115),$B115/$C115)</f>
        <v>0</v>
      </c>
      <c r="J115" s="87">
        <f>IF((SUM($D115:I115)+$B115/$C115)&gt;$B115,$B115-SUM($D115:I115),$B115/$C115)</f>
        <v>0</v>
      </c>
      <c r="K115" s="87">
        <f>IF((SUM($D115:J115)+$B115/$C115)&gt;$B115,$B115-SUM($D115:J115),$B115/$C115)</f>
        <v>0</v>
      </c>
      <c r="L115" s="87">
        <f>IF((SUM($D115:K115)+$B115/$C115)&gt;$B115,$B115-SUM($D115:K115),$B115/$C115)</f>
        <v>0</v>
      </c>
      <c r="M115" s="87">
        <f>IF((SUM($D115:L115)+$B115/$C115)&gt;$B115,$B115-SUM($D115:L115),$B115/$C115)</f>
        <v>0</v>
      </c>
      <c r="N115" s="87">
        <f>IF((SUM($D115:M115)+$B115/$C115)&gt;$B115,$B115-SUM($D115:M115),$B115/$C115)</f>
        <v>0</v>
      </c>
      <c r="O115" s="87">
        <f>IF((SUM($D115:N115)+$B115/$C115)&gt;$B115,$B115-SUM($D115:N115),$B115/$C115)</f>
        <v>0</v>
      </c>
      <c r="P115" s="87">
        <f>IF((SUM($D115:O115)+$B115/$C115)&gt;$B115,$B115-SUM($D115:O115),$B115/$C115)</f>
        <v>0</v>
      </c>
      <c r="Q115" s="87">
        <f>IF((SUM($D115:P115)+$B115/$C115)&gt;$B115,$B115-SUM($D115:P115),$B115/$C115)</f>
        <v>0</v>
      </c>
      <c r="R115" s="87">
        <f>IF((SUM($D115:Q115)+$B115/$C115)&gt;$B115,$B115-SUM($D115:Q115),$B115/$C115)</f>
        <v>0</v>
      </c>
      <c r="S115" s="87">
        <f>IF((SUM($D115:R115)+$B115/$C115)&gt;$B115,$B115-SUM($D115:R115),$B115/$C115)</f>
        <v>0</v>
      </c>
      <c r="T115" s="87">
        <f>IF((SUM($D115:S115)+$B115/$C115)&gt;$B115,$B115-SUM($D115:S115),$B115/$C115)</f>
        <v>0</v>
      </c>
      <c r="U115" s="87">
        <f>IF((SUM($D115:T115)+$B115/$C115)&gt;$B115,$B115-SUM($D115:T115),$B115/$C115)</f>
        <v>0</v>
      </c>
      <c r="V115" s="87">
        <f>IF((SUM($D115:U115)+$B115/$C115)&gt;$B115,$B115-SUM($D115:U115),$B115/$C115)</f>
        <v>0</v>
      </c>
      <c r="W115" s="87">
        <f>IF((SUM($D115:V115)+$B115/$C115)&gt;$B115,$B115-SUM($D115:V115),$B115/$C115)</f>
        <v>0</v>
      </c>
      <c r="X115" s="87">
        <f>IF((SUM($D115:W115)+$B115/$C115)&gt;$B115,$B115-SUM($D115:W115),$B115/$C115)</f>
        <v>0</v>
      </c>
      <c r="Y115" s="87">
        <f>IF((SUM($D115:X115)+$B115/$C115)&gt;$B115,$B115-SUM($D115:X115),$B115/$C115)</f>
        <v>0</v>
      </c>
      <c r="Z115" s="87">
        <f>IF((SUM($D115:Y115)+$B115/$C115)&gt;$B115,$B115-SUM($D115:Y115),$B115/$C115)</f>
        <v>0</v>
      </c>
      <c r="AA115" s="87">
        <f>IF((SUM($D115:Z115)+$B115/$C115)&gt;$B115,$B115-SUM($D115:Z115),$B115/$C115)</f>
        <v>0</v>
      </c>
    </row>
    <row r="116" spans="1:27" outlineLevel="1" x14ac:dyDescent="0.25">
      <c r="B116" s="472">
        <f>SUM(B113:B115)</f>
        <v>199.3930604228442</v>
      </c>
      <c r="D116" s="109">
        <f>SUM(D113:D115)</f>
        <v>70.417382741449657</v>
      </c>
      <c r="E116" s="109">
        <f t="shared" ref="E116:W116" si="42">SUM(E113:E115)</f>
        <v>70.417382741449657</v>
      </c>
      <c r="F116" s="109">
        <f t="shared" si="42"/>
        <v>46.883493155334847</v>
      </c>
      <c r="G116" s="109">
        <f t="shared" si="42"/>
        <v>11.674801784610025</v>
      </c>
      <c r="H116" s="109">
        <f t="shared" si="42"/>
        <v>0</v>
      </c>
      <c r="I116" s="109">
        <f t="shared" si="42"/>
        <v>0</v>
      </c>
      <c r="J116" s="109">
        <f t="shared" si="42"/>
        <v>0</v>
      </c>
      <c r="K116" s="109">
        <f t="shared" si="42"/>
        <v>0</v>
      </c>
      <c r="L116" s="109">
        <f t="shared" si="42"/>
        <v>0</v>
      </c>
      <c r="M116" s="109">
        <f t="shared" si="42"/>
        <v>0</v>
      </c>
      <c r="N116" s="109">
        <f t="shared" si="42"/>
        <v>0</v>
      </c>
      <c r="O116" s="109">
        <f t="shared" si="42"/>
        <v>0</v>
      </c>
      <c r="P116" s="109">
        <f t="shared" si="42"/>
        <v>0</v>
      </c>
      <c r="Q116" s="109">
        <f t="shared" si="42"/>
        <v>0</v>
      </c>
      <c r="R116" s="109">
        <f t="shared" si="42"/>
        <v>0</v>
      </c>
      <c r="S116" s="109">
        <f t="shared" si="42"/>
        <v>0</v>
      </c>
      <c r="T116" s="109">
        <f t="shared" si="42"/>
        <v>0</v>
      </c>
      <c r="U116" s="109">
        <f t="shared" si="42"/>
        <v>0</v>
      </c>
      <c r="V116" s="109">
        <f t="shared" si="42"/>
        <v>0</v>
      </c>
      <c r="W116" s="109">
        <f t="shared" si="42"/>
        <v>0</v>
      </c>
      <c r="X116" s="109">
        <f>SUM(X113:X115)</f>
        <v>0</v>
      </c>
      <c r="Y116" s="109">
        <f>SUM(Y113:Y115)</f>
        <v>0</v>
      </c>
      <c r="Z116" s="109">
        <f>SUM(Z113:Z115)</f>
        <v>0</v>
      </c>
      <c r="AA116" s="109">
        <f>SUM(AA113:AA115)</f>
        <v>0</v>
      </c>
    </row>
    <row r="117" spans="1:27" outlineLevel="1" x14ac:dyDescent="0.25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5"/>
    <row r="119" spans="1:27" ht="13.8" outlineLevel="1" thickBot="1" x14ac:dyDescent="0.3">
      <c r="A119" s="476" t="s">
        <v>44</v>
      </c>
      <c r="B119" s="477">
        <f>SUM(B92,B100,B108,B116)</f>
        <v>21038.921386264967</v>
      </c>
      <c r="C119" s="476"/>
      <c r="D119" s="477">
        <f t="shared" ref="D119:W119" si="43">SUM(D92,D100,D108,D116)</f>
        <v>4484.3348786405513</v>
      </c>
      <c r="E119" s="477">
        <f t="shared" si="43"/>
        <v>4484.3348786405513</v>
      </c>
      <c r="F119" s="477">
        <f t="shared" si="43"/>
        <v>4220.9139364509656</v>
      </c>
      <c r="G119" s="477">
        <f t="shared" si="43"/>
        <v>3939.3315848980924</v>
      </c>
      <c r="H119" s="477">
        <f t="shared" si="43"/>
        <v>3910.0061076348061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8" outlineLevel="1" thickTop="1" x14ac:dyDescent="0.25"/>
    <row r="121" spans="1:27" outlineLevel="1" x14ac:dyDescent="0.25"/>
    <row r="123" spans="1:27" x14ac:dyDescent="0.25">
      <c r="A123" s="464" t="s">
        <v>328</v>
      </c>
      <c r="B123" s="464"/>
      <c r="C123" s="464"/>
      <c r="J123" s="466"/>
    </row>
    <row r="124" spans="1:27" x14ac:dyDescent="0.25">
      <c r="A124" s="346" t="str">
        <f>$A$4</f>
        <v>($000 Real 2008)</v>
      </c>
      <c r="B124" s="464"/>
      <c r="C124" s="464"/>
      <c r="J124" s="466"/>
    </row>
    <row r="125" spans="1:27" x14ac:dyDescent="0.25">
      <c r="A125" s="101" t="s">
        <v>323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5">
      <c r="A126" s="73" t="s">
        <v>170</v>
      </c>
      <c r="D126" s="87">
        <f>B163</f>
        <v>14519.687604244689</v>
      </c>
      <c r="E126" s="87">
        <f>D128</f>
        <v>12168.5555365694</v>
      </c>
      <c r="F126" s="87">
        <f t="shared" ref="F126:W126" si="45">E128</f>
        <v>9817.4234688941106</v>
      </c>
      <c r="G126" s="87">
        <f t="shared" si="45"/>
        <v>7466.2914012188212</v>
      </c>
      <c r="H126" s="87">
        <f t="shared" si="45"/>
        <v>5115.1593335435318</v>
      </c>
      <c r="I126" s="87">
        <f t="shared" si="45"/>
        <v>2764.0272658682425</v>
      </c>
      <c r="J126" s="87">
        <f t="shared" si="45"/>
        <v>794.23061601529957</v>
      </c>
      <c r="K126" s="87">
        <f t="shared" si="45"/>
        <v>1.1368683772161603E-12</v>
      </c>
      <c r="L126" s="87">
        <f t="shared" si="45"/>
        <v>1.1368683772161603E-12</v>
      </c>
      <c r="M126" s="87">
        <f t="shared" si="45"/>
        <v>1.1368683772161603E-12</v>
      </c>
      <c r="N126" s="87">
        <f t="shared" si="45"/>
        <v>1.1368683772161603E-12</v>
      </c>
      <c r="O126" s="87">
        <f t="shared" si="45"/>
        <v>1.1368683772161603E-12</v>
      </c>
      <c r="P126" s="87">
        <f t="shared" si="45"/>
        <v>1.1368683772161603E-12</v>
      </c>
      <c r="Q126" s="87">
        <f t="shared" si="45"/>
        <v>1.1368683772161603E-12</v>
      </c>
      <c r="R126" s="87">
        <f t="shared" si="45"/>
        <v>1.1368683772161603E-12</v>
      </c>
      <c r="S126" s="87">
        <f t="shared" si="45"/>
        <v>1.1368683772161603E-12</v>
      </c>
      <c r="T126" s="87">
        <f t="shared" si="45"/>
        <v>1.1368683772161603E-12</v>
      </c>
      <c r="U126" s="87">
        <f t="shared" si="45"/>
        <v>1.1368683772161603E-12</v>
      </c>
      <c r="V126" s="87">
        <f t="shared" si="45"/>
        <v>1.1368683772161603E-12</v>
      </c>
      <c r="W126" s="87">
        <f t="shared" si="45"/>
        <v>1.1368683772161603E-12</v>
      </c>
      <c r="X126" s="87">
        <f>W128</f>
        <v>1.1368683772161603E-12</v>
      </c>
      <c r="Y126" s="87">
        <f>X128</f>
        <v>1.1368683772161603E-12</v>
      </c>
      <c r="Z126" s="87">
        <f>Y128</f>
        <v>1.1368683772161603E-12</v>
      </c>
      <c r="AA126" s="87">
        <f>Z128</f>
        <v>1.1368683772161603E-12</v>
      </c>
    </row>
    <row r="127" spans="1:27" x14ac:dyDescent="0.25">
      <c r="A127" s="84" t="s">
        <v>136</v>
      </c>
      <c r="D127" s="87">
        <f>D163</f>
        <v>2351.1320676752894</v>
      </c>
      <c r="E127" s="87">
        <f t="shared" ref="E127:W127" si="46">E163</f>
        <v>2351.1320676752894</v>
      </c>
      <c r="F127" s="87">
        <f t="shared" si="46"/>
        <v>2351.1320676752894</v>
      </c>
      <c r="G127" s="87">
        <f t="shared" si="46"/>
        <v>2351.1320676752894</v>
      </c>
      <c r="H127" s="87">
        <f t="shared" si="46"/>
        <v>2351.1320676752894</v>
      </c>
      <c r="I127" s="87">
        <f t="shared" si="46"/>
        <v>1969.7966498529429</v>
      </c>
      <c r="J127" s="87">
        <f t="shared" si="46"/>
        <v>794.23061601529844</v>
      </c>
      <c r="K127" s="87">
        <f t="shared" si="46"/>
        <v>0</v>
      </c>
      <c r="L127" s="87">
        <f t="shared" si="46"/>
        <v>0</v>
      </c>
      <c r="M127" s="87">
        <f t="shared" si="46"/>
        <v>0</v>
      </c>
      <c r="N127" s="87">
        <f t="shared" si="46"/>
        <v>0</v>
      </c>
      <c r="O127" s="87">
        <f t="shared" si="46"/>
        <v>0</v>
      </c>
      <c r="P127" s="87">
        <f t="shared" si="46"/>
        <v>0</v>
      </c>
      <c r="Q127" s="87">
        <f t="shared" si="46"/>
        <v>0</v>
      </c>
      <c r="R127" s="87">
        <f t="shared" si="46"/>
        <v>0</v>
      </c>
      <c r="S127" s="87">
        <f t="shared" si="46"/>
        <v>0</v>
      </c>
      <c r="T127" s="87">
        <f t="shared" si="46"/>
        <v>0</v>
      </c>
      <c r="U127" s="87">
        <f t="shared" si="46"/>
        <v>0</v>
      </c>
      <c r="V127" s="87">
        <f t="shared" si="46"/>
        <v>0</v>
      </c>
      <c r="W127" s="87">
        <f t="shared" si="46"/>
        <v>0</v>
      </c>
      <c r="X127" s="87">
        <f>X163</f>
        <v>0</v>
      </c>
      <c r="Y127" s="87">
        <f>Y163</f>
        <v>0</v>
      </c>
      <c r="Z127" s="87">
        <f>Z163</f>
        <v>0</v>
      </c>
      <c r="AA127" s="87">
        <f>AA163</f>
        <v>0</v>
      </c>
    </row>
    <row r="128" spans="1:27" ht="13.8" thickBot="1" x14ac:dyDescent="0.3">
      <c r="A128" s="73" t="s">
        <v>172</v>
      </c>
      <c r="D128" s="76">
        <f>D126-D127</f>
        <v>12168.5555365694</v>
      </c>
      <c r="E128" s="76">
        <f t="shared" ref="E128:W128" si="47">E126-E127</f>
        <v>9817.4234688941106</v>
      </c>
      <c r="F128" s="76">
        <f t="shared" si="47"/>
        <v>7466.2914012188212</v>
      </c>
      <c r="G128" s="76">
        <f t="shared" si="47"/>
        <v>5115.1593335435318</v>
      </c>
      <c r="H128" s="76">
        <f t="shared" si="47"/>
        <v>2764.0272658682425</v>
      </c>
      <c r="I128" s="76">
        <f t="shared" si="47"/>
        <v>794.23061601529957</v>
      </c>
      <c r="J128" s="76">
        <f t="shared" si="47"/>
        <v>1.1368683772161603E-12</v>
      </c>
      <c r="K128" s="76">
        <f t="shared" si="47"/>
        <v>1.1368683772161603E-12</v>
      </c>
      <c r="L128" s="76">
        <f t="shared" si="47"/>
        <v>1.1368683772161603E-12</v>
      </c>
      <c r="M128" s="76">
        <f t="shared" si="47"/>
        <v>1.1368683772161603E-12</v>
      </c>
      <c r="N128" s="76">
        <f t="shared" si="47"/>
        <v>1.1368683772161603E-12</v>
      </c>
      <c r="O128" s="76">
        <f t="shared" si="47"/>
        <v>1.1368683772161603E-12</v>
      </c>
      <c r="P128" s="76">
        <f t="shared" si="47"/>
        <v>1.1368683772161603E-12</v>
      </c>
      <c r="Q128" s="76">
        <f t="shared" si="47"/>
        <v>1.1368683772161603E-12</v>
      </c>
      <c r="R128" s="76">
        <f t="shared" si="47"/>
        <v>1.1368683772161603E-12</v>
      </c>
      <c r="S128" s="76">
        <f t="shared" si="47"/>
        <v>1.1368683772161603E-12</v>
      </c>
      <c r="T128" s="76">
        <f t="shared" si="47"/>
        <v>1.1368683772161603E-12</v>
      </c>
      <c r="U128" s="76">
        <f t="shared" si="47"/>
        <v>1.1368683772161603E-12</v>
      </c>
      <c r="V128" s="76">
        <f t="shared" si="47"/>
        <v>1.1368683772161603E-12</v>
      </c>
      <c r="W128" s="76">
        <f t="shared" si="47"/>
        <v>1.1368683772161603E-12</v>
      </c>
      <c r="X128" s="76">
        <f>X126-X127</f>
        <v>1.1368683772161603E-12</v>
      </c>
      <c r="Y128" s="76">
        <f>Y126-Y127</f>
        <v>1.1368683772161603E-12</v>
      </c>
      <c r="Z128" s="76">
        <f>Z126-Z127</f>
        <v>1.1368683772161603E-12</v>
      </c>
      <c r="AA128" s="76">
        <f>AA126-AA127</f>
        <v>1.1368683772161603E-12</v>
      </c>
    </row>
    <row r="129" spans="1:27" s="101" customFormat="1" ht="13.8" outlineLevel="1" thickTop="1" x14ac:dyDescent="0.25">
      <c r="A129" s="555" t="s">
        <v>0</v>
      </c>
      <c r="B129" s="484"/>
      <c r="C129" s="556">
        <f>SUM(D129:E129)</f>
        <v>0</v>
      </c>
      <c r="D129" s="557">
        <f>IF(ABS(D126-SUM(D127:AA127))&lt;0.001,0,ABS(D126-SUM(D127:AA127)))</f>
        <v>0</v>
      </c>
      <c r="E129" s="557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0"/>
    </row>
    <row r="130" spans="1:27" outlineLevel="1" x14ac:dyDescent="0.25"/>
    <row r="131" spans="1:27" outlineLevel="1" x14ac:dyDescent="0.25">
      <c r="A131" s="346" t="str">
        <f>'Data 2009-15 (Real $2008)'!A$154</f>
        <v>Remotely read interval meters &amp; transformers</v>
      </c>
      <c r="B131" s="473" t="s">
        <v>319</v>
      </c>
      <c r="C131" s="308" t="s">
        <v>322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5">
      <c r="A132" s="346" t="str">
        <f>$A$4</f>
        <v>($000 Real 2008)</v>
      </c>
      <c r="B132" s="474" t="s">
        <v>320</v>
      </c>
      <c r="C132" s="475" t="s">
        <v>321</v>
      </c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5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7">
        <f>IF(C133&lt;1,B133,B133/C133)</f>
        <v>0</v>
      </c>
      <c r="E133" s="87">
        <f>IF((SUM($D133:D133)+$B133/$C133)&gt;$B133,$B133-SUM($D133:D133),$B133/$C133)</f>
        <v>0</v>
      </c>
      <c r="F133" s="87">
        <f>IF((SUM($D133:E133)+$B133/$C133)&gt;$B133,$B133-SUM($D133:E133),$B133/$C133)</f>
        <v>0</v>
      </c>
      <c r="G133" s="87">
        <f>IF((SUM($D133:F133)+$B133/$C133)&gt;$B133,$B133-SUM($D133:F133),$B133/$C133)</f>
        <v>0</v>
      </c>
      <c r="H133" s="87">
        <f>IF((SUM($D133:G133)+$B133/$C133)&gt;$B133,$B133-SUM($D133:G133),$B133/$C133)</f>
        <v>0</v>
      </c>
      <c r="I133" s="87">
        <f>IF((SUM($D133:H133)+$B133/$C133)&gt;$B133,$B133-SUM($D133:H133),$B133/$C133)</f>
        <v>0</v>
      </c>
      <c r="J133" s="87">
        <f>IF((SUM($D133:I133)+$B133/$C133)&gt;$B133,$B133-SUM($D133:I133),$B133/$C133)</f>
        <v>0</v>
      </c>
      <c r="K133" s="87">
        <f>IF((SUM($D133:J133)+$B133/$C133)&gt;$B133,$B133-SUM($D133:J133),$B133/$C133)</f>
        <v>0</v>
      </c>
      <c r="L133" s="87">
        <f>IF((SUM($D133:K133)+$B133/$C133)&gt;$B133,$B133-SUM($D133:K133),$B133/$C133)</f>
        <v>0</v>
      </c>
      <c r="M133" s="87">
        <f>IF((SUM($D133:L133)+$B133/$C133)&gt;$B133,$B133-SUM($D133:L133),$B133/$C133)</f>
        <v>0</v>
      </c>
      <c r="N133" s="87">
        <f>IF((SUM($D133:M133)+$B133/$C133)&gt;$B133,$B133-SUM($D133:M133),$B133/$C133)</f>
        <v>0</v>
      </c>
      <c r="O133" s="87">
        <f>IF((SUM($D133:N133)+$B133/$C133)&gt;$B133,$B133-SUM($D133:N133),$B133/$C133)</f>
        <v>0</v>
      </c>
      <c r="P133" s="87">
        <f>IF((SUM($D133:O133)+$B133/$C133)&gt;$B133,$B133-SUM($D133:O133),$B133/$C133)</f>
        <v>0</v>
      </c>
      <c r="Q133" s="87">
        <f>IF((SUM($D133:P133)+$B133/$C133)&gt;$B133,$B133-SUM($D133:P133),$B133/$C133)</f>
        <v>0</v>
      </c>
      <c r="R133" s="87">
        <f>IF((SUM($D133:Q133)+$B133/$C133)&gt;$B133,$B133-SUM($D133:Q133),$B133/$C133)</f>
        <v>0</v>
      </c>
      <c r="S133" s="87">
        <f>IF((SUM($D133:R133)+$B133/$C133)&gt;$B133,$B133-SUM($D133:R133),$B133/$C133)</f>
        <v>0</v>
      </c>
      <c r="T133" s="87">
        <f>IF((SUM($D133:S133)+$B133/$C133)&gt;$B133,$B133-SUM($D133:S133),$B133/$C133)</f>
        <v>0</v>
      </c>
      <c r="U133" s="87">
        <f>IF((SUM($D133:T133)+$B133/$C133)&gt;$B133,$B133-SUM($D133:T133),$B133/$C133)</f>
        <v>0</v>
      </c>
      <c r="V133" s="87">
        <f>IF((SUM($D133:U133)+$B133/$C133)&gt;$B133,$B133-SUM($D133:U133),$B133/$C133)</f>
        <v>0</v>
      </c>
      <c r="W133" s="87">
        <f>IF((SUM($D133:V133)+$B133/$C133)&gt;$B133,$B133-SUM($D133:V133),$B133/$C133)</f>
        <v>0</v>
      </c>
      <c r="X133" s="87">
        <f>IF((SUM($D133:W133)+$B133/$C133)&gt;$B133,$B133-SUM($D133:W133),$B133/$C133)</f>
        <v>0</v>
      </c>
      <c r="Y133" s="87">
        <f>IF((SUM($D133:X133)+$B133/$C133)&gt;$B133,$B133-SUM($D133:X133),$B133/$C133)</f>
        <v>0</v>
      </c>
      <c r="Z133" s="87">
        <f>IF((SUM($D133:Y133)+$B133/$C133)&gt;$B133,$B133-SUM($D133:Y133),$B133/$C133)</f>
        <v>0</v>
      </c>
      <c r="AA133" s="87">
        <f>IF((SUM($D133:Z133)+$B133/$C133)&gt;$B133,$B133-SUM($D133:Z133),$B133/$C133)</f>
        <v>0</v>
      </c>
    </row>
    <row r="134" spans="1:27" outlineLevel="1" x14ac:dyDescent="0.25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7">
        <f>IF(C134&lt;1,B134,B134/C134)</f>
        <v>0</v>
      </c>
      <c r="E134" s="87">
        <f>IF((SUM($D134:D134)+$B134/$C134)&gt;$B134,$B134-SUM($D134:D134),$B134/$C134)</f>
        <v>0</v>
      </c>
      <c r="F134" s="87">
        <f>IF((SUM($D134:E134)+$B134/$C134)&gt;$B134,$B134-SUM($D134:E134),$B134/$C134)</f>
        <v>0</v>
      </c>
      <c r="G134" s="87">
        <f>IF((SUM($D134:F134)+$B134/$C134)&gt;$B134,$B134-SUM($D134:F134),$B134/$C134)</f>
        <v>0</v>
      </c>
      <c r="H134" s="87">
        <f>IF((SUM($D134:G134)+$B134/$C134)&gt;$B134,$B134-SUM($D134:G134),$B134/$C134)</f>
        <v>0</v>
      </c>
      <c r="I134" s="87">
        <f>IF((SUM($D134:H134)+$B134/$C134)&gt;$B134,$B134-SUM($D134:H134),$B134/$C134)</f>
        <v>0</v>
      </c>
      <c r="J134" s="87">
        <f>IF((SUM($D134:I134)+$B134/$C134)&gt;$B134,$B134-SUM($D134:I134),$B134/$C134)</f>
        <v>0</v>
      </c>
      <c r="K134" s="87">
        <f>IF((SUM($D134:J134)+$B134/$C134)&gt;$B134,$B134-SUM($D134:J134),$B134/$C134)</f>
        <v>0</v>
      </c>
      <c r="L134" s="87">
        <f>IF((SUM($D134:K134)+$B134/$C134)&gt;$B134,$B134-SUM($D134:K134),$B134/$C134)</f>
        <v>0</v>
      </c>
      <c r="M134" s="87">
        <f>IF((SUM($D134:L134)+$B134/$C134)&gt;$B134,$B134-SUM($D134:L134),$B134/$C134)</f>
        <v>0</v>
      </c>
      <c r="N134" s="87">
        <f>IF((SUM($D134:M134)+$B134/$C134)&gt;$B134,$B134-SUM($D134:M134),$B134/$C134)</f>
        <v>0</v>
      </c>
      <c r="O134" s="87">
        <f>IF((SUM($D134:N134)+$B134/$C134)&gt;$B134,$B134-SUM($D134:N134),$B134/$C134)</f>
        <v>0</v>
      </c>
      <c r="P134" s="87">
        <f>IF((SUM($D134:O134)+$B134/$C134)&gt;$B134,$B134-SUM($D134:O134),$B134/$C134)</f>
        <v>0</v>
      </c>
      <c r="Q134" s="87">
        <f>IF((SUM($D134:P134)+$B134/$C134)&gt;$B134,$B134-SUM($D134:P134),$B134/$C134)</f>
        <v>0</v>
      </c>
      <c r="R134" s="87">
        <f>IF((SUM($D134:Q134)+$B134/$C134)&gt;$B134,$B134-SUM($D134:Q134),$B134/$C134)</f>
        <v>0</v>
      </c>
      <c r="S134" s="87">
        <f>IF((SUM($D134:R134)+$B134/$C134)&gt;$B134,$B134-SUM($D134:R134),$B134/$C134)</f>
        <v>0</v>
      </c>
      <c r="T134" s="87">
        <f>IF((SUM($D134:S134)+$B134/$C134)&gt;$B134,$B134-SUM($D134:S134),$B134/$C134)</f>
        <v>0</v>
      </c>
      <c r="U134" s="87">
        <f>IF((SUM($D134:T134)+$B134/$C134)&gt;$B134,$B134-SUM($D134:T134),$B134/$C134)</f>
        <v>0</v>
      </c>
      <c r="V134" s="87">
        <f>IF((SUM($D134:U134)+$B134/$C134)&gt;$B134,$B134-SUM($D134:U134),$B134/$C134)</f>
        <v>0</v>
      </c>
      <c r="W134" s="87">
        <f>IF((SUM($D134:V134)+$B134/$C134)&gt;$B134,$B134-SUM($D134:V134),$B134/$C134)</f>
        <v>0</v>
      </c>
      <c r="X134" s="87">
        <f>IF((SUM($D134:W134)+$B134/$C134)&gt;$B134,$B134-SUM($D134:W134),$B134/$C134)</f>
        <v>0</v>
      </c>
      <c r="Y134" s="87">
        <f>IF((SUM($D134:X134)+$B134/$C134)&gt;$B134,$B134-SUM($D134:X134),$B134/$C134)</f>
        <v>0</v>
      </c>
      <c r="Z134" s="87">
        <f>IF((SUM($D134:Y134)+$B134/$C134)&gt;$B134,$B134-SUM($D134:Y134),$B134/$C134)</f>
        <v>0</v>
      </c>
      <c r="AA134" s="87">
        <f>IF((SUM($D134:Z134)+$B134/$C134)&gt;$B134,$B134-SUM($D134:Z134),$B134/$C134)</f>
        <v>0</v>
      </c>
    </row>
    <row r="135" spans="1:27" outlineLevel="1" x14ac:dyDescent="0.25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7">
        <f>IF(C135&lt;1,B135,B135/C135)</f>
        <v>0</v>
      </c>
      <c r="E135" s="87">
        <f>IF((SUM($D135:D135)+$B135/$C135)&gt;$B135,$B135-SUM($D135:D135),$B135/$C135)</f>
        <v>0</v>
      </c>
      <c r="F135" s="87">
        <f>IF((SUM($D135:E135)+$B135/$C135)&gt;$B135,$B135-SUM($D135:E135),$B135/$C135)</f>
        <v>0</v>
      </c>
      <c r="G135" s="87">
        <f>IF((SUM($D135:F135)+$B135/$C135)&gt;$B135,$B135-SUM($D135:F135),$B135/$C135)</f>
        <v>0</v>
      </c>
      <c r="H135" s="87">
        <f>IF((SUM($D135:G135)+$B135/$C135)&gt;$B135,$B135-SUM($D135:G135),$B135/$C135)</f>
        <v>0</v>
      </c>
      <c r="I135" s="87">
        <f>IF((SUM($D135:H135)+$B135/$C135)&gt;$B135,$B135-SUM($D135:H135),$B135/$C135)</f>
        <v>0</v>
      </c>
      <c r="J135" s="87">
        <f>IF((SUM($D135:I135)+$B135/$C135)&gt;$B135,$B135-SUM($D135:I135),$B135/$C135)</f>
        <v>0</v>
      </c>
      <c r="K135" s="87">
        <f>IF((SUM($D135:J135)+$B135/$C135)&gt;$B135,$B135-SUM($D135:J135),$B135/$C135)</f>
        <v>0</v>
      </c>
      <c r="L135" s="87">
        <f>IF((SUM($D135:K135)+$B135/$C135)&gt;$B135,$B135-SUM($D135:K135),$B135/$C135)</f>
        <v>0</v>
      </c>
      <c r="M135" s="87">
        <f>IF((SUM($D135:L135)+$B135/$C135)&gt;$B135,$B135-SUM($D135:L135),$B135/$C135)</f>
        <v>0</v>
      </c>
      <c r="N135" s="87">
        <f>IF((SUM($D135:M135)+$B135/$C135)&gt;$B135,$B135-SUM($D135:M135),$B135/$C135)</f>
        <v>0</v>
      </c>
      <c r="O135" s="87">
        <f>IF((SUM($D135:N135)+$B135/$C135)&gt;$B135,$B135-SUM($D135:N135),$B135/$C135)</f>
        <v>0</v>
      </c>
      <c r="P135" s="87">
        <f>IF((SUM($D135:O135)+$B135/$C135)&gt;$B135,$B135-SUM($D135:O135),$B135/$C135)</f>
        <v>0</v>
      </c>
      <c r="Q135" s="87">
        <f>IF((SUM($D135:P135)+$B135/$C135)&gt;$B135,$B135-SUM($D135:P135),$B135/$C135)</f>
        <v>0</v>
      </c>
      <c r="R135" s="87">
        <f>IF((SUM($D135:Q135)+$B135/$C135)&gt;$B135,$B135-SUM($D135:Q135),$B135/$C135)</f>
        <v>0</v>
      </c>
      <c r="S135" s="87">
        <f>IF((SUM($D135:R135)+$B135/$C135)&gt;$B135,$B135-SUM($D135:R135),$B135/$C135)</f>
        <v>0</v>
      </c>
      <c r="T135" s="87">
        <f>IF((SUM($D135:S135)+$B135/$C135)&gt;$B135,$B135-SUM($D135:S135),$B135/$C135)</f>
        <v>0</v>
      </c>
      <c r="U135" s="87">
        <f>IF((SUM($D135:T135)+$B135/$C135)&gt;$B135,$B135-SUM($D135:T135),$B135/$C135)</f>
        <v>0</v>
      </c>
      <c r="V135" s="87">
        <f>IF((SUM($D135:U135)+$B135/$C135)&gt;$B135,$B135-SUM($D135:U135),$B135/$C135)</f>
        <v>0</v>
      </c>
      <c r="W135" s="87">
        <f>IF((SUM($D135:V135)+$B135/$C135)&gt;$B135,$B135-SUM($D135:V135),$B135/$C135)</f>
        <v>0</v>
      </c>
      <c r="X135" s="87">
        <f>IF((SUM($D135:W135)+$B135/$C135)&gt;$B135,$B135-SUM($D135:W135),$B135/$C135)</f>
        <v>0</v>
      </c>
      <c r="Y135" s="87">
        <f>IF((SUM($D135:X135)+$B135/$C135)&gt;$B135,$B135-SUM($D135:X135),$B135/$C135)</f>
        <v>0</v>
      </c>
      <c r="Z135" s="87">
        <f>IF((SUM($D135:Y135)+$B135/$C135)&gt;$B135,$B135-SUM($D135:Y135),$B135/$C135)</f>
        <v>0</v>
      </c>
      <c r="AA135" s="87">
        <f>IF((SUM($D135:Z135)+$B135/$C135)&gt;$B135,$B135-SUM($D135:Z135),$B135/$C135)</f>
        <v>0</v>
      </c>
    </row>
    <row r="136" spans="1:27" outlineLevel="1" x14ac:dyDescent="0.25">
      <c r="A136" s="356"/>
      <c r="B136" s="472">
        <f>SUM(B133:B135)</f>
        <v>0</v>
      </c>
      <c r="D136" s="109">
        <f>SUM(D133:D135)</f>
        <v>0</v>
      </c>
      <c r="E136" s="109">
        <f t="shared" ref="E136:W136" si="49">SUM(E133:E135)</f>
        <v>0</v>
      </c>
      <c r="F136" s="109">
        <f t="shared" si="49"/>
        <v>0</v>
      </c>
      <c r="G136" s="109">
        <f t="shared" si="49"/>
        <v>0</v>
      </c>
      <c r="H136" s="109">
        <f t="shared" si="49"/>
        <v>0</v>
      </c>
      <c r="I136" s="109">
        <f t="shared" si="49"/>
        <v>0</v>
      </c>
      <c r="J136" s="109">
        <f t="shared" si="49"/>
        <v>0</v>
      </c>
      <c r="K136" s="109">
        <f t="shared" si="49"/>
        <v>0</v>
      </c>
      <c r="L136" s="109">
        <f t="shared" si="49"/>
        <v>0</v>
      </c>
      <c r="M136" s="109">
        <f t="shared" si="49"/>
        <v>0</v>
      </c>
      <c r="N136" s="109">
        <f t="shared" si="49"/>
        <v>0</v>
      </c>
      <c r="O136" s="109">
        <f t="shared" si="49"/>
        <v>0</v>
      </c>
      <c r="P136" s="109">
        <f t="shared" si="49"/>
        <v>0</v>
      </c>
      <c r="Q136" s="109">
        <f t="shared" si="49"/>
        <v>0</v>
      </c>
      <c r="R136" s="109">
        <f t="shared" si="49"/>
        <v>0</v>
      </c>
      <c r="S136" s="109">
        <f t="shared" si="49"/>
        <v>0</v>
      </c>
      <c r="T136" s="109">
        <f t="shared" si="49"/>
        <v>0</v>
      </c>
      <c r="U136" s="109">
        <f t="shared" si="49"/>
        <v>0</v>
      </c>
      <c r="V136" s="109">
        <f t="shared" si="49"/>
        <v>0</v>
      </c>
      <c r="W136" s="109">
        <f t="shared" si="49"/>
        <v>0</v>
      </c>
      <c r="X136" s="109">
        <f>SUM(X133:X135)</f>
        <v>0</v>
      </c>
      <c r="Y136" s="109">
        <f>SUM(Y133:Y135)</f>
        <v>0</v>
      </c>
      <c r="Z136" s="109">
        <f>SUM(Z133:Z135)</f>
        <v>0</v>
      </c>
      <c r="AA136" s="109">
        <f>SUM(AA133:AA135)</f>
        <v>0</v>
      </c>
    </row>
    <row r="137" spans="1:27" outlineLevel="1" x14ac:dyDescent="0.25"/>
    <row r="138" spans="1:27" outlineLevel="1" x14ac:dyDescent="0.25"/>
    <row r="139" spans="1:27" outlineLevel="1" x14ac:dyDescent="0.25">
      <c r="A139" s="346" t="s">
        <v>276</v>
      </c>
      <c r="B139" s="473" t="s">
        <v>319</v>
      </c>
      <c r="C139" s="308" t="s">
        <v>322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5">
      <c r="A140" s="346" t="str">
        <f>$A$4</f>
        <v>($000 Real 2008)</v>
      </c>
      <c r="B140" s="474" t="s">
        <v>320</v>
      </c>
      <c r="C140" s="475" t="s">
        <v>321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5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7">
        <f>IF(C141&lt;1,B141,B141/C141)</f>
        <v>0</v>
      </c>
      <c r="E141" s="87">
        <f>IF((SUM($D141:D141)+$B141/$C141)&gt;$B141,$B141-SUM($D141:D141),$B141/$C141)</f>
        <v>0</v>
      </c>
      <c r="F141" s="87">
        <f>IF((SUM($D141:E141)+$B141/$C141)&gt;$B141,$B141-SUM($D141:E141),$B141/$C141)</f>
        <v>0</v>
      </c>
      <c r="G141" s="87">
        <f>IF((SUM($D141:F141)+$B141/$C141)&gt;$B141,$B141-SUM($D141:F141),$B141/$C141)</f>
        <v>0</v>
      </c>
      <c r="H141" s="87">
        <f>IF((SUM($D141:G141)+$B141/$C141)&gt;$B141,$B141-SUM($D141:G141),$B141/$C141)</f>
        <v>0</v>
      </c>
      <c r="I141" s="87">
        <f>IF((SUM($D141:H141)+$B141/$C141)&gt;$B141,$B141-SUM($D141:H141),$B141/$C141)</f>
        <v>0</v>
      </c>
      <c r="J141" s="87">
        <f>IF((SUM($D141:I141)+$B141/$C141)&gt;$B141,$B141-SUM($D141:I141),$B141/$C141)</f>
        <v>0</v>
      </c>
      <c r="K141" s="87">
        <f>IF((SUM($D141:J141)+$B141/$C141)&gt;$B141,$B141-SUM($D141:J141),$B141/$C141)</f>
        <v>0</v>
      </c>
      <c r="L141" s="87">
        <f>IF((SUM($D141:K141)+$B141/$C141)&gt;$B141,$B141-SUM($D141:K141),$B141/$C141)</f>
        <v>0</v>
      </c>
      <c r="M141" s="87">
        <f>IF((SUM($D141:L141)+$B141/$C141)&gt;$B141,$B141-SUM($D141:L141),$B141/$C141)</f>
        <v>0</v>
      </c>
      <c r="N141" s="87">
        <f>IF((SUM($D141:M141)+$B141/$C141)&gt;$B141,$B141-SUM($D141:M141),$B141/$C141)</f>
        <v>0</v>
      </c>
      <c r="O141" s="87">
        <f>IF((SUM($D141:N141)+$B141/$C141)&gt;$B141,$B141-SUM($D141:N141),$B141/$C141)</f>
        <v>0</v>
      </c>
      <c r="P141" s="87">
        <f>IF((SUM($D141:O141)+$B141/$C141)&gt;$B141,$B141-SUM($D141:O141),$B141/$C141)</f>
        <v>0</v>
      </c>
      <c r="Q141" s="87">
        <f>IF((SUM($D141:P141)+$B141/$C141)&gt;$B141,$B141-SUM($D141:P141),$B141/$C141)</f>
        <v>0</v>
      </c>
      <c r="R141" s="87">
        <f>IF((SUM($D141:Q141)+$B141/$C141)&gt;$B141,$B141-SUM($D141:Q141),$B141/$C141)</f>
        <v>0</v>
      </c>
      <c r="S141" s="87">
        <f>IF((SUM($D141:R141)+$B141/$C141)&gt;$B141,$B141-SUM($D141:R141),$B141/$C141)</f>
        <v>0</v>
      </c>
      <c r="T141" s="87">
        <f>IF((SUM($D141:S141)+$B141/$C141)&gt;$B141,$B141-SUM($D141:S141),$B141/$C141)</f>
        <v>0</v>
      </c>
      <c r="U141" s="87">
        <f>IF((SUM($D141:T141)+$B141/$C141)&gt;$B141,$B141-SUM($D141:T141),$B141/$C141)</f>
        <v>0</v>
      </c>
      <c r="V141" s="87">
        <f>IF((SUM($D141:U141)+$B141/$C141)&gt;$B141,$B141-SUM($D141:U141),$B141/$C141)</f>
        <v>0</v>
      </c>
      <c r="W141" s="87">
        <f>IF((SUM($D141:V141)+$B141/$C141)&gt;$B141,$B141-SUM($D141:V141),$B141/$C141)</f>
        <v>0</v>
      </c>
      <c r="X141" s="87">
        <f>IF((SUM($D141:W141)+$B141/$C141)&gt;$B141,$B141-SUM($D141:W141),$B141/$C141)</f>
        <v>0</v>
      </c>
      <c r="Y141" s="87">
        <f>IF((SUM($D141:X141)+$B141/$C141)&gt;$B141,$B141-SUM($D141:X141),$B141/$C141)</f>
        <v>0</v>
      </c>
      <c r="Z141" s="87">
        <f>IF((SUM($D141:Y141)+$B141/$C141)&gt;$B141,$B141-SUM($D141:Y141),$B141/$C141)</f>
        <v>0</v>
      </c>
      <c r="AA141" s="87">
        <f>IF((SUM($D141:Z141)+$B141/$C141)&gt;$B141,$B141-SUM($D141:Z141),$B141/$C141)</f>
        <v>0</v>
      </c>
    </row>
    <row r="142" spans="1:27" outlineLevel="1" x14ac:dyDescent="0.25">
      <c r="A142" s="469">
        <v>2007</v>
      </c>
      <c r="B142" s="471">
        <f>'Data 2006-08'!E$85*'Data 2006-08'!E156/10^3*(1+'Data 2006-08'!C$141)^1.5</f>
        <v>4194.6895960458105</v>
      </c>
      <c r="C142" s="470">
        <f>'Data 2009-15 (Real $2008)'!C$155-(D$139-A142-0.5)</f>
        <v>5.5</v>
      </c>
      <c r="D142" s="87">
        <f>IF(C142&lt;1,B142,B142/C142)</f>
        <v>762.67083564469283</v>
      </c>
      <c r="E142" s="87">
        <f>IF((SUM($D142:D142)+$B142/$C142)&gt;$B142,$B142-SUM($D142:D142),$B142/$C142)</f>
        <v>762.67083564469283</v>
      </c>
      <c r="F142" s="87">
        <f>IF((SUM($D142:E142)+$B142/$C142)&gt;$B142,$B142-SUM($D142:E142),$B142/$C142)</f>
        <v>762.67083564469283</v>
      </c>
      <c r="G142" s="87">
        <f>IF((SUM($D142:F142)+$B142/$C142)&gt;$B142,$B142-SUM($D142:F142),$B142/$C142)</f>
        <v>762.67083564469283</v>
      </c>
      <c r="H142" s="87">
        <f>IF((SUM($D142:G142)+$B142/$C142)&gt;$B142,$B142-SUM($D142:G142),$B142/$C142)</f>
        <v>762.67083564469283</v>
      </c>
      <c r="I142" s="87">
        <f>IF((SUM($D142:H142)+$B142/$C142)&gt;$B142,$B142-SUM($D142:H142),$B142/$C142)</f>
        <v>381.33541782234624</v>
      </c>
      <c r="J142" s="87">
        <f>IF((SUM($D142:I142)+$B142/$C142)&gt;$B142,$B142-SUM($D142:I142),$B142/$C142)</f>
        <v>0</v>
      </c>
      <c r="K142" s="87">
        <f>IF((SUM($D142:J142)+$B142/$C142)&gt;$B142,$B142-SUM($D142:J142),$B142/$C142)</f>
        <v>0</v>
      </c>
      <c r="L142" s="87">
        <f>IF((SUM($D142:K142)+$B142/$C142)&gt;$B142,$B142-SUM($D142:K142),$B142/$C142)</f>
        <v>0</v>
      </c>
      <c r="M142" s="87">
        <f>IF((SUM($D142:L142)+$B142/$C142)&gt;$B142,$B142-SUM($D142:L142),$B142/$C142)</f>
        <v>0</v>
      </c>
      <c r="N142" s="87">
        <f>IF((SUM($D142:M142)+$B142/$C142)&gt;$B142,$B142-SUM($D142:M142),$B142/$C142)</f>
        <v>0</v>
      </c>
      <c r="O142" s="87">
        <f>IF((SUM($D142:N142)+$B142/$C142)&gt;$B142,$B142-SUM($D142:N142),$B142/$C142)</f>
        <v>0</v>
      </c>
      <c r="P142" s="87">
        <f>IF((SUM($D142:O142)+$B142/$C142)&gt;$B142,$B142-SUM($D142:O142),$B142/$C142)</f>
        <v>0</v>
      </c>
      <c r="Q142" s="87">
        <f>IF((SUM($D142:P142)+$B142/$C142)&gt;$B142,$B142-SUM($D142:P142),$B142/$C142)</f>
        <v>0</v>
      </c>
      <c r="R142" s="87">
        <f>IF((SUM($D142:Q142)+$B142/$C142)&gt;$B142,$B142-SUM($D142:Q142),$B142/$C142)</f>
        <v>0</v>
      </c>
      <c r="S142" s="87">
        <f>IF((SUM($D142:R142)+$B142/$C142)&gt;$B142,$B142-SUM($D142:R142),$B142/$C142)</f>
        <v>0</v>
      </c>
      <c r="T142" s="87">
        <f>IF((SUM($D142:S142)+$B142/$C142)&gt;$B142,$B142-SUM($D142:S142),$B142/$C142)</f>
        <v>0</v>
      </c>
      <c r="U142" s="87">
        <f>IF((SUM($D142:T142)+$B142/$C142)&gt;$B142,$B142-SUM($D142:T142),$B142/$C142)</f>
        <v>0</v>
      </c>
      <c r="V142" s="87">
        <f>IF((SUM($D142:U142)+$B142/$C142)&gt;$B142,$B142-SUM($D142:U142),$B142/$C142)</f>
        <v>0</v>
      </c>
      <c r="W142" s="87">
        <f>IF((SUM($D142:V142)+$B142/$C142)&gt;$B142,$B142-SUM($D142:V142),$B142/$C142)</f>
        <v>0</v>
      </c>
      <c r="X142" s="87">
        <f>IF((SUM($D142:W142)+$B142/$C142)&gt;$B142,$B142-SUM($D142:W142),$B142/$C142)</f>
        <v>0</v>
      </c>
      <c r="Y142" s="87">
        <f>IF((SUM($D142:X142)+$B142/$C142)&gt;$B142,$B142-SUM($D142:X142),$B142/$C142)</f>
        <v>0</v>
      </c>
      <c r="Z142" s="87">
        <f>IF((SUM($D142:Y142)+$B142/$C142)&gt;$B142,$B142-SUM($D142:Y142),$B142/$C142)</f>
        <v>0</v>
      </c>
      <c r="AA142" s="87">
        <f>IF((SUM($D142:Z142)+$B142/$C142)&gt;$B142,$B142-SUM($D142:Z142),$B142/$C142)</f>
        <v>0</v>
      </c>
    </row>
    <row r="143" spans="1:27" outlineLevel="1" x14ac:dyDescent="0.25">
      <c r="A143" s="469">
        <v>2008</v>
      </c>
      <c r="B143" s="471">
        <f>'Data 2006-08'!F$85/10^3*(1+'Data 2006-08'!C$141)^0.5</f>
        <v>10324.998008198878</v>
      </c>
      <c r="C143" s="470">
        <f>'Data 2009-15 (Real $2008)'!C$155-(D$139-A143-0.5)</f>
        <v>6.5</v>
      </c>
      <c r="D143" s="87">
        <f>IF(C143&lt;1,B143,B143/C143)</f>
        <v>1588.4612320305966</v>
      </c>
      <c r="E143" s="87">
        <f>IF((SUM($D143:D143)+$B143/$C143)&gt;$B143,$B143-SUM($D143:D143),$B143/$C143)</f>
        <v>1588.4612320305966</v>
      </c>
      <c r="F143" s="87">
        <f>IF((SUM($D143:E143)+$B143/$C143)&gt;$B143,$B143-SUM($D143:E143),$B143/$C143)</f>
        <v>1588.4612320305966</v>
      </c>
      <c r="G143" s="87">
        <f>IF((SUM($D143:F143)+$B143/$C143)&gt;$B143,$B143-SUM($D143:F143),$B143/$C143)</f>
        <v>1588.4612320305966</v>
      </c>
      <c r="H143" s="87">
        <f>IF((SUM($D143:G143)+$B143/$C143)&gt;$B143,$B143-SUM($D143:G143),$B143/$C143)</f>
        <v>1588.4612320305966</v>
      </c>
      <c r="I143" s="87">
        <f>IF((SUM($D143:H143)+$B143/$C143)&gt;$B143,$B143-SUM($D143:H143),$B143/$C143)</f>
        <v>1588.4612320305966</v>
      </c>
      <c r="J143" s="87">
        <f>IF((SUM($D143:I143)+$B143/$C143)&gt;$B143,$B143-SUM($D143:I143),$B143/$C143)</f>
        <v>794.23061601529844</v>
      </c>
      <c r="K143" s="87">
        <f>IF((SUM($D143:J143)+$B143/$C143)&gt;$B143,$B143-SUM($D143:J143),$B143/$C143)</f>
        <v>0</v>
      </c>
      <c r="L143" s="87">
        <f>IF((SUM($D143:K143)+$B143/$C143)&gt;$B143,$B143-SUM($D143:K143),$B143/$C143)</f>
        <v>0</v>
      </c>
      <c r="M143" s="87">
        <f>IF((SUM($D143:L143)+$B143/$C143)&gt;$B143,$B143-SUM($D143:L143),$B143/$C143)</f>
        <v>0</v>
      </c>
      <c r="N143" s="87">
        <f>IF((SUM($D143:M143)+$B143/$C143)&gt;$B143,$B143-SUM($D143:M143),$B143/$C143)</f>
        <v>0</v>
      </c>
      <c r="O143" s="87">
        <f>IF((SUM($D143:N143)+$B143/$C143)&gt;$B143,$B143-SUM($D143:N143),$B143/$C143)</f>
        <v>0</v>
      </c>
      <c r="P143" s="87">
        <f>IF((SUM($D143:O143)+$B143/$C143)&gt;$B143,$B143-SUM($D143:O143),$B143/$C143)</f>
        <v>0</v>
      </c>
      <c r="Q143" s="87">
        <f>IF((SUM($D143:P143)+$B143/$C143)&gt;$B143,$B143-SUM($D143:P143),$B143/$C143)</f>
        <v>0</v>
      </c>
      <c r="R143" s="87">
        <f>IF((SUM($D143:Q143)+$B143/$C143)&gt;$B143,$B143-SUM($D143:Q143),$B143/$C143)</f>
        <v>0</v>
      </c>
      <c r="S143" s="87">
        <f>IF((SUM($D143:R143)+$B143/$C143)&gt;$B143,$B143-SUM($D143:R143),$B143/$C143)</f>
        <v>0</v>
      </c>
      <c r="T143" s="87">
        <f>IF((SUM($D143:S143)+$B143/$C143)&gt;$B143,$B143-SUM($D143:S143),$B143/$C143)</f>
        <v>0</v>
      </c>
      <c r="U143" s="87">
        <f>IF((SUM($D143:T143)+$B143/$C143)&gt;$B143,$B143-SUM($D143:T143),$B143/$C143)</f>
        <v>0</v>
      </c>
      <c r="V143" s="87">
        <f>IF((SUM($D143:U143)+$B143/$C143)&gt;$B143,$B143-SUM($D143:U143),$B143/$C143)</f>
        <v>0</v>
      </c>
      <c r="W143" s="87">
        <f>IF((SUM($D143:V143)+$B143/$C143)&gt;$B143,$B143-SUM($D143:V143),$B143/$C143)</f>
        <v>0</v>
      </c>
      <c r="X143" s="87">
        <f>IF((SUM($D143:W143)+$B143/$C143)&gt;$B143,$B143-SUM($D143:W143),$B143/$C143)</f>
        <v>0</v>
      </c>
      <c r="Y143" s="87">
        <f>IF((SUM($D143:X143)+$B143/$C143)&gt;$B143,$B143-SUM($D143:X143),$B143/$C143)</f>
        <v>0</v>
      </c>
      <c r="Z143" s="87">
        <f>IF((SUM($D143:Y143)+$B143/$C143)&gt;$B143,$B143-SUM($D143:Y143),$B143/$C143)</f>
        <v>0</v>
      </c>
      <c r="AA143" s="87">
        <f>IF((SUM($D143:Z143)+$B143/$C143)&gt;$B143,$B143-SUM($D143:Z143),$B143/$C143)</f>
        <v>0</v>
      </c>
    </row>
    <row r="144" spans="1:27" outlineLevel="1" x14ac:dyDescent="0.25">
      <c r="A144" s="356"/>
      <c r="B144" s="472">
        <f>SUM(B141:B143)</f>
        <v>14519.687604244689</v>
      </c>
      <c r="D144" s="109">
        <f>SUM(D141:D143)</f>
        <v>2351.1320676752894</v>
      </c>
      <c r="E144" s="109">
        <f t="shared" ref="E144:W144" si="51">SUM(E141:E143)</f>
        <v>2351.1320676752894</v>
      </c>
      <c r="F144" s="109">
        <f t="shared" si="51"/>
        <v>2351.1320676752894</v>
      </c>
      <c r="G144" s="109">
        <f t="shared" si="51"/>
        <v>2351.1320676752894</v>
      </c>
      <c r="H144" s="109">
        <f t="shared" si="51"/>
        <v>2351.1320676752894</v>
      </c>
      <c r="I144" s="109">
        <f t="shared" si="51"/>
        <v>1969.7966498529429</v>
      </c>
      <c r="J144" s="109">
        <f t="shared" si="51"/>
        <v>794.23061601529844</v>
      </c>
      <c r="K144" s="109">
        <f t="shared" si="51"/>
        <v>0</v>
      </c>
      <c r="L144" s="109">
        <f t="shared" si="51"/>
        <v>0</v>
      </c>
      <c r="M144" s="109">
        <f t="shared" si="51"/>
        <v>0</v>
      </c>
      <c r="N144" s="109">
        <f t="shared" si="51"/>
        <v>0</v>
      </c>
      <c r="O144" s="109">
        <f t="shared" si="51"/>
        <v>0</v>
      </c>
      <c r="P144" s="109">
        <f t="shared" si="51"/>
        <v>0</v>
      </c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>
        <f t="shared" si="51"/>
        <v>0</v>
      </c>
      <c r="U144" s="109">
        <f t="shared" si="51"/>
        <v>0</v>
      </c>
      <c r="V144" s="109">
        <f t="shared" si="51"/>
        <v>0</v>
      </c>
      <c r="W144" s="109">
        <f t="shared" si="51"/>
        <v>0</v>
      </c>
      <c r="X144" s="109">
        <f>SUM(X141:X143)</f>
        <v>0</v>
      </c>
      <c r="Y144" s="109">
        <f>SUM(Y141:Y143)</f>
        <v>0</v>
      </c>
      <c r="Z144" s="109">
        <f>SUM(Z141:Z143)</f>
        <v>0</v>
      </c>
      <c r="AA144" s="109">
        <f>SUM(AA141:AA143)</f>
        <v>0</v>
      </c>
    </row>
    <row r="145" spans="1:27" outlineLevel="1" x14ac:dyDescent="0.25"/>
    <row r="146" spans="1:27" outlineLevel="1" x14ac:dyDescent="0.25"/>
    <row r="147" spans="1:27" outlineLevel="1" x14ac:dyDescent="0.25">
      <c r="A147" s="346" t="s">
        <v>278</v>
      </c>
      <c r="B147" s="473" t="s">
        <v>319</v>
      </c>
      <c r="C147" s="308" t="s">
        <v>322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5">
      <c r="A148" s="346" t="str">
        <f>$A$4</f>
        <v>($000 Real 2008)</v>
      </c>
      <c r="B148" s="474" t="s">
        <v>320</v>
      </c>
      <c r="C148" s="475" t="s">
        <v>321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5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7">
        <f>IF(C149&lt;1,B149,B149/C149)</f>
        <v>0</v>
      </c>
      <c r="E149" s="87">
        <f>IF((SUM($D149:D149)+$B149/$C149)&gt;$B149,$B149-SUM($D149:D149),$B149/$C149)</f>
        <v>0</v>
      </c>
      <c r="F149" s="87">
        <f>IF((SUM($D149:E149)+$B149/$C149)&gt;$B149,$B149-SUM($D149:E149),$B149/$C149)</f>
        <v>0</v>
      </c>
      <c r="G149" s="87">
        <f>IF((SUM($D149:F149)+$B149/$C149)&gt;$B149,$B149-SUM($D149:F149),$B149/$C149)</f>
        <v>0</v>
      </c>
      <c r="H149" s="87">
        <f>IF((SUM($D149:G149)+$B149/$C149)&gt;$B149,$B149-SUM($D149:G149),$B149/$C149)</f>
        <v>0</v>
      </c>
      <c r="I149" s="87">
        <f>IF((SUM($D149:H149)+$B149/$C149)&gt;$B149,$B149-SUM($D149:H149),$B149/$C149)</f>
        <v>0</v>
      </c>
      <c r="J149" s="87">
        <f>IF((SUM($D149:I149)+$B149/$C149)&gt;$B149,$B149-SUM($D149:I149),$B149/$C149)</f>
        <v>0</v>
      </c>
      <c r="K149" s="87">
        <f>IF((SUM($D149:J149)+$B149/$C149)&gt;$B149,$B149-SUM($D149:J149),$B149/$C149)</f>
        <v>0</v>
      </c>
      <c r="L149" s="87">
        <f>IF((SUM($D149:K149)+$B149/$C149)&gt;$B149,$B149-SUM($D149:K149),$B149/$C149)</f>
        <v>0</v>
      </c>
      <c r="M149" s="87">
        <f>IF((SUM($D149:L149)+$B149/$C149)&gt;$B149,$B149-SUM($D149:L149),$B149/$C149)</f>
        <v>0</v>
      </c>
      <c r="N149" s="87">
        <f>IF((SUM($D149:M149)+$B149/$C149)&gt;$B149,$B149-SUM($D149:M149),$B149/$C149)</f>
        <v>0</v>
      </c>
      <c r="O149" s="87">
        <f>IF((SUM($D149:N149)+$B149/$C149)&gt;$B149,$B149-SUM($D149:N149),$B149/$C149)</f>
        <v>0</v>
      </c>
      <c r="P149" s="87">
        <f>IF((SUM($D149:O149)+$B149/$C149)&gt;$B149,$B149-SUM($D149:O149),$B149/$C149)</f>
        <v>0</v>
      </c>
      <c r="Q149" s="87">
        <f>IF((SUM($D149:P149)+$B149/$C149)&gt;$B149,$B149-SUM($D149:P149),$B149/$C149)</f>
        <v>0</v>
      </c>
      <c r="R149" s="87">
        <f>IF((SUM($D149:Q149)+$B149/$C149)&gt;$B149,$B149-SUM($D149:Q149),$B149/$C149)</f>
        <v>0</v>
      </c>
      <c r="S149" s="87">
        <f>IF((SUM($D149:R149)+$B149/$C149)&gt;$B149,$B149-SUM($D149:R149),$B149/$C149)</f>
        <v>0</v>
      </c>
      <c r="T149" s="87">
        <f>IF((SUM($D149:S149)+$B149/$C149)&gt;$B149,$B149-SUM($D149:S149),$B149/$C149)</f>
        <v>0</v>
      </c>
      <c r="U149" s="87">
        <f>IF((SUM($D149:T149)+$B149/$C149)&gt;$B149,$B149-SUM($D149:T149),$B149/$C149)</f>
        <v>0</v>
      </c>
      <c r="V149" s="87">
        <f>IF((SUM($D149:U149)+$B149/$C149)&gt;$B149,$B149-SUM($D149:U149),$B149/$C149)</f>
        <v>0</v>
      </c>
      <c r="W149" s="87">
        <f>IF((SUM($D149:V149)+$B149/$C149)&gt;$B149,$B149-SUM($D149:V149),$B149/$C149)</f>
        <v>0</v>
      </c>
      <c r="X149" s="87">
        <f>IF((SUM($D149:W149)+$B149/$C149)&gt;$B149,$B149-SUM($D149:W149),$B149/$C149)</f>
        <v>0</v>
      </c>
      <c r="Y149" s="87">
        <f>IF((SUM($D149:X149)+$B149/$C149)&gt;$B149,$B149-SUM($D149:X149),$B149/$C149)</f>
        <v>0</v>
      </c>
      <c r="Z149" s="87">
        <f>IF((SUM($D149:Y149)+$B149/$C149)&gt;$B149,$B149-SUM($D149:Y149),$B149/$C149)</f>
        <v>0</v>
      </c>
      <c r="AA149" s="87">
        <f>IF((SUM($D149:Z149)+$B149/$C149)&gt;$B149,$B149-SUM($D149:Z149),$B149/$C149)</f>
        <v>0</v>
      </c>
    </row>
    <row r="150" spans="1:27" outlineLevel="1" x14ac:dyDescent="0.25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7">
        <f>IF(C150&lt;1,B150,B150/C150)</f>
        <v>0</v>
      </c>
      <c r="E150" s="87">
        <f>IF((SUM($D150:D150)+$B150/$C150)&gt;$B150,$B150-SUM($D150:D150),$B150/$C150)</f>
        <v>0</v>
      </c>
      <c r="F150" s="87">
        <f>IF((SUM($D150:E150)+$B150/$C150)&gt;$B150,$B150-SUM($D150:E150),$B150/$C150)</f>
        <v>0</v>
      </c>
      <c r="G150" s="87">
        <f>IF((SUM($D150:F150)+$B150/$C150)&gt;$B150,$B150-SUM($D150:F150),$B150/$C150)</f>
        <v>0</v>
      </c>
      <c r="H150" s="87">
        <f>IF((SUM($D150:G150)+$B150/$C150)&gt;$B150,$B150-SUM($D150:G150),$B150/$C150)</f>
        <v>0</v>
      </c>
      <c r="I150" s="87">
        <f>IF((SUM($D150:H150)+$B150/$C150)&gt;$B150,$B150-SUM($D150:H150),$B150/$C150)</f>
        <v>0</v>
      </c>
      <c r="J150" s="87">
        <f>IF((SUM($D150:I150)+$B150/$C150)&gt;$B150,$B150-SUM($D150:I150),$B150/$C150)</f>
        <v>0</v>
      </c>
      <c r="K150" s="87">
        <f>IF((SUM($D150:J150)+$B150/$C150)&gt;$B150,$B150-SUM($D150:J150),$B150/$C150)</f>
        <v>0</v>
      </c>
      <c r="L150" s="87">
        <f>IF((SUM($D150:K150)+$B150/$C150)&gt;$B150,$B150-SUM($D150:K150),$B150/$C150)</f>
        <v>0</v>
      </c>
      <c r="M150" s="87">
        <f>IF((SUM($D150:L150)+$B150/$C150)&gt;$B150,$B150-SUM($D150:L150),$B150/$C150)</f>
        <v>0</v>
      </c>
      <c r="N150" s="87">
        <f>IF((SUM($D150:M150)+$B150/$C150)&gt;$B150,$B150-SUM($D150:M150),$B150/$C150)</f>
        <v>0</v>
      </c>
      <c r="O150" s="87">
        <f>IF((SUM($D150:N150)+$B150/$C150)&gt;$B150,$B150-SUM($D150:N150),$B150/$C150)</f>
        <v>0</v>
      </c>
      <c r="P150" s="87">
        <f>IF((SUM($D150:O150)+$B150/$C150)&gt;$B150,$B150-SUM($D150:O150),$B150/$C150)</f>
        <v>0</v>
      </c>
      <c r="Q150" s="87">
        <f>IF((SUM($D150:P150)+$B150/$C150)&gt;$B150,$B150-SUM($D150:P150),$B150/$C150)</f>
        <v>0</v>
      </c>
      <c r="R150" s="87">
        <f>IF((SUM($D150:Q150)+$B150/$C150)&gt;$B150,$B150-SUM($D150:Q150),$B150/$C150)</f>
        <v>0</v>
      </c>
      <c r="S150" s="87">
        <f>IF((SUM($D150:R150)+$B150/$C150)&gt;$B150,$B150-SUM($D150:R150),$B150/$C150)</f>
        <v>0</v>
      </c>
      <c r="T150" s="87">
        <f>IF((SUM($D150:S150)+$B150/$C150)&gt;$B150,$B150-SUM($D150:S150),$B150/$C150)</f>
        <v>0</v>
      </c>
      <c r="U150" s="87">
        <f>IF((SUM($D150:T150)+$B150/$C150)&gt;$B150,$B150-SUM($D150:T150),$B150/$C150)</f>
        <v>0</v>
      </c>
      <c r="V150" s="87">
        <f>IF((SUM($D150:U150)+$B150/$C150)&gt;$B150,$B150-SUM($D150:U150),$B150/$C150)</f>
        <v>0</v>
      </c>
      <c r="W150" s="87">
        <f>IF((SUM($D150:V150)+$B150/$C150)&gt;$B150,$B150-SUM($D150:V150),$B150/$C150)</f>
        <v>0</v>
      </c>
      <c r="X150" s="87">
        <f>IF((SUM($D150:W150)+$B150/$C150)&gt;$B150,$B150-SUM($D150:W150),$B150/$C150)</f>
        <v>0</v>
      </c>
      <c r="Y150" s="87">
        <f>IF((SUM($D150:X150)+$B150/$C150)&gt;$B150,$B150-SUM($D150:X150),$B150/$C150)</f>
        <v>0</v>
      </c>
      <c r="Z150" s="87">
        <f>IF((SUM($D150:Y150)+$B150/$C150)&gt;$B150,$B150-SUM($D150:Y150),$B150/$C150)</f>
        <v>0</v>
      </c>
      <c r="AA150" s="87">
        <f>IF((SUM($D150:Z150)+$B150/$C150)&gt;$B150,$B150-SUM($D150:Z150),$B150/$C150)</f>
        <v>0</v>
      </c>
    </row>
    <row r="151" spans="1:27" outlineLevel="1" x14ac:dyDescent="0.25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7">
        <f>IF(C151&lt;1,B151,B151/C151)</f>
        <v>0</v>
      </c>
      <c r="E151" s="87">
        <f>IF((SUM($D151:D151)+$B151/$C151)&gt;$B151,$B151-SUM($D151:D151),$B151/$C151)</f>
        <v>0</v>
      </c>
      <c r="F151" s="87">
        <f>IF((SUM($D151:E151)+$B151/$C151)&gt;$B151,$B151-SUM($D151:E151),$B151/$C151)</f>
        <v>0</v>
      </c>
      <c r="G151" s="87">
        <f>IF((SUM($D151:F151)+$B151/$C151)&gt;$B151,$B151-SUM($D151:F151),$B151/$C151)</f>
        <v>0</v>
      </c>
      <c r="H151" s="87">
        <f>IF((SUM($D151:G151)+$B151/$C151)&gt;$B151,$B151-SUM($D151:G151),$B151/$C151)</f>
        <v>0</v>
      </c>
      <c r="I151" s="87">
        <f>IF((SUM($D151:H151)+$B151/$C151)&gt;$B151,$B151-SUM($D151:H151),$B151/$C151)</f>
        <v>0</v>
      </c>
      <c r="J151" s="87">
        <f>IF((SUM($D151:I151)+$B151/$C151)&gt;$B151,$B151-SUM($D151:I151),$B151/$C151)</f>
        <v>0</v>
      </c>
      <c r="K151" s="87">
        <f>IF((SUM($D151:J151)+$B151/$C151)&gt;$B151,$B151-SUM($D151:J151),$B151/$C151)</f>
        <v>0</v>
      </c>
      <c r="L151" s="87">
        <f>IF((SUM($D151:K151)+$B151/$C151)&gt;$B151,$B151-SUM($D151:K151),$B151/$C151)</f>
        <v>0</v>
      </c>
      <c r="M151" s="87">
        <f>IF((SUM($D151:L151)+$B151/$C151)&gt;$B151,$B151-SUM($D151:L151),$B151/$C151)</f>
        <v>0</v>
      </c>
      <c r="N151" s="87">
        <f>IF((SUM($D151:M151)+$B151/$C151)&gt;$B151,$B151-SUM($D151:M151),$B151/$C151)</f>
        <v>0</v>
      </c>
      <c r="O151" s="87">
        <f>IF((SUM($D151:N151)+$B151/$C151)&gt;$B151,$B151-SUM($D151:N151),$B151/$C151)</f>
        <v>0</v>
      </c>
      <c r="P151" s="87">
        <f>IF((SUM($D151:O151)+$B151/$C151)&gt;$B151,$B151-SUM($D151:O151),$B151/$C151)</f>
        <v>0</v>
      </c>
      <c r="Q151" s="87">
        <f>IF((SUM($D151:P151)+$B151/$C151)&gt;$B151,$B151-SUM($D151:P151),$B151/$C151)</f>
        <v>0</v>
      </c>
      <c r="R151" s="87">
        <f>IF((SUM($D151:Q151)+$B151/$C151)&gt;$B151,$B151-SUM($D151:Q151),$B151/$C151)</f>
        <v>0</v>
      </c>
      <c r="S151" s="87">
        <f>IF((SUM($D151:R151)+$B151/$C151)&gt;$B151,$B151-SUM($D151:R151),$B151/$C151)</f>
        <v>0</v>
      </c>
      <c r="T151" s="87">
        <f>IF((SUM($D151:S151)+$B151/$C151)&gt;$B151,$B151-SUM($D151:S151),$B151/$C151)</f>
        <v>0</v>
      </c>
      <c r="U151" s="87">
        <f>IF((SUM($D151:T151)+$B151/$C151)&gt;$B151,$B151-SUM($D151:T151),$B151/$C151)</f>
        <v>0</v>
      </c>
      <c r="V151" s="87">
        <f>IF((SUM($D151:U151)+$B151/$C151)&gt;$B151,$B151-SUM($D151:U151),$B151/$C151)</f>
        <v>0</v>
      </c>
      <c r="W151" s="87">
        <f>IF((SUM($D151:V151)+$B151/$C151)&gt;$B151,$B151-SUM($D151:V151),$B151/$C151)</f>
        <v>0</v>
      </c>
      <c r="X151" s="87">
        <f>IF((SUM($D151:W151)+$B151/$C151)&gt;$B151,$B151-SUM($D151:W151),$B151/$C151)</f>
        <v>0</v>
      </c>
      <c r="Y151" s="87">
        <f>IF((SUM($D151:X151)+$B151/$C151)&gt;$B151,$B151-SUM($D151:X151),$B151/$C151)</f>
        <v>0</v>
      </c>
      <c r="Z151" s="87">
        <f>IF((SUM($D151:Y151)+$B151/$C151)&gt;$B151,$B151-SUM($D151:Y151),$B151/$C151)</f>
        <v>0</v>
      </c>
      <c r="AA151" s="87">
        <f>IF((SUM($D151:Z151)+$B151/$C151)&gt;$B151,$B151-SUM($D151:Z151),$B151/$C151)</f>
        <v>0</v>
      </c>
    </row>
    <row r="152" spans="1:27" outlineLevel="1" x14ac:dyDescent="0.25">
      <c r="B152" s="472">
        <f>SUM(B149:B151)</f>
        <v>0</v>
      </c>
      <c r="D152" s="109">
        <f>SUM(D149:D151)</f>
        <v>0</v>
      </c>
      <c r="E152" s="109">
        <f t="shared" ref="E152:W152" si="53">SUM(E149:E151)</f>
        <v>0</v>
      </c>
      <c r="F152" s="109">
        <f t="shared" si="53"/>
        <v>0</v>
      </c>
      <c r="G152" s="109">
        <f t="shared" si="53"/>
        <v>0</v>
      </c>
      <c r="H152" s="109">
        <f t="shared" si="53"/>
        <v>0</v>
      </c>
      <c r="I152" s="109">
        <f t="shared" si="53"/>
        <v>0</v>
      </c>
      <c r="J152" s="109">
        <f t="shared" si="53"/>
        <v>0</v>
      </c>
      <c r="K152" s="109">
        <f t="shared" si="53"/>
        <v>0</v>
      </c>
      <c r="L152" s="109">
        <f t="shared" si="53"/>
        <v>0</v>
      </c>
      <c r="M152" s="109">
        <f t="shared" si="53"/>
        <v>0</v>
      </c>
      <c r="N152" s="109">
        <f t="shared" si="53"/>
        <v>0</v>
      </c>
      <c r="O152" s="109">
        <f t="shared" si="53"/>
        <v>0</v>
      </c>
      <c r="P152" s="109">
        <f t="shared" si="53"/>
        <v>0</v>
      </c>
      <c r="Q152" s="109">
        <f t="shared" si="53"/>
        <v>0</v>
      </c>
      <c r="R152" s="109">
        <f t="shared" si="53"/>
        <v>0</v>
      </c>
      <c r="S152" s="109">
        <f t="shared" si="53"/>
        <v>0</v>
      </c>
      <c r="T152" s="109">
        <f t="shared" si="53"/>
        <v>0</v>
      </c>
      <c r="U152" s="109">
        <f t="shared" si="53"/>
        <v>0</v>
      </c>
      <c r="V152" s="109">
        <f t="shared" si="53"/>
        <v>0</v>
      </c>
      <c r="W152" s="109">
        <f t="shared" si="53"/>
        <v>0</v>
      </c>
      <c r="X152" s="109">
        <f>SUM(X149:X151)</f>
        <v>0</v>
      </c>
      <c r="Y152" s="109">
        <f>SUM(Y149:Y151)</f>
        <v>0</v>
      </c>
      <c r="Z152" s="109">
        <f>SUM(Z149:Z151)</f>
        <v>0</v>
      </c>
      <c r="AA152" s="109">
        <f>SUM(AA149:AA151)</f>
        <v>0</v>
      </c>
    </row>
    <row r="153" spans="1:27" outlineLevel="1" x14ac:dyDescent="0.25"/>
    <row r="154" spans="1:27" outlineLevel="1" x14ac:dyDescent="0.25"/>
    <row r="155" spans="1:27" outlineLevel="1" x14ac:dyDescent="0.25">
      <c r="A155" s="346" t="s">
        <v>277</v>
      </c>
      <c r="B155" s="473" t="s">
        <v>319</v>
      </c>
      <c r="C155" s="308" t="s">
        <v>322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5">
      <c r="A156" s="346" t="str">
        <f>$A$4</f>
        <v>($000 Real 2008)</v>
      </c>
      <c r="B156" s="474" t="s">
        <v>320</v>
      </c>
      <c r="C156" s="475" t="s">
        <v>321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5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7">
        <f>IF(C157&lt;1,B157,B157/C157)</f>
        <v>0</v>
      </c>
      <c r="E157" s="87">
        <f>IF((SUM($D157:D157)+$B157/$C157)&gt;$B157,$B157-SUM($D157:D157),$B157/$C157)</f>
        <v>0</v>
      </c>
      <c r="F157" s="87">
        <f>IF((SUM($D157:E157)+$B157/$C157)&gt;$B157,$B157-SUM($D157:E157),$B157/$C157)</f>
        <v>0</v>
      </c>
      <c r="G157" s="87">
        <f>IF((SUM($D157:F157)+$B157/$C157)&gt;$B157,$B157-SUM($D157:F157),$B157/$C157)</f>
        <v>0</v>
      </c>
      <c r="H157" s="87">
        <f>IF((SUM($D157:G157)+$B157/$C157)&gt;$B157,$B157-SUM($D157:G157),$B157/$C157)</f>
        <v>0</v>
      </c>
      <c r="I157" s="87">
        <f>IF((SUM($D157:H157)+$B157/$C157)&gt;$B157,$B157-SUM($D157:H157),$B157/$C157)</f>
        <v>0</v>
      </c>
      <c r="J157" s="87">
        <f>IF((SUM($D157:I157)+$B157/$C157)&gt;$B157,$B157-SUM($D157:I157),$B157/$C157)</f>
        <v>0</v>
      </c>
      <c r="K157" s="87">
        <f>IF((SUM($D157:J157)+$B157/$C157)&gt;$B157,$B157-SUM($D157:J157),$B157/$C157)</f>
        <v>0</v>
      </c>
      <c r="L157" s="87">
        <f>IF((SUM($D157:K157)+$B157/$C157)&gt;$B157,$B157-SUM($D157:K157),$B157/$C157)</f>
        <v>0</v>
      </c>
      <c r="M157" s="87">
        <f>IF((SUM($D157:L157)+$B157/$C157)&gt;$B157,$B157-SUM($D157:L157),$B157/$C157)</f>
        <v>0</v>
      </c>
      <c r="N157" s="87">
        <f>IF((SUM($D157:M157)+$B157/$C157)&gt;$B157,$B157-SUM($D157:M157),$B157/$C157)</f>
        <v>0</v>
      </c>
      <c r="O157" s="87">
        <f>IF((SUM($D157:N157)+$B157/$C157)&gt;$B157,$B157-SUM($D157:N157),$B157/$C157)</f>
        <v>0</v>
      </c>
      <c r="P157" s="87">
        <f>IF((SUM($D157:O157)+$B157/$C157)&gt;$B157,$B157-SUM($D157:O157),$B157/$C157)</f>
        <v>0</v>
      </c>
      <c r="Q157" s="87">
        <f>IF((SUM($D157:P157)+$B157/$C157)&gt;$B157,$B157-SUM($D157:P157),$B157/$C157)</f>
        <v>0</v>
      </c>
      <c r="R157" s="87">
        <f>IF((SUM($D157:Q157)+$B157/$C157)&gt;$B157,$B157-SUM($D157:Q157),$B157/$C157)</f>
        <v>0</v>
      </c>
      <c r="S157" s="87">
        <f>IF((SUM($D157:R157)+$B157/$C157)&gt;$B157,$B157-SUM($D157:R157),$B157/$C157)</f>
        <v>0</v>
      </c>
      <c r="T157" s="87">
        <f>IF((SUM($D157:S157)+$B157/$C157)&gt;$B157,$B157-SUM($D157:S157),$B157/$C157)</f>
        <v>0</v>
      </c>
      <c r="U157" s="87">
        <f>IF((SUM($D157:T157)+$B157/$C157)&gt;$B157,$B157-SUM($D157:T157),$B157/$C157)</f>
        <v>0</v>
      </c>
      <c r="V157" s="87">
        <f>IF((SUM($D157:U157)+$B157/$C157)&gt;$B157,$B157-SUM($D157:U157),$B157/$C157)</f>
        <v>0</v>
      </c>
      <c r="W157" s="87">
        <f>IF((SUM($D157:V157)+$B157/$C157)&gt;$B157,$B157-SUM($D157:V157),$B157/$C157)</f>
        <v>0</v>
      </c>
      <c r="X157" s="87">
        <f>IF((SUM($D157:W157)+$B157/$C157)&gt;$B157,$B157-SUM($D157:W157),$B157/$C157)</f>
        <v>0</v>
      </c>
      <c r="Y157" s="87">
        <f>IF((SUM($D157:X157)+$B157/$C157)&gt;$B157,$B157-SUM($D157:X157),$B157/$C157)</f>
        <v>0</v>
      </c>
      <c r="Z157" s="87">
        <f>IF((SUM($D157:Y157)+$B157/$C157)&gt;$B157,$B157-SUM($D157:Y157),$B157/$C157)</f>
        <v>0</v>
      </c>
      <c r="AA157" s="87">
        <f>IF((SUM($D157:Z157)+$B157/$C157)&gt;$B157,$B157-SUM($D157:Z157),$B157/$C157)</f>
        <v>0</v>
      </c>
    </row>
    <row r="158" spans="1:27" outlineLevel="1" x14ac:dyDescent="0.25">
      <c r="A158" s="469">
        <v>2007</v>
      </c>
      <c r="B158" s="471">
        <f>'Data 2006-08'!E$87*'Data 2006-08'!E156/10^3*(1+'Data 2006-08'!C$141)^1.5</f>
        <v>0</v>
      </c>
      <c r="C158" s="470">
        <f>'Data 2009-15 (Real $2008)'!C$157-(D$155-A158-0.5)</f>
        <v>5.5</v>
      </c>
      <c r="D158" s="87">
        <f>IF(C158&lt;1,B158,B158/C158)</f>
        <v>0</v>
      </c>
      <c r="E158" s="87">
        <f>IF((SUM($D158:D158)+$B158/$C158)&gt;$B158,$B158-SUM($D158:D158),$B158/$C158)</f>
        <v>0</v>
      </c>
      <c r="F158" s="87">
        <f>IF((SUM($D158:E158)+$B158/$C158)&gt;$B158,$B158-SUM($D158:E158),$B158/$C158)</f>
        <v>0</v>
      </c>
      <c r="G158" s="87">
        <f>IF((SUM($D158:F158)+$B158/$C158)&gt;$B158,$B158-SUM($D158:F158),$B158/$C158)</f>
        <v>0</v>
      </c>
      <c r="H158" s="87">
        <f>IF((SUM($D158:G158)+$B158/$C158)&gt;$B158,$B158-SUM($D158:G158),$B158/$C158)</f>
        <v>0</v>
      </c>
      <c r="I158" s="87">
        <f>IF((SUM($D158:H158)+$B158/$C158)&gt;$B158,$B158-SUM($D158:H158),$B158/$C158)</f>
        <v>0</v>
      </c>
      <c r="J158" s="87">
        <f>IF((SUM($D158:I158)+$B158/$C158)&gt;$B158,$B158-SUM($D158:I158),$B158/$C158)</f>
        <v>0</v>
      </c>
      <c r="K158" s="87">
        <f>IF((SUM($D158:J158)+$B158/$C158)&gt;$B158,$B158-SUM($D158:J158),$B158/$C158)</f>
        <v>0</v>
      </c>
      <c r="L158" s="87">
        <f>IF((SUM($D158:K158)+$B158/$C158)&gt;$B158,$B158-SUM($D158:K158),$B158/$C158)</f>
        <v>0</v>
      </c>
      <c r="M158" s="87">
        <f>IF((SUM($D158:L158)+$B158/$C158)&gt;$B158,$B158-SUM($D158:L158),$B158/$C158)</f>
        <v>0</v>
      </c>
      <c r="N158" s="87">
        <f>IF((SUM($D158:M158)+$B158/$C158)&gt;$B158,$B158-SUM($D158:M158),$B158/$C158)</f>
        <v>0</v>
      </c>
      <c r="O158" s="87">
        <f>IF((SUM($D158:N158)+$B158/$C158)&gt;$B158,$B158-SUM($D158:N158),$B158/$C158)</f>
        <v>0</v>
      </c>
      <c r="P158" s="87">
        <f>IF((SUM($D158:O158)+$B158/$C158)&gt;$B158,$B158-SUM($D158:O158),$B158/$C158)</f>
        <v>0</v>
      </c>
      <c r="Q158" s="87">
        <f>IF((SUM($D158:P158)+$B158/$C158)&gt;$B158,$B158-SUM($D158:P158),$B158/$C158)</f>
        <v>0</v>
      </c>
      <c r="R158" s="87">
        <f>IF((SUM($D158:Q158)+$B158/$C158)&gt;$B158,$B158-SUM($D158:Q158),$B158/$C158)</f>
        <v>0</v>
      </c>
      <c r="S158" s="87">
        <f>IF((SUM($D158:R158)+$B158/$C158)&gt;$B158,$B158-SUM($D158:R158),$B158/$C158)</f>
        <v>0</v>
      </c>
      <c r="T158" s="87">
        <f>IF((SUM($D158:S158)+$B158/$C158)&gt;$B158,$B158-SUM($D158:S158),$B158/$C158)</f>
        <v>0</v>
      </c>
      <c r="U158" s="87">
        <f>IF((SUM($D158:T158)+$B158/$C158)&gt;$B158,$B158-SUM($D158:T158),$B158/$C158)</f>
        <v>0</v>
      </c>
      <c r="V158" s="87">
        <f>IF((SUM($D158:U158)+$B158/$C158)&gt;$B158,$B158-SUM($D158:U158),$B158/$C158)</f>
        <v>0</v>
      </c>
      <c r="W158" s="87">
        <f>IF((SUM($D158:V158)+$B158/$C158)&gt;$B158,$B158-SUM($D158:V158),$B158/$C158)</f>
        <v>0</v>
      </c>
      <c r="X158" s="87">
        <f>IF((SUM($D158:W158)+$B158/$C158)&gt;$B158,$B158-SUM($D158:W158),$B158/$C158)</f>
        <v>0</v>
      </c>
      <c r="Y158" s="87">
        <f>IF((SUM($D158:X158)+$B158/$C158)&gt;$B158,$B158-SUM($D158:X158),$B158/$C158)</f>
        <v>0</v>
      </c>
      <c r="Z158" s="87">
        <f>IF((SUM($D158:Y158)+$B158/$C158)&gt;$B158,$B158-SUM($D158:Y158),$B158/$C158)</f>
        <v>0</v>
      </c>
      <c r="AA158" s="87">
        <f>IF((SUM($D158:Z158)+$B158/$C158)&gt;$B158,$B158-SUM($D158:Z158),$B158/$C158)</f>
        <v>0</v>
      </c>
    </row>
    <row r="159" spans="1:27" outlineLevel="1" x14ac:dyDescent="0.25">
      <c r="A159" s="469">
        <v>2008</v>
      </c>
      <c r="B159" s="471">
        <f>'Data 2006-08'!F$87/10^3*(1+'Data 2006-08'!C$141)^0.5</f>
        <v>0</v>
      </c>
      <c r="C159" s="470">
        <f>'Data 2009-15 (Real $2008)'!C$157-(D$155-A159-0.5)</f>
        <v>6.5</v>
      </c>
      <c r="D159" s="87">
        <f>IF(C159&lt;1,B159,B159/C159)</f>
        <v>0</v>
      </c>
      <c r="E159" s="87">
        <f>IF((SUM($D159:D159)+$B159/$C159)&gt;$B159,$B159-SUM($D159:D159),$B159/$C159)</f>
        <v>0</v>
      </c>
      <c r="F159" s="87">
        <f>IF((SUM($D159:E159)+$B159/$C159)&gt;$B159,$B159-SUM($D159:E159),$B159/$C159)</f>
        <v>0</v>
      </c>
      <c r="G159" s="87">
        <f>IF((SUM($D159:F159)+$B159/$C159)&gt;$B159,$B159-SUM($D159:F159),$B159/$C159)</f>
        <v>0</v>
      </c>
      <c r="H159" s="87">
        <f>IF((SUM($D159:G159)+$B159/$C159)&gt;$B159,$B159-SUM($D159:G159),$B159/$C159)</f>
        <v>0</v>
      </c>
      <c r="I159" s="87">
        <f>IF((SUM($D159:H159)+$B159/$C159)&gt;$B159,$B159-SUM($D159:H159),$B159/$C159)</f>
        <v>0</v>
      </c>
      <c r="J159" s="87">
        <f>IF((SUM($D159:I159)+$B159/$C159)&gt;$B159,$B159-SUM($D159:I159),$B159/$C159)</f>
        <v>0</v>
      </c>
      <c r="K159" s="87">
        <f>IF((SUM($D159:J159)+$B159/$C159)&gt;$B159,$B159-SUM($D159:J159),$B159/$C159)</f>
        <v>0</v>
      </c>
      <c r="L159" s="87">
        <f>IF((SUM($D159:K159)+$B159/$C159)&gt;$B159,$B159-SUM($D159:K159),$B159/$C159)</f>
        <v>0</v>
      </c>
      <c r="M159" s="87">
        <f>IF((SUM($D159:L159)+$B159/$C159)&gt;$B159,$B159-SUM($D159:L159),$B159/$C159)</f>
        <v>0</v>
      </c>
      <c r="N159" s="87">
        <f>IF((SUM($D159:M159)+$B159/$C159)&gt;$B159,$B159-SUM($D159:M159),$B159/$C159)</f>
        <v>0</v>
      </c>
      <c r="O159" s="87">
        <f>IF((SUM($D159:N159)+$B159/$C159)&gt;$B159,$B159-SUM($D159:N159),$B159/$C159)</f>
        <v>0</v>
      </c>
      <c r="P159" s="87">
        <f>IF((SUM($D159:O159)+$B159/$C159)&gt;$B159,$B159-SUM($D159:O159),$B159/$C159)</f>
        <v>0</v>
      </c>
      <c r="Q159" s="87">
        <f>IF((SUM($D159:P159)+$B159/$C159)&gt;$B159,$B159-SUM($D159:P159),$B159/$C159)</f>
        <v>0</v>
      </c>
      <c r="R159" s="87">
        <f>IF((SUM($D159:Q159)+$B159/$C159)&gt;$B159,$B159-SUM($D159:Q159),$B159/$C159)</f>
        <v>0</v>
      </c>
      <c r="S159" s="87">
        <f>IF((SUM($D159:R159)+$B159/$C159)&gt;$B159,$B159-SUM($D159:R159),$B159/$C159)</f>
        <v>0</v>
      </c>
      <c r="T159" s="87">
        <f>IF((SUM($D159:S159)+$B159/$C159)&gt;$B159,$B159-SUM($D159:S159),$B159/$C159)</f>
        <v>0</v>
      </c>
      <c r="U159" s="87">
        <f>IF((SUM($D159:T159)+$B159/$C159)&gt;$B159,$B159-SUM($D159:T159),$B159/$C159)</f>
        <v>0</v>
      </c>
      <c r="V159" s="87">
        <f>IF((SUM($D159:U159)+$B159/$C159)&gt;$B159,$B159-SUM($D159:U159),$B159/$C159)</f>
        <v>0</v>
      </c>
      <c r="W159" s="87">
        <f>IF((SUM($D159:V159)+$B159/$C159)&gt;$B159,$B159-SUM($D159:V159),$B159/$C159)</f>
        <v>0</v>
      </c>
      <c r="X159" s="87">
        <f>IF((SUM($D159:W159)+$B159/$C159)&gt;$B159,$B159-SUM($D159:W159),$B159/$C159)</f>
        <v>0</v>
      </c>
      <c r="Y159" s="87">
        <f>IF((SUM($D159:X159)+$B159/$C159)&gt;$B159,$B159-SUM($D159:X159),$B159/$C159)</f>
        <v>0</v>
      </c>
      <c r="Z159" s="87">
        <f>IF((SUM($D159:Y159)+$B159/$C159)&gt;$B159,$B159-SUM($D159:Y159),$B159/$C159)</f>
        <v>0</v>
      </c>
      <c r="AA159" s="87">
        <f>IF((SUM($D159:Z159)+$B159/$C159)&gt;$B159,$B159-SUM($D159:Z159),$B159/$C159)</f>
        <v>0</v>
      </c>
    </row>
    <row r="160" spans="1:27" outlineLevel="1" x14ac:dyDescent="0.25">
      <c r="B160" s="472">
        <f>SUM(B157:B159)</f>
        <v>0</v>
      </c>
      <c r="D160" s="109">
        <f>SUM(D157:D159)</f>
        <v>0</v>
      </c>
      <c r="E160" s="109">
        <f t="shared" ref="E160:W160" si="55">SUM(E157:E159)</f>
        <v>0</v>
      </c>
      <c r="F160" s="109">
        <f t="shared" si="55"/>
        <v>0</v>
      </c>
      <c r="G160" s="109">
        <f t="shared" si="55"/>
        <v>0</v>
      </c>
      <c r="H160" s="109">
        <f t="shared" si="55"/>
        <v>0</v>
      </c>
      <c r="I160" s="109">
        <f t="shared" si="55"/>
        <v>0</v>
      </c>
      <c r="J160" s="109">
        <f t="shared" si="55"/>
        <v>0</v>
      </c>
      <c r="K160" s="109">
        <f t="shared" si="55"/>
        <v>0</v>
      </c>
      <c r="L160" s="109">
        <f t="shared" si="55"/>
        <v>0</v>
      </c>
      <c r="M160" s="109">
        <f t="shared" si="55"/>
        <v>0</v>
      </c>
      <c r="N160" s="109">
        <f t="shared" si="55"/>
        <v>0</v>
      </c>
      <c r="O160" s="109">
        <f t="shared" si="55"/>
        <v>0</v>
      </c>
      <c r="P160" s="109">
        <f t="shared" si="55"/>
        <v>0</v>
      </c>
      <c r="Q160" s="109">
        <f t="shared" si="55"/>
        <v>0</v>
      </c>
      <c r="R160" s="109">
        <f t="shared" si="55"/>
        <v>0</v>
      </c>
      <c r="S160" s="109">
        <f t="shared" si="55"/>
        <v>0</v>
      </c>
      <c r="T160" s="109">
        <f t="shared" si="55"/>
        <v>0</v>
      </c>
      <c r="U160" s="109">
        <f t="shared" si="55"/>
        <v>0</v>
      </c>
      <c r="V160" s="109">
        <f t="shared" si="55"/>
        <v>0</v>
      </c>
      <c r="W160" s="109">
        <f t="shared" si="55"/>
        <v>0</v>
      </c>
      <c r="X160" s="109">
        <f>SUM(X157:X159)</f>
        <v>0</v>
      </c>
      <c r="Y160" s="109">
        <f>SUM(Y157:Y159)</f>
        <v>0</v>
      </c>
      <c r="Z160" s="109">
        <f>SUM(Z157:Z159)</f>
        <v>0</v>
      </c>
      <c r="AA160" s="109">
        <f>SUM(AA157:AA159)</f>
        <v>0</v>
      </c>
    </row>
    <row r="161" spans="1:27" outlineLevel="1" x14ac:dyDescent="0.25"/>
    <row r="162" spans="1:27" outlineLevel="1" x14ac:dyDescent="0.25"/>
    <row r="163" spans="1:27" ht="13.8" outlineLevel="1" thickBot="1" x14ac:dyDescent="0.3">
      <c r="A163" s="476" t="s">
        <v>44</v>
      </c>
      <c r="B163" s="477">
        <f>SUM(B136,B144,B152,B160)</f>
        <v>14519.687604244689</v>
      </c>
      <c r="C163" s="476"/>
      <c r="D163" s="479">
        <f t="shared" ref="D163:W163" si="56">SUM(D136,D144,D152,D160)</f>
        <v>2351.1320676752894</v>
      </c>
      <c r="E163" s="479">
        <f t="shared" si="56"/>
        <v>2351.1320676752894</v>
      </c>
      <c r="F163" s="479">
        <f t="shared" si="56"/>
        <v>2351.1320676752894</v>
      </c>
      <c r="G163" s="479">
        <f t="shared" si="56"/>
        <v>2351.1320676752894</v>
      </c>
      <c r="H163" s="479">
        <f t="shared" si="56"/>
        <v>2351.1320676752894</v>
      </c>
      <c r="I163" s="479">
        <f t="shared" si="56"/>
        <v>1969.7966498529429</v>
      </c>
      <c r="J163" s="479">
        <f t="shared" si="56"/>
        <v>794.23061601529844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8" outlineLevel="1" thickTop="1" x14ac:dyDescent="0.25">
      <c r="J164" s="466"/>
    </row>
    <row r="165" spans="1:27" outlineLevel="1" x14ac:dyDescent="0.25">
      <c r="J165" s="466"/>
    </row>
    <row r="166" spans="1:27" x14ac:dyDescent="0.25">
      <c r="J166" s="466"/>
    </row>
    <row r="167" spans="1:27" x14ac:dyDescent="0.25">
      <c r="A167" s="60" t="s">
        <v>384</v>
      </c>
      <c r="B167" s="60"/>
      <c r="C167" s="60"/>
      <c r="J167" s="466"/>
    </row>
    <row r="168" spans="1:27" x14ac:dyDescent="0.25">
      <c r="A168" s="346" t="str">
        <f>$A$4</f>
        <v>($000 Real 2008)</v>
      </c>
      <c r="J168" s="466"/>
    </row>
    <row r="169" spans="1:27" x14ac:dyDescent="0.25">
      <c r="A169" s="101" t="s">
        <v>326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5">
      <c r="A170" s="73" t="s">
        <v>170</v>
      </c>
      <c r="D170" s="483">
        <v>0</v>
      </c>
      <c r="E170" s="87">
        <f>D173</f>
        <v>33801.669407535876</v>
      </c>
      <c r="F170" s="87">
        <f t="shared" ref="F170:W170" si="58">E173</f>
        <v>105774.84139667773</v>
      </c>
      <c r="G170" s="87">
        <f t="shared" si="58"/>
        <v>187023.23578199063</v>
      </c>
      <c r="H170" s="87">
        <f t="shared" si="58"/>
        <v>279033.58012574352</v>
      </c>
      <c r="I170" s="87">
        <f t="shared" si="58"/>
        <v>342125.6223858177</v>
      </c>
      <c r="J170" s="87">
        <f t="shared" si="58"/>
        <v>341420.86494257487</v>
      </c>
      <c r="K170" s="87">
        <f t="shared" si="58"/>
        <v>317149.6333632422</v>
      </c>
      <c r="L170" s="87">
        <f t="shared" si="58"/>
        <v>270770.81602898793</v>
      </c>
      <c r="M170" s="87">
        <f t="shared" si="58"/>
        <v>229449.83453143021</v>
      </c>
      <c r="N170" s="87">
        <f t="shared" si="58"/>
        <v>193430.48020285112</v>
      </c>
      <c r="O170" s="87">
        <f t="shared" si="58"/>
        <v>162639.75553633066</v>
      </c>
      <c r="P170" s="87">
        <f t="shared" si="58"/>
        <v>136697.67197219224</v>
      </c>
      <c r="Q170" s="87">
        <f t="shared" si="58"/>
        <v>113233.05021968654</v>
      </c>
      <c r="R170" s="87">
        <f t="shared" si="58"/>
        <v>91856.597674658289</v>
      </c>
      <c r="S170" s="87">
        <f t="shared" si="58"/>
        <v>71815.208939934906</v>
      </c>
      <c r="T170" s="87">
        <f t="shared" si="58"/>
        <v>51812.481212443556</v>
      </c>
      <c r="U170" s="87">
        <f t="shared" si="58"/>
        <v>32779.438174017996</v>
      </c>
      <c r="V170" s="87">
        <f t="shared" si="58"/>
        <v>17125.606122677214</v>
      </c>
      <c r="W170" s="87">
        <f t="shared" si="58"/>
        <v>6590.3575232312705</v>
      </c>
      <c r="X170" s="87">
        <f>W173</f>
        <v>1456.1328175184153</v>
      </c>
      <c r="Y170" s="87">
        <f>X173</f>
        <v>127.16716910332207</v>
      </c>
      <c r="Z170" s="87">
        <f>Y173</f>
        <v>-1.1368683772161603E-11</v>
      </c>
      <c r="AA170" s="87">
        <f>Z173</f>
        <v>-1.1368683772161603E-11</v>
      </c>
    </row>
    <row r="171" spans="1:27" x14ac:dyDescent="0.25">
      <c r="A171" s="73" t="s">
        <v>318</v>
      </c>
      <c r="D171" s="87">
        <f>D186</f>
        <v>36762.546913334598</v>
      </c>
      <c r="E171" s="87">
        <f t="shared" ref="E171:W171" si="59">E186</f>
        <v>83578.328159850862</v>
      </c>
      <c r="F171" s="87">
        <f t="shared" si="59"/>
        <v>103135.24279429039</v>
      </c>
      <c r="G171" s="87">
        <f t="shared" si="59"/>
        <v>124509.31198456894</v>
      </c>
      <c r="H171" s="87">
        <f t="shared" si="59"/>
        <v>106059.82221512141</v>
      </c>
      <c r="I171" s="87">
        <f t="shared" si="59"/>
        <v>42782.414866668762</v>
      </c>
      <c r="J171" s="87">
        <f t="shared" si="59"/>
        <v>22505.908417368049</v>
      </c>
      <c r="K171" s="87">
        <f t="shared" si="59"/>
        <v>0</v>
      </c>
      <c r="L171" s="87">
        <f t="shared" si="59"/>
        <v>0</v>
      </c>
      <c r="M171" s="87">
        <f t="shared" si="59"/>
        <v>0</v>
      </c>
      <c r="N171" s="87">
        <f t="shared" si="59"/>
        <v>0</v>
      </c>
      <c r="O171" s="87">
        <f t="shared" si="59"/>
        <v>0</v>
      </c>
      <c r="P171" s="87">
        <f t="shared" si="59"/>
        <v>0</v>
      </c>
      <c r="Q171" s="87">
        <f t="shared" si="59"/>
        <v>0</v>
      </c>
      <c r="R171" s="87">
        <f t="shared" si="59"/>
        <v>0</v>
      </c>
      <c r="S171" s="87">
        <f t="shared" si="59"/>
        <v>0</v>
      </c>
      <c r="T171" s="87">
        <f t="shared" si="59"/>
        <v>0</v>
      </c>
      <c r="U171" s="87">
        <f t="shared" si="59"/>
        <v>0</v>
      </c>
      <c r="V171" s="87">
        <f t="shared" si="59"/>
        <v>0</v>
      </c>
      <c r="W171" s="87">
        <f t="shared" si="59"/>
        <v>0</v>
      </c>
      <c r="X171" s="87">
        <f>X186</f>
        <v>0</v>
      </c>
      <c r="Y171" s="87">
        <f>Y186</f>
        <v>0</v>
      </c>
      <c r="Z171" s="87">
        <f>Z186</f>
        <v>0</v>
      </c>
      <c r="AA171" s="87">
        <f>AA186</f>
        <v>0</v>
      </c>
    </row>
    <row r="172" spans="1:27" x14ac:dyDescent="0.25">
      <c r="A172" s="84" t="s">
        <v>136</v>
      </c>
      <c r="D172" s="87">
        <f>D261</f>
        <v>2960.8775057987214</v>
      </c>
      <c r="E172" s="87">
        <f t="shared" ref="E172:W172" si="60">E261</f>
        <v>11605.156170709011</v>
      </c>
      <c r="F172" s="87">
        <f t="shared" si="60"/>
        <v>21886.848408977501</v>
      </c>
      <c r="G172" s="87">
        <f t="shared" si="60"/>
        <v>32498.967640816089</v>
      </c>
      <c r="H172" s="87">
        <f t="shared" si="60"/>
        <v>42967.779955047212</v>
      </c>
      <c r="I172" s="87">
        <f t="shared" si="60"/>
        <v>43487.172309911562</v>
      </c>
      <c r="J172" s="87">
        <f t="shared" si="60"/>
        <v>46777.13999670076</v>
      </c>
      <c r="K172" s="87">
        <f t="shared" si="60"/>
        <v>46378.817334254272</v>
      </c>
      <c r="L172" s="87">
        <f t="shared" si="60"/>
        <v>41320.981497557703</v>
      </c>
      <c r="M172" s="87">
        <f t="shared" si="60"/>
        <v>36019.354328579095</v>
      </c>
      <c r="N172" s="87">
        <f t="shared" si="60"/>
        <v>30790.724666520458</v>
      </c>
      <c r="O172" s="87">
        <f t="shared" si="60"/>
        <v>25942.083564138415</v>
      </c>
      <c r="P172" s="87">
        <f t="shared" si="60"/>
        <v>23464.621752505696</v>
      </c>
      <c r="Q172" s="87">
        <f t="shared" si="60"/>
        <v>21376.452545028245</v>
      </c>
      <c r="R172" s="87">
        <f t="shared" si="60"/>
        <v>20041.388734723387</v>
      </c>
      <c r="S172" s="87">
        <f t="shared" si="60"/>
        <v>20002.727727491354</v>
      </c>
      <c r="T172" s="87">
        <f t="shared" si="60"/>
        <v>19033.04303842556</v>
      </c>
      <c r="U172" s="87">
        <f t="shared" si="60"/>
        <v>15653.832051340783</v>
      </c>
      <c r="V172" s="87">
        <f t="shared" si="60"/>
        <v>10535.248599445944</v>
      </c>
      <c r="W172" s="87">
        <f t="shared" si="60"/>
        <v>5134.2247057128552</v>
      </c>
      <c r="X172" s="87">
        <f>X261</f>
        <v>1328.9656484150933</v>
      </c>
      <c r="Y172" s="87">
        <f>Y261</f>
        <v>127.16716910333344</v>
      </c>
      <c r="Z172" s="87">
        <f>Z261</f>
        <v>0</v>
      </c>
      <c r="AA172" s="87">
        <f>AA261</f>
        <v>0</v>
      </c>
    </row>
    <row r="173" spans="1:27" ht="13.8" thickBot="1" x14ac:dyDescent="0.3">
      <c r="A173" s="73" t="s">
        <v>172</v>
      </c>
      <c r="D173" s="76">
        <f>D170+D171-D172</f>
        <v>33801.669407535876</v>
      </c>
      <c r="E173" s="76">
        <f t="shared" ref="E173:W173" si="61">E170+E171-E172</f>
        <v>105774.84139667773</v>
      </c>
      <c r="F173" s="76">
        <f t="shared" si="61"/>
        <v>187023.23578199063</v>
      </c>
      <c r="G173" s="76">
        <f t="shared" si="61"/>
        <v>279033.58012574352</v>
      </c>
      <c r="H173" s="76">
        <f t="shared" si="61"/>
        <v>342125.6223858177</v>
      </c>
      <c r="I173" s="76">
        <f t="shared" si="61"/>
        <v>341420.86494257487</v>
      </c>
      <c r="J173" s="76">
        <f t="shared" si="61"/>
        <v>317149.6333632422</v>
      </c>
      <c r="K173" s="76">
        <f t="shared" si="61"/>
        <v>270770.81602898793</v>
      </c>
      <c r="L173" s="76">
        <f t="shared" si="61"/>
        <v>229449.83453143021</v>
      </c>
      <c r="M173" s="76">
        <f t="shared" si="61"/>
        <v>193430.48020285112</v>
      </c>
      <c r="N173" s="76">
        <f t="shared" si="61"/>
        <v>162639.75553633066</v>
      </c>
      <c r="O173" s="76">
        <f t="shared" si="61"/>
        <v>136697.67197219224</v>
      </c>
      <c r="P173" s="76">
        <f t="shared" si="61"/>
        <v>113233.05021968654</v>
      </c>
      <c r="Q173" s="76">
        <f t="shared" si="61"/>
        <v>91856.597674658289</v>
      </c>
      <c r="R173" s="76">
        <f t="shared" si="61"/>
        <v>71815.208939934906</v>
      </c>
      <c r="S173" s="76">
        <f t="shared" si="61"/>
        <v>51812.481212443556</v>
      </c>
      <c r="T173" s="76">
        <f t="shared" si="61"/>
        <v>32779.438174017996</v>
      </c>
      <c r="U173" s="76">
        <f t="shared" si="61"/>
        <v>17125.606122677214</v>
      </c>
      <c r="V173" s="76">
        <f t="shared" si="61"/>
        <v>6590.3575232312705</v>
      </c>
      <c r="W173" s="76">
        <f t="shared" si="61"/>
        <v>1456.1328175184153</v>
      </c>
      <c r="X173" s="76">
        <f>X170+X171-X172</f>
        <v>127.16716910332207</v>
      </c>
      <c r="Y173" s="76">
        <f>Y170+Y171-Y172</f>
        <v>-1.1368683772161603E-11</v>
      </c>
      <c r="Z173" s="76">
        <f>Z170+Z171-Z172</f>
        <v>-1.1368683772161603E-11</v>
      </c>
      <c r="AA173" s="76">
        <f>AA170+AA171-AA172</f>
        <v>-1.1368683772161603E-11</v>
      </c>
    </row>
    <row r="174" spans="1:27" s="101" customFormat="1" ht="13.8" outlineLevel="1" thickTop="1" x14ac:dyDescent="0.25">
      <c r="A174" s="555" t="s">
        <v>0</v>
      </c>
      <c r="B174" s="484"/>
      <c r="C174" s="556">
        <f>SUM(D174:K174)</f>
        <v>0</v>
      </c>
      <c r="D174" s="557">
        <f>IF(ABS(SUM(D171:AA171)-SUM(D172:AA172))&lt;0.001,0,ABS(SUM(D171:AA171)-SUM(D172:AA172)))</f>
        <v>0</v>
      </c>
      <c r="E174" s="557">
        <f t="shared" ref="E174:K174" si="62">IF(ABS(D171-D186)&lt;0.001,0,ABS(D171-D186))</f>
        <v>0</v>
      </c>
      <c r="F174" s="557">
        <f t="shared" si="62"/>
        <v>0</v>
      </c>
      <c r="G174" s="557">
        <f t="shared" si="62"/>
        <v>0</v>
      </c>
      <c r="H174" s="557">
        <f t="shared" si="62"/>
        <v>0</v>
      </c>
      <c r="I174" s="557">
        <f t="shared" si="62"/>
        <v>0</v>
      </c>
      <c r="J174" s="557">
        <f t="shared" si="62"/>
        <v>0</v>
      </c>
      <c r="K174" s="557">
        <f t="shared" si="62"/>
        <v>0</v>
      </c>
    </row>
    <row r="175" spans="1:27" outlineLevel="1" x14ac:dyDescent="0.25">
      <c r="A175" s="346"/>
      <c r="J175" s="466"/>
    </row>
    <row r="176" spans="1:27" outlineLevel="1" x14ac:dyDescent="0.25">
      <c r="A176" s="346"/>
      <c r="J176" s="466"/>
    </row>
    <row r="177" spans="1:27" outlineLevel="1" x14ac:dyDescent="0.25">
      <c r="A177" s="346"/>
      <c r="J177" s="466"/>
    </row>
    <row r="178" spans="1:27" outlineLevel="1" x14ac:dyDescent="0.25">
      <c r="A178" s="346"/>
      <c r="J178" s="466"/>
    </row>
    <row r="179" spans="1:27" outlineLevel="1" x14ac:dyDescent="0.25">
      <c r="A179" s="101" t="s">
        <v>318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5">
      <c r="A180" s="85" t="s">
        <v>41</v>
      </c>
      <c r="D180" s="87">
        <f>('Data 2009-15 (Real $2008)'!D10-'Data 2009-15 (Real $2008)'!D34-'Data 2009-15 (Real $2008)'!D43)/10^3</f>
        <v>5374.6394694873497</v>
      </c>
      <c r="E180" s="87">
        <f>('Data 2009-15 (Real $2008)'!E10-'Data 2009-15 (Real $2008)'!E34-'Data 2009-15 (Real $2008)'!E43)/10^3</f>
        <v>5330.5458062409389</v>
      </c>
      <c r="F180" s="87">
        <f>('Data 2009-15 (Real $2008)'!F10-'Data 2009-15 (Real $2008)'!F34-'Data 2009-15 (Real $2008)'!F43)/10^3</f>
        <v>223.30294287362955</v>
      </c>
      <c r="G180" s="87">
        <f>('Data 2009-15 (Real $2008)'!G10-'Data 2009-15 (Real $2008)'!G34-'Data 2009-15 (Real $2008)'!G43)/10^3</f>
        <v>595.94863909495484</v>
      </c>
      <c r="H180" s="87">
        <f>('Data 2009-15 (Real $2008)'!H10-'Data 2009-15 (Real $2008)'!H34-'Data 2009-15 (Real $2008)'!H43)/10^3</f>
        <v>0</v>
      </c>
      <c r="I180" s="87">
        <f>('Data 2009-15 (Real $2008)'!I10-'Data 2009-15 (Real $2008)'!I34-'Data 2009-15 (Real $2008)'!I43)/10^3</f>
        <v>0</v>
      </c>
      <c r="J180" s="87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5">
      <c r="A181" s="84" t="s">
        <v>259</v>
      </c>
      <c r="D181" s="87">
        <f>('Data 2009-15 (Real $2008)'!D11-'Data 2009-15 (Real $2008)'!D35-'Data 2009-15 (Real $2008)'!D44)/10^3</f>
        <v>4180.3262409206818</v>
      </c>
      <c r="E181" s="87">
        <f>('Data 2009-15 (Real $2008)'!E11-'Data 2009-15 (Real $2008)'!E35-'Data 2009-15 (Real $2008)'!E44)/10^3</f>
        <v>5555.1211708104811</v>
      </c>
      <c r="F181" s="87">
        <f>('Data 2009-15 (Real $2008)'!F11-'Data 2009-15 (Real $2008)'!F35-'Data 2009-15 (Real $2008)'!F44)/10^3</f>
        <v>5.4910559723023651</v>
      </c>
      <c r="G181" s="87">
        <f>('Data 2009-15 (Real $2008)'!G11-'Data 2009-15 (Real $2008)'!G35-'Data 2009-15 (Real $2008)'!G44)/10^3</f>
        <v>61.493315252872833</v>
      </c>
      <c r="H181" s="87">
        <f>('Data 2009-15 (Real $2008)'!H11-'Data 2009-15 (Real $2008)'!H35-'Data 2009-15 (Real $2008)'!H44)/10^3</f>
        <v>0</v>
      </c>
      <c r="I181" s="87">
        <f>('Data 2009-15 (Real $2008)'!I11-'Data 2009-15 (Real $2008)'!I35-'Data 2009-15 (Real $2008)'!I44)/10^3</f>
        <v>0</v>
      </c>
      <c r="J181" s="87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5">
      <c r="A182" s="318" t="str">
        <f>'Data 2009-15 (Real $2008)'!A$154</f>
        <v>Remotely read interval meters &amp; transformers</v>
      </c>
      <c r="D182" s="87">
        <f>('Data 2009-15 (Real $2008)'!D12-'Data 2009-15 (Real $2008)'!D36-'Data 2009-15 (Real $2008)'!D45)/10^3</f>
        <v>1159.830216960961</v>
      </c>
      <c r="E182" s="87">
        <f>('Data 2009-15 (Real $2008)'!E12-'Data 2009-15 (Real $2008)'!E36-'Data 2009-15 (Real $2008)'!E45)/10^3</f>
        <v>27930.710455013079</v>
      </c>
      <c r="F182" s="87">
        <f>('Data 2009-15 (Real $2008)'!F12-'Data 2009-15 (Real $2008)'!F36-'Data 2009-15 (Real $2008)'!F45)/10^3</f>
        <v>73445.619157530295</v>
      </c>
      <c r="G182" s="87">
        <f>('Data 2009-15 (Real $2008)'!G12-'Data 2009-15 (Real $2008)'!G36-'Data 2009-15 (Real $2008)'!G45)/10^3</f>
        <v>80111.884399314353</v>
      </c>
      <c r="H182" s="87">
        <f>('Data 2009-15 (Real $2008)'!H12-'Data 2009-15 (Real $2008)'!H36-'Data 2009-15 (Real $2008)'!H45)/10^3</f>
        <v>81918.832412679607</v>
      </c>
      <c r="I182" s="87">
        <f>('Data 2009-15 (Real $2008)'!I12-'Data 2009-15 (Real $2008)'!I36-'Data 2009-15 (Real $2008)'!I45)/10^3</f>
        <v>32238.93930625252</v>
      </c>
      <c r="J182" s="87">
        <f>('Data 2009-15 (Real $2008)'!J12-'Data 2009-15 (Real $2008)'!J36-'Data 2009-15 (Real $2008)'!J45)/10^3</f>
        <v>3815.0150730999835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5">
      <c r="A183" s="84" t="s">
        <v>276</v>
      </c>
      <c r="D183" s="87">
        <f>('Data 2009-15 (Real $2008)'!D13-'Data 2009-15 (Real $2008)'!D37-'Data 2009-15 (Real $2008)'!D46)/10^3</f>
        <v>25201.355566902545</v>
      </c>
      <c r="E183" s="87">
        <f>('Data 2009-15 (Real $2008)'!E13-'Data 2009-15 (Real $2008)'!E37-'Data 2009-15 (Real $2008)'!E46)/10^3</f>
        <v>36524.471515568082</v>
      </c>
      <c r="F183" s="87">
        <f>('Data 2009-15 (Real $2008)'!F13-'Data 2009-15 (Real $2008)'!F37-'Data 2009-15 (Real $2008)'!F46)/10^3</f>
        <v>21261.434569870311</v>
      </c>
      <c r="G183" s="87">
        <f>('Data 2009-15 (Real $2008)'!G13-'Data 2009-15 (Real $2008)'!G37-'Data 2009-15 (Real $2008)'!G46)/10^3</f>
        <v>21785.439711631399</v>
      </c>
      <c r="H183" s="87">
        <f>('Data 2009-15 (Real $2008)'!H13-'Data 2009-15 (Real $2008)'!H37-'Data 2009-15 (Real $2008)'!H46)/10^3</f>
        <v>7831.8045605887901</v>
      </c>
      <c r="I183" s="87">
        <f>('Data 2009-15 (Real $2008)'!I13-'Data 2009-15 (Real $2008)'!I37-'Data 2009-15 (Real $2008)'!I46)/10^3</f>
        <v>7601.4744589772072</v>
      </c>
      <c r="J183" s="87">
        <f>('Data 2009-15 (Real $2008)'!J13-'Data 2009-15 (Real $2008)'!J37-'Data 2009-15 (Real $2008)'!J46)/10^3</f>
        <v>18687.071226709711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5">
      <c r="A184" s="84" t="s">
        <v>278</v>
      </c>
      <c r="D184" s="87">
        <f>('Data 2009-15 (Real $2008)'!D14-'Data 2009-15 (Real $2008)'!D38-'Data 2009-15 (Real $2008)'!D47)/10^3</f>
        <v>846.39541906306306</v>
      </c>
      <c r="E184" s="87">
        <f>('Data 2009-15 (Real $2008)'!E14-'Data 2009-15 (Real $2008)'!E38-'Data 2009-15 (Real $2008)'!E47)/10^3</f>
        <v>8237.4792122182698</v>
      </c>
      <c r="F184" s="87">
        <f>('Data 2009-15 (Real $2008)'!F14-'Data 2009-15 (Real $2008)'!F38-'Data 2009-15 (Real $2008)'!F47)/10^3</f>
        <v>8199.3950680438538</v>
      </c>
      <c r="G184" s="87">
        <f>('Data 2009-15 (Real $2008)'!G14-'Data 2009-15 (Real $2008)'!G38-'Data 2009-15 (Real $2008)'!G47)/10^3</f>
        <v>21954.545919275366</v>
      </c>
      <c r="H184" s="87">
        <f>('Data 2009-15 (Real $2008)'!H14-'Data 2009-15 (Real $2008)'!H38-'Data 2009-15 (Real $2008)'!H47)/10^3</f>
        <v>16309.185241853025</v>
      </c>
      <c r="I184" s="87">
        <f>('Data 2009-15 (Real $2008)'!I14-'Data 2009-15 (Real $2008)'!I38-'Data 2009-15 (Real $2008)'!I47)/10^3</f>
        <v>2942.0011014390357</v>
      </c>
      <c r="J184" s="87">
        <f>('Data 2009-15 (Real $2008)'!J14-'Data 2009-15 (Real $2008)'!J38-'Data 2009-15 (Real $2008)'!J47)/10^3</f>
        <v>3.822117558351291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5">
      <c r="A185" s="318" t="s">
        <v>277</v>
      </c>
      <c r="D185" s="87">
        <f>('Data 2009-15 (Real $2008)'!D15-'Data 2009-15 (Real $2008)'!D39-'Data 2009-15 (Real $2008)'!D48)/10^3</f>
        <v>0</v>
      </c>
      <c r="E185" s="87">
        <f>('Data 2009-15 (Real $2008)'!E15-'Data 2009-15 (Real $2008)'!E39-'Data 2009-15 (Real $2008)'!E48)/10^3</f>
        <v>0</v>
      </c>
      <c r="F185" s="87">
        <f>('Data 2009-15 (Real $2008)'!F15-'Data 2009-15 (Real $2008)'!F39-'Data 2009-15 (Real $2008)'!F48)/10^3</f>
        <v>0</v>
      </c>
      <c r="G185" s="87">
        <f>('Data 2009-15 (Real $2008)'!G15-'Data 2009-15 (Real $2008)'!G39-'Data 2009-15 (Real $2008)'!G48)/10^3</f>
        <v>0</v>
      </c>
      <c r="H185" s="87">
        <f>('Data 2009-15 (Real $2008)'!H15-'Data 2009-15 (Real $2008)'!H39-'Data 2009-15 (Real $2008)'!H48)/10^3</f>
        <v>0</v>
      </c>
      <c r="I185" s="87">
        <f>('Data 2009-15 (Real $2008)'!I15-'Data 2009-15 (Real $2008)'!I39-'Data 2009-15 (Real $2008)'!I48)/10^3</f>
        <v>0</v>
      </c>
      <c r="J185" s="87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5">
      <c r="D186" s="109">
        <f t="shared" ref="D186:J186" si="64">SUM(D180:D185)</f>
        <v>36762.546913334598</v>
      </c>
      <c r="E186" s="109">
        <f t="shared" si="64"/>
        <v>83578.328159850862</v>
      </c>
      <c r="F186" s="109">
        <f t="shared" si="64"/>
        <v>103135.24279429039</v>
      </c>
      <c r="G186" s="109">
        <f t="shared" si="64"/>
        <v>124509.31198456894</v>
      </c>
      <c r="H186" s="109">
        <f t="shared" si="64"/>
        <v>106059.82221512141</v>
      </c>
      <c r="I186" s="109">
        <f t="shared" si="64"/>
        <v>42782.414866668762</v>
      </c>
      <c r="J186" s="109">
        <f t="shared" si="64"/>
        <v>22505.908417368049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5">
      <c r="J187" s="466"/>
    </row>
    <row r="188" spans="1:27" outlineLevel="1" x14ac:dyDescent="0.25">
      <c r="J188" s="466"/>
    </row>
    <row r="189" spans="1:27" outlineLevel="1" x14ac:dyDescent="0.25">
      <c r="A189" s="346" t="s">
        <v>41</v>
      </c>
      <c r="B189" s="473" t="s">
        <v>324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5">
      <c r="A190" s="346" t="str">
        <f>$A$4</f>
        <v>($000 Real 2008)</v>
      </c>
      <c r="B190" s="474" t="s">
        <v>325</v>
      </c>
      <c r="C190" s="475" t="s">
        <v>321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5">
      <c r="A191" s="469">
        <v>2009</v>
      </c>
      <c r="B191" s="471">
        <f>D$180</f>
        <v>5374.6394694873497</v>
      </c>
      <c r="C191" s="467">
        <f>IF('Data 2006-08'!C$34&lt;=A191,1,'Data 2006-08'!C$34-A191+0.5)</f>
        <v>4.5</v>
      </c>
      <c r="D191" s="87">
        <f>IF($C191=1,$B191,$B191/2/$C191)</f>
        <v>597.18216327637219</v>
      </c>
      <c r="E191" s="87">
        <f>IF((SUM($D191:D191)+$B191/$C191)&gt;$B191,$B191-SUM($D191:D191),$B191/$C191)</f>
        <v>1194.3643265527444</v>
      </c>
      <c r="F191" s="87">
        <f>IF((SUM($D191:E191)+$B191/$C191)&gt;$B191,$B191-SUM($D191:E191),$B191/$C191)</f>
        <v>1194.3643265527444</v>
      </c>
      <c r="G191" s="87">
        <f>IF((SUM($D191:F191)+$B191/$C191)&gt;$B191,$B191-SUM($D191:F191),$B191/$C191)</f>
        <v>1194.3643265527444</v>
      </c>
      <c r="H191" s="87">
        <f>IF((SUM($D191:G191)+$B191/$C191)&gt;$B191,$B191-SUM($D191:G191),$B191/$C191)</f>
        <v>1194.3643265527444</v>
      </c>
      <c r="I191" s="87">
        <f>IF((SUM($D191:H191)+$B191/$C191)&gt;$B191,$B191-SUM($D191:H191),$B191/$C191)</f>
        <v>0</v>
      </c>
      <c r="J191" s="87">
        <f>IF((SUM($D191:I191)+$B191/$C191)&gt;$B191,$B191-SUM($D191:I191),$B191/$C191)</f>
        <v>0</v>
      </c>
      <c r="K191" s="87">
        <f>IF((SUM($D191:J191)+$B191/$C191)&gt;$B191,$B191-SUM($D191:J191),$B191/$C191)</f>
        <v>0</v>
      </c>
      <c r="L191" s="87">
        <f>IF((SUM($D191:K191)+$B191/$C191)&gt;$B191,$B191-SUM($D191:K191),$B191/$C191)</f>
        <v>0</v>
      </c>
      <c r="M191" s="87">
        <f>IF((SUM($D191:L191)+$B191/$C191)&gt;$B191,$B191-SUM($D191:L191),$B191/$C191)</f>
        <v>0</v>
      </c>
      <c r="N191" s="87">
        <f>IF((SUM($D191:M191)+$B191/$C191)&gt;$B191,$B191-SUM($D191:M191),$B191/$C191)</f>
        <v>0</v>
      </c>
      <c r="O191" s="87">
        <f>IF((SUM($D191:N191)+$B191/$C191)&gt;$B191,$B191-SUM($D191:N191),$B191/$C191)</f>
        <v>0</v>
      </c>
      <c r="P191" s="87">
        <f>IF((SUM($D191:O191)+$B191/$C191)&gt;$B191,$B191-SUM($D191:O191),$B191/$C191)</f>
        <v>0</v>
      </c>
      <c r="Q191" s="87">
        <f>IF((SUM($D191:P191)+$B191/$C191)&gt;$B191,$B191-SUM($D191:P191),$B191/$C191)</f>
        <v>0</v>
      </c>
      <c r="R191" s="87">
        <f>IF((SUM($D191:Q191)+$B191/$C191)&gt;$B191,$B191-SUM($D191:Q191),$B191/$C191)</f>
        <v>0</v>
      </c>
      <c r="S191" s="87">
        <f>IF((SUM($D191:R191)+$B191/$C191)&gt;$B191,$B191-SUM($D191:R191),$B191/$C191)</f>
        <v>0</v>
      </c>
      <c r="T191" s="87">
        <f>IF((SUM($D191:S191)+$B191/$C191)&gt;$B191,$B191-SUM($D191:S191),$B191/$C191)</f>
        <v>0</v>
      </c>
      <c r="U191" s="87">
        <f>IF((SUM($D191:T191)+$B191/$C191)&gt;$B191,$B191-SUM($D191:T191),$B191/$C191)</f>
        <v>0</v>
      </c>
      <c r="V191" s="87">
        <f>IF((SUM($D191:U191)+$B191/$C191)&gt;$B191,$B191-SUM($D191:U191),$B191/$C191)</f>
        <v>0</v>
      </c>
      <c r="W191" s="87">
        <f>IF((SUM($D191:V191)+$B191/$C191)&gt;$B191,$B191-SUM($D191:V191),$B191/$C191)</f>
        <v>0</v>
      </c>
      <c r="X191" s="87">
        <f>IF((SUM($D191:W191)+$B191/$C191)&gt;$B191,$B191-SUM($D191:W191),$B191/$C191)</f>
        <v>0</v>
      </c>
      <c r="Y191" s="87">
        <f>IF((SUM($D191:X191)+$B191/$C191)&gt;$B191,$B191-SUM($D191:X191),$B191/$C191)</f>
        <v>0</v>
      </c>
      <c r="Z191" s="87">
        <f>IF((SUM($D191:Y191)+$B191/$C191)&gt;$B191,$B191-SUM($D191:Y191),$B191/$C191)</f>
        <v>0</v>
      </c>
      <c r="AA191" s="87">
        <f>IF((SUM($D191:Z191)+$B191/$C191)&gt;$B191,$B191-SUM($D191:Z191),$B191/$C191)</f>
        <v>0</v>
      </c>
    </row>
    <row r="192" spans="1:27" outlineLevel="1" x14ac:dyDescent="0.25">
      <c r="A192" s="469">
        <v>2010</v>
      </c>
      <c r="B192" s="471">
        <f>E$180</f>
        <v>5330.5458062409389</v>
      </c>
      <c r="C192" s="467">
        <f>IF('Data 2006-08'!C$34&lt;=A192,1,'Data 2006-08'!C$34-A192+0.5)</f>
        <v>3.5</v>
      </c>
      <c r="D192" s="480"/>
      <c r="E192" s="87">
        <f>IF($C192=1,$B192,$B192/2/$C192)</f>
        <v>761.50654374870555</v>
      </c>
      <c r="F192" s="87">
        <f>IF((SUM($D192:E192)+$B192/$C192)&gt;$B192,$B192-SUM($D192:E192),$B192/$C192)</f>
        <v>1523.0130874974111</v>
      </c>
      <c r="G192" s="87">
        <f>IF((SUM($D192:F192)+$B192/$C192)&gt;$B192,$B192-SUM($D192:F192),$B192/$C192)</f>
        <v>1523.0130874974111</v>
      </c>
      <c r="H192" s="87">
        <f>IF((SUM($D192:G192)+$B192/$C192)&gt;$B192,$B192-SUM($D192:G192),$B192/$C192)</f>
        <v>1523.0130874974111</v>
      </c>
      <c r="I192" s="87">
        <f>IF((SUM($D192:H192)+$B192/$C192)&gt;$B192,$B192-SUM($D192:H192),$B192/$C192)</f>
        <v>0</v>
      </c>
      <c r="J192" s="87">
        <f>IF((SUM($D192:I192)+$B192/$C192)&gt;$B192,$B192-SUM($D192:I192),$B192/$C192)</f>
        <v>0</v>
      </c>
      <c r="K192" s="87">
        <f>IF((SUM($D192:J192)+$B192/$C192)&gt;$B192,$B192-SUM($D192:J192),$B192/$C192)</f>
        <v>0</v>
      </c>
      <c r="L192" s="87">
        <f>IF((SUM($D192:K192)+$B192/$C192)&gt;$B192,$B192-SUM($D192:K192),$B192/$C192)</f>
        <v>0</v>
      </c>
      <c r="M192" s="87">
        <f>IF((SUM($D192:L192)+$B192/$C192)&gt;$B192,$B192-SUM($D192:L192),$B192/$C192)</f>
        <v>0</v>
      </c>
      <c r="N192" s="87">
        <f>IF((SUM($D192:M192)+$B192/$C192)&gt;$B192,$B192-SUM($D192:M192),$B192/$C192)</f>
        <v>0</v>
      </c>
      <c r="O192" s="87">
        <f>IF((SUM($D192:N192)+$B192/$C192)&gt;$B192,$B192-SUM($D192:N192),$B192/$C192)</f>
        <v>0</v>
      </c>
      <c r="P192" s="87">
        <f>IF((SUM($D192:O192)+$B192/$C192)&gt;$B192,$B192-SUM($D192:O192),$B192/$C192)</f>
        <v>0</v>
      </c>
      <c r="Q192" s="87">
        <f>IF((SUM($D192:P192)+$B192/$C192)&gt;$B192,$B192-SUM($D192:P192),$B192/$C192)</f>
        <v>0</v>
      </c>
      <c r="R192" s="87">
        <f>IF((SUM($D192:Q192)+$B192/$C192)&gt;$B192,$B192-SUM($D192:Q192),$B192/$C192)</f>
        <v>0</v>
      </c>
      <c r="S192" s="87">
        <f>IF((SUM($D192:R192)+$B192/$C192)&gt;$B192,$B192-SUM($D192:R192),$B192/$C192)</f>
        <v>0</v>
      </c>
      <c r="T192" s="87">
        <f>IF((SUM($D192:S192)+$B192/$C192)&gt;$B192,$B192-SUM($D192:S192),$B192/$C192)</f>
        <v>0</v>
      </c>
      <c r="U192" s="87">
        <f>IF((SUM($D192:T192)+$B192/$C192)&gt;$B192,$B192-SUM($D192:T192),$B192/$C192)</f>
        <v>0</v>
      </c>
      <c r="V192" s="87">
        <f>IF((SUM($D192:U192)+$B192/$C192)&gt;$B192,$B192-SUM($D192:U192),$B192/$C192)</f>
        <v>0</v>
      </c>
      <c r="W192" s="87">
        <f>IF((SUM($D192:V192)+$B192/$C192)&gt;$B192,$B192-SUM($D192:V192),$B192/$C192)</f>
        <v>0</v>
      </c>
      <c r="X192" s="87">
        <f>IF((SUM($D192:W192)+$B192/$C192)&gt;$B192,$B192-SUM($D192:W192),$B192/$C192)</f>
        <v>0</v>
      </c>
      <c r="Y192" s="87">
        <f>IF((SUM($D192:X192)+$B192/$C192)&gt;$B192,$B192-SUM($D192:X192),$B192/$C192)</f>
        <v>0</v>
      </c>
      <c r="Z192" s="87">
        <f>IF((SUM($D192:Y192)+$B192/$C192)&gt;$B192,$B192-SUM($D192:Y192),$B192/$C192)</f>
        <v>0</v>
      </c>
      <c r="AA192" s="87">
        <f>IF((SUM($D192:Z192)+$B192/$C192)&gt;$B192,$B192-SUM($D192:Z192),$B192/$C192)</f>
        <v>0</v>
      </c>
    </row>
    <row r="193" spans="1:27" outlineLevel="1" x14ac:dyDescent="0.25">
      <c r="A193" s="469">
        <v>2011</v>
      </c>
      <c r="B193" s="471">
        <f>F$180</f>
        <v>223.30294287362955</v>
      </c>
      <c r="C193" s="467">
        <f>IF('Data 2006-08'!C$34&lt;=A193,1,'Data 2006-08'!C$34-A193+0.5)</f>
        <v>2.5</v>
      </c>
      <c r="D193" s="480"/>
      <c r="E193" s="480"/>
      <c r="F193" s="87">
        <f>IF($C193=1,$B193,$B193/2/$C193)</f>
        <v>44.660588574725907</v>
      </c>
      <c r="G193" s="87">
        <f>IF((SUM($D193:F193)+$B193/$C193)&gt;$B193,$B193-SUM($D193:F193),$B193/$C193)</f>
        <v>89.321177149451813</v>
      </c>
      <c r="H193" s="87">
        <f>IF((SUM($D193:G193)+$B193/$C193)&gt;$B193,$B193-SUM($D193:G193),$B193/$C193)</f>
        <v>89.321177149451813</v>
      </c>
      <c r="I193" s="87">
        <f>IF((SUM($D193:H193)+$B193/$C193)&gt;$B193,$B193-SUM($D193:H193),$B193/$C193)</f>
        <v>2.8421709430404007E-14</v>
      </c>
      <c r="J193" s="87">
        <f>IF((SUM($D193:I193)+$B193/$C193)&gt;$B193,$B193-SUM($D193:I193),$B193/$C193)</f>
        <v>0</v>
      </c>
      <c r="K193" s="87">
        <f>IF((SUM($D193:J193)+$B193/$C193)&gt;$B193,$B193-SUM($D193:J193),$B193/$C193)</f>
        <v>0</v>
      </c>
      <c r="L193" s="87">
        <f>IF((SUM($D193:K193)+$B193/$C193)&gt;$B193,$B193-SUM($D193:K193),$B193/$C193)</f>
        <v>0</v>
      </c>
      <c r="M193" s="87">
        <f>IF((SUM($D193:L193)+$B193/$C193)&gt;$B193,$B193-SUM($D193:L193),$B193/$C193)</f>
        <v>0</v>
      </c>
      <c r="N193" s="87">
        <f>IF((SUM($D193:M193)+$B193/$C193)&gt;$B193,$B193-SUM($D193:M193),$B193/$C193)</f>
        <v>0</v>
      </c>
      <c r="O193" s="87">
        <f>IF((SUM($D193:N193)+$B193/$C193)&gt;$B193,$B193-SUM($D193:N193),$B193/$C193)</f>
        <v>0</v>
      </c>
      <c r="P193" s="87">
        <f>IF((SUM($D193:O193)+$B193/$C193)&gt;$B193,$B193-SUM($D193:O193),$B193/$C193)</f>
        <v>0</v>
      </c>
      <c r="Q193" s="87">
        <f>IF((SUM($D193:P193)+$B193/$C193)&gt;$B193,$B193-SUM($D193:P193),$B193/$C193)</f>
        <v>0</v>
      </c>
      <c r="R193" s="87">
        <f>IF((SUM($D193:Q193)+$B193/$C193)&gt;$B193,$B193-SUM($D193:Q193),$B193/$C193)</f>
        <v>0</v>
      </c>
      <c r="S193" s="87">
        <f>IF((SUM($D193:R193)+$B193/$C193)&gt;$B193,$B193-SUM($D193:R193),$B193/$C193)</f>
        <v>0</v>
      </c>
      <c r="T193" s="87">
        <f>IF((SUM($D193:S193)+$B193/$C193)&gt;$B193,$B193-SUM($D193:S193),$B193/$C193)</f>
        <v>0</v>
      </c>
      <c r="U193" s="87">
        <f>IF((SUM($D193:T193)+$B193/$C193)&gt;$B193,$B193-SUM($D193:T193),$B193/$C193)</f>
        <v>0</v>
      </c>
      <c r="V193" s="87">
        <f>IF((SUM($D193:U193)+$B193/$C193)&gt;$B193,$B193-SUM($D193:U193),$B193/$C193)</f>
        <v>0</v>
      </c>
      <c r="W193" s="87">
        <f>IF((SUM($D193:V193)+$B193/$C193)&gt;$B193,$B193-SUM($D193:V193),$B193/$C193)</f>
        <v>0</v>
      </c>
      <c r="X193" s="87">
        <f>IF((SUM($D193:W193)+$B193/$C193)&gt;$B193,$B193-SUM($D193:W193),$B193/$C193)</f>
        <v>0</v>
      </c>
      <c r="Y193" s="87">
        <f>IF((SUM($D193:X193)+$B193/$C193)&gt;$B193,$B193-SUM($D193:X193),$B193/$C193)</f>
        <v>0</v>
      </c>
      <c r="Z193" s="87">
        <f>IF((SUM($D193:Y193)+$B193/$C193)&gt;$B193,$B193-SUM($D193:Y193),$B193/$C193)</f>
        <v>0</v>
      </c>
      <c r="AA193" s="87">
        <f>IF((SUM($D193:Z193)+$B193/$C193)&gt;$B193,$B193-SUM($D193:Z193),$B193/$C193)</f>
        <v>0</v>
      </c>
    </row>
    <row r="194" spans="1:27" outlineLevel="1" x14ac:dyDescent="0.25">
      <c r="A194" s="469">
        <v>2012</v>
      </c>
      <c r="B194" s="471">
        <f>G$180</f>
        <v>595.94863909495484</v>
      </c>
      <c r="C194" s="467">
        <f>IF('Data 2006-08'!C$34&lt;=A194,1,'Data 2006-08'!C$34-A194+0.5)</f>
        <v>1.5</v>
      </c>
      <c r="D194" s="480"/>
      <c r="E194" s="480"/>
      <c r="F194" s="480"/>
      <c r="G194" s="87">
        <f>IF($C194=1,$B194,$B194/2/$C194)</f>
        <v>198.64954636498496</v>
      </c>
      <c r="H194" s="87">
        <f>IF((SUM($D194:G194)+$B194/$C194)&gt;$B194,$B194-SUM($D194:G194),$B194/$C194)</f>
        <v>397.29909272996991</v>
      </c>
      <c r="I194" s="87">
        <f>IF((SUM($D194:H194)+$B194/$C194)&gt;$B194,$B194-SUM($D194:H194),$B194/$C194)</f>
        <v>0</v>
      </c>
      <c r="J194" s="87">
        <f>IF((SUM($D194:I194)+$B194/$C194)&gt;$B194,$B194-SUM($D194:I194),$B194/$C194)</f>
        <v>0</v>
      </c>
      <c r="K194" s="87">
        <f>IF((SUM($D194:J194)+$B194/$C194)&gt;$B194,$B194-SUM($D194:J194),$B194/$C194)</f>
        <v>0</v>
      </c>
      <c r="L194" s="87">
        <f>IF((SUM($D194:K194)+$B194/$C194)&gt;$B194,$B194-SUM($D194:K194),$B194/$C194)</f>
        <v>0</v>
      </c>
      <c r="M194" s="87">
        <f>IF((SUM($D194:L194)+$B194/$C194)&gt;$B194,$B194-SUM($D194:L194),$B194/$C194)</f>
        <v>0</v>
      </c>
      <c r="N194" s="87">
        <f>IF((SUM($D194:M194)+$B194/$C194)&gt;$B194,$B194-SUM($D194:M194),$B194/$C194)</f>
        <v>0</v>
      </c>
      <c r="O194" s="87">
        <f>IF((SUM($D194:N194)+$B194/$C194)&gt;$B194,$B194-SUM($D194:N194),$B194/$C194)</f>
        <v>0</v>
      </c>
      <c r="P194" s="87">
        <f>IF((SUM($D194:O194)+$B194/$C194)&gt;$B194,$B194-SUM($D194:O194),$B194/$C194)</f>
        <v>0</v>
      </c>
      <c r="Q194" s="87">
        <f>IF((SUM($D194:P194)+$B194/$C194)&gt;$B194,$B194-SUM($D194:P194),$B194/$C194)</f>
        <v>0</v>
      </c>
      <c r="R194" s="87">
        <f>IF((SUM($D194:Q194)+$B194/$C194)&gt;$B194,$B194-SUM($D194:Q194),$B194/$C194)</f>
        <v>0</v>
      </c>
      <c r="S194" s="87">
        <f>IF((SUM($D194:R194)+$B194/$C194)&gt;$B194,$B194-SUM($D194:R194),$B194/$C194)</f>
        <v>0</v>
      </c>
      <c r="T194" s="87">
        <f>IF((SUM($D194:S194)+$B194/$C194)&gt;$B194,$B194-SUM($D194:S194),$B194/$C194)</f>
        <v>0</v>
      </c>
      <c r="U194" s="87">
        <f>IF((SUM($D194:T194)+$B194/$C194)&gt;$B194,$B194-SUM($D194:T194),$B194/$C194)</f>
        <v>0</v>
      </c>
      <c r="V194" s="87">
        <f>IF((SUM($D194:U194)+$B194/$C194)&gt;$B194,$B194-SUM($D194:U194),$B194/$C194)</f>
        <v>0</v>
      </c>
      <c r="W194" s="87">
        <f>IF((SUM($D194:V194)+$B194/$C194)&gt;$B194,$B194-SUM($D194:V194),$B194/$C194)</f>
        <v>0</v>
      </c>
      <c r="X194" s="87">
        <f>IF((SUM($D194:W194)+$B194/$C194)&gt;$B194,$B194-SUM($D194:W194),$B194/$C194)</f>
        <v>0</v>
      </c>
      <c r="Y194" s="87">
        <f>IF((SUM($D194:X194)+$B194/$C194)&gt;$B194,$B194-SUM($D194:X194),$B194/$C194)</f>
        <v>0</v>
      </c>
      <c r="Z194" s="87">
        <f>IF((SUM($D194:Y194)+$B194/$C194)&gt;$B194,$B194-SUM($D194:Y194),$B194/$C194)</f>
        <v>0</v>
      </c>
      <c r="AA194" s="87">
        <f>IF((SUM($D194:Z194)+$B194/$C194)&gt;$B194,$B194-SUM($D194:Z194),$B194/$C194)</f>
        <v>0</v>
      </c>
    </row>
    <row r="195" spans="1:27" outlineLevel="1" x14ac:dyDescent="0.25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7">
        <f>IF($C195=1,$B195,$B195/2/$C195)</f>
        <v>0</v>
      </c>
      <c r="I195" s="87">
        <f>IF((SUM($D195:H195)+$B195/$C195)&gt;$B195,$B195-SUM($D195:H195),$B195/$C195)</f>
        <v>0</v>
      </c>
      <c r="J195" s="87">
        <f>IF((SUM($D195:I195)+$B195/$C195)&gt;$B195,$B195-SUM($D195:I195),$B195/$C195)</f>
        <v>0</v>
      </c>
      <c r="K195" s="87">
        <f>IF((SUM($D195:J195)+$B195/$C195)&gt;$B195,$B195-SUM($D195:J195),$B195/$C195)</f>
        <v>0</v>
      </c>
      <c r="L195" s="87">
        <f>IF((SUM($D195:K195)+$B195/$C195)&gt;$B195,$B195-SUM($D195:K195),$B195/$C195)</f>
        <v>0</v>
      </c>
      <c r="M195" s="87">
        <f>IF((SUM($D195:L195)+$B195/$C195)&gt;$B195,$B195-SUM($D195:L195),$B195/$C195)</f>
        <v>0</v>
      </c>
      <c r="N195" s="87">
        <f>IF((SUM($D195:M195)+$B195/$C195)&gt;$B195,$B195-SUM($D195:M195),$B195/$C195)</f>
        <v>0</v>
      </c>
      <c r="O195" s="87">
        <f>IF((SUM($D195:N195)+$B195/$C195)&gt;$B195,$B195-SUM($D195:N195),$B195/$C195)</f>
        <v>0</v>
      </c>
      <c r="P195" s="87">
        <f>IF((SUM($D195:O195)+$B195/$C195)&gt;$B195,$B195-SUM($D195:O195),$B195/$C195)</f>
        <v>0</v>
      </c>
      <c r="Q195" s="87">
        <f>IF((SUM($D195:P195)+$B195/$C195)&gt;$B195,$B195-SUM($D195:P195),$B195/$C195)</f>
        <v>0</v>
      </c>
      <c r="R195" s="87">
        <f>IF((SUM($D195:Q195)+$B195/$C195)&gt;$B195,$B195-SUM($D195:Q195),$B195/$C195)</f>
        <v>0</v>
      </c>
      <c r="S195" s="87">
        <f>IF((SUM($D195:R195)+$B195/$C195)&gt;$B195,$B195-SUM($D195:R195),$B195/$C195)</f>
        <v>0</v>
      </c>
      <c r="T195" s="87">
        <f>IF((SUM($D195:S195)+$B195/$C195)&gt;$B195,$B195-SUM($D195:S195),$B195/$C195)</f>
        <v>0</v>
      </c>
      <c r="U195" s="87">
        <f>IF((SUM($D195:T195)+$B195/$C195)&gt;$B195,$B195-SUM($D195:T195),$B195/$C195)</f>
        <v>0</v>
      </c>
      <c r="V195" s="87">
        <f>IF((SUM($D195:U195)+$B195/$C195)&gt;$B195,$B195-SUM($D195:U195),$B195/$C195)</f>
        <v>0</v>
      </c>
      <c r="W195" s="87">
        <f>IF((SUM($D195:V195)+$B195/$C195)&gt;$B195,$B195-SUM($D195:V195),$B195/$C195)</f>
        <v>0</v>
      </c>
      <c r="X195" s="87">
        <f>IF((SUM($D195:W195)+$B195/$C195)&gt;$B195,$B195-SUM($D195:W195),$B195/$C195)</f>
        <v>0</v>
      </c>
      <c r="Y195" s="87">
        <f>IF((SUM($D195:X195)+$B195/$C195)&gt;$B195,$B195-SUM($D195:X195),$B195/$C195)</f>
        <v>0</v>
      </c>
      <c r="Z195" s="87">
        <f>IF((SUM($D195:Y195)+$B195/$C195)&gt;$B195,$B195-SUM($D195:Y195),$B195/$C195)</f>
        <v>0</v>
      </c>
      <c r="AA195" s="87">
        <f>IF((SUM($D195:Z195)+$B195/$C195)&gt;$B195,$B195-SUM($D195:Z195),$B195/$C195)</f>
        <v>0</v>
      </c>
    </row>
    <row r="196" spans="1:27" outlineLevel="1" x14ac:dyDescent="0.25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7">
        <f>IF($C196=1,$B196,$B196/2/$C196)</f>
        <v>0</v>
      </c>
      <c r="J196" s="87">
        <f>IF((SUM($D196:I196)+$B196/$C196)&gt;$B196,$B196-SUM($D196:I196),$B196/$C196)</f>
        <v>0</v>
      </c>
      <c r="K196" s="87">
        <f>IF((SUM($D196:J196)+$B196/$C196)&gt;$B196,$B196-SUM($D196:J196),$B196/$C196)</f>
        <v>0</v>
      </c>
      <c r="L196" s="87">
        <f>IF((SUM($D196:K196)+$B196/$C196)&gt;$B196,$B196-SUM($D196:K196),$B196/$C196)</f>
        <v>0</v>
      </c>
      <c r="M196" s="87">
        <f>IF((SUM($D196:L196)+$B196/$C196)&gt;$B196,$B196-SUM($D196:L196),$B196/$C196)</f>
        <v>0</v>
      </c>
      <c r="N196" s="87">
        <f>IF((SUM($D196:M196)+$B196/$C196)&gt;$B196,$B196-SUM($D196:M196),$B196/$C196)</f>
        <v>0</v>
      </c>
      <c r="O196" s="87">
        <f>IF((SUM($D196:N196)+$B196/$C196)&gt;$B196,$B196-SUM($D196:N196),$B196/$C196)</f>
        <v>0</v>
      </c>
      <c r="P196" s="87">
        <f>IF((SUM($D196:O196)+$B196/$C196)&gt;$B196,$B196-SUM($D196:O196),$B196/$C196)</f>
        <v>0</v>
      </c>
      <c r="Q196" s="87">
        <f>IF((SUM($D196:P196)+$B196/$C196)&gt;$B196,$B196-SUM($D196:P196),$B196/$C196)</f>
        <v>0</v>
      </c>
      <c r="R196" s="87">
        <f>IF((SUM($D196:Q196)+$B196/$C196)&gt;$B196,$B196-SUM($D196:Q196),$B196/$C196)</f>
        <v>0</v>
      </c>
      <c r="S196" s="87">
        <f>IF((SUM($D196:R196)+$B196/$C196)&gt;$B196,$B196-SUM($D196:R196),$B196/$C196)</f>
        <v>0</v>
      </c>
      <c r="T196" s="87">
        <f>IF((SUM($D196:S196)+$B196/$C196)&gt;$B196,$B196-SUM($D196:S196),$B196/$C196)</f>
        <v>0</v>
      </c>
      <c r="U196" s="87">
        <f>IF((SUM($D196:T196)+$B196/$C196)&gt;$B196,$B196-SUM($D196:T196),$B196/$C196)</f>
        <v>0</v>
      </c>
      <c r="V196" s="87">
        <f>IF((SUM($D196:U196)+$B196/$C196)&gt;$B196,$B196-SUM($D196:U196),$B196/$C196)</f>
        <v>0</v>
      </c>
      <c r="W196" s="87">
        <f>IF((SUM($D196:V196)+$B196/$C196)&gt;$B196,$B196-SUM($D196:V196),$B196/$C196)</f>
        <v>0</v>
      </c>
      <c r="X196" s="87">
        <f>IF((SUM($D196:W196)+$B196/$C196)&gt;$B196,$B196-SUM($D196:W196),$B196/$C196)</f>
        <v>0</v>
      </c>
      <c r="Y196" s="87">
        <f>IF((SUM($D196:X196)+$B196/$C196)&gt;$B196,$B196-SUM($D196:X196),$B196/$C196)</f>
        <v>0</v>
      </c>
      <c r="Z196" s="87">
        <f>IF((SUM($D196:Y196)+$B196/$C196)&gt;$B196,$B196-SUM($D196:Y196),$B196/$C196)</f>
        <v>0</v>
      </c>
      <c r="AA196" s="87">
        <f>IF((SUM($D196:Z196)+$B196/$C196)&gt;$B196,$B196-SUM($D196:Z196),$B196/$C196)</f>
        <v>0</v>
      </c>
    </row>
    <row r="197" spans="1:27" outlineLevel="1" x14ac:dyDescent="0.25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7">
        <f>IF($C197=1,$B197,$B197/2/$C197)</f>
        <v>0</v>
      </c>
      <c r="K197" s="87">
        <f>IF((SUM($D197:J197)+$B197/$C197)&gt;$B197,$B197-SUM($D197:J197),$B197/$C197)</f>
        <v>0</v>
      </c>
      <c r="L197" s="87">
        <f>IF((SUM($D197:K197)+$B197/$C197)&gt;$B197,$B197-SUM($D197:K197),$B197/$C197)</f>
        <v>0</v>
      </c>
      <c r="M197" s="87">
        <f>IF((SUM($D197:L197)+$B197/$C197)&gt;$B197,$B197-SUM($D197:L197),$B197/$C197)</f>
        <v>0</v>
      </c>
      <c r="N197" s="87">
        <f>IF((SUM($D197:M197)+$B197/$C197)&gt;$B197,$B197-SUM($D197:M197),$B197/$C197)</f>
        <v>0</v>
      </c>
      <c r="O197" s="87">
        <f>IF((SUM($D197:N197)+$B197/$C197)&gt;$B197,$B197-SUM($D197:N197),$B197/$C197)</f>
        <v>0</v>
      </c>
      <c r="P197" s="87">
        <f>IF((SUM($D197:O197)+$B197/$C197)&gt;$B197,$B197-SUM($D197:O197),$B197/$C197)</f>
        <v>0</v>
      </c>
      <c r="Q197" s="87">
        <f>IF((SUM($D197:P197)+$B197/$C197)&gt;$B197,$B197-SUM($D197:P197),$B197/$C197)</f>
        <v>0</v>
      </c>
      <c r="R197" s="87">
        <f>IF((SUM($D197:Q197)+$B197/$C197)&gt;$B197,$B197-SUM($D197:Q197),$B197/$C197)</f>
        <v>0</v>
      </c>
      <c r="S197" s="87">
        <f>IF((SUM($D197:R197)+$B197/$C197)&gt;$B197,$B197-SUM($D197:R197),$B197/$C197)</f>
        <v>0</v>
      </c>
      <c r="T197" s="87">
        <f>IF((SUM($D197:S197)+$B197/$C197)&gt;$B197,$B197-SUM($D197:S197),$B197/$C197)</f>
        <v>0</v>
      </c>
      <c r="U197" s="87">
        <f>IF((SUM($D197:T197)+$B197/$C197)&gt;$B197,$B197-SUM($D197:T197),$B197/$C197)</f>
        <v>0</v>
      </c>
      <c r="V197" s="87">
        <f>IF((SUM($D197:U197)+$B197/$C197)&gt;$B197,$B197-SUM($D197:U197),$B197/$C197)</f>
        <v>0</v>
      </c>
      <c r="W197" s="87">
        <f>IF((SUM($D197:V197)+$B197/$C197)&gt;$B197,$B197-SUM($D197:V197),$B197/$C197)</f>
        <v>0</v>
      </c>
      <c r="X197" s="87">
        <f>IF((SUM($D197:W197)+$B197/$C197)&gt;$B197,$B197-SUM($D197:W197),$B197/$C197)</f>
        <v>0</v>
      </c>
      <c r="Y197" s="87">
        <f>IF((SUM($D197:X197)+$B197/$C197)&gt;$B197,$B197-SUM($D197:X197),$B197/$C197)</f>
        <v>0</v>
      </c>
      <c r="Z197" s="87">
        <f>IF((SUM($D197:Y197)+$B197/$C197)&gt;$B197,$B197-SUM($D197:Y197),$B197/$C197)</f>
        <v>0</v>
      </c>
      <c r="AA197" s="87">
        <f>IF((SUM($D197:Z197)+$B197/$C197)&gt;$B197,$B197-SUM($D197:Z197),$B197/$C197)</f>
        <v>0</v>
      </c>
    </row>
    <row r="198" spans="1:27" s="469" customFormat="1" outlineLevel="1" x14ac:dyDescent="0.25">
      <c r="B198" s="472">
        <f>SUM(B191:B197)</f>
        <v>11524.436857696874</v>
      </c>
      <c r="D198" s="696">
        <f t="shared" ref="D198:AA198" si="66">SUM(D191:D197)</f>
        <v>597.18216327637219</v>
      </c>
      <c r="E198" s="696">
        <f t="shared" si="66"/>
        <v>1955.8708703014499</v>
      </c>
      <c r="F198" s="696">
        <f t="shared" si="66"/>
        <v>2762.0380026248813</v>
      </c>
      <c r="G198" s="696">
        <f t="shared" si="66"/>
        <v>3005.348137564592</v>
      </c>
      <c r="H198" s="696">
        <f t="shared" si="66"/>
        <v>3203.9976839295769</v>
      </c>
      <c r="I198" s="696">
        <f t="shared" si="66"/>
        <v>2.8421709430404007E-14</v>
      </c>
      <c r="J198" s="696">
        <f t="shared" si="66"/>
        <v>0</v>
      </c>
      <c r="K198" s="696">
        <f t="shared" si="66"/>
        <v>0</v>
      </c>
      <c r="L198" s="696">
        <f t="shared" si="66"/>
        <v>0</v>
      </c>
      <c r="M198" s="696">
        <f t="shared" si="66"/>
        <v>0</v>
      </c>
      <c r="N198" s="696">
        <f t="shared" si="66"/>
        <v>0</v>
      </c>
      <c r="O198" s="696">
        <f t="shared" si="66"/>
        <v>0</v>
      </c>
      <c r="P198" s="696">
        <f t="shared" si="66"/>
        <v>0</v>
      </c>
      <c r="Q198" s="696">
        <f t="shared" si="66"/>
        <v>0</v>
      </c>
      <c r="R198" s="696">
        <f t="shared" si="66"/>
        <v>0</v>
      </c>
      <c r="S198" s="696">
        <f t="shared" si="66"/>
        <v>0</v>
      </c>
      <c r="T198" s="696">
        <f t="shared" si="66"/>
        <v>0</v>
      </c>
      <c r="U198" s="696">
        <f t="shared" si="66"/>
        <v>0</v>
      </c>
      <c r="V198" s="696">
        <f t="shared" si="66"/>
        <v>0</v>
      </c>
      <c r="W198" s="696">
        <f t="shared" si="66"/>
        <v>0</v>
      </c>
      <c r="X198" s="696">
        <f t="shared" si="66"/>
        <v>0</v>
      </c>
      <c r="Y198" s="696">
        <f t="shared" si="66"/>
        <v>0</v>
      </c>
      <c r="Z198" s="696">
        <f t="shared" si="66"/>
        <v>0</v>
      </c>
      <c r="AA198" s="696">
        <f t="shared" si="66"/>
        <v>0</v>
      </c>
    </row>
    <row r="199" spans="1:27" outlineLevel="1" x14ac:dyDescent="0.25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5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5">
      <c r="A201" s="346" t="s">
        <v>259</v>
      </c>
      <c r="B201" s="473" t="s">
        <v>324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5">
      <c r="A202" s="346" t="str">
        <f>$A$4</f>
        <v>($000 Real 2008)</v>
      </c>
      <c r="B202" s="474" t="s">
        <v>325</v>
      </c>
      <c r="C202" s="475" t="s">
        <v>321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5">
      <c r="A203" s="469">
        <v>2009</v>
      </c>
      <c r="B203" s="471">
        <f>D$181</f>
        <v>4180.3262409206818</v>
      </c>
      <c r="C203" s="467">
        <f>IF('Data 2006-08'!C$34&lt;=A203,1,'Data 2006-08'!C$34-A203+0.5)</f>
        <v>4.5</v>
      </c>
      <c r="D203" s="87">
        <f>IF($C203=1,$B203,$B203/2/$C203)</f>
        <v>464.48069343563134</v>
      </c>
      <c r="E203" s="87">
        <f>IF((SUM($D203:D203)+$B203/$C203)&gt;$B203,$B203-SUM($D203:D203),$B203/$C203)</f>
        <v>928.96138687126268</v>
      </c>
      <c r="F203" s="87">
        <f>IF((SUM($D203:E203)+$B203/$C203)&gt;$B203,$B203-SUM($D203:E203),$B203/$C203)</f>
        <v>928.96138687126268</v>
      </c>
      <c r="G203" s="87">
        <f>IF((SUM($D203:F203)+$B203/$C203)&gt;$B203,$B203-SUM($D203:F203),$B203/$C203)</f>
        <v>928.96138687126268</v>
      </c>
      <c r="H203" s="87">
        <f>IF((SUM($D203:G203)+$B203/$C203)&gt;$B203,$B203-SUM($D203:G203),$B203/$C203)</f>
        <v>928.96138687126268</v>
      </c>
      <c r="I203" s="87">
        <f>IF((SUM($D203:H203)+$B203/$C203)&gt;$B203,$B203-SUM($D203:H203),$B203/$C203)</f>
        <v>0</v>
      </c>
      <c r="J203" s="87">
        <f>IF((SUM($D203:I203)+$B203/$C203)&gt;$B203,$B203-SUM($D203:I203),$B203/$C203)</f>
        <v>0</v>
      </c>
      <c r="K203" s="87">
        <f>IF((SUM($D203:J203)+$B203/$C203)&gt;$B203,$B203-SUM($D203:J203),$B203/$C203)</f>
        <v>0</v>
      </c>
      <c r="L203" s="87">
        <f>IF((SUM($D203:K203)+$B203/$C203)&gt;$B203,$B203-SUM($D203:K203),$B203/$C203)</f>
        <v>0</v>
      </c>
      <c r="M203" s="87">
        <f>IF((SUM($D203:L203)+$B203/$C203)&gt;$B203,$B203-SUM($D203:L203),$B203/$C203)</f>
        <v>0</v>
      </c>
      <c r="N203" s="87">
        <f>IF((SUM($D203:M203)+$B203/$C203)&gt;$B203,$B203-SUM($D203:M203),$B203/$C203)</f>
        <v>0</v>
      </c>
      <c r="O203" s="87">
        <f>IF((SUM($D203:N203)+$B203/$C203)&gt;$B203,$B203-SUM($D203:N203),$B203/$C203)</f>
        <v>0</v>
      </c>
      <c r="P203" s="87">
        <f>IF((SUM($D203:O203)+$B203/$C203)&gt;$B203,$B203-SUM($D203:O203),$B203/$C203)</f>
        <v>0</v>
      </c>
      <c r="Q203" s="87">
        <f>IF((SUM($D203:P203)+$B203/$C203)&gt;$B203,$B203-SUM($D203:P203),$B203/$C203)</f>
        <v>0</v>
      </c>
      <c r="R203" s="87">
        <f>IF((SUM($D203:Q203)+$B203/$C203)&gt;$B203,$B203-SUM($D203:Q203),$B203/$C203)</f>
        <v>0</v>
      </c>
      <c r="S203" s="87">
        <f>IF((SUM($D203:R203)+$B203/$C203)&gt;$B203,$B203-SUM($D203:R203),$B203/$C203)</f>
        <v>0</v>
      </c>
      <c r="T203" s="87">
        <f>IF((SUM($D203:S203)+$B203/$C203)&gt;$B203,$B203-SUM($D203:S203),$B203/$C203)</f>
        <v>0</v>
      </c>
      <c r="U203" s="87">
        <f>IF((SUM($D203:T203)+$B203/$C203)&gt;$B203,$B203-SUM($D203:T203),$B203/$C203)</f>
        <v>0</v>
      </c>
      <c r="V203" s="87">
        <f>IF((SUM($D203:U203)+$B203/$C203)&gt;$B203,$B203-SUM($D203:U203),$B203/$C203)</f>
        <v>0</v>
      </c>
      <c r="W203" s="87">
        <f>IF((SUM($D203:V203)+$B203/$C203)&gt;$B203,$B203-SUM($D203:V203),$B203/$C203)</f>
        <v>0</v>
      </c>
      <c r="X203" s="87">
        <f>IF((SUM($D203:W203)+$B203/$C203)&gt;$B203,$B203-SUM($D203:W203),$B203/$C203)</f>
        <v>0</v>
      </c>
      <c r="Y203" s="87">
        <f>IF((SUM($D203:X203)+$B203/$C203)&gt;$B203,$B203-SUM($D203:X203),$B203/$C203)</f>
        <v>0</v>
      </c>
      <c r="Z203" s="87">
        <f>IF((SUM($D203:Y203)+$B203/$C203)&gt;$B203,$B203-SUM($D203:Y203),$B203/$C203)</f>
        <v>0</v>
      </c>
      <c r="AA203" s="87">
        <f>IF((SUM($D203:Z203)+$B203/$C203)&gt;$B203,$B203-SUM($D203:Z203),$B203/$C203)</f>
        <v>0</v>
      </c>
    </row>
    <row r="204" spans="1:27" outlineLevel="1" x14ac:dyDescent="0.25">
      <c r="A204" s="469">
        <v>2010</v>
      </c>
      <c r="B204" s="471">
        <f>E$181</f>
        <v>5555.1211708104811</v>
      </c>
      <c r="C204" s="467">
        <f>IF('Data 2006-08'!C$34&lt;=A204,1,'Data 2006-08'!C$34-A204+0.5)</f>
        <v>3.5</v>
      </c>
      <c r="D204" s="480"/>
      <c r="E204" s="87">
        <f>IF($C204=1,$B204,$B204/2/$C204)</f>
        <v>793.58873868721162</v>
      </c>
      <c r="F204" s="87">
        <f>IF((SUM($D204:E204)+$B204/$C204)&gt;$B204,$B204-SUM($D204:E204),$B204/$C204)</f>
        <v>1587.1774773744232</v>
      </c>
      <c r="G204" s="87">
        <f>IF((SUM($D204:F204)+$B204/$C204)&gt;$B204,$B204-SUM($D204:F204),$B204/$C204)</f>
        <v>1587.1774773744232</v>
      </c>
      <c r="H204" s="87">
        <f>IF((SUM($D204:G204)+$B204/$C204)&gt;$B204,$B204-SUM($D204:G204),$B204/$C204)</f>
        <v>1587.1774773744232</v>
      </c>
      <c r="I204" s="87">
        <f>IF((SUM($D204:H204)+$B204/$C204)&gt;$B204,$B204-SUM($D204:H204),$B204/$C204)</f>
        <v>0</v>
      </c>
      <c r="J204" s="87">
        <f>IF((SUM($D204:I204)+$B204/$C204)&gt;$B204,$B204-SUM($D204:I204),$B204/$C204)</f>
        <v>0</v>
      </c>
      <c r="K204" s="87">
        <f>IF((SUM($D204:J204)+$B204/$C204)&gt;$B204,$B204-SUM($D204:J204),$B204/$C204)</f>
        <v>0</v>
      </c>
      <c r="L204" s="87">
        <f>IF((SUM($D204:K204)+$B204/$C204)&gt;$B204,$B204-SUM($D204:K204),$B204/$C204)</f>
        <v>0</v>
      </c>
      <c r="M204" s="87">
        <f>IF((SUM($D204:L204)+$B204/$C204)&gt;$B204,$B204-SUM($D204:L204),$B204/$C204)</f>
        <v>0</v>
      </c>
      <c r="N204" s="87">
        <f>IF((SUM($D204:M204)+$B204/$C204)&gt;$B204,$B204-SUM($D204:M204),$B204/$C204)</f>
        <v>0</v>
      </c>
      <c r="O204" s="87">
        <f>IF((SUM($D204:N204)+$B204/$C204)&gt;$B204,$B204-SUM($D204:N204),$B204/$C204)</f>
        <v>0</v>
      </c>
      <c r="P204" s="87">
        <f>IF((SUM($D204:O204)+$B204/$C204)&gt;$B204,$B204-SUM($D204:O204),$B204/$C204)</f>
        <v>0</v>
      </c>
      <c r="Q204" s="87">
        <f>IF((SUM($D204:P204)+$B204/$C204)&gt;$B204,$B204-SUM($D204:P204),$B204/$C204)</f>
        <v>0</v>
      </c>
      <c r="R204" s="87">
        <f>IF((SUM($D204:Q204)+$B204/$C204)&gt;$B204,$B204-SUM($D204:Q204),$B204/$C204)</f>
        <v>0</v>
      </c>
      <c r="S204" s="87">
        <f>IF((SUM($D204:R204)+$B204/$C204)&gt;$B204,$B204-SUM($D204:R204),$B204/$C204)</f>
        <v>0</v>
      </c>
      <c r="T204" s="87">
        <f>IF((SUM($D204:S204)+$B204/$C204)&gt;$B204,$B204-SUM($D204:S204),$B204/$C204)</f>
        <v>0</v>
      </c>
      <c r="U204" s="87">
        <f>IF((SUM($D204:T204)+$B204/$C204)&gt;$B204,$B204-SUM($D204:T204),$B204/$C204)</f>
        <v>0</v>
      </c>
      <c r="V204" s="87">
        <f>IF((SUM($D204:U204)+$B204/$C204)&gt;$B204,$B204-SUM($D204:U204),$B204/$C204)</f>
        <v>0</v>
      </c>
      <c r="W204" s="87">
        <f>IF((SUM($D204:V204)+$B204/$C204)&gt;$B204,$B204-SUM($D204:V204),$B204/$C204)</f>
        <v>0</v>
      </c>
      <c r="X204" s="87">
        <f>IF((SUM($D204:W204)+$B204/$C204)&gt;$B204,$B204-SUM($D204:W204),$B204/$C204)</f>
        <v>0</v>
      </c>
      <c r="Y204" s="87">
        <f>IF((SUM($D204:X204)+$B204/$C204)&gt;$B204,$B204-SUM($D204:X204),$B204/$C204)</f>
        <v>0</v>
      </c>
      <c r="Z204" s="87">
        <f>IF((SUM($D204:Y204)+$B204/$C204)&gt;$B204,$B204-SUM($D204:Y204),$B204/$C204)</f>
        <v>0</v>
      </c>
      <c r="AA204" s="87">
        <f>IF((SUM($D204:Z204)+$B204/$C204)&gt;$B204,$B204-SUM($D204:Z204),$B204/$C204)</f>
        <v>0</v>
      </c>
    </row>
    <row r="205" spans="1:27" outlineLevel="1" x14ac:dyDescent="0.25">
      <c r="A205" s="469">
        <v>2011</v>
      </c>
      <c r="B205" s="471">
        <f>F$181</f>
        <v>5.4910559723023651</v>
      </c>
      <c r="C205" s="467">
        <f>IF('Data 2006-08'!C$34&lt;=A205,1,'Data 2006-08'!C$34-A205+0.5)</f>
        <v>2.5</v>
      </c>
      <c r="D205" s="480"/>
      <c r="E205" s="480"/>
      <c r="F205" s="87">
        <f>IF($C205=1,$B205,$B205/2/$C205)</f>
        <v>1.0982111944604731</v>
      </c>
      <c r="G205" s="87">
        <f>IF((SUM($D205:F205)+$B205/$C205)&gt;$B205,$B205-SUM($D205:F205),$B205/$C205)</f>
        <v>2.1964223889209462</v>
      </c>
      <c r="H205" s="87">
        <f>IF((SUM($D205:G205)+$B205/$C205)&gt;$B205,$B205-SUM($D205:G205),$B205/$C205)</f>
        <v>2.1964223889209462</v>
      </c>
      <c r="I205" s="87">
        <f>IF((SUM($D205:H205)+$B205/$C205)&gt;$B205,$B205-SUM($D205:H205),$B205/$C205)</f>
        <v>-8.8817841970012523E-16</v>
      </c>
      <c r="J205" s="87">
        <f>IF((SUM($D205:I205)+$B205/$C205)&gt;$B205,$B205-SUM($D205:I205),$B205/$C205)</f>
        <v>0</v>
      </c>
      <c r="K205" s="87">
        <f>IF((SUM($D205:J205)+$B205/$C205)&gt;$B205,$B205-SUM($D205:J205),$B205/$C205)</f>
        <v>0</v>
      </c>
      <c r="L205" s="87">
        <f>IF((SUM($D205:K205)+$B205/$C205)&gt;$B205,$B205-SUM($D205:K205),$B205/$C205)</f>
        <v>0</v>
      </c>
      <c r="M205" s="87">
        <f>IF((SUM($D205:L205)+$B205/$C205)&gt;$B205,$B205-SUM($D205:L205),$B205/$C205)</f>
        <v>0</v>
      </c>
      <c r="N205" s="87">
        <f>IF((SUM($D205:M205)+$B205/$C205)&gt;$B205,$B205-SUM($D205:M205),$B205/$C205)</f>
        <v>0</v>
      </c>
      <c r="O205" s="87">
        <f>IF((SUM($D205:N205)+$B205/$C205)&gt;$B205,$B205-SUM($D205:N205),$B205/$C205)</f>
        <v>0</v>
      </c>
      <c r="P205" s="87">
        <f>IF((SUM($D205:O205)+$B205/$C205)&gt;$B205,$B205-SUM($D205:O205),$B205/$C205)</f>
        <v>0</v>
      </c>
      <c r="Q205" s="87">
        <f>IF((SUM($D205:P205)+$B205/$C205)&gt;$B205,$B205-SUM($D205:P205),$B205/$C205)</f>
        <v>0</v>
      </c>
      <c r="R205" s="87">
        <f>IF((SUM($D205:Q205)+$B205/$C205)&gt;$B205,$B205-SUM($D205:Q205),$B205/$C205)</f>
        <v>0</v>
      </c>
      <c r="S205" s="87">
        <f>IF((SUM($D205:R205)+$B205/$C205)&gt;$B205,$B205-SUM($D205:R205),$B205/$C205)</f>
        <v>0</v>
      </c>
      <c r="T205" s="87">
        <f>IF((SUM($D205:S205)+$B205/$C205)&gt;$B205,$B205-SUM($D205:S205),$B205/$C205)</f>
        <v>0</v>
      </c>
      <c r="U205" s="87">
        <f>IF((SUM($D205:T205)+$B205/$C205)&gt;$B205,$B205-SUM($D205:T205),$B205/$C205)</f>
        <v>0</v>
      </c>
      <c r="V205" s="87">
        <f>IF((SUM($D205:U205)+$B205/$C205)&gt;$B205,$B205-SUM($D205:U205),$B205/$C205)</f>
        <v>0</v>
      </c>
      <c r="W205" s="87">
        <f>IF((SUM($D205:V205)+$B205/$C205)&gt;$B205,$B205-SUM($D205:V205),$B205/$C205)</f>
        <v>0</v>
      </c>
      <c r="X205" s="87">
        <f>IF((SUM($D205:W205)+$B205/$C205)&gt;$B205,$B205-SUM($D205:W205),$B205/$C205)</f>
        <v>0</v>
      </c>
      <c r="Y205" s="87">
        <f>IF((SUM($D205:X205)+$B205/$C205)&gt;$B205,$B205-SUM($D205:X205),$B205/$C205)</f>
        <v>0</v>
      </c>
      <c r="Z205" s="87">
        <f>IF((SUM($D205:Y205)+$B205/$C205)&gt;$B205,$B205-SUM($D205:Y205),$B205/$C205)</f>
        <v>0</v>
      </c>
      <c r="AA205" s="87">
        <f>IF((SUM($D205:Z205)+$B205/$C205)&gt;$B205,$B205-SUM($D205:Z205),$B205/$C205)</f>
        <v>0</v>
      </c>
    </row>
    <row r="206" spans="1:27" outlineLevel="1" x14ac:dyDescent="0.25">
      <c r="A206" s="469">
        <v>2012</v>
      </c>
      <c r="B206" s="471">
        <f>G$181</f>
        <v>61.493315252872833</v>
      </c>
      <c r="C206" s="467">
        <f>IF('Data 2006-08'!C$34&lt;=A206,1,'Data 2006-08'!C$34-A206+0.5)</f>
        <v>1.5</v>
      </c>
      <c r="D206" s="480"/>
      <c r="E206" s="480"/>
      <c r="F206" s="480"/>
      <c r="G206" s="87">
        <f>IF($C206=1,$B206,$B206/2/$C206)</f>
        <v>20.497771750957611</v>
      </c>
      <c r="H206" s="87">
        <f>IF((SUM($D206:G206)+$B206/$C206)&gt;$B206,$B206-SUM($D206:G206),$B206/$C206)</f>
        <v>40.995543501915222</v>
      </c>
      <c r="I206" s="87">
        <f>IF((SUM($D206:H206)+$B206/$C206)&gt;$B206,$B206-SUM($D206:H206),$B206/$C206)</f>
        <v>0</v>
      </c>
      <c r="J206" s="87">
        <f>IF((SUM($D206:I206)+$B206/$C206)&gt;$B206,$B206-SUM($D206:I206),$B206/$C206)</f>
        <v>0</v>
      </c>
      <c r="K206" s="87">
        <f>IF((SUM($D206:J206)+$B206/$C206)&gt;$B206,$B206-SUM($D206:J206),$B206/$C206)</f>
        <v>0</v>
      </c>
      <c r="L206" s="87">
        <f>IF((SUM($D206:K206)+$B206/$C206)&gt;$B206,$B206-SUM($D206:K206),$B206/$C206)</f>
        <v>0</v>
      </c>
      <c r="M206" s="87">
        <f>IF((SUM($D206:L206)+$B206/$C206)&gt;$B206,$B206-SUM($D206:L206),$B206/$C206)</f>
        <v>0</v>
      </c>
      <c r="N206" s="87">
        <f>IF((SUM($D206:M206)+$B206/$C206)&gt;$B206,$B206-SUM($D206:M206),$B206/$C206)</f>
        <v>0</v>
      </c>
      <c r="O206" s="87">
        <f>IF((SUM($D206:N206)+$B206/$C206)&gt;$B206,$B206-SUM($D206:N206),$B206/$C206)</f>
        <v>0</v>
      </c>
      <c r="P206" s="87">
        <f>IF((SUM($D206:O206)+$B206/$C206)&gt;$B206,$B206-SUM($D206:O206),$B206/$C206)</f>
        <v>0</v>
      </c>
      <c r="Q206" s="87">
        <f>IF((SUM($D206:P206)+$B206/$C206)&gt;$B206,$B206-SUM($D206:P206),$B206/$C206)</f>
        <v>0</v>
      </c>
      <c r="R206" s="87">
        <f>IF((SUM($D206:Q206)+$B206/$C206)&gt;$B206,$B206-SUM($D206:Q206),$B206/$C206)</f>
        <v>0</v>
      </c>
      <c r="S206" s="87">
        <f>IF((SUM($D206:R206)+$B206/$C206)&gt;$B206,$B206-SUM($D206:R206),$B206/$C206)</f>
        <v>0</v>
      </c>
      <c r="T206" s="87">
        <f>IF((SUM($D206:S206)+$B206/$C206)&gt;$B206,$B206-SUM($D206:S206),$B206/$C206)</f>
        <v>0</v>
      </c>
      <c r="U206" s="87">
        <f>IF((SUM($D206:T206)+$B206/$C206)&gt;$B206,$B206-SUM($D206:T206),$B206/$C206)</f>
        <v>0</v>
      </c>
      <c r="V206" s="87">
        <f>IF((SUM($D206:U206)+$B206/$C206)&gt;$B206,$B206-SUM($D206:U206),$B206/$C206)</f>
        <v>0</v>
      </c>
      <c r="W206" s="87">
        <f>IF((SUM($D206:V206)+$B206/$C206)&gt;$B206,$B206-SUM($D206:V206),$B206/$C206)</f>
        <v>0</v>
      </c>
      <c r="X206" s="87">
        <f>IF((SUM($D206:W206)+$B206/$C206)&gt;$B206,$B206-SUM($D206:W206),$B206/$C206)</f>
        <v>0</v>
      </c>
      <c r="Y206" s="87">
        <f>IF((SUM($D206:X206)+$B206/$C206)&gt;$B206,$B206-SUM($D206:X206),$B206/$C206)</f>
        <v>0</v>
      </c>
      <c r="Z206" s="87">
        <f>IF((SUM($D206:Y206)+$B206/$C206)&gt;$B206,$B206-SUM($D206:Y206),$B206/$C206)</f>
        <v>0</v>
      </c>
      <c r="AA206" s="87">
        <f>IF((SUM($D206:Z206)+$B206/$C206)&gt;$B206,$B206-SUM($D206:Z206),$B206/$C206)</f>
        <v>0</v>
      </c>
    </row>
    <row r="207" spans="1:27" outlineLevel="1" x14ac:dyDescent="0.25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7">
        <f>IF($C207=1,$B207,$B207/2/$C207)</f>
        <v>0</v>
      </c>
      <c r="I207" s="87">
        <f>IF((SUM($D207:H207)+$B207/$C207)&gt;$B207,$B207-SUM($D207:H207),$B207/$C207)</f>
        <v>0</v>
      </c>
      <c r="J207" s="87">
        <f>IF((SUM($D207:I207)+$B207/$C207)&gt;$B207,$B207-SUM($D207:I207),$B207/$C207)</f>
        <v>0</v>
      </c>
      <c r="K207" s="87">
        <f>IF((SUM($D207:J207)+$B207/$C207)&gt;$B207,$B207-SUM($D207:J207),$B207/$C207)</f>
        <v>0</v>
      </c>
      <c r="L207" s="87">
        <f>IF((SUM($D207:K207)+$B207/$C207)&gt;$B207,$B207-SUM($D207:K207),$B207/$C207)</f>
        <v>0</v>
      </c>
      <c r="M207" s="87">
        <f>IF((SUM($D207:L207)+$B207/$C207)&gt;$B207,$B207-SUM($D207:L207),$B207/$C207)</f>
        <v>0</v>
      </c>
      <c r="N207" s="87">
        <f>IF((SUM($D207:M207)+$B207/$C207)&gt;$B207,$B207-SUM($D207:M207),$B207/$C207)</f>
        <v>0</v>
      </c>
      <c r="O207" s="87">
        <f>IF((SUM($D207:N207)+$B207/$C207)&gt;$B207,$B207-SUM($D207:N207),$B207/$C207)</f>
        <v>0</v>
      </c>
      <c r="P207" s="87">
        <f>IF((SUM($D207:O207)+$B207/$C207)&gt;$B207,$B207-SUM($D207:O207),$B207/$C207)</f>
        <v>0</v>
      </c>
      <c r="Q207" s="87">
        <f>IF((SUM($D207:P207)+$B207/$C207)&gt;$B207,$B207-SUM($D207:P207),$B207/$C207)</f>
        <v>0</v>
      </c>
      <c r="R207" s="87">
        <f>IF((SUM($D207:Q207)+$B207/$C207)&gt;$B207,$B207-SUM($D207:Q207),$B207/$C207)</f>
        <v>0</v>
      </c>
      <c r="S207" s="87">
        <f>IF((SUM($D207:R207)+$B207/$C207)&gt;$B207,$B207-SUM($D207:R207),$B207/$C207)</f>
        <v>0</v>
      </c>
      <c r="T207" s="87">
        <f>IF((SUM($D207:S207)+$B207/$C207)&gt;$B207,$B207-SUM($D207:S207),$B207/$C207)</f>
        <v>0</v>
      </c>
      <c r="U207" s="87">
        <f>IF((SUM($D207:T207)+$B207/$C207)&gt;$B207,$B207-SUM($D207:T207),$B207/$C207)</f>
        <v>0</v>
      </c>
      <c r="V207" s="87">
        <f>IF((SUM($D207:U207)+$B207/$C207)&gt;$B207,$B207-SUM($D207:U207),$B207/$C207)</f>
        <v>0</v>
      </c>
      <c r="W207" s="87">
        <f>IF((SUM($D207:V207)+$B207/$C207)&gt;$B207,$B207-SUM($D207:V207),$B207/$C207)</f>
        <v>0</v>
      </c>
      <c r="X207" s="87">
        <f>IF((SUM($D207:W207)+$B207/$C207)&gt;$B207,$B207-SUM($D207:W207),$B207/$C207)</f>
        <v>0</v>
      </c>
      <c r="Y207" s="87">
        <f>IF((SUM($D207:X207)+$B207/$C207)&gt;$B207,$B207-SUM($D207:X207),$B207/$C207)</f>
        <v>0</v>
      </c>
      <c r="Z207" s="87">
        <f>IF((SUM($D207:Y207)+$B207/$C207)&gt;$B207,$B207-SUM($D207:Y207),$B207/$C207)</f>
        <v>0</v>
      </c>
      <c r="AA207" s="87">
        <f>IF((SUM($D207:Z207)+$B207/$C207)&gt;$B207,$B207-SUM($D207:Z207),$B207/$C207)</f>
        <v>0</v>
      </c>
    </row>
    <row r="208" spans="1:27" outlineLevel="1" x14ac:dyDescent="0.25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7">
        <f>IF($C208=1,$B208,$B208/2/$C208)</f>
        <v>0</v>
      </c>
      <c r="J208" s="87">
        <f>IF((SUM($D208:I208)+$B208/$C208)&gt;$B208,$B208-SUM($D208:I208),$B208/$C208)</f>
        <v>0</v>
      </c>
      <c r="K208" s="87">
        <f>IF((SUM($D208:J208)+$B208/$C208)&gt;$B208,$B208-SUM($D208:J208),$B208/$C208)</f>
        <v>0</v>
      </c>
      <c r="L208" s="87">
        <f>IF((SUM($D208:K208)+$B208/$C208)&gt;$B208,$B208-SUM($D208:K208),$B208/$C208)</f>
        <v>0</v>
      </c>
      <c r="M208" s="87">
        <f>IF((SUM($D208:L208)+$B208/$C208)&gt;$B208,$B208-SUM($D208:L208),$B208/$C208)</f>
        <v>0</v>
      </c>
      <c r="N208" s="87">
        <f>IF((SUM($D208:M208)+$B208/$C208)&gt;$B208,$B208-SUM($D208:M208),$B208/$C208)</f>
        <v>0</v>
      </c>
      <c r="O208" s="87">
        <f>IF((SUM($D208:N208)+$B208/$C208)&gt;$B208,$B208-SUM($D208:N208),$B208/$C208)</f>
        <v>0</v>
      </c>
      <c r="P208" s="87">
        <f>IF((SUM($D208:O208)+$B208/$C208)&gt;$B208,$B208-SUM($D208:O208),$B208/$C208)</f>
        <v>0</v>
      </c>
      <c r="Q208" s="87">
        <f>IF((SUM($D208:P208)+$B208/$C208)&gt;$B208,$B208-SUM($D208:P208),$B208/$C208)</f>
        <v>0</v>
      </c>
      <c r="R208" s="87">
        <f>IF((SUM($D208:Q208)+$B208/$C208)&gt;$B208,$B208-SUM($D208:Q208),$B208/$C208)</f>
        <v>0</v>
      </c>
      <c r="S208" s="87">
        <f>IF((SUM($D208:R208)+$B208/$C208)&gt;$B208,$B208-SUM($D208:R208),$B208/$C208)</f>
        <v>0</v>
      </c>
      <c r="T208" s="87">
        <f>IF((SUM($D208:S208)+$B208/$C208)&gt;$B208,$B208-SUM($D208:S208),$B208/$C208)</f>
        <v>0</v>
      </c>
      <c r="U208" s="87">
        <f>IF((SUM($D208:T208)+$B208/$C208)&gt;$B208,$B208-SUM($D208:T208),$B208/$C208)</f>
        <v>0</v>
      </c>
      <c r="V208" s="87">
        <f>IF((SUM($D208:U208)+$B208/$C208)&gt;$B208,$B208-SUM($D208:U208),$B208/$C208)</f>
        <v>0</v>
      </c>
      <c r="W208" s="87">
        <f>IF((SUM($D208:V208)+$B208/$C208)&gt;$B208,$B208-SUM($D208:V208),$B208/$C208)</f>
        <v>0</v>
      </c>
      <c r="X208" s="87">
        <f>IF((SUM($D208:W208)+$B208/$C208)&gt;$B208,$B208-SUM($D208:W208),$B208/$C208)</f>
        <v>0</v>
      </c>
      <c r="Y208" s="87">
        <f>IF((SUM($D208:X208)+$B208/$C208)&gt;$B208,$B208-SUM($D208:X208),$B208/$C208)</f>
        <v>0</v>
      </c>
      <c r="Z208" s="87">
        <f>IF((SUM($D208:Y208)+$B208/$C208)&gt;$B208,$B208-SUM($D208:Y208),$B208/$C208)</f>
        <v>0</v>
      </c>
      <c r="AA208" s="87">
        <f>IF((SUM($D208:Z208)+$B208/$C208)&gt;$B208,$B208-SUM($D208:Z208),$B208/$C208)</f>
        <v>0</v>
      </c>
    </row>
    <row r="209" spans="1:27" outlineLevel="1" x14ac:dyDescent="0.25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7">
        <f>IF($C209=1,$B209,$B209/2/$C209)</f>
        <v>0</v>
      </c>
      <c r="K209" s="87">
        <f>IF((SUM($D209:J209)+$B209/$C209)&gt;$B209,$B209-SUM($D209:J209),$B209/$C209)</f>
        <v>0</v>
      </c>
      <c r="L209" s="87">
        <f>IF((SUM($D209:K209)+$B209/$C209)&gt;$B209,$B209-SUM($D209:K209),$B209/$C209)</f>
        <v>0</v>
      </c>
      <c r="M209" s="87">
        <f>IF((SUM($D209:L209)+$B209/$C209)&gt;$B209,$B209-SUM($D209:L209),$B209/$C209)</f>
        <v>0</v>
      </c>
      <c r="N209" s="87">
        <f>IF((SUM($D209:M209)+$B209/$C209)&gt;$B209,$B209-SUM($D209:M209),$B209/$C209)</f>
        <v>0</v>
      </c>
      <c r="O209" s="87">
        <f>IF((SUM($D209:N209)+$B209/$C209)&gt;$B209,$B209-SUM($D209:N209),$B209/$C209)</f>
        <v>0</v>
      </c>
      <c r="P209" s="87">
        <f>IF((SUM($D209:O209)+$B209/$C209)&gt;$B209,$B209-SUM($D209:O209),$B209/$C209)</f>
        <v>0</v>
      </c>
      <c r="Q209" s="87">
        <f>IF((SUM($D209:P209)+$B209/$C209)&gt;$B209,$B209-SUM($D209:P209),$B209/$C209)</f>
        <v>0</v>
      </c>
      <c r="R209" s="87">
        <f>IF((SUM($D209:Q209)+$B209/$C209)&gt;$B209,$B209-SUM($D209:Q209),$B209/$C209)</f>
        <v>0</v>
      </c>
      <c r="S209" s="87">
        <f>IF((SUM($D209:R209)+$B209/$C209)&gt;$B209,$B209-SUM($D209:R209),$B209/$C209)</f>
        <v>0</v>
      </c>
      <c r="T209" s="87">
        <f>IF((SUM($D209:S209)+$B209/$C209)&gt;$B209,$B209-SUM($D209:S209),$B209/$C209)</f>
        <v>0</v>
      </c>
      <c r="U209" s="87">
        <f>IF((SUM($D209:T209)+$B209/$C209)&gt;$B209,$B209-SUM($D209:T209),$B209/$C209)</f>
        <v>0</v>
      </c>
      <c r="V209" s="87">
        <f>IF((SUM($D209:U209)+$B209/$C209)&gt;$B209,$B209-SUM($D209:U209),$B209/$C209)</f>
        <v>0</v>
      </c>
      <c r="W209" s="87">
        <f>IF((SUM($D209:V209)+$B209/$C209)&gt;$B209,$B209-SUM($D209:V209),$B209/$C209)</f>
        <v>0</v>
      </c>
      <c r="X209" s="87">
        <f>IF((SUM($D209:W209)+$B209/$C209)&gt;$B209,$B209-SUM($D209:W209),$B209/$C209)</f>
        <v>0</v>
      </c>
      <c r="Y209" s="87">
        <f>IF((SUM($D209:X209)+$B209/$C209)&gt;$B209,$B209-SUM($D209:X209),$B209/$C209)</f>
        <v>0</v>
      </c>
      <c r="Z209" s="87">
        <f>IF((SUM($D209:Y209)+$B209/$C209)&gt;$B209,$B209-SUM($D209:Y209),$B209/$C209)</f>
        <v>0</v>
      </c>
      <c r="AA209" s="87">
        <f>IF((SUM($D209:Z209)+$B209/$C209)&gt;$B209,$B209-SUM($D209:Z209),$B209/$C209)</f>
        <v>0</v>
      </c>
    </row>
    <row r="210" spans="1:27" s="469" customFormat="1" outlineLevel="1" x14ac:dyDescent="0.25">
      <c r="B210" s="472">
        <f>SUM(B203:B209)</f>
        <v>9802.431782956337</v>
      </c>
      <c r="D210" s="696">
        <f t="shared" ref="D210:AA210" si="68">SUM(D203:D209)</f>
        <v>464.48069343563134</v>
      </c>
      <c r="E210" s="696">
        <f t="shared" si="68"/>
        <v>1722.5501255584743</v>
      </c>
      <c r="F210" s="696">
        <f t="shared" si="68"/>
        <v>2517.2370754401463</v>
      </c>
      <c r="G210" s="696">
        <f t="shared" si="68"/>
        <v>2538.8330583855645</v>
      </c>
      <c r="H210" s="696">
        <f t="shared" si="68"/>
        <v>2559.3308301365219</v>
      </c>
      <c r="I210" s="696">
        <f t="shared" si="68"/>
        <v>-8.8817841970012523E-16</v>
      </c>
      <c r="J210" s="696">
        <f t="shared" si="68"/>
        <v>0</v>
      </c>
      <c r="K210" s="696">
        <f t="shared" si="68"/>
        <v>0</v>
      </c>
      <c r="L210" s="696">
        <f t="shared" si="68"/>
        <v>0</v>
      </c>
      <c r="M210" s="696">
        <f t="shared" si="68"/>
        <v>0</v>
      </c>
      <c r="N210" s="696">
        <f t="shared" si="68"/>
        <v>0</v>
      </c>
      <c r="O210" s="696">
        <f t="shared" si="68"/>
        <v>0</v>
      </c>
      <c r="P210" s="696">
        <f t="shared" si="68"/>
        <v>0</v>
      </c>
      <c r="Q210" s="696">
        <f t="shared" si="68"/>
        <v>0</v>
      </c>
      <c r="R210" s="696">
        <f t="shared" si="68"/>
        <v>0</v>
      </c>
      <c r="S210" s="696">
        <f t="shared" si="68"/>
        <v>0</v>
      </c>
      <c r="T210" s="696">
        <f t="shared" si="68"/>
        <v>0</v>
      </c>
      <c r="U210" s="696">
        <f t="shared" si="68"/>
        <v>0</v>
      </c>
      <c r="V210" s="696">
        <f t="shared" si="68"/>
        <v>0</v>
      </c>
      <c r="W210" s="696">
        <f t="shared" si="68"/>
        <v>0</v>
      </c>
      <c r="X210" s="696">
        <f t="shared" si="68"/>
        <v>0</v>
      </c>
      <c r="Y210" s="696">
        <f t="shared" si="68"/>
        <v>0</v>
      </c>
      <c r="Z210" s="696">
        <f t="shared" si="68"/>
        <v>0</v>
      </c>
      <c r="AA210" s="696">
        <f t="shared" si="68"/>
        <v>0</v>
      </c>
    </row>
    <row r="211" spans="1:27" outlineLevel="1" x14ac:dyDescent="0.25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5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5">
      <c r="A213" s="3" t="str">
        <f>'Data 2009-15 (Real $2008)'!A$154</f>
        <v>Remotely read interval meters &amp; transformers</v>
      </c>
      <c r="B213" s="473" t="s">
        <v>324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5">
      <c r="A214" s="346" t="str">
        <f>$A$4</f>
        <v>($000 Real 2008)</v>
      </c>
      <c r="B214" s="474" t="s">
        <v>325</v>
      </c>
      <c r="C214" s="475" t="s">
        <v>321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5">
      <c r="A215" s="469">
        <v>2009</v>
      </c>
      <c r="B215" s="471">
        <f>D$182</f>
        <v>1159.830216960961</v>
      </c>
      <c r="C215" s="470">
        <f>'Data 2009-15 (Real $2008)'!C$154</f>
        <v>15</v>
      </c>
      <c r="D215" s="87">
        <f>IF(C215&lt;1,B215,B215/2/C215)</f>
        <v>38.661007232032034</v>
      </c>
      <c r="E215" s="87">
        <f>IF((SUM($D215:D215)+$B215/$C215)&gt;$B215,$B215-SUM($D215:D215),$B215/$C215)</f>
        <v>77.322014464064068</v>
      </c>
      <c r="F215" s="87">
        <f>IF((SUM($D215:E215)+$B215/$C215)&gt;$B215,$B215-SUM($D215:E215),$B215/$C215)</f>
        <v>77.322014464064068</v>
      </c>
      <c r="G215" s="87">
        <f>IF((SUM($D215:F215)+$B215/$C215)&gt;$B215,$B215-SUM($D215:F215),$B215/$C215)</f>
        <v>77.322014464064068</v>
      </c>
      <c r="H215" s="87">
        <f>IF((SUM($D215:G215)+$B215/$C215)&gt;$B215,$B215-SUM($D215:G215),$B215/$C215)</f>
        <v>77.322014464064068</v>
      </c>
      <c r="I215" s="87">
        <f>IF((SUM($D215:H215)+$B215/$C215)&gt;$B215,$B215-SUM($D215:H215),$B215/$C215)</f>
        <v>77.322014464064068</v>
      </c>
      <c r="J215" s="87">
        <f>IF((SUM($D215:I215)+$B215/$C215)&gt;$B215,$B215-SUM($D215:I215),$B215/$C215)</f>
        <v>77.322014464064068</v>
      </c>
      <c r="K215" s="87">
        <f>IF((SUM($D215:J215)+$B215/$C215)&gt;$B215,$B215-SUM($D215:J215),$B215/$C215)</f>
        <v>77.322014464064068</v>
      </c>
      <c r="L215" s="87">
        <f>IF((SUM($D215:K215)+$B215/$C215)&gt;$B215,$B215-SUM($D215:K215),$B215/$C215)</f>
        <v>77.322014464064068</v>
      </c>
      <c r="M215" s="87">
        <f>IF((SUM($D215:L215)+$B215/$C215)&gt;$B215,$B215-SUM($D215:L215),$B215/$C215)</f>
        <v>77.322014464064068</v>
      </c>
      <c r="N215" s="87">
        <f>IF((SUM($D215:M215)+$B215/$C215)&gt;$B215,$B215-SUM($D215:M215),$B215/$C215)</f>
        <v>77.322014464064068</v>
      </c>
      <c r="O215" s="87">
        <f>IF((SUM($D215:N215)+$B215/$C215)&gt;$B215,$B215-SUM($D215:N215),$B215/$C215)</f>
        <v>77.322014464064068</v>
      </c>
      <c r="P215" s="87">
        <f>IF((SUM($D215:O215)+$B215/$C215)&gt;$B215,$B215-SUM($D215:O215),$B215/$C215)</f>
        <v>77.322014464064068</v>
      </c>
      <c r="Q215" s="87">
        <f>IF((SUM($D215:P215)+$B215/$C215)&gt;$B215,$B215-SUM($D215:P215),$B215/$C215)</f>
        <v>77.322014464064068</v>
      </c>
      <c r="R215" s="87">
        <f>IF((SUM($D215:Q215)+$B215/$C215)&gt;$B215,$B215-SUM($D215:Q215),$B215/$C215)</f>
        <v>77.322014464064068</v>
      </c>
      <c r="S215" s="87">
        <f>IF((SUM($D215:R215)+$B215/$C215)&gt;$B215,$B215-SUM($D215:R215),$B215/$C215)</f>
        <v>38.661007232032034</v>
      </c>
      <c r="T215" s="87">
        <f>IF((SUM($D215:S215)+$B215/$C215)&gt;$B215,$B215-SUM($D215:S215),$B215/$C215)</f>
        <v>0</v>
      </c>
      <c r="U215" s="87">
        <f>IF((SUM($D215:T215)+$B215/$C215)&gt;$B215,$B215-SUM($D215:T215),$B215/$C215)</f>
        <v>0</v>
      </c>
      <c r="V215" s="87">
        <f>IF((SUM($D215:U215)+$B215/$C215)&gt;$B215,$B215-SUM($D215:U215),$B215/$C215)</f>
        <v>0</v>
      </c>
      <c r="W215" s="87">
        <f>IF((SUM($D215:V215)+$B215/$C215)&gt;$B215,$B215-SUM($D215:V215),$B215/$C215)</f>
        <v>0</v>
      </c>
      <c r="X215" s="87">
        <f>IF((SUM($D215:W215)+$B215/$C215)&gt;$B215,$B215-SUM($D215:W215),$B215/$C215)</f>
        <v>0</v>
      </c>
      <c r="Y215" s="87">
        <f>IF((SUM($D215:X215)+$B215/$C215)&gt;$B215,$B215-SUM($D215:X215),$B215/$C215)</f>
        <v>0</v>
      </c>
      <c r="Z215" s="87">
        <f>IF((SUM($D215:Y215)+$B215/$C215)&gt;$B215,$B215-SUM($D215:Y215),$B215/$C215)</f>
        <v>0</v>
      </c>
      <c r="AA215" s="87">
        <f>IF((SUM($D215:Z215)+$B215/$C215)&gt;$B215,$B215-SUM($D215:Z215),$B215/$C215)</f>
        <v>0</v>
      </c>
    </row>
    <row r="216" spans="1:27" outlineLevel="1" x14ac:dyDescent="0.25">
      <c r="A216" s="469">
        <v>2010</v>
      </c>
      <c r="B216" s="471">
        <f>E$182</f>
        <v>27930.710455013079</v>
      </c>
      <c r="C216" s="470">
        <f>'Data 2009-15 (Real $2008)'!C$154</f>
        <v>15</v>
      </c>
      <c r="D216" s="480"/>
      <c r="E216" s="87">
        <f>IF(C216&lt;1,B216,B216/2/C216)</f>
        <v>931.02368183376927</v>
      </c>
      <c r="F216" s="87">
        <f>IF((SUM($D216:E216)+$B216/$C216)&gt;$B216,$B216-SUM($D216:E216),$B216/$C216)</f>
        <v>1862.0473636675385</v>
      </c>
      <c r="G216" s="87">
        <f>IF((SUM($D216:F216)+$B216/$C216)&gt;$B216,$B216-SUM($D216:F216),$B216/$C216)</f>
        <v>1862.0473636675385</v>
      </c>
      <c r="H216" s="87">
        <f>IF((SUM($D216:G216)+$B216/$C216)&gt;$B216,$B216-SUM($D216:G216),$B216/$C216)</f>
        <v>1862.0473636675385</v>
      </c>
      <c r="I216" s="87">
        <f>IF((SUM($D216:H216)+$B216/$C216)&gt;$B216,$B216-SUM($D216:H216),$B216/$C216)</f>
        <v>1862.0473636675385</v>
      </c>
      <c r="J216" s="87">
        <f>IF((SUM($D216:I216)+$B216/$C216)&gt;$B216,$B216-SUM($D216:I216),$B216/$C216)</f>
        <v>1862.0473636675385</v>
      </c>
      <c r="K216" s="87">
        <f>IF((SUM($D216:J216)+$B216/$C216)&gt;$B216,$B216-SUM($D216:J216),$B216/$C216)</f>
        <v>1862.0473636675385</v>
      </c>
      <c r="L216" s="87">
        <f>IF((SUM($D216:K216)+$B216/$C216)&gt;$B216,$B216-SUM($D216:K216),$B216/$C216)</f>
        <v>1862.0473636675385</v>
      </c>
      <c r="M216" s="87">
        <f>IF((SUM($D216:L216)+$B216/$C216)&gt;$B216,$B216-SUM($D216:L216),$B216/$C216)</f>
        <v>1862.0473636675385</v>
      </c>
      <c r="N216" s="87">
        <f>IF((SUM($D216:M216)+$B216/$C216)&gt;$B216,$B216-SUM($D216:M216),$B216/$C216)</f>
        <v>1862.0473636675385</v>
      </c>
      <c r="O216" s="87">
        <f>IF((SUM($D216:N216)+$B216/$C216)&gt;$B216,$B216-SUM($D216:N216),$B216/$C216)</f>
        <v>1862.0473636675385</v>
      </c>
      <c r="P216" s="87">
        <f>IF((SUM($D216:O216)+$B216/$C216)&gt;$B216,$B216-SUM($D216:O216),$B216/$C216)</f>
        <v>1862.0473636675385</v>
      </c>
      <c r="Q216" s="87">
        <f>IF((SUM($D216:P216)+$B216/$C216)&gt;$B216,$B216-SUM($D216:P216),$B216/$C216)</f>
        <v>1862.0473636675385</v>
      </c>
      <c r="R216" s="87">
        <f>IF((SUM($D216:Q216)+$B216/$C216)&gt;$B216,$B216-SUM($D216:Q216),$B216/$C216)</f>
        <v>1862.0473636675385</v>
      </c>
      <c r="S216" s="87">
        <f>IF((SUM($D216:R216)+$B216/$C216)&gt;$B216,$B216-SUM($D216:R216),$B216/$C216)</f>
        <v>1862.0473636675385</v>
      </c>
      <c r="T216" s="87">
        <f>IF((SUM($D216:S216)+$B216/$C216)&gt;$B216,$B216-SUM($D216:S216),$B216/$C216)</f>
        <v>931.02368183377621</v>
      </c>
      <c r="U216" s="87">
        <f>IF((SUM($D216:T216)+$B216/$C216)&gt;$B216,$B216-SUM($D216:T216),$B216/$C216)</f>
        <v>0</v>
      </c>
      <c r="V216" s="87">
        <f>IF((SUM($D216:U216)+$B216/$C216)&gt;$B216,$B216-SUM($D216:U216),$B216/$C216)</f>
        <v>0</v>
      </c>
      <c r="W216" s="87">
        <f>IF((SUM($D216:V216)+$B216/$C216)&gt;$B216,$B216-SUM($D216:V216),$B216/$C216)</f>
        <v>0</v>
      </c>
      <c r="X216" s="87">
        <f>IF((SUM($D216:W216)+$B216/$C216)&gt;$B216,$B216-SUM($D216:W216),$B216/$C216)</f>
        <v>0</v>
      </c>
      <c r="Y216" s="87">
        <f>IF((SUM($D216:X216)+$B216/$C216)&gt;$B216,$B216-SUM($D216:X216),$B216/$C216)</f>
        <v>0</v>
      </c>
      <c r="Z216" s="87">
        <f>IF((SUM($D216:Y216)+$B216/$C216)&gt;$B216,$B216-SUM($D216:Y216),$B216/$C216)</f>
        <v>0</v>
      </c>
      <c r="AA216" s="87">
        <f>IF((SUM($D216:Z216)+$B216/$C216)&gt;$B216,$B216-SUM($D216:Z216),$B216/$C216)</f>
        <v>0</v>
      </c>
    </row>
    <row r="217" spans="1:27" outlineLevel="1" x14ac:dyDescent="0.25">
      <c r="A217" s="469">
        <v>2011</v>
      </c>
      <c r="B217" s="471">
        <f>F$182</f>
        <v>73445.619157530295</v>
      </c>
      <c r="C217" s="470">
        <f>'Data 2009-15 (Real $2008)'!C$154</f>
        <v>15</v>
      </c>
      <c r="D217" s="480"/>
      <c r="E217" s="480"/>
      <c r="F217" s="87">
        <f>IF(C217&lt;1,B217,B217/2/C217)</f>
        <v>2448.18730525101</v>
      </c>
      <c r="G217" s="87">
        <f>IF((SUM($D217:F217)+$B217/$C217)&gt;$B217,$B217-SUM($D217:F217),$B217/$C217)</f>
        <v>4896.37461050202</v>
      </c>
      <c r="H217" s="87">
        <f>IF((SUM($D217:G217)+$B217/$C217)&gt;$B217,$B217-SUM($D217:G217),$B217/$C217)</f>
        <v>4896.37461050202</v>
      </c>
      <c r="I217" s="87">
        <f>IF((SUM($D217:H217)+$B217/$C217)&gt;$B217,$B217-SUM($D217:H217),$B217/$C217)</f>
        <v>4896.37461050202</v>
      </c>
      <c r="J217" s="87">
        <f>IF((SUM($D217:I217)+$B217/$C217)&gt;$B217,$B217-SUM($D217:I217),$B217/$C217)</f>
        <v>4896.37461050202</v>
      </c>
      <c r="K217" s="87">
        <f>IF((SUM($D217:J217)+$B217/$C217)&gt;$B217,$B217-SUM($D217:J217),$B217/$C217)</f>
        <v>4896.37461050202</v>
      </c>
      <c r="L217" s="87">
        <f>IF((SUM($D217:K217)+$B217/$C217)&gt;$B217,$B217-SUM($D217:K217),$B217/$C217)</f>
        <v>4896.37461050202</v>
      </c>
      <c r="M217" s="87">
        <f>IF((SUM($D217:L217)+$B217/$C217)&gt;$B217,$B217-SUM($D217:L217),$B217/$C217)</f>
        <v>4896.37461050202</v>
      </c>
      <c r="N217" s="87">
        <f>IF((SUM($D217:M217)+$B217/$C217)&gt;$B217,$B217-SUM($D217:M217),$B217/$C217)</f>
        <v>4896.37461050202</v>
      </c>
      <c r="O217" s="87">
        <f>IF((SUM($D217:N217)+$B217/$C217)&gt;$B217,$B217-SUM($D217:N217),$B217/$C217)</f>
        <v>4896.37461050202</v>
      </c>
      <c r="P217" s="87">
        <f>IF((SUM($D217:O217)+$B217/$C217)&gt;$B217,$B217-SUM($D217:O217),$B217/$C217)</f>
        <v>4896.37461050202</v>
      </c>
      <c r="Q217" s="87">
        <f>IF((SUM($D217:P217)+$B217/$C217)&gt;$B217,$B217-SUM($D217:P217),$B217/$C217)</f>
        <v>4896.37461050202</v>
      </c>
      <c r="R217" s="87">
        <f>IF((SUM($D217:Q217)+$B217/$C217)&gt;$B217,$B217-SUM($D217:Q217),$B217/$C217)</f>
        <v>4896.37461050202</v>
      </c>
      <c r="S217" s="87">
        <f>IF((SUM($D217:R217)+$B217/$C217)&gt;$B217,$B217-SUM($D217:R217),$B217/$C217)</f>
        <v>4896.37461050202</v>
      </c>
      <c r="T217" s="87">
        <f>IF((SUM($D217:S217)+$B217/$C217)&gt;$B217,$B217-SUM($D217:S217),$B217/$C217)</f>
        <v>4896.37461050202</v>
      </c>
      <c r="U217" s="87">
        <f>IF((SUM($D217:T217)+$B217/$C217)&gt;$B217,$B217-SUM($D217:T217),$B217/$C217)</f>
        <v>2448.18730525102</v>
      </c>
      <c r="V217" s="87">
        <f>IF((SUM($D217:U217)+$B217/$C217)&gt;$B217,$B217-SUM($D217:U217),$B217/$C217)</f>
        <v>0</v>
      </c>
      <c r="W217" s="87">
        <f>IF((SUM($D217:V217)+$B217/$C217)&gt;$B217,$B217-SUM($D217:V217),$B217/$C217)</f>
        <v>0</v>
      </c>
      <c r="X217" s="87">
        <f>IF((SUM($D217:W217)+$B217/$C217)&gt;$B217,$B217-SUM($D217:W217),$B217/$C217)</f>
        <v>0</v>
      </c>
      <c r="Y217" s="87">
        <f>IF((SUM($D217:X217)+$B217/$C217)&gt;$B217,$B217-SUM($D217:X217),$B217/$C217)</f>
        <v>0</v>
      </c>
      <c r="Z217" s="87">
        <f>IF((SUM($D217:Y217)+$B217/$C217)&gt;$B217,$B217-SUM($D217:Y217),$B217/$C217)</f>
        <v>0</v>
      </c>
      <c r="AA217" s="87">
        <f>IF((SUM($D217:Z217)+$B217/$C217)&gt;$B217,$B217-SUM($D217:Z217),$B217/$C217)</f>
        <v>0</v>
      </c>
    </row>
    <row r="218" spans="1:27" outlineLevel="1" x14ac:dyDescent="0.25">
      <c r="A218" s="469">
        <v>2012</v>
      </c>
      <c r="B218" s="471">
        <f>G$182</f>
        <v>80111.884399314353</v>
      </c>
      <c r="C218" s="470">
        <f>'Data 2009-15 (Real $2008)'!C$154</f>
        <v>15</v>
      </c>
      <c r="D218" s="480"/>
      <c r="E218" s="480"/>
      <c r="F218" s="480"/>
      <c r="G218" s="87">
        <f>IF($C218=1,$B218,$B218/2/$C218)</f>
        <v>2670.3961466438118</v>
      </c>
      <c r="H218" s="87">
        <f>IF((SUM($D218:G218)+$B218/$C218)&gt;$B218,$B218-SUM($D218:G218),$B218/$C218)</f>
        <v>5340.7922932876236</v>
      </c>
      <c r="I218" s="87">
        <f>IF((SUM($D218:H218)+$B218/$C218)&gt;$B218,$B218-SUM($D218:H218),$B218/$C218)</f>
        <v>5340.7922932876236</v>
      </c>
      <c r="J218" s="87">
        <f>IF((SUM($D218:I218)+$B218/$C218)&gt;$B218,$B218-SUM($D218:I218),$B218/$C218)</f>
        <v>5340.7922932876236</v>
      </c>
      <c r="K218" s="87">
        <f>IF((SUM($D218:J218)+$B218/$C218)&gt;$B218,$B218-SUM($D218:J218),$B218/$C218)</f>
        <v>5340.7922932876236</v>
      </c>
      <c r="L218" s="87">
        <f>IF((SUM($D218:K218)+$B218/$C218)&gt;$B218,$B218-SUM($D218:K218),$B218/$C218)</f>
        <v>5340.7922932876236</v>
      </c>
      <c r="M218" s="87">
        <f>IF((SUM($D218:L218)+$B218/$C218)&gt;$B218,$B218-SUM($D218:L218),$B218/$C218)</f>
        <v>5340.7922932876236</v>
      </c>
      <c r="N218" s="87">
        <f>IF((SUM($D218:M218)+$B218/$C218)&gt;$B218,$B218-SUM($D218:M218),$B218/$C218)</f>
        <v>5340.7922932876236</v>
      </c>
      <c r="O218" s="87">
        <f>IF((SUM($D218:N218)+$B218/$C218)&gt;$B218,$B218-SUM($D218:N218),$B218/$C218)</f>
        <v>5340.7922932876236</v>
      </c>
      <c r="P218" s="87">
        <f>IF((SUM($D218:O218)+$B218/$C218)&gt;$B218,$B218-SUM($D218:O218),$B218/$C218)</f>
        <v>5340.7922932876236</v>
      </c>
      <c r="Q218" s="87">
        <f>IF((SUM($D218:P218)+$B218/$C218)&gt;$B218,$B218-SUM($D218:P218),$B218/$C218)</f>
        <v>5340.7922932876236</v>
      </c>
      <c r="R218" s="87">
        <f>IF((SUM($D218:Q218)+$B218/$C218)&gt;$B218,$B218-SUM($D218:Q218),$B218/$C218)</f>
        <v>5340.7922932876236</v>
      </c>
      <c r="S218" s="87">
        <f>IF((SUM($D218:R218)+$B218/$C218)&gt;$B218,$B218-SUM($D218:R218),$B218/$C218)</f>
        <v>5340.7922932876236</v>
      </c>
      <c r="T218" s="87">
        <f>IF((SUM($D218:S218)+$B218/$C218)&gt;$B218,$B218-SUM($D218:S218),$B218/$C218)</f>
        <v>5340.7922932876236</v>
      </c>
      <c r="U218" s="87">
        <f>IF((SUM($D218:T218)+$B218/$C218)&gt;$B218,$B218-SUM($D218:T218),$B218/$C218)</f>
        <v>5340.7922932876236</v>
      </c>
      <c r="V218" s="87">
        <f>IF((SUM($D218:U218)+$B218/$C218)&gt;$B218,$B218-SUM($D218:U218),$B218/$C218)</f>
        <v>2670.396146643805</v>
      </c>
      <c r="W218" s="87">
        <f>IF((SUM($D218:V218)+$B218/$C218)&gt;$B218,$B218-SUM($D218:V218),$B218/$C218)</f>
        <v>0</v>
      </c>
      <c r="X218" s="87">
        <f>IF((SUM($D218:W218)+$B218/$C218)&gt;$B218,$B218-SUM($D218:W218),$B218/$C218)</f>
        <v>0</v>
      </c>
      <c r="Y218" s="87">
        <f>IF((SUM($D218:X218)+$B218/$C218)&gt;$B218,$B218-SUM($D218:X218),$B218/$C218)</f>
        <v>0</v>
      </c>
      <c r="Z218" s="87">
        <f>IF((SUM($D218:Y218)+$B218/$C218)&gt;$B218,$B218-SUM($D218:Y218),$B218/$C218)</f>
        <v>0</v>
      </c>
      <c r="AA218" s="87">
        <f>IF((SUM($D218:Z218)+$B218/$C218)&gt;$B218,$B218-SUM($D218:Z218),$B218/$C218)</f>
        <v>0</v>
      </c>
    </row>
    <row r="219" spans="1:27" outlineLevel="1" x14ac:dyDescent="0.25">
      <c r="A219" s="469">
        <v>2013</v>
      </c>
      <c r="B219" s="471">
        <f>H$182</f>
        <v>81918.832412679607</v>
      </c>
      <c r="C219" s="470">
        <f>'Data 2009-15 (Real $2008)'!C$154</f>
        <v>15</v>
      </c>
      <c r="D219" s="480"/>
      <c r="E219" s="480"/>
      <c r="F219" s="480"/>
      <c r="G219" s="480"/>
      <c r="H219" s="87">
        <f>IF($C219=1,$B219,$B219/2/$C219)</f>
        <v>2730.6277470893201</v>
      </c>
      <c r="I219" s="87">
        <f>IF((SUM($D219:H219)+$B219/$C219)&gt;$B219,$B219-SUM($D219:H219),$B219/$C219)</f>
        <v>5461.2554941786402</v>
      </c>
      <c r="J219" s="87">
        <f>IF((SUM($D219:I219)+$B219/$C219)&gt;$B219,$B219-SUM($D219:I219),$B219/$C219)</f>
        <v>5461.2554941786402</v>
      </c>
      <c r="K219" s="87">
        <f>IF((SUM($D219:J219)+$B219/$C219)&gt;$B219,$B219-SUM($D219:J219),$B219/$C219)</f>
        <v>5461.2554941786402</v>
      </c>
      <c r="L219" s="87">
        <f>IF((SUM($D219:K219)+$B219/$C219)&gt;$B219,$B219-SUM($D219:K219),$B219/$C219)</f>
        <v>5461.2554941786402</v>
      </c>
      <c r="M219" s="87">
        <f>IF((SUM($D219:L219)+$B219/$C219)&gt;$B219,$B219-SUM($D219:L219),$B219/$C219)</f>
        <v>5461.2554941786402</v>
      </c>
      <c r="N219" s="87">
        <f>IF((SUM($D219:M219)+$B219/$C219)&gt;$B219,$B219-SUM($D219:M219),$B219/$C219)</f>
        <v>5461.2554941786402</v>
      </c>
      <c r="O219" s="87">
        <f>IF((SUM($D219:N219)+$B219/$C219)&gt;$B219,$B219-SUM($D219:N219),$B219/$C219)</f>
        <v>5461.2554941786402</v>
      </c>
      <c r="P219" s="87">
        <f>IF((SUM($D219:O219)+$B219/$C219)&gt;$B219,$B219-SUM($D219:O219),$B219/$C219)</f>
        <v>5461.2554941786402</v>
      </c>
      <c r="Q219" s="87">
        <f>IF((SUM($D219:P219)+$B219/$C219)&gt;$B219,$B219-SUM($D219:P219),$B219/$C219)</f>
        <v>5461.2554941786402</v>
      </c>
      <c r="R219" s="87">
        <f>IF((SUM($D219:Q219)+$B219/$C219)&gt;$B219,$B219-SUM($D219:Q219),$B219/$C219)</f>
        <v>5461.2554941786402</v>
      </c>
      <c r="S219" s="87">
        <f>IF((SUM($D219:R219)+$B219/$C219)&gt;$B219,$B219-SUM($D219:R219),$B219/$C219)</f>
        <v>5461.2554941786402</v>
      </c>
      <c r="T219" s="87">
        <f>IF((SUM($D219:S219)+$B219/$C219)&gt;$B219,$B219-SUM($D219:S219),$B219/$C219)</f>
        <v>5461.2554941786402</v>
      </c>
      <c r="U219" s="87">
        <f>IF((SUM($D219:T219)+$B219/$C219)&gt;$B219,$B219-SUM($D219:T219),$B219/$C219)</f>
        <v>5461.2554941786402</v>
      </c>
      <c r="V219" s="87">
        <f>IF((SUM($D219:U219)+$B219/$C219)&gt;$B219,$B219-SUM($D219:U219),$B219/$C219)</f>
        <v>5461.2554941786402</v>
      </c>
      <c r="W219" s="87">
        <f>IF((SUM($D219:V219)+$B219/$C219)&gt;$B219,$B219-SUM($D219:V219),$B219/$C219)</f>
        <v>2730.6277470893547</v>
      </c>
      <c r="X219" s="87">
        <f>IF((SUM($D219:W219)+$B219/$C219)&gt;$B219,$B219-SUM($D219:W219),$B219/$C219)</f>
        <v>0</v>
      </c>
      <c r="Y219" s="87">
        <f>IF((SUM($D219:X219)+$B219/$C219)&gt;$B219,$B219-SUM($D219:X219),$B219/$C219)</f>
        <v>0</v>
      </c>
      <c r="Z219" s="87">
        <f>IF((SUM($D219:Y219)+$B219/$C219)&gt;$B219,$B219-SUM($D219:Y219),$B219/$C219)</f>
        <v>0</v>
      </c>
      <c r="AA219" s="87">
        <f>IF((SUM($D219:Z219)+$B219/$C219)&gt;$B219,$B219-SUM($D219:Z219),$B219/$C219)</f>
        <v>0</v>
      </c>
    </row>
    <row r="220" spans="1:27" outlineLevel="1" x14ac:dyDescent="0.25">
      <c r="A220" s="469">
        <v>2014</v>
      </c>
      <c r="B220" s="471">
        <f>I$182</f>
        <v>32238.93930625252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7">
        <f>IF($C220=1,$B220,$B220/2/$C220)</f>
        <v>1074.6313102084173</v>
      </c>
      <c r="J220" s="87">
        <f>IF((SUM($D220:I220)+$B220/$C220)&gt;$B220,$B220-SUM($D220:I220),$B220/$C220)</f>
        <v>2149.2626204168346</v>
      </c>
      <c r="K220" s="87">
        <f>IF((SUM($D220:J220)+$B220/$C220)&gt;$B220,$B220-SUM($D220:J220),$B220/$C220)</f>
        <v>2149.2626204168346</v>
      </c>
      <c r="L220" s="87">
        <f>IF((SUM($D220:K220)+$B220/$C220)&gt;$B220,$B220-SUM($D220:K220),$B220/$C220)</f>
        <v>2149.2626204168346</v>
      </c>
      <c r="M220" s="87">
        <f>IF((SUM($D220:L220)+$B220/$C220)&gt;$B220,$B220-SUM($D220:L220),$B220/$C220)</f>
        <v>2149.2626204168346</v>
      </c>
      <c r="N220" s="87">
        <f>IF((SUM($D220:M220)+$B220/$C220)&gt;$B220,$B220-SUM($D220:M220),$B220/$C220)</f>
        <v>2149.2626204168346</v>
      </c>
      <c r="O220" s="87">
        <f>IF((SUM($D220:N220)+$B220/$C220)&gt;$B220,$B220-SUM($D220:N220),$B220/$C220)</f>
        <v>2149.2626204168346</v>
      </c>
      <c r="P220" s="87">
        <f>IF((SUM($D220:O220)+$B220/$C220)&gt;$B220,$B220-SUM($D220:O220),$B220/$C220)</f>
        <v>2149.2626204168346</v>
      </c>
      <c r="Q220" s="87">
        <f>IF((SUM($D220:P220)+$B220/$C220)&gt;$B220,$B220-SUM($D220:P220),$B220/$C220)</f>
        <v>2149.2626204168346</v>
      </c>
      <c r="R220" s="87">
        <f>IF((SUM($D220:Q220)+$B220/$C220)&gt;$B220,$B220-SUM($D220:Q220),$B220/$C220)</f>
        <v>2149.2626204168346</v>
      </c>
      <c r="S220" s="87">
        <f>IF((SUM($D220:R220)+$B220/$C220)&gt;$B220,$B220-SUM($D220:R220),$B220/$C220)</f>
        <v>2149.2626204168346</v>
      </c>
      <c r="T220" s="87">
        <f>IF((SUM($D220:S220)+$B220/$C220)&gt;$B220,$B220-SUM($D220:S220),$B220/$C220)</f>
        <v>2149.2626204168346</v>
      </c>
      <c r="U220" s="87">
        <f>IF((SUM($D220:T220)+$B220/$C220)&gt;$B220,$B220-SUM($D220:T220),$B220/$C220)</f>
        <v>2149.2626204168346</v>
      </c>
      <c r="V220" s="87">
        <f>IF((SUM($D220:U220)+$B220/$C220)&gt;$B220,$B220-SUM($D220:U220),$B220/$C220)</f>
        <v>2149.2626204168346</v>
      </c>
      <c r="W220" s="87">
        <f>IF((SUM($D220:V220)+$B220/$C220)&gt;$B220,$B220-SUM($D220:V220),$B220/$C220)</f>
        <v>2149.2626204168346</v>
      </c>
      <c r="X220" s="87">
        <f>IF((SUM($D220:W220)+$B220/$C220)&gt;$B220,$B220-SUM($D220:W220),$B220/$C220)</f>
        <v>1074.6313102084277</v>
      </c>
      <c r="Y220" s="87">
        <f>IF((SUM($D220:X220)+$B220/$C220)&gt;$B220,$B220-SUM($D220:X220),$B220/$C220)</f>
        <v>0</v>
      </c>
      <c r="Z220" s="87">
        <f>IF((SUM($D220:Y220)+$B220/$C220)&gt;$B220,$B220-SUM($D220:Y220),$B220/$C220)</f>
        <v>0</v>
      </c>
      <c r="AA220" s="87">
        <f>IF((SUM($D220:Z220)+$B220/$C220)&gt;$B220,$B220-SUM($D220:Z220),$B220/$C220)</f>
        <v>0</v>
      </c>
    </row>
    <row r="221" spans="1:27" outlineLevel="1" x14ac:dyDescent="0.25">
      <c r="A221" s="469">
        <v>2015</v>
      </c>
      <c r="B221" s="471">
        <f>J$182</f>
        <v>3815.0150730999835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7">
        <f>IF($C221=1,$B221,$B221/2/$C221)</f>
        <v>127.16716910333278</v>
      </c>
      <c r="K221" s="87">
        <f>IF((SUM($D221:J221)+$B221/$C221)&gt;$B221,$B221-SUM($D221:J221),$B221/$C221)</f>
        <v>254.33433820666556</v>
      </c>
      <c r="L221" s="87">
        <f>IF((SUM($D221:K221)+$B221/$C221)&gt;$B221,$B221-SUM($D221:K221),$B221/$C221)</f>
        <v>254.33433820666556</v>
      </c>
      <c r="M221" s="87">
        <f>IF((SUM($D221:L221)+$B221/$C221)&gt;$B221,$B221-SUM($D221:L221),$B221/$C221)</f>
        <v>254.33433820666556</v>
      </c>
      <c r="N221" s="87">
        <f>IF((SUM($D221:M221)+$B221/$C221)&gt;$B221,$B221-SUM($D221:M221),$B221/$C221)</f>
        <v>254.33433820666556</v>
      </c>
      <c r="O221" s="87">
        <f>IF((SUM($D221:N221)+$B221/$C221)&gt;$B221,$B221-SUM($D221:N221),$B221/$C221)</f>
        <v>254.33433820666556</v>
      </c>
      <c r="P221" s="87">
        <f>IF((SUM($D221:O221)+$B221/$C221)&gt;$B221,$B221-SUM($D221:O221),$B221/$C221)</f>
        <v>254.33433820666556</v>
      </c>
      <c r="Q221" s="87">
        <f>IF((SUM($D221:P221)+$B221/$C221)&gt;$B221,$B221-SUM($D221:P221),$B221/$C221)</f>
        <v>254.33433820666556</v>
      </c>
      <c r="R221" s="87">
        <f>IF((SUM($D221:Q221)+$B221/$C221)&gt;$B221,$B221-SUM($D221:Q221),$B221/$C221)</f>
        <v>254.33433820666556</v>
      </c>
      <c r="S221" s="87">
        <f>IF((SUM($D221:R221)+$B221/$C221)&gt;$B221,$B221-SUM($D221:R221),$B221/$C221)</f>
        <v>254.33433820666556</v>
      </c>
      <c r="T221" s="87">
        <f>IF((SUM($D221:S221)+$B221/$C221)&gt;$B221,$B221-SUM($D221:S221),$B221/$C221)</f>
        <v>254.33433820666556</v>
      </c>
      <c r="U221" s="87">
        <f>IF((SUM($D221:T221)+$B221/$C221)&gt;$B221,$B221-SUM($D221:T221),$B221/$C221)</f>
        <v>254.33433820666556</v>
      </c>
      <c r="V221" s="87">
        <f>IF((SUM($D221:U221)+$B221/$C221)&gt;$B221,$B221-SUM($D221:U221),$B221/$C221)</f>
        <v>254.33433820666556</v>
      </c>
      <c r="W221" s="87">
        <f>IF((SUM($D221:V221)+$B221/$C221)&gt;$B221,$B221-SUM($D221:V221),$B221/$C221)</f>
        <v>254.33433820666556</v>
      </c>
      <c r="X221" s="87">
        <f>IF((SUM($D221:W221)+$B221/$C221)&gt;$B221,$B221-SUM($D221:W221),$B221/$C221)</f>
        <v>254.33433820666556</v>
      </c>
      <c r="Y221" s="87">
        <f>IF((SUM($D221:X221)+$B221/$C221)&gt;$B221,$B221-SUM($D221:X221),$B221/$C221)</f>
        <v>127.16716910333344</v>
      </c>
      <c r="Z221" s="87">
        <f>IF((SUM($D221:Y221)+$B221/$C221)&gt;$B221,$B221-SUM($D221:Y221),$B221/$C221)</f>
        <v>0</v>
      </c>
      <c r="AA221" s="87">
        <f>IF((SUM($D221:Z221)+$B221/$C221)&gt;$B221,$B221-SUM($D221:Z221),$B221/$C221)</f>
        <v>0</v>
      </c>
    </row>
    <row r="222" spans="1:27" s="469" customFormat="1" outlineLevel="1" x14ac:dyDescent="0.25">
      <c r="B222" s="472">
        <f>SUM(B215:B221)</f>
        <v>300620.8310208508</v>
      </c>
      <c r="D222" s="696">
        <f t="shared" ref="D222:AA222" si="70">SUM(D215:D221)</f>
        <v>38.661007232032034</v>
      </c>
      <c r="E222" s="696">
        <f t="shared" si="70"/>
        <v>1008.3456962978333</v>
      </c>
      <c r="F222" s="696">
        <f t="shared" si="70"/>
        <v>4387.5566833826124</v>
      </c>
      <c r="G222" s="696">
        <f t="shared" si="70"/>
        <v>9506.1401352774337</v>
      </c>
      <c r="H222" s="696">
        <f t="shared" si="70"/>
        <v>14907.164029010566</v>
      </c>
      <c r="I222" s="696">
        <f t="shared" si="70"/>
        <v>18712.423086308303</v>
      </c>
      <c r="J222" s="696">
        <f t="shared" si="70"/>
        <v>19914.221565620053</v>
      </c>
      <c r="K222" s="696">
        <f t="shared" si="70"/>
        <v>20041.388734723387</v>
      </c>
      <c r="L222" s="696">
        <f t="shared" si="70"/>
        <v>20041.388734723387</v>
      </c>
      <c r="M222" s="696">
        <f t="shared" si="70"/>
        <v>20041.388734723387</v>
      </c>
      <c r="N222" s="696">
        <f t="shared" si="70"/>
        <v>20041.388734723387</v>
      </c>
      <c r="O222" s="696">
        <f t="shared" si="70"/>
        <v>20041.388734723387</v>
      </c>
      <c r="P222" s="696">
        <f t="shared" si="70"/>
        <v>20041.388734723387</v>
      </c>
      <c r="Q222" s="696">
        <f t="shared" si="70"/>
        <v>20041.388734723387</v>
      </c>
      <c r="R222" s="696">
        <f t="shared" si="70"/>
        <v>20041.388734723387</v>
      </c>
      <c r="S222" s="696">
        <f t="shared" si="70"/>
        <v>20002.727727491354</v>
      </c>
      <c r="T222" s="696">
        <f t="shared" si="70"/>
        <v>19033.04303842556</v>
      </c>
      <c r="U222" s="696">
        <f t="shared" si="70"/>
        <v>15653.832051340783</v>
      </c>
      <c r="V222" s="696">
        <f t="shared" si="70"/>
        <v>10535.248599445944</v>
      </c>
      <c r="W222" s="696">
        <f t="shared" si="70"/>
        <v>5134.2247057128552</v>
      </c>
      <c r="X222" s="696">
        <f t="shared" si="70"/>
        <v>1328.9656484150933</v>
      </c>
      <c r="Y222" s="696">
        <f t="shared" si="70"/>
        <v>127.16716910333344</v>
      </c>
      <c r="Z222" s="696">
        <f t="shared" si="70"/>
        <v>0</v>
      </c>
      <c r="AA222" s="696">
        <f t="shared" si="70"/>
        <v>0</v>
      </c>
    </row>
    <row r="223" spans="1:27" outlineLevel="1" x14ac:dyDescent="0.25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5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5">
      <c r="A225" s="346" t="s">
        <v>276</v>
      </c>
      <c r="B225" s="473" t="s">
        <v>324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5">
      <c r="A226" s="346" t="str">
        <f>$A$4</f>
        <v>($000 Real 2008)</v>
      </c>
      <c r="B226" s="474" t="s">
        <v>325</v>
      </c>
      <c r="C226" s="475" t="s">
        <v>321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5">
      <c r="A227" s="469">
        <v>2009</v>
      </c>
      <c r="B227" s="471">
        <f>D$183</f>
        <v>25201.355566902545</v>
      </c>
      <c r="C227" s="470">
        <f>'Data 2009-15 (Real $2008)'!C$155</f>
        <v>7</v>
      </c>
      <c r="D227" s="87">
        <f>IF(C227&lt;1,B227,B227/2/C227)</f>
        <v>1800.0968262073245</v>
      </c>
      <c r="E227" s="87">
        <f>IF((SUM($D227:D227)+$B227/$C227)&gt;$B227,$B227-SUM($D227:D227),$B227/$C227)</f>
        <v>3600.193652414649</v>
      </c>
      <c r="F227" s="87">
        <f>IF((SUM($D227:E227)+$B227/$C227)&gt;$B227,$B227-SUM($D227:E227),$B227/$C227)</f>
        <v>3600.193652414649</v>
      </c>
      <c r="G227" s="87">
        <f>IF((SUM($D227:F227)+$B227/$C227)&gt;$B227,$B227-SUM($D227:F227),$B227/$C227)</f>
        <v>3600.193652414649</v>
      </c>
      <c r="H227" s="87">
        <f>IF((SUM($D227:G227)+$B227/$C227)&gt;$B227,$B227-SUM($D227:G227),$B227/$C227)</f>
        <v>3600.193652414649</v>
      </c>
      <c r="I227" s="87">
        <f>IF((SUM($D227:H227)+$B227/$C227)&gt;$B227,$B227-SUM($D227:H227),$B227/$C227)</f>
        <v>3600.193652414649</v>
      </c>
      <c r="J227" s="87">
        <f>IF((SUM($D227:I227)+$B227/$C227)&gt;$B227,$B227-SUM($D227:I227),$B227/$C227)</f>
        <v>3600.193652414649</v>
      </c>
      <c r="K227" s="87">
        <f>IF((SUM($D227:J227)+$B227/$C227)&gt;$B227,$B227-SUM($D227:J227),$B227/$C227)</f>
        <v>1800.0968262073256</v>
      </c>
      <c r="L227" s="87">
        <f>IF((SUM($D227:K227)+$B227/$C227)&gt;$B227,$B227-SUM($D227:K227),$B227/$C227)</f>
        <v>0</v>
      </c>
      <c r="M227" s="87">
        <f>IF((SUM($D227:L227)+$B227/$C227)&gt;$B227,$B227-SUM($D227:L227),$B227/$C227)</f>
        <v>0</v>
      </c>
      <c r="N227" s="87">
        <f>IF((SUM($D227:M227)+$B227/$C227)&gt;$B227,$B227-SUM($D227:M227),$B227/$C227)</f>
        <v>0</v>
      </c>
      <c r="O227" s="87">
        <f>IF((SUM($D227:N227)+$B227/$C227)&gt;$B227,$B227-SUM($D227:N227),$B227/$C227)</f>
        <v>0</v>
      </c>
      <c r="P227" s="87">
        <f>IF((SUM($D227:O227)+$B227/$C227)&gt;$B227,$B227-SUM($D227:O227),$B227/$C227)</f>
        <v>0</v>
      </c>
      <c r="Q227" s="87">
        <f>IF((SUM($D227:P227)+$B227/$C227)&gt;$B227,$B227-SUM($D227:P227),$B227/$C227)</f>
        <v>0</v>
      </c>
      <c r="R227" s="87">
        <f>IF((SUM($D227:Q227)+$B227/$C227)&gt;$B227,$B227-SUM($D227:Q227),$B227/$C227)</f>
        <v>0</v>
      </c>
      <c r="S227" s="87">
        <f>IF((SUM($D227:R227)+$B227/$C227)&gt;$B227,$B227-SUM($D227:R227),$B227/$C227)</f>
        <v>0</v>
      </c>
      <c r="T227" s="87">
        <f>IF((SUM($D227:S227)+$B227/$C227)&gt;$B227,$B227-SUM($D227:S227),$B227/$C227)</f>
        <v>0</v>
      </c>
      <c r="U227" s="87">
        <f>IF((SUM($D227:T227)+$B227/$C227)&gt;$B227,$B227-SUM($D227:T227),$B227/$C227)</f>
        <v>0</v>
      </c>
      <c r="V227" s="87">
        <f>IF((SUM($D227:U227)+$B227/$C227)&gt;$B227,$B227-SUM($D227:U227),$B227/$C227)</f>
        <v>0</v>
      </c>
      <c r="W227" s="87">
        <f>IF((SUM($D227:V227)+$B227/$C227)&gt;$B227,$B227-SUM($D227:V227),$B227/$C227)</f>
        <v>0</v>
      </c>
      <c r="X227" s="87">
        <f>IF((SUM($D227:W227)+$B227/$C227)&gt;$B227,$B227-SUM($D227:W227),$B227/$C227)</f>
        <v>0</v>
      </c>
      <c r="Y227" s="87">
        <f>IF((SUM($D227:X227)+$B227/$C227)&gt;$B227,$B227-SUM($D227:X227),$B227/$C227)</f>
        <v>0</v>
      </c>
      <c r="Z227" s="87">
        <f>IF((SUM($D227:Y227)+$B227/$C227)&gt;$B227,$B227-SUM($D227:Y227),$B227/$C227)</f>
        <v>0</v>
      </c>
      <c r="AA227" s="87">
        <f>IF((SUM($D227:Z227)+$B227/$C227)&gt;$B227,$B227-SUM($D227:Z227),$B227/$C227)</f>
        <v>0</v>
      </c>
    </row>
    <row r="228" spans="1:27" outlineLevel="1" x14ac:dyDescent="0.25">
      <c r="A228" s="469">
        <v>2010</v>
      </c>
      <c r="B228" s="471">
        <f>E$183</f>
        <v>36524.471515568082</v>
      </c>
      <c r="C228" s="470">
        <f>'Data 2009-15 (Real $2008)'!C$155</f>
        <v>7</v>
      </c>
      <c r="D228" s="480"/>
      <c r="E228" s="87">
        <f>IF(C228&lt;1,B228,B228/2/C228)</f>
        <v>2608.8908225405771</v>
      </c>
      <c r="F228" s="87">
        <f>IF((SUM($D228:E228)+$B228/$C228)&gt;$B228,$B228-SUM($D228:E228),$B228/$C228)</f>
        <v>5217.7816450811542</v>
      </c>
      <c r="G228" s="87">
        <f>IF((SUM($D228:F228)+$B228/$C228)&gt;$B228,$B228-SUM($D228:F228),$B228/$C228)</f>
        <v>5217.7816450811542</v>
      </c>
      <c r="H228" s="87">
        <f>IF((SUM($D228:G228)+$B228/$C228)&gt;$B228,$B228-SUM($D228:G228),$B228/$C228)</f>
        <v>5217.7816450811542</v>
      </c>
      <c r="I228" s="87">
        <f>IF((SUM($D228:H228)+$B228/$C228)&gt;$B228,$B228-SUM($D228:H228),$B228/$C228)</f>
        <v>5217.7816450811542</v>
      </c>
      <c r="J228" s="87">
        <f>IF((SUM($D228:I228)+$B228/$C228)&gt;$B228,$B228-SUM($D228:I228),$B228/$C228)</f>
        <v>5217.7816450811542</v>
      </c>
      <c r="K228" s="87">
        <f>IF((SUM($D228:J228)+$B228/$C228)&gt;$B228,$B228-SUM($D228:J228),$B228/$C228)</f>
        <v>5217.7816450811542</v>
      </c>
      <c r="L228" s="87">
        <f>IF((SUM($D228:K228)+$B228/$C228)&gt;$B228,$B228-SUM($D228:K228),$B228/$C228)</f>
        <v>2608.8908225405758</v>
      </c>
      <c r="M228" s="87">
        <f>IF((SUM($D228:L228)+$B228/$C228)&gt;$B228,$B228-SUM($D228:L228),$B228/$C228)</f>
        <v>0</v>
      </c>
      <c r="N228" s="87">
        <f>IF((SUM($D228:M228)+$B228/$C228)&gt;$B228,$B228-SUM($D228:M228),$B228/$C228)</f>
        <v>0</v>
      </c>
      <c r="O228" s="87">
        <f>IF((SUM($D228:N228)+$B228/$C228)&gt;$B228,$B228-SUM($D228:N228),$B228/$C228)</f>
        <v>0</v>
      </c>
      <c r="P228" s="87">
        <f>IF((SUM($D228:O228)+$B228/$C228)&gt;$B228,$B228-SUM($D228:O228),$B228/$C228)</f>
        <v>0</v>
      </c>
      <c r="Q228" s="87">
        <f>IF((SUM($D228:P228)+$B228/$C228)&gt;$B228,$B228-SUM($D228:P228),$B228/$C228)</f>
        <v>0</v>
      </c>
      <c r="R228" s="87">
        <f>IF((SUM($D228:Q228)+$B228/$C228)&gt;$B228,$B228-SUM($D228:Q228),$B228/$C228)</f>
        <v>0</v>
      </c>
      <c r="S228" s="87">
        <f>IF((SUM($D228:R228)+$B228/$C228)&gt;$B228,$B228-SUM($D228:R228),$B228/$C228)</f>
        <v>0</v>
      </c>
      <c r="T228" s="87">
        <f>IF((SUM($D228:S228)+$B228/$C228)&gt;$B228,$B228-SUM($D228:S228),$B228/$C228)</f>
        <v>0</v>
      </c>
      <c r="U228" s="87">
        <f>IF((SUM($D228:T228)+$B228/$C228)&gt;$B228,$B228-SUM($D228:T228),$B228/$C228)</f>
        <v>0</v>
      </c>
      <c r="V228" s="87">
        <f>IF((SUM($D228:U228)+$B228/$C228)&gt;$B228,$B228-SUM($D228:U228),$B228/$C228)</f>
        <v>0</v>
      </c>
      <c r="W228" s="87">
        <f>IF((SUM($D228:V228)+$B228/$C228)&gt;$B228,$B228-SUM($D228:V228),$B228/$C228)</f>
        <v>0</v>
      </c>
      <c r="X228" s="87">
        <f>IF((SUM($D228:W228)+$B228/$C228)&gt;$B228,$B228-SUM($D228:W228),$B228/$C228)</f>
        <v>0</v>
      </c>
      <c r="Y228" s="87">
        <f>IF((SUM($D228:X228)+$B228/$C228)&gt;$B228,$B228-SUM($D228:X228),$B228/$C228)</f>
        <v>0</v>
      </c>
      <c r="Z228" s="87">
        <f>IF((SUM($D228:Y228)+$B228/$C228)&gt;$B228,$B228-SUM($D228:Y228),$B228/$C228)</f>
        <v>0</v>
      </c>
      <c r="AA228" s="87">
        <f>IF((SUM($D228:Z228)+$B228/$C228)&gt;$B228,$B228-SUM($D228:Z228),$B228/$C228)</f>
        <v>0</v>
      </c>
    </row>
    <row r="229" spans="1:27" outlineLevel="1" x14ac:dyDescent="0.25">
      <c r="A229" s="469">
        <v>2011</v>
      </c>
      <c r="B229" s="471">
        <f>F$183</f>
        <v>21261.434569870311</v>
      </c>
      <c r="C229" s="470">
        <f>'Data 2009-15 (Real $2008)'!C$155</f>
        <v>7</v>
      </c>
      <c r="D229" s="480"/>
      <c r="E229" s="480"/>
      <c r="F229" s="87">
        <f>IF(C229&lt;1,B229,B229/2/C229)</f>
        <v>1518.6738978478793</v>
      </c>
      <c r="G229" s="87">
        <f>IF((SUM($D229:F229)+$B229/$C229)&gt;$B229,$B229-SUM($D229:F229),$B229/$C229)</f>
        <v>3037.3477956957586</v>
      </c>
      <c r="H229" s="87">
        <f>IF((SUM($D229:G229)+$B229/$C229)&gt;$B229,$B229-SUM($D229:G229),$B229/$C229)</f>
        <v>3037.3477956957586</v>
      </c>
      <c r="I229" s="87">
        <f>IF((SUM($D229:H229)+$B229/$C229)&gt;$B229,$B229-SUM($D229:H229),$B229/$C229)</f>
        <v>3037.3477956957586</v>
      </c>
      <c r="J229" s="87">
        <f>IF((SUM($D229:I229)+$B229/$C229)&gt;$B229,$B229-SUM($D229:I229),$B229/$C229)</f>
        <v>3037.3477956957586</v>
      </c>
      <c r="K229" s="87">
        <f>IF((SUM($D229:J229)+$B229/$C229)&gt;$B229,$B229-SUM($D229:J229),$B229/$C229)</f>
        <v>3037.3477956957586</v>
      </c>
      <c r="L229" s="87">
        <f>IF((SUM($D229:K229)+$B229/$C229)&gt;$B229,$B229-SUM($D229:K229),$B229/$C229)</f>
        <v>3037.3477956957586</v>
      </c>
      <c r="M229" s="87">
        <f>IF((SUM($D229:L229)+$B229/$C229)&gt;$B229,$B229-SUM($D229:L229),$B229/$C229)</f>
        <v>1518.6738978478825</v>
      </c>
      <c r="N229" s="87">
        <f>IF((SUM($D229:M229)+$B229/$C229)&gt;$B229,$B229-SUM($D229:M229),$B229/$C229)</f>
        <v>0</v>
      </c>
      <c r="O229" s="87">
        <f>IF((SUM($D229:N229)+$B229/$C229)&gt;$B229,$B229-SUM($D229:N229),$B229/$C229)</f>
        <v>0</v>
      </c>
      <c r="P229" s="87">
        <f>IF((SUM($D229:O229)+$B229/$C229)&gt;$B229,$B229-SUM($D229:O229),$B229/$C229)</f>
        <v>0</v>
      </c>
      <c r="Q229" s="87">
        <f>IF((SUM($D229:P229)+$B229/$C229)&gt;$B229,$B229-SUM($D229:P229),$B229/$C229)</f>
        <v>0</v>
      </c>
      <c r="R229" s="87">
        <f>IF((SUM($D229:Q229)+$B229/$C229)&gt;$B229,$B229-SUM($D229:Q229),$B229/$C229)</f>
        <v>0</v>
      </c>
      <c r="S229" s="87">
        <f>IF((SUM($D229:R229)+$B229/$C229)&gt;$B229,$B229-SUM($D229:R229),$B229/$C229)</f>
        <v>0</v>
      </c>
      <c r="T229" s="87">
        <f>IF((SUM($D229:S229)+$B229/$C229)&gt;$B229,$B229-SUM($D229:S229),$B229/$C229)</f>
        <v>0</v>
      </c>
      <c r="U229" s="87">
        <f>IF((SUM($D229:T229)+$B229/$C229)&gt;$B229,$B229-SUM($D229:T229),$B229/$C229)</f>
        <v>0</v>
      </c>
      <c r="V229" s="87">
        <f>IF((SUM($D229:U229)+$B229/$C229)&gt;$B229,$B229-SUM($D229:U229),$B229/$C229)</f>
        <v>0</v>
      </c>
      <c r="W229" s="87">
        <f>IF((SUM($D229:V229)+$B229/$C229)&gt;$B229,$B229-SUM($D229:V229),$B229/$C229)</f>
        <v>0</v>
      </c>
      <c r="X229" s="87">
        <f>IF((SUM($D229:W229)+$B229/$C229)&gt;$B229,$B229-SUM($D229:W229),$B229/$C229)</f>
        <v>0</v>
      </c>
      <c r="Y229" s="87">
        <f>IF((SUM($D229:X229)+$B229/$C229)&gt;$B229,$B229-SUM($D229:X229),$B229/$C229)</f>
        <v>0</v>
      </c>
      <c r="Z229" s="87">
        <f>IF((SUM($D229:Y229)+$B229/$C229)&gt;$B229,$B229-SUM($D229:Y229),$B229/$C229)</f>
        <v>0</v>
      </c>
      <c r="AA229" s="87">
        <f>IF((SUM($D229:Z229)+$B229/$C229)&gt;$B229,$B229-SUM($D229:Z229),$B229/$C229)</f>
        <v>0</v>
      </c>
    </row>
    <row r="230" spans="1:27" outlineLevel="1" x14ac:dyDescent="0.25">
      <c r="A230" s="469">
        <v>2012</v>
      </c>
      <c r="B230" s="471">
        <f>G$183</f>
        <v>21785.439711631399</v>
      </c>
      <c r="C230" s="470">
        <f>'Data 2009-15 (Real $2008)'!C$155</f>
        <v>7</v>
      </c>
      <c r="D230" s="480"/>
      <c r="E230" s="480"/>
      <c r="F230" s="480"/>
      <c r="G230" s="87">
        <f>IF($C230=1,$B230,$B230/2/$C230)</f>
        <v>1556.1028365451</v>
      </c>
      <c r="H230" s="87">
        <f>IF((SUM($D230:G230)+$B230/$C230)&gt;$B230,$B230-SUM($D230:G230),$B230/$C230)</f>
        <v>3112.2056730902</v>
      </c>
      <c r="I230" s="87">
        <f>IF((SUM($D230:H230)+$B230/$C230)&gt;$B230,$B230-SUM($D230:H230),$B230/$C230)</f>
        <v>3112.2056730902</v>
      </c>
      <c r="J230" s="87">
        <f>IF((SUM($D230:I230)+$B230/$C230)&gt;$B230,$B230-SUM($D230:I230),$B230/$C230)</f>
        <v>3112.2056730902</v>
      </c>
      <c r="K230" s="87">
        <f>IF((SUM($D230:J230)+$B230/$C230)&gt;$B230,$B230-SUM($D230:J230),$B230/$C230)</f>
        <v>3112.2056730902</v>
      </c>
      <c r="L230" s="87">
        <f>IF((SUM($D230:K230)+$B230/$C230)&gt;$B230,$B230-SUM($D230:K230),$B230/$C230)</f>
        <v>3112.2056730902</v>
      </c>
      <c r="M230" s="87">
        <f>IF((SUM($D230:L230)+$B230/$C230)&gt;$B230,$B230-SUM($D230:L230),$B230/$C230)</f>
        <v>3112.2056730902</v>
      </c>
      <c r="N230" s="87">
        <f>IF((SUM($D230:M230)+$B230/$C230)&gt;$B230,$B230-SUM($D230:M230),$B230/$C230)</f>
        <v>1556.1028365450984</v>
      </c>
      <c r="O230" s="87">
        <f>IF((SUM($D230:N230)+$B230/$C230)&gt;$B230,$B230-SUM($D230:N230),$B230/$C230)</f>
        <v>0</v>
      </c>
      <c r="P230" s="87">
        <f>IF((SUM($D230:O230)+$B230/$C230)&gt;$B230,$B230-SUM($D230:O230),$B230/$C230)</f>
        <v>0</v>
      </c>
      <c r="Q230" s="87">
        <f>IF((SUM($D230:P230)+$B230/$C230)&gt;$B230,$B230-SUM($D230:P230),$B230/$C230)</f>
        <v>0</v>
      </c>
      <c r="R230" s="87">
        <f>IF((SUM($D230:Q230)+$B230/$C230)&gt;$B230,$B230-SUM($D230:Q230),$B230/$C230)</f>
        <v>0</v>
      </c>
      <c r="S230" s="87">
        <f>IF((SUM($D230:R230)+$B230/$C230)&gt;$B230,$B230-SUM($D230:R230),$B230/$C230)</f>
        <v>0</v>
      </c>
      <c r="T230" s="87">
        <f>IF((SUM($D230:S230)+$B230/$C230)&gt;$B230,$B230-SUM($D230:S230),$B230/$C230)</f>
        <v>0</v>
      </c>
      <c r="U230" s="87">
        <f>IF((SUM($D230:T230)+$B230/$C230)&gt;$B230,$B230-SUM($D230:T230),$B230/$C230)</f>
        <v>0</v>
      </c>
      <c r="V230" s="87">
        <f>IF((SUM($D230:U230)+$B230/$C230)&gt;$B230,$B230-SUM($D230:U230),$B230/$C230)</f>
        <v>0</v>
      </c>
      <c r="W230" s="87">
        <f>IF((SUM($D230:V230)+$B230/$C230)&gt;$B230,$B230-SUM($D230:V230),$B230/$C230)</f>
        <v>0</v>
      </c>
      <c r="X230" s="87">
        <f>IF((SUM($D230:W230)+$B230/$C230)&gt;$B230,$B230-SUM($D230:W230),$B230/$C230)</f>
        <v>0</v>
      </c>
      <c r="Y230" s="87">
        <f>IF((SUM($D230:X230)+$B230/$C230)&gt;$B230,$B230-SUM($D230:X230),$B230/$C230)</f>
        <v>0</v>
      </c>
      <c r="Z230" s="87">
        <f>IF((SUM($D230:Y230)+$B230/$C230)&gt;$B230,$B230-SUM($D230:Y230),$B230/$C230)</f>
        <v>0</v>
      </c>
      <c r="AA230" s="87">
        <f>IF((SUM($D230:Z230)+$B230/$C230)&gt;$B230,$B230-SUM($D230:Z230),$B230/$C230)</f>
        <v>0</v>
      </c>
    </row>
    <row r="231" spans="1:27" outlineLevel="1" x14ac:dyDescent="0.25">
      <c r="A231" s="469">
        <v>2013</v>
      </c>
      <c r="B231" s="471">
        <f>H$183</f>
        <v>7831.8045605887901</v>
      </c>
      <c r="C231" s="470">
        <f>'Data 2009-15 (Real $2008)'!C$155</f>
        <v>7</v>
      </c>
      <c r="D231" s="480"/>
      <c r="E231" s="480"/>
      <c r="F231" s="480"/>
      <c r="G231" s="480"/>
      <c r="H231" s="87">
        <f>IF($C231=1,$B231,$B231/2/$C231)</f>
        <v>559.41461147062785</v>
      </c>
      <c r="I231" s="87">
        <f>IF((SUM($D231:H231)+$B231/$C231)&gt;$B231,$B231-SUM($D231:H231),$B231/$C231)</f>
        <v>1118.8292229412557</v>
      </c>
      <c r="J231" s="87">
        <f>IF((SUM($D231:I231)+$B231/$C231)&gt;$B231,$B231-SUM($D231:I231),$B231/$C231)</f>
        <v>1118.8292229412557</v>
      </c>
      <c r="K231" s="87">
        <f>IF((SUM($D231:J231)+$B231/$C231)&gt;$B231,$B231-SUM($D231:J231),$B231/$C231)</f>
        <v>1118.8292229412557</v>
      </c>
      <c r="L231" s="87">
        <f>IF((SUM($D231:K231)+$B231/$C231)&gt;$B231,$B231-SUM($D231:K231),$B231/$C231)</f>
        <v>1118.8292229412557</v>
      </c>
      <c r="M231" s="87">
        <f>IF((SUM($D231:L231)+$B231/$C231)&gt;$B231,$B231-SUM($D231:L231),$B231/$C231)</f>
        <v>1118.8292229412557</v>
      </c>
      <c r="N231" s="87">
        <f>IF((SUM($D231:M231)+$B231/$C231)&gt;$B231,$B231-SUM($D231:M231),$B231/$C231)</f>
        <v>1118.8292229412557</v>
      </c>
      <c r="O231" s="87">
        <f>IF((SUM($D231:N231)+$B231/$C231)&gt;$B231,$B231-SUM($D231:N231),$B231/$C231)</f>
        <v>559.4146114706291</v>
      </c>
      <c r="P231" s="87">
        <f>IF((SUM($D231:O231)+$B231/$C231)&gt;$B231,$B231-SUM($D231:O231),$B231/$C231)</f>
        <v>0</v>
      </c>
      <c r="Q231" s="87">
        <f>IF((SUM($D231:P231)+$B231/$C231)&gt;$B231,$B231-SUM($D231:P231),$B231/$C231)</f>
        <v>0</v>
      </c>
      <c r="R231" s="87">
        <f>IF((SUM($D231:Q231)+$B231/$C231)&gt;$B231,$B231-SUM($D231:Q231),$B231/$C231)</f>
        <v>0</v>
      </c>
      <c r="S231" s="87">
        <f>IF((SUM($D231:R231)+$B231/$C231)&gt;$B231,$B231-SUM($D231:R231),$B231/$C231)</f>
        <v>0</v>
      </c>
      <c r="T231" s="87">
        <f>IF((SUM($D231:S231)+$B231/$C231)&gt;$B231,$B231-SUM($D231:S231),$B231/$C231)</f>
        <v>0</v>
      </c>
      <c r="U231" s="87">
        <f>IF((SUM($D231:T231)+$B231/$C231)&gt;$B231,$B231-SUM($D231:T231),$B231/$C231)</f>
        <v>0</v>
      </c>
      <c r="V231" s="87">
        <f>IF((SUM($D231:U231)+$B231/$C231)&gt;$B231,$B231-SUM($D231:U231),$B231/$C231)</f>
        <v>0</v>
      </c>
      <c r="W231" s="87">
        <f>IF((SUM($D231:V231)+$B231/$C231)&gt;$B231,$B231-SUM($D231:V231),$B231/$C231)</f>
        <v>0</v>
      </c>
      <c r="X231" s="87">
        <f>IF((SUM($D231:W231)+$B231/$C231)&gt;$B231,$B231-SUM($D231:W231),$B231/$C231)</f>
        <v>0</v>
      </c>
      <c r="Y231" s="87">
        <f>IF((SUM($D231:X231)+$B231/$C231)&gt;$B231,$B231-SUM($D231:X231),$B231/$C231)</f>
        <v>0</v>
      </c>
      <c r="Z231" s="87">
        <f>IF((SUM($D231:Y231)+$B231/$C231)&gt;$B231,$B231-SUM($D231:Y231),$B231/$C231)</f>
        <v>0</v>
      </c>
      <c r="AA231" s="87">
        <f>IF((SUM($D231:Z231)+$B231/$C231)&gt;$B231,$B231-SUM($D231:Z231),$B231/$C231)</f>
        <v>0</v>
      </c>
    </row>
    <row r="232" spans="1:27" outlineLevel="1" x14ac:dyDescent="0.25">
      <c r="A232" s="469">
        <v>2014</v>
      </c>
      <c r="B232" s="471">
        <f>I$183</f>
        <v>7601.4744589772072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7">
        <f>IF($C232=1,$B232,$B232/2/$C232)</f>
        <v>542.96246135551485</v>
      </c>
      <c r="J232" s="87">
        <f>IF((SUM($D232:I232)+$B232/$C232)&gt;$B232,$B232-SUM($D232:I232),$B232/$C232)</f>
        <v>1085.9249227110297</v>
      </c>
      <c r="K232" s="87">
        <f>IF((SUM($D232:J232)+$B232/$C232)&gt;$B232,$B232-SUM($D232:J232),$B232/$C232)</f>
        <v>1085.9249227110297</v>
      </c>
      <c r="L232" s="87">
        <f>IF((SUM($D232:K232)+$B232/$C232)&gt;$B232,$B232-SUM($D232:K232),$B232/$C232)</f>
        <v>1085.9249227110297</v>
      </c>
      <c r="M232" s="87">
        <f>IF((SUM($D232:L232)+$B232/$C232)&gt;$B232,$B232-SUM($D232:L232),$B232/$C232)</f>
        <v>1085.9249227110297</v>
      </c>
      <c r="N232" s="87">
        <f>IF((SUM($D232:M232)+$B232/$C232)&gt;$B232,$B232-SUM($D232:M232),$B232/$C232)</f>
        <v>1085.9249227110297</v>
      </c>
      <c r="O232" s="87">
        <f>IF((SUM($D232:N232)+$B232/$C232)&gt;$B232,$B232-SUM($D232:N232),$B232/$C232)</f>
        <v>1085.9249227110297</v>
      </c>
      <c r="P232" s="87">
        <f>IF((SUM($D232:O232)+$B232/$C232)&gt;$B232,$B232-SUM($D232:O232),$B232/$C232)</f>
        <v>542.96246135551519</v>
      </c>
      <c r="Q232" s="87">
        <f>IF((SUM($D232:P232)+$B232/$C232)&gt;$B232,$B232-SUM($D232:P232),$B232/$C232)</f>
        <v>0</v>
      </c>
      <c r="R232" s="87">
        <f>IF((SUM($D232:Q232)+$B232/$C232)&gt;$B232,$B232-SUM($D232:Q232),$B232/$C232)</f>
        <v>0</v>
      </c>
      <c r="S232" s="87">
        <f>IF((SUM($D232:R232)+$B232/$C232)&gt;$B232,$B232-SUM($D232:R232),$B232/$C232)</f>
        <v>0</v>
      </c>
      <c r="T232" s="87">
        <f>IF((SUM($D232:S232)+$B232/$C232)&gt;$B232,$B232-SUM($D232:S232),$B232/$C232)</f>
        <v>0</v>
      </c>
      <c r="U232" s="87">
        <f>IF((SUM($D232:T232)+$B232/$C232)&gt;$B232,$B232-SUM($D232:T232),$B232/$C232)</f>
        <v>0</v>
      </c>
      <c r="V232" s="87">
        <f>IF((SUM($D232:U232)+$B232/$C232)&gt;$B232,$B232-SUM($D232:U232),$B232/$C232)</f>
        <v>0</v>
      </c>
      <c r="W232" s="87">
        <f>IF((SUM($D232:V232)+$B232/$C232)&gt;$B232,$B232-SUM($D232:V232),$B232/$C232)</f>
        <v>0</v>
      </c>
      <c r="X232" s="87">
        <f>IF((SUM($D232:W232)+$B232/$C232)&gt;$B232,$B232-SUM($D232:W232),$B232/$C232)</f>
        <v>0</v>
      </c>
      <c r="Y232" s="87">
        <f>IF((SUM($D232:X232)+$B232/$C232)&gt;$B232,$B232-SUM($D232:X232),$B232/$C232)</f>
        <v>0</v>
      </c>
      <c r="Z232" s="87">
        <f>IF((SUM($D232:Y232)+$B232/$C232)&gt;$B232,$B232-SUM($D232:Y232),$B232/$C232)</f>
        <v>0</v>
      </c>
      <c r="AA232" s="87">
        <f>IF((SUM($D232:Z232)+$B232/$C232)&gt;$B232,$B232-SUM($D232:Z232),$B232/$C232)</f>
        <v>0</v>
      </c>
    </row>
    <row r="233" spans="1:27" outlineLevel="1" x14ac:dyDescent="0.25">
      <c r="A233" s="469">
        <v>2015</v>
      </c>
      <c r="B233" s="471">
        <f>J$183</f>
        <v>18687.071226709711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7">
        <f>IF($C233=1,$B233,$B233/2/$C233)</f>
        <v>1334.7908019078366</v>
      </c>
      <c r="K233" s="87">
        <f>IF((SUM($D233:J233)+$B233/$C233)&gt;$B233,$B233-SUM($D233:J233),$B233/$C233)</f>
        <v>2669.5816038156731</v>
      </c>
      <c r="L233" s="87">
        <f>IF((SUM($D233:K233)+$B233/$C233)&gt;$B233,$B233-SUM($D233:K233),$B233/$C233)</f>
        <v>2669.5816038156731</v>
      </c>
      <c r="M233" s="87">
        <f>IF((SUM($D233:L233)+$B233/$C233)&gt;$B233,$B233-SUM($D233:L233),$B233/$C233)</f>
        <v>2669.5816038156731</v>
      </c>
      <c r="N233" s="87">
        <f>IF((SUM($D233:M233)+$B233/$C233)&gt;$B233,$B233-SUM($D233:M233),$B233/$C233)</f>
        <v>2669.5816038156731</v>
      </c>
      <c r="O233" s="87">
        <f>IF((SUM($D233:N233)+$B233/$C233)&gt;$B233,$B233-SUM($D233:N233),$B233/$C233)</f>
        <v>2669.5816038156731</v>
      </c>
      <c r="P233" s="87">
        <f>IF((SUM($D233:O233)+$B233/$C233)&gt;$B233,$B233-SUM($D233:O233),$B233/$C233)</f>
        <v>2669.5816038156731</v>
      </c>
      <c r="Q233" s="87">
        <f>IF((SUM($D233:P233)+$B233/$C233)&gt;$B233,$B233-SUM($D233:P233),$B233/$C233)</f>
        <v>1334.790801907835</v>
      </c>
      <c r="R233" s="87">
        <f>IF((SUM($D233:Q233)+$B233/$C233)&gt;$B233,$B233-SUM($D233:Q233),$B233/$C233)</f>
        <v>0</v>
      </c>
      <c r="S233" s="87">
        <f>IF((SUM($D233:R233)+$B233/$C233)&gt;$B233,$B233-SUM($D233:R233),$B233/$C233)</f>
        <v>0</v>
      </c>
      <c r="T233" s="87">
        <f>IF((SUM($D233:S233)+$B233/$C233)&gt;$B233,$B233-SUM($D233:S233),$B233/$C233)</f>
        <v>0</v>
      </c>
      <c r="U233" s="87">
        <f>IF((SUM($D233:T233)+$B233/$C233)&gt;$B233,$B233-SUM($D233:T233),$B233/$C233)</f>
        <v>0</v>
      </c>
      <c r="V233" s="87">
        <f>IF((SUM($D233:U233)+$B233/$C233)&gt;$B233,$B233-SUM($D233:U233),$B233/$C233)</f>
        <v>0</v>
      </c>
      <c r="W233" s="87">
        <f>IF((SUM($D233:V233)+$B233/$C233)&gt;$B233,$B233-SUM($D233:V233),$B233/$C233)</f>
        <v>0</v>
      </c>
      <c r="X233" s="87">
        <f>IF((SUM($D233:W233)+$B233/$C233)&gt;$B233,$B233-SUM($D233:W233),$B233/$C233)</f>
        <v>0</v>
      </c>
      <c r="Y233" s="87">
        <f>IF((SUM($D233:X233)+$B233/$C233)&gt;$B233,$B233-SUM($D233:X233),$B233/$C233)</f>
        <v>0</v>
      </c>
      <c r="Z233" s="87">
        <f>IF((SUM($D233:Y233)+$B233/$C233)&gt;$B233,$B233-SUM($D233:Y233),$B233/$C233)</f>
        <v>0</v>
      </c>
      <c r="AA233" s="87">
        <f>IF((SUM($D233:Z233)+$B233/$C233)&gt;$B233,$B233-SUM($D233:Z233),$B233/$C233)</f>
        <v>0</v>
      </c>
    </row>
    <row r="234" spans="1:27" s="469" customFormat="1" outlineLevel="1" x14ac:dyDescent="0.25">
      <c r="B234" s="472">
        <f>SUM(B227:B233)</f>
        <v>138893.05161024805</v>
      </c>
      <c r="D234" s="696">
        <f t="shared" ref="D234:AA234" si="72">SUM(D227:D233)</f>
        <v>1800.0968262073245</v>
      </c>
      <c r="E234" s="696">
        <f t="shared" si="72"/>
        <v>6209.0844749552261</v>
      </c>
      <c r="F234" s="696">
        <f t="shared" si="72"/>
        <v>10336.649195343682</v>
      </c>
      <c r="G234" s="696">
        <f t="shared" si="72"/>
        <v>13411.425929736661</v>
      </c>
      <c r="H234" s="696">
        <f t="shared" si="72"/>
        <v>15526.943377752388</v>
      </c>
      <c r="I234" s="696">
        <f t="shared" si="72"/>
        <v>16629.320450578532</v>
      </c>
      <c r="J234" s="696">
        <f t="shared" si="72"/>
        <v>18507.073713841881</v>
      </c>
      <c r="K234" s="696">
        <f t="shared" si="72"/>
        <v>18041.767689542397</v>
      </c>
      <c r="L234" s="696">
        <f t="shared" si="72"/>
        <v>13632.780040794494</v>
      </c>
      <c r="M234" s="696">
        <f t="shared" si="72"/>
        <v>9505.2153204060414</v>
      </c>
      <c r="N234" s="696">
        <f t="shared" si="72"/>
        <v>6430.4385860130569</v>
      </c>
      <c r="O234" s="696">
        <f t="shared" si="72"/>
        <v>4314.9211379973322</v>
      </c>
      <c r="P234" s="696">
        <f t="shared" si="72"/>
        <v>3212.5440651711883</v>
      </c>
      <c r="Q234" s="696">
        <f t="shared" si="72"/>
        <v>1334.790801907835</v>
      </c>
      <c r="R234" s="696">
        <f t="shared" si="72"/>
        <v>0</v>
      </c>
      <c r="S234" s="696">
        <f t="shared" si="72"/>
        <v>0</v>
      </c>
      <c r="T234" s="696">
        <f t="shared" si="72"/>
        <v>0</v>
      </c>
      <c r="U234" s="696">
        <f t="shared" si="72"/>
        <v>0</v>
      </c>
      <c r="V234" s="696">
        <f t="shared" si="72"/>
        <v>0</v>
      </c>
      <c r="W234" s="696">
        <f t="shared" si="72"/>
        <v>0</v>
      </c>
      <c r="X234" s="696">
        <f t="shared" si="72"/>
        <v>0</v>
      </c>
      <c r="Y234" s="696">
        <f t="shared" si="72"/>
        <v>0</v>
      </c>
      <c r="Z234" s="696">
        <f t="shared" si="72"/>
        <v>0</v>
      </c>
      <c r="AA234" s="696">
        <f t="shared" si="72"/>
        <v>0</v>
      </c>
    </row>
    <row r="235" spans="1:27" outlineLevel="1" x14ac:dyDescent="0.25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5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5">
      <c r="A237" s="346" t="s">
        <v>278</v>
      </c>
      <c r="B237" s="473" t="s">
        <v>324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5">
      <c r="A238" s="346" t="str">
        <f>$A$4</f>
        <v>($000 Real 2008)</v>
      </c>
      <c r="B238" s="474" t="s">
        <v>325</v>
      </c>
      <c r="C238" s="475" t="s">
        <v>321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5">
      <c r="A239" s="469">
        <v>2009</v>
      </c>
      <c r="B239" s="471">
        <f>D$184</f>
        <v>846.39541906306306</v>
      </c>
      <c r="C239" s="470">
        <f>'Data 2009-15 (Real $2008)'!C$156</f>
        <v>7</v>
      </c>
      <c r="D239" s="87">
        <f>IF(C239&lt;1,B239,B239/2/C239)</f>
        <v>60.456815647361644</v>
      </c>
      <c r="E239" s="87">
        <f>IF((SUM($D239:D239)+$B239/$C239)&gt;$B239,$B239-SUM($D239:D239),$B239/$C239)</f>
        <v>120.91363129472329</v>
      </c>
      <c r="F239" s="87">
        <f>IF((SUM($D239:E239)+$B239/$C239)&gt;$B239,$B239-SUM($D239:E239),$B239/$C239)</f>
        <v>120.91363129472329</v>
      </c>
      <c r="G239" s="87">
        <f>IF((SUM($D239:F239)+$B239/$C239)&gt;$B239,$B239-SUM($D239:F239),$B239/$C239)</f>
        <v>120.91363129472329</v>
      </c>
      <c r="H239" s="87">
        <f>IF((SUM($D239:G239)+$B239/$C239)&gt;$B239,$B239-SUM($D239:G239),$B239/$C239)</f>
        <v>120.91363129472329</v>
      </c>
      <c r="I239" s="87">
        <f>IF((SUM($D239:H239)+$B239/$C239)&gt;$B239,$B239-SUM($D239:H239),$B239/$C239)</f>
        <v>120.91363129472329</v>
      </c>
      <c r="J239" s="87">
        <f>IF((SUM($D239:I239)+$B239/$C239)&gt;$B239,$B239-SUM($D239:I239),$B239/$C239)</f>
        <v>120.91363129472329</v>
      </c>
      <c r="K239" s="87">
        <f>IF((SUM($D239:J239)+$B239/$C239)&gt;$B239,$B239-SUM($D239:J239),$B239/$C239)</f>
        <v>60.456815647361736</v>
      </c>
      <c r="L239" s="87">
        <f>IF((SUM($D239:K239)+$B239/$C239)&gt;$B239,$B239-SUM($D239:K239),$B239/$C239)</f>
        <v>0</v>
      </c>
      <c r="M239" s="87">
        <f>IF((SUM($D239:L239)+$B239/$C239)&gt;$B239,$B239-SUM($D239:L239),$B239/$C239)</f>
        <v>0</v>
      </c>
      <c r="N239" s="87">
        <f>IF((SUM($D239:M239)+$B239/$C239)&gt;$B239,$B239-SUM($D239:M239),$B239/$C239)</f>
        <v>0</v>
      </c>
      <c r="O239" s="87">
        <f>IF((SUM($D239:N239)+$B239/$C239)&gt;$B239,$B239-SUM($D239:N239),$B239/$C239)</f>
        <v>0</v>
      </c>
      <c r="P239" s="87">
        <f>IF((SUM($D239:O239)+$B239/$C239)&gt;$B239,$B239-SUM($D239:O239),$B239/$C239)</f>
        <v>0</v>
      </c>
      <c r="Q239" s="87">
        <f>IF((SUM($D239:P239)+$B239/$C239)&gt;$B239,$B239-SUM($D239:P239),$B239/$C239)</f>
        <v>0</v>
      </c>
      <c r="R239" s="87">
        <f>IF((SUM($D239:Q239)+$B239/$C239)&gt;$B239,$B239-SUM($D239:Q239),$B239/$C239)</f>
        <v>0</v>
      </c>
      <c r="S239" s="87">
        <f>IF((SUM($D239:R239)+$B239/$C239)&gt;$B239,$B239-SUM($D239:R239),$B239/$C239)</f>
        <v>0</v>
      </c>
      <c r="T239" s="87">
        <f>IF((SUM($D239:S239)+$B239/$C239)&gt;$B239,$B239-SUM($D239:S239),$B239/$C239)</f>
        <v>0</v>
      </c>
      <c r="U239" s="87">
        <f>IF((SUM($D239:T239)+$B239/$C239)&gt;$B239,$B239-SUM($D239:T239),$B239/$C239)</f>
        <v>0</v>
      </c>
      <c r="V239" s="87">
        <f>IF((SUM($D239:U239)+$B239/$C239)&gt;$B239,$B239-SUM($D239:U239),$B239/$C239)</f>
        <v>0</v>
      </c>
      <c r="W239" s="87">
        <f>IF((SUM($D239:V239)+$B239/$C239)&gt;$B239,$B239-SUM($D239:V239),$B239/$C239)</f>
        <v>0</v>
      </c>
      <c r="X239" s="87">
        <f>IF((SUM($D239:W239)+$B239/$C239)&gt;$B239,$B239-SUM($D239:W239),$B239/$C239)</f>
        <v>0</v>
      </c>
      <c r="Y239" s="87">
        <f>IF((SUM($D239:X239)+$B239/$C239)&gt;$B239,$B239-SUM($D239:X239),$B239/$C239)</f>
        <v>0</v>
      </c>
      <c r="Z239" s="87">
        <f>IF((SUM($D239:Y239)+$B239/$C239)&gt;$B239,$B239-SUM($D239:Y239),$B239/$C239)</f>
        <v>0</v>
      </c>
      <c r="AA239" s="87">
        <f>IF((SUM($D239:Z239)+$B239/$C239)&gt;$B239,$B239-SUM($D239:Z239),$B239/$C239)</f>
        <v>0</v>
      </c>
    </row>
    <row r="240" spans="1:27" outlineLevel="1" x14ac:dyDescent="0.25">
      <c r="A240" s="469">
        <v>2010</v>
      </c>
      <c r="B240" s="471">
        <f>E$184</f>
        <v>8237.4792122182698</v>
      </c>
      <c r="C240" s="470">
        <f>'Data 2009-15 (Real $2008)'!C$156</f>
        <v>7</v>
      </c>
      <c r="D240" s="480"/>
      <c r="E240" s="87">
        <f>IF(C240&lt;1,B240,B240/2/C240)</f>
        <v>588.39137230130495</v>
      </c>
      <c r="F240" s="87">
        <f>IF((SUM($D240:E240)+$B240/$C240)&gt;$B240,$B240-SUM($D240:E240),$B240/$C240)</f>
        <v>1176.7827446026099</v>
      </c>
      <c r="G240" s="87">
        <f>IF((SUM($D240:F240)+$B240/$C240)&gt;$B240,$B240-SUM($D240:F240),$B240/$C240)</f>
        <v>1176.7827446026099</v>
      </c>
      <c r="H240" s="87">
        <f>IF((SUM($D240:G240)+$B240/$C240)&gt;$B240,$B240-SUM($D240:G240),$B240/$C240)</f>
        <v>1176.7827446026099</v>
      </c>
      <c r="I240" s="87">
        <f>IF((SUM($D240:H240)+$B240/$C240)&gt;$B240,$B240-SUM($D240:H240),$B240/$C240)</f>
        <v>1176.7827446026099</v>
      </c>
      <c r="J240" s="87">
        <f>IF((SUM($D240:I240)+$B240/$C240)&gt;$B240,$B240-SUM($D240:I240),$B240/$C240)</f>
        <v>1176.7827446026099</v>
      </c>
      <c r="K240" s="87">
        <f>IF((SUM($D240:J240)+$B240/$C240)&gt;$B240,$B240-SUM($D240:J240),$B240/$C240)</f>
        <v>1176.7827446026099</v>
      </c>
      <c r="L240" s="87">
        <f>IF((SUM($D240:K240)+$B240/$C240)&gt;$B240,$B240-SUM($D240:K240),$B240/$C240)</f>
        <v>588.39137230130655</v>
      </c>
      <c r="M240" s="87">
        <f>IF((SUM($D240:L240)+$B240/$C240)&gt;$B240,$B240-SUM($D240:L240),$B240/$C240)</f>
        <v>0</v>
      </c>
      <c r="N240" s="87">
        <f>IF((SUM($D240:M240)+$B240/$C240)&gt;$B240,$B240-SUM($D240:M240),$B240/$C240)</f>
        <v>0</v>
      </c>
      <c r="O240" s="87">
        <f>IF((SUM($D240:N240)+$B240/$C240)&gt;$B240,$B240-SUM($D240:N240),$B240/$C240)</f>
        <v>0</v>
      </c>
      <c r="P240" s="87">
        <f>IF((SUM($D240:O240)+$B240/$C240)&gt;$B240,$B240-SUM($D240:O240),$B240/$C240)</f>
        <v>0</v>
      </c>
      <c r="Q240" s="87">
        <f>IF((SUM($D240:P240)+$B240/$C240)&gt;$B240,$B240-SUM($D240:P240),$B240/$C240)</f>
        <v>0</v>
      </c>
      <c r="R240" s="87">
        <f>IF((SUM($D240:Q240)+$B240/$C240)&gt;$B240,$B240-SUM($D240:Q240),$B240/$C240)</f>
        <v>0</v>
      </c>
      <c r="S240" s="87">
        <f>IF((SUM($D240:R240)+$B240/$C240)&gt;$B240,$B240-SUM($D240:R240),$B240/$C240)</f>
        <v>0</v>
      </c>
      <c r="T240" s="87">
        <f>IF((SUM($D240:S240)+$B240/$C240)&gt;$B240,$B240-SUM($D240:S240),$B240/$C240)</f>
        <v>0</v>
      </c>
      <c r="U240" s="87">
        <f>IF((SUM($D240:T240)+$B240/$C240)&gt;$B240,$B240-SUM($D240:T240),$B240/$C240)</f>
        <v>0</v>
      </c>
      <c r="V240" s="87">
        <f>IF((SUM($D240:U240)+$B240/$C240)&gt;$B240,$B240-SUM($D240:U240),$B240/$C240)</f>
        <v>0</v>
      </c>
      <c r="W240" s="87">
        <f>IF((SUM($D240:V240)+$B240/$C240)&gt;$B240,$B240-SUM($D240:V240),$B240/$C240)</f>
        <v>0</v>
      </c>
      <c r="X240" s="87">
        <f>IF((SUM($D240:W240)+$B240/$C240)&gt;$B240,$B240-SUM($D240:W240),$B240/$C240)</f>
        <v>0</v>
      </c>
      <c r="Y240" s="87">
        <f>IF((SUM($D240:X240)+$B240/$C240)&gt;$B240,$B240-SUM($D240:X240),$B240/$C240)</f>
        <v>0</v>
      </c>
      <c r="Z240" s="87">
        <f>IF((SUM($D240:Y240)+$B240/$C240)&gt;$B240,$B240-SUM($D240:Y240),$B240/$C240)</f>
        <v>0</v>
      </c>
      <c r="AA240" s="87">
        <f>IF((SUM($D240:Z240)+$B240/$C240)&gt;$B240,$B240-SUM($D240:Z240),$B240/$C240)</f>
        <v>0</v>
      </c>
    </row>
    <row r="241" spans="1:27" outlineLevel="1" x14ac:dyDescent="0.25">
      <c r="A241" s="469">
        <v>2011</v>
      </c>
      <c r="B241" s="471">
        <f>F$184</f>
        <v>8199.3950680438538</v>
      </c>
      <c r="C241" s="470">
        <f>'Data 2009-15 (Real $2008)'!C$156</f>
        <v>7</v>
      </c>
      <c r="D241" s="480"/>
      <c r="E241" s="480"/>
      <c r="F241" s="87">
        <f>IF(C241&lt;1,B241,B241/2/C241)</f>
        <v>585.67107628884673</v>
      </c>
      <c r="G241" s="87">
        <f>IF((SUM($D241:F241)+$B241/$C241)&gt;$B241,$B241-SUM($D241:F241),$B241/$C241)</f>
        <v>1171.3421525776935</v>
      </c>
      <c r="H241" s="87">
        <f>IF((SUM($D241:G241)+$B241/$C241)&gt;$B241,$B241-SUM($D241:G241),$B241/$C241)</f>
        <v>1171.3421525776935</v>
      </c>
      <c r="I241" s="87">
        <f>IF((SUM($D241:H241)+$B241/$C241)&gt;$B241,$B241-SUM($D241:H241),$B241/$C241)</f>
        <v>1171.3421525776935</v>
      </c>
      <c r="J241" s="87">
        <f>IF((SUM($D241:I241)+$B241/$C241)&gt;$B241,$B241-SUM($D241:I241),$B241/$C241)</f>
        <v>1171.3421525776935</v>
      </c>
      <c r="K241" s="87">
        <f>IF((SUM($D241:J241)+$B241/$C241)&gt;$B241,$B241-SUM($D241:J241),$B241/$C241)</f>
        <v>1171.3421525776935</v>
      </c>
      <c r="L241" s="87">
        <f>IF((SUM($D241:K241)+$B241/$C241)&gt;$B241,$B241-SUM($D241:K241),$B241/$C241)</f>
        <v>1171.3421525776935</v>
      </c>
      <c r="M241" s="87">
        <f>IF((SUM($D241:L241)+$B241/$C241)&gt;$B241,$B241-SUM($D241:L241),$B241/$C241)</f>
        <v>585.67107628884514</v>
      </c>
      <c r="N241" s="87">
        <f>IF((SUM($D241:M241)+$B241/$C241)&gt;$B241,$B241-SUM($D241:M241),$B241/$C241)</f>
        <v>0</v>
      </c>
      <c r="O241" s="87">
        <f>IF((SUM($D241:N241)+$B241/$C241)&gt;$B241,$B241-SUM($D241:N241),$B241/$C241)</f>
        <v>0</v>
      </c>
      <c r="P241" s="87">
        <f>IF((SUM($D241:O241)+$B241/$C241)&gt;$B241,$B241-SUM($D241:O241),$B241/$C241)</f>
        <v>0</v>
      </c>
      <c r="Q241" s="87">
        <f>IF((SUM($D241:P241)+$B241/$C241)&gt;$B241,$B241-SUM($D241:P241),$B241/$C241)</f>
        <v>0</v>
      </c>
      <c r="R241" s="87">
        <f>IF((SUM($D241:Q241)+$B241/$C241)&gt;$B241,$B241-SUM($D241:Q241),$B241/$C241)</f>
        <v>0</v>
      </c>
      <c r="S241" s="87">
        <f>IF((SUM($D241:R241)+$B241/$C241)&gt;$B241,$B241-SUM($D241:R241),$B241/$C241)</f>
        <v>0</v>
      </c>
      <c r="T241" s="87">
        <f>IF((SUM($D241:S241)+$B241/$C241)&gt;$B241,$B241-SUM($D241:S241),$B241/$C241)</f>
        <v>0</v>
      </c>
      <c r="U241" s="87">
        <f>IF((SUM($D241:T241)+$B241/$C241)&gt;$B241,$B241-SUM($D241:T241),$B241/$C241)</f>
        <v>0</v>
      </c>
      <c r="V241" s="87">
        <f>IF((SUM($D241:U241)+$B241/$C241)&gt;$B241,$B241-SUM($D241:U241),$B241/$C241)</f>
        <v>0</v>
      </c>
      <c r="W241" s="87">
        <f>IF((SUM($D241:V241)+$B241/$C241)&gt;$B241,$B241-SUM($D241:V241),$B241/$C241)</f>
        <v>0</v>
      </c>
      <c r="X241" s="87">
        <f>IF((SUM($D241:W241)+$B241/$C241)&gt;$B241,$B241-SUM($D241:W241),$B241/$C241)</f>
        <v>0</v>
      </c>
      <c r="Y241" s="87">
        <f>IF((SUM($D241:X241)+$B241/$C241)&gt;$B241,$B241-SUM($D241:X241),$B241/$C241)</f>
        <v>0</v>
      </c>
      <c r="Z241" s="87">
        <f>IF((SUM($D241:Y241)+$B241/$C241)&gt;$B241,$B241-SUM($D241:Y241),$B241/$C241)</f>
        <v>0</v>
      </c>
      <c r="AA241" s="87">
        <f>IF((SUM($D241:Z241)+$B241/$C241)&gt;$B241,$B241-SUM($D241:Z241),$B241/$C241)</f>
        <v>0</v>
      </c>
    </row>
    <row r="242" spans="1:27" outlineLevel="1" x14ac:dyDescent="0.25">
      <c r="A242" s="469">
        <v>2012</v>
      </c>
      <c r="B242" s="471">
        <f>G$184</f>
        <v>21954.545919275366</v>
      </c>
      <c r="C242" s="470">
        <f>'Data 2009-15 (Real $2008)'!C$156</f>
        <v>7</v>
      </c>
      <c r="D242" s="480"/>
      <c r="E242" s="480"/>
      <c r="F242" s="480"/>
      <c r="G242" s="87">
        <f>IF($C242=1,$B242,$B242/2/$C242)</f>
        <v>1568.1818513768119</v>
      </c>
      <c r="H242" s="87">
        <f>IF((SUM($D242:G242)+$B242/$C242)&gt;$B242,$B242-SUM($D242:G242),$B242/$C242)</f>
        <v>3136.3637027536238</v>
      </c>
      <c r="I242" s="87">
        <f>IF((SUM($D242:H242)+$B242/$C242)&gt;$B242,$B242-SUM($D242:H242),$B242/$C242)</f>
        <v>3136.3637027536238</v>
      </c>
      <c r="J242" s="87">
        <f>IF((SUM($D242:I242)+$B242/$C242)&gt;$B242,$B242-SUM($D242:I242),$B242/$C242)</f>
        <v>3136.3637027536238</v>
      </c>
      <c r="K242" s="87">
        <f>IF((SUM($D242:J242)+$B242/$C242)&gt;$B242,$B242-SUM($D242:J242),$B242/$C242)</f>
        <v>3136.3637027536238</v>
      </c>
      <c r="L242" s="87">
        <f>IF((SUM($D242:K242)+$B242/$C242)&gt;$B242,$B242-SUM($D242:K242),$B242/$C242)</f>
        <v>3136.3637027536238</v>
      </c>
      <c r="M242" s="87">
        <f>IF((SUM($D242:L242)+$B242/$C242)&gt;$B242,$B242-SUM($D242:L242),$B242/$C242)</f>
        <v>3136.3637027536238</v>
      </c>
      <c r="N242" s="87">
        <f>IF((SUM($D242:M242)+$B242/$C242)&gt;$B242,$B242-SUM($D242:M242),$B242/$C242)</f>
        <v>1568.1818513768121</v>
      </c>
      <c r="O242" s="87">
        <f>IF((SUM($D242:N242)+$B242/$C242)&gt;$B242,$B242-SUM($D242:N242),$B242/$C242)</f>
        <v>0</v>
      </c>
      <c r="P242" s="87">
        <f>IF((SUM($D242:O242)+$B242/$C242)&gt;$B242,$B242-SUM($D242:O242),$B242/$C242)</f>
        <v>0</v>
      </c>
      <c r="Q242" s="87">
        <f>IF((SUM($D242:P242)+$B242/$C242)&gt;$B242,$B242-SUM($D242:P242),$B242/$C242)</f>
        <v>0</v>
      </c>
      <c r="R242" s="87">
        <f>IF((SUM($D242:Q242)+$B242/$C242)&gt;$B242,$B242-SUM($D242:Q242),$B242/$C242)</f>
        <v>0</v>
      </c>
      <c r="S242" s="87">
        <f>IF((SUM($D242:R242)+$B242/$C242)&gt;$B242,$B242-SUM($D242:R242),$B242/$C242)</f>
        <v>0</v>
      </c>
      <c r="T242" s="87">
        <f>IF((SUM($D242:S242)+$B242/$C242)&gt;$B242,$B242-SUM($D242:S242),$B242/$C242)</f>
        <v>0</v>
      </c>
      <c r="U242" s="87">
        <f>IF((SUM($D242:T242)+$B242/$C242)&gt;$B242,$B242-SUM($D242:T242),$B242/$C242)</f>
        <v>0</v>
      </c>
      <c r="V242" s="87">
        <f>IF((SUM($D242:U242)+$B242/$C242)&gt;$B242,$B242-SUM($D242:U242),$B242/$C242)</f>
        <v>0</v>
      </c>
      <c r="W242" s="87">
        <f>IF((SUM($D242:V242)+$B242/$C242)&gt;$B242,$B242-SUM($D242:V242),$B242/$C242)</f>
        <v>0</v>
      </c>
      <c r="X242" s="87">
        <f>IF((SUM($D242:W242)+$B242/$C242)&gt;$B242,$B242-SUM($D242:W242),$B242/$C242)</f>
        <v>0</v>
      </c>
      <c r="Y242" s="87">
        <f>IF((SUM($D242:X242)+$B242/$C242)&gt;$B242,$B242-SUM($D242:X242),$B242/$C242)</f>
        <v>0</v>
      </c>
      <c r="Z242" s="87">
        <f>IF((SUM($D242:Y242)+$B242/$C242)&gt;$B242,$B242-SUM($D242:Y242),$B242/$C242)</f>
        <v>0</v>
      </c>
      <c r="AA242" s="87">
        <f>IF((SUM($D242:Z242)+$B242/$C242)&gt;$B242,$B242-SUM($D242:Z242),$B242/$C242)</f>
        <v>0</v>
      </c>
    </row>
    <row r="243" spans="1:27" outlineLevel="1" x14ac:dyDescent="0.25">
      <c r="A243" s="469">
        <v>2013</v>
      </c>
      <c r="B243" s="471">
        <f>H$184</f>
        <v>16309.185241853025</v>
      </c>
      <c r="C243" s="470">
        <f>'Data 2009-15 (Real $2008)'!C$156</f>
        <v>7</v>
      </c>
      <c r="D243" s="480"/>
      <c r="E243" s="480"/>
      <c r="F243" s="480"/>
      <c r="G243" s="480"/>
      <c r="H243" s="87">
        <f>IF($C243=1,$B243,$B243/2/$C243)</f>
        <v>1164.9418029895019</v>
      </c>
      <c r="I243" s="87">
        <f>IF((SUM($D243:H243)+$B243/$C243)&gt;$B243,$B243-SUM($D243:H243),$B243/$C243)</f>
        <v>2329.8836059790037</v>
      </c>
      <c r="J243" s="87">
        <f>IF((SUM($D243:I243)+$B243/$C243)&gt;$B243,$B243-SUM($D243:I243),$B243/$C243)</f>
        <v>2329.8836059790037</v>
      </c>
      <c r="K243" s="87">
        <f>IF((SUM($D243:J243)+$B243/$C243)&gt;$B243,$B243-SUM($D243:J243),$B243/$C243)</f>
        <v>2329.8836059790037</v>
      </c>
      <c r="L243" s="87">
        <f>IF((SUM($D243:K243)+$B243/$C243)&gt;$B243,$B243-SUM($D243:K243),$B243/$C243)</f>
        <v>2329.8836059790037</v>
      </c>
      <c r="M243" s="87">
        <f>IF((SUM($D243:L243)+$B243/$C243)&gt;$B243,$B243-SUM($D243:L243),$B243/$C243)</f>
        <v>2329.8836059790037</v>
      </c>
      <c r="N243" s="87">
        <f>IF((SUM($D243:M243)+$B243/$C243)&gt;$B243,$B243-SUM($D243:M243),$B243/$C243)</f>
        <v>2329.8836059790037</v>
      </c>
      <c r="O243" s="87">
        <f>IF((SUM($D243:N243)+$B243/$C243)&gt;$B243,$B243-SUM($D243:N243),$B243/$C243)</f>
        <v>1164.9418029894987</v>
      </c>
      <c r="P243" s="87">
        <f>IF((SUM($D243:O243)+$B243/$C243)&gt;$B243,$B243-SUM($D243:O243),$B243/$C243)</f>
        <v>0</v>
      </c>
      <c r="Q243" s="87">
        <f>IF((SUM($D243:P243)+$B243/$C243)&gt;$B243,$B243-SUM($D243:P243),$B243/$C243)</f>
        <v>0</v>
      </c>
      <c r="R243" s="87">
        <f>IF((SUM($D243:Q243)+$B243/$C243)&gt;$B243,$B243-SUM($D243:Q243),$B243/$C243)</f>
        <v>0</v>
      </c>
      <c r="S243" s="87">
        <f>IF((SUM($D243:R243)+$B243/$C243)&gt;$B243,$B243-SUM($D243:R243),$B243/$C243)</f>
        <v>0</v>
      </c>
      <c r="T243" s="87">
        <f>IF((SUM($D243:S243)+$B243/$C243)&gt;$B243,$B243-SUM($D243:S243),$B243/$C243)</f>
        <v>0</v>
      </c>
      <c r="U243" s="87">
        <f>IF((SUM($D243:T243)+$B243/$C243)&gt;$B243,$B243-SUM($D243:T243),$B243/$C243)</f>
        <v>0</v>
      </c>
      <c r="V243" s="87">
        <f>IF((SUM($D243:U243)+$B243/$C243)&gt;$B243,$B243-SUM($D243:U243),$B243/$C243)</f>
        <v>0</v>
      </c>
      <c r="W243" s="87">
        <f>IF((SUM($D243:V243)+$B243/$C243)&gt;$B243,$B243-SUM($D243:V243),$B243/$C243)</f>
        <v>0</v>
      </c>
      <c r="X243" s="87">
        <f>IF((SUM($D243:W243)+$B243/$C243)&gt;$B243,$B243-SUM($D243:W243),$B243/$C243)</f>
        <v>0</v>
      </c>
      <c r="Y243" s="87">
        <f>IF((SUM($D243:X243)+$B243/$C243)&gt;$B243,$B243-SUM($D243:X243),$B243/$C243)</f>
        <v>0</v>
      </c>
      <c r="Z243" s="87">
        <f>IF((SUM($D243:Y243)+$B243/$C243)&gt;$B243,$B243-SUM($D243:Y243),$B243/$C243)</f>
        <v>0</v>
      </c>
      <c r="AA243" s="87">
        <f>IF((SUM($D243:Z243)+$B243/$C243)&gt;$B243,$B243-SUM($D243:Z243),$B243/$C243)</f>
        <v>0</v>
      </c>
    </row>
    <row r="244" spans="1:27" outlineLevel="1" x14ac:dyDescent="0.25">
      <c r="A244" s="469">
        <v>2014</v>
      </c>
      <c r="B244" s="471">
        <f>I$184</f>
        <v>2942.0011014390357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7">
        <f>IF($C244=1,$B244,$B244/2/$C244)</f>
        <v>210.14293581707398</v>
      </c>
      <c r="J244" s="87">
        <f>IF((SUM($D244:I244)+$B244/$C244)&gt;$B244,$B244-SUM($D244:I244),$B244/$C244)</f>
        <v>420.28587163414795</v>
      </c>
      <c r="K244" s="87">
        <f>IF((SUM($D244:J244)+$B244/$C244)&gt;$B244,$B244-SUM($D244:J244),$B244/$C244)</f>
        <v>420.28587163414795</v>
      </c>
      <c r="L244" s="87">
        <f>IF((SUM($D244:K244)+$B244/$C244)&gt;$B244,$B244-SUM($D244:K244),$B244/$C244)</f>
        <v>420.28587163414795</v>
      </c>
      <c r="M244" s="87">
        <f>IF((SUM($D244:L244)+$B244/$C244)&gt;$B244,$B244-SUM($D244:L244),$B244/$C244)</f>
        <v>420.28587163414795</v>
      </c>
      <c r="N244" s="87">
        <f>IF((SUM($D244:M244)+$B244/$C244)&gt;$B244,$B244-SUM($D244:M244),$B244/$C244)</f>
        <v>420.28587163414795</v>
      </c>
      <c r="O244" s="87">
        <f>IF((SUM($D244:N244)+$B244/$C244)&gt;$B244,$B244-SUM($D244:N244),$B244/$C244)</f>
        <v>420.28587163414795</v>
      </c>
      <c r="P244" s="87">
        <f>IF((SUM($D244:O244)+$B244/$C244)&gt;$B244,$B244-SUM($D244:O244),$B244/$C244)</f>
        <v>210.14293581707398</v>
      </c>
      <c r="Q244" s="87">
        <f>IF((SUM($D244:P244)+$B244/$C244)&gt;$B244,$B244-SUM($D244:P244),$B244/$C244)</f>
        <v>0</v>
      </c>
      <c r="R244" s="87">
        <f>IF((SUM($D244:Q244)+$B244/$C244)&gt;$B244,$B244-SUM($D244:Q244),$B244/$C244)</f>
        <v>0</v>
      </c>
      <c r="S244" s="87">
        <f>IF((SUM($D244:R244)+$B244/$C244)&gt;$B244,$B244-SUM($D244:R244),$B244/$C244)</f>
        <v>0</v>
      </c>
      <c r="T244" s="87">
        <f>IF((SUM($D244:S244)+$B244/$C244)&gt;$B244,$B244-SUM($D244:S244),$B244/$C244)</f>
        <v>0</v>
      </c>
      <c r="U244" s="87">
        <f>IF((SUM($D244:T244)+$B244/$C244)&gt;$B244,$B244-SUM($D244:T244),$B244/$C244)</f>
        <v>0</v>
      </c>
      <c r="V244" s="87">
        <f>IF((SUM($D244:U244)+$B244/$C244)&gt;$B244,$B244-SUM($D244:U244),$B244/$C244)</f>
        <v>0</v>
      </c>
      <c r="W244" s="87">
        <f>IF((SUM($D244:V244)+$B244/$C244)&gt;$B244,$B244-SUM($D244:V244),$B244/$C244)</f>
        <v>0</v>
      </c>
      <c r="X244" s="87">
        <f>IF((SUM($D244:W244)+$B244/$C244)&gt;$B244,$B244-SUM($D244:W244),$B244/$C244)</f>
        <v>0</v>
      </c>
      <c r="Y244" s="87">
        <f>IF((SUM($D244:X244)+$B244/$C244)&gt;$B244,$B244-SUM($D244:X244),$B244/$C244)</f>
        <v>0</v>
      </c>
      <c r="Z244" s="87">
        <f>IF((SUM($D244:Y244)+$B244/$C244)&gt;$B244,$B244-SUM($D244:Y244),$B244/$C244)</f>
        <v>0</v>
      </c>
      <c r="AA244" s="87">
        <f>IF((SUM($D244:Z244)+$B244/$C244)&gt;$B244,$B244-SUM($D244:Z244),$B244/$C244)</f>
        <v>0</v>
      </c>
    </row>
    <row r="245" spans="1:27" outlineLevel="1" x14ac:dyDescent="0.25">
      <c r="A245" s="469">
        <v>2015</v>
      </c>
      <c r="B245" s="471">
        <f>J$184</f>
        <v>3.822117558351291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7">
        <f>IF($C245=1,$B245,$B245/2/$C245)</f>
        <v>0.27300839702509222</v>
      </c>
      <c r="K245" s="87">
        <f>IF((SUM($D245:J245)+$B245/$C245)&gt;$B245,$B245-SUM($D245:J245),$B245/$C245)</f>
        <v>0.54601679405018444</v>
      </c>
      <c r="L245" s="87">
        <f>IF((SUM($D245:K245)+$B245/$C245)&gt;$B245,$B245-SUM($D245:K245),$B245/$C245)</f>
        <v>0.54601679405018444</v>
      </c>
      <c r="M245" s="87">
        <f>IF((SUM($D245:L245)+$B245/$C245)&gt;$B245,$B245-SUM($D245:L245),$B245/$C245)</f>
        <v>0.54601679405018444</v>
      </c>
      <c r="N245" s="87">
        <f>IF((SUM($D245:M245)+$B245/$C245)&gt;$B245,$B245-SUM($D245:M245),$B245/$C245)</f>
        <v>0.54601679405018444</v>
      </c>
      <c r="O245" s="87">
        <f>IF((SUM($D245:N245)+$B245/$C245)&gt;$B245,$B245-SUM($D245:N245),$B245/$C245)</f>
        <v>0.54601679405018444</v>
      </c>
      <c r="P245" s="87">
        <f>IF((SUM($D245:O245)+$B245/$C245)&gt;$B245,$B245-SUM($D245:O245),$B245/$C245)</f>
        <v>0.54601679405018444</v>
      </c>
      <c r="Q245" s="87">
        <f>IF((SUM($D245:P245)+$B245/$C245)&gt;$B245,$B245-SUM($D245:P245),$B245/$C245)</f>
        <v>0.27300839702509183</v>
      </c>
      <c r="R245" s="87">
        <f>IF((SUM($D245:Q245)+$B245/$C245)&gt;$B245,$B245-SUM($D245:Q245),$B245/$C245)</f>
        <v>0</v>
      </c>
      <c r="S245" s="87">
        <f>IF((SUM($D245:R245)+$B245/$C245)&gt;$B245,$B245-SUM($D245:R245),$B245/$C245)</f>
        <v>0</v>
      </c>
      <c r="T245" s="87">
        <f>IF((SUM($D245:S245)+$B245/$C245)&gt;$B245,$B245-SUM($D245:S245),$B245/$C245)</f>
        <v>0</v>
      </c>
      <c r="U245" s="87">
        <f>IF((SUM($D245:T245)+$B245/$C245)&gt;$B245,$B245-SUM($D245:T245),$B245/$C245)</f>
        <v>0</v>
      </c>
      <c r="V245" s="87">
        <f>IF((SUM($D245:U245)+$B245/$C245)&gt;$B245,$B245-SUM($D245:U245),$B245/$C245)</f>
        <v>0</v>
      </c>
      <c r="W245" s="87">
        <f>IF((SUM($D245:V245)+$B245/$C245)&gt;$B245,$B245-SUM($D245:V245),$B245/$C245)</f>
        <v>0</v>
      </c>
      <c r="X245" s="87">
        <f>IF((SUM($D245:W245)+$B245/$C245)&gt;$B245,$B245-SUM($D245:W245),$B245/$C245)</f>
        <v>0</v>
      </c>
      <c r="Y245" s="87">
        <f>IF((SUM($D245:X245)+$B245/$C245)&gt;$B245,$B245-SUM($D245:X245),$B245/$C245)</f>
        <v>0</v>
      </c>
      <c r="Z245" s="87">
        <f>IF((SUM($D245:Y245)+$B245/$C245)&gt;$B245,$B245-SUM($D245:Y245),$B245/$C245)</f>
        <v>0</v>
      </c>
      <c r="AA245" s="87">
        <f>IF((SUM($D245:Z245)+$B245/$C245)&gt;$B245,$B245-SUM($D245:Z245),$B245/$C245)</f>
        <v>0</v>
      </c>
    </row>
    <row r="246" spans="1:27" s="469" customFormat="1" outlineLevel="1" x14ac:dyDescent="0.25">
      <c r="B246" s="472">
        <f>SUM(B239:B245)</f>
        <v>58492.824079450962</v>
      </c>
      <c r="D246" s="696">
        <f t="shared" ref="D246:AA246" si="74">SUM(D239:D245)</f>
        <v>60.456815647361644</v>
      </c>
      <c r="E246" s="696">
        <f t="shared" si="74"/>
        <v>709.3050035960282</v>
      </c>
      <c r="F246" s="696">
        <f t="shared" si="74"/>
        <v>1883.3674521861799</v>
      </c>
      <c r="G246" s="696">
        <f t="shared" si="74"/>
        <v>4037.2203798518385</v>
      </c>
      <c r="H246" s="696">
        <f t="shared" si="74"/>
        <v>6770.344034218153</v>
      </c>
      <c r="I246" s="696">
        <f t="shared" si="74"/>
        <v>8145.4287730247288</v>
      </c>
      <c r="J246" s="696">
        <f t="shared" si="74"/>
        <v>8355.8447172388278</v>
      </c>
      <c r="K246" s="696">
        <f t="shared" si="74"/>
        <v>8295.6609099884918</v>
      </c>
      <c r="L246" s="696">
        <f t="shared" si="74"/>
        <v>7646.8127220398255</v>
      </c>
      <c r="M246" s="696">
        <f t="shared" si="74"/>
        <v>6472.7502734496702</v>
      </c>
      <c r="N246" s="696">
        <f t="shared" si="74"/>
        <v>4318.8973457840139</v>
      </c>
      <c r="O246" s="696">
        <f t="shared" si="74"/>
        <v>1585.7736914176969</v>
      </c>
      <c r="P246" s="696">
        <f t="shared" si="74"/>
        <v>210.68895261112417</v>
      </c>
      <c r="Q246" s="696">
        <f t="shared" si="74"/>
        <v>0.27300839702509183</v>
      </c>
      <c r="R246" s="696">
        <f t="shared" si="74"/>
        <v>0</v>
      </c>
      <c r="S246" s="696">
        <f t="shared" si="74"/>
        <v>0</v>
      </c>
      <c r="T246" s="696">
        <f t="shared" si="74"/>
        <v>0</v>
      </c>
      <c r="U246" s="696">
        <f t="shared" si="74"/>
        <v>0</v>
      </c>
      <c r="V246" s="696">
        <f t="shared" si="74"/>
        <v>0</v>
      </c>
      <c r="W246" s="696">
        <f t="shared" si="74"/>
        <v>0</v>
      </c>
      <c r="X246" s="696">
        <f t="shared" si="74"/>
        <v>0</v>
      </c>
      <c r="Y246" s="696">
        <f t="shared" si="74"/>
        <v>0</v>
      </c>
      <c r="Z246" s="696">
        <f t="shared" si="74"/>
        <v>0</v>
      </c>
      <c r="AA246" s="696">
        <f t="shared" si="74"/>
        <v>0</v>
      </c>
    </row>
    <row r="247" spans="1:27" outlineLevel="1" x14ac:dyDescent="0.25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5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5">
      <c r="A249" s="346" t="s">
        <v>277</v>
      </c>
      <c r="B249" s="473" t="s">
        <v>324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5">
      <c r="A250" s="346" t="str">
        <f>$A$4</f>
        <v>($000 Real 2008)</v>
      </c>
      <c r="B250" s="474" t="s">
        <v>325</v>
      </c>
      <c r="C250" s="475" t="s">
        <v>321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5">
      <c r="A251" s="469">
        <v>2009</v>
      </c>
      <c r="B251" s="471">
        <f>D$185</f>
        <v>0</v>
      </c>
      <c r="C251" s="470">
        <f>'Data 2009-15 (Real $2008)'!C$157</f>
        <v>7</v>
      </c>
      <c r="D251" s="87">
        <f>IF(C251&lt;1,B251,B251/2/C251)</f>
        <v>0</v>
      </c>
      <c r="E251" s="87">
        <f>IF((SUM($D251:D251)+$B251/$C251)&gt;$B251,$B251-SUM($D251:D251),$B251/$C251)</f>
        <v>0</v>
      </c>
      <c r="F251" s="87">
        <f>IF((SUM($D251:E251)+$B251/$C251)&gt;$B251,$B251-SUM($D251:E251),$B251/$C251)</f>
        <v>0</v>
      </c>
      <c r="G251" s="87">
        <f>IF((SUM($D251:F251)+$B251/$C251)&gt;$B251,$B251-SUM($D251:F251),$B251/$C251)</f>
        <v>0</v>
      </c>
      <c r="H251" s="87">
        <f>IF((SUM($D251:G251)+$B251/$C251)&gt;$B251,$B251-SUM($D251:G251),$B251/$C251)</f>
        <v>0</v>
      </c>
      <c r="I251" s="87">
        <f>IF((SUM($D251:H251)+$B251/$C251)&gt;$B251,$B251-SUM($D251:H251),$B251/$C251)</f>
        <v>0</v>
      </c>
      <c r="J251" s="87">
        <f>IF((SUM($D251:I251)+$B251/$C251)&gt;$B251,$B251-SUM($D251:I251),$B251/$C251)</f>
        <v>0</v>
      </c>
      <c r="K251" s="87">
        <f>IF((SUM($D251:J251)+$B251/$C251)&gt;$B251,$B251-SUM($D251:J251),$B251/$C251)</f>
        <v>0</v>
      </c>
      <c r="L251" s="87">
        <f>IF((SUM($D251:K251)+$B251/$C251)&gt;$B251,$B251-SUM($D251:K251),$B251/$C251)</f>
        <v>0</v>
      </c>
      <c r="M251" s="87">
        <f>IF((SUM($D251:L251)+$B251/$C251)&gt;$B251,$B251-SUM($D251:L251),$B251/$C251)</f>
        <v>0</v>
      </c>
      <c r="N251" s="87">
        <f>IF((SUM($D251:M251)+$B251/$C251)&gt;$B251,$B251-SUM($D251:M251),$B251/$C251)</f>
        <v>0</v>
      </c>
      <c r="O251" s="87">
        <f>IF((SUM($D251:N251)+$B251/$C251)&gt;$B251,$B251-SUM($D251:N251),$B251/$C251)</f>
        <v>0</v>
      </c>
      <c r="P251" s="87">
        <f>IF((SUM($D251:O251)+$B251/$C251)&gt;$B251,$B251-SUM($D251:O251),$B251/$C251)</f>
        <v>0</v>
      </c>
      <c r="Q251" s="87">
        <f>IF((SUM($D251:P251)+$B251/$C251)&gt;$B251,$B251-SUM($D251:P251),$B251/$C251)</f>
        <v>0</v>
      </c>
      <c r="R251" s="87">
        <f>IF((SUM($D251:Q251)+$B251/$C251)&gt;$B251,$B251-SUM($D251:Q251),$B251/$C251)</f>
        <v>0</v>
      </c>
      <c r="S251" s="87">
        <f>IF((SUM($D251:R251)+$B251/$C251)&gt;$B251,$B251-SUM($D251:R251),$B251/$C251)</f>
        <v>0</v>
      </c>
      <c r="T251" s="87">
        <f>IF((SUM($D251:S251)+$B251/$C251)&gt;$B251,$B251-SUM($D251:S251),$B251/$C251)</f>
        <v>0</v>
      </c>
      <c r="U251" s="87">
        <f>IF((SUM($D251:T251)+$B251/$C251)&gt;$B251,$B251-SUM($D251:T251),$B251/$C251)</f>
        <v>0</v>
      </c>
      <c r="V251" s="87">
        <f>IF((SUM($D251:U251)+$B251/$C251)&gt;$B251,$B251-SUM($D251:U251),$B251/$C251)</f>
        <v>0</v>
      </c>
      <c r="W251" s="87">
        <f>IF((SUM($D251:V251)+$B251/$C251)&gt;$B251,$B251-SUM($D251:V251),$B251/$C251)</f>
        <v>0</v>
      </c>
      <c r="X251" s="87">
        <f>IF((SUM($D251:W251)+$B251/$C251)&gt;$B251,$B251-SUM($D251:W251),$B251/$C251)</f>
        <v>0</v>
      </c>
      <c r="Y251" s="87">
        <f>IF((SUM($D251:X251)+$B251/$C251)&gt;$B251,$B251-SUM($D251:X251),$B251/$C251)</f>
        <v>0</v>
      </c>
      <c r="Z251" s="87">
        <f>IF((SUM($D251:Y251)+$B251/$C251)&gt;$B251,$B251-SUM($D251:Y251),$B251/$C251)</f>
        <v>0</v>
      </c>
      <c r="AA251" s="87">
        <f>IF((SUM($D251:Z251)+$B251/$C251)&gt;$B251,$B251-SUM($D251:Z251),$B251/$C251)</f>
        <v>0</v>
      </c>
    </row>
    <row r="252" spans="1:27" outlineLevel="1" x14ac:dyDescent="0.25">
      <c r="A252" s="469">
        <v>2010</v>
      </c>
      <c r="B252" s="471">
        <f>E$185</f>
        <v>0</v>
      </c>
      <c r="C252" s="470">
        <f>'Data 2009-15 (Real $2008)'!C$157</f>
        <v>7</v>
      </c>
      <c r="D252" s="480"/>
      <c r="E252" s="87">
        <f>IF(C252&lt;1,B252,B252/2/C252)</f>
        <v>0</v>
      </c>
      <c r="F252" s="87">
        <f>IF((SUM($D252:E252)+$B252/$C252)&gt;$B252,$B252-SUM($D252:E252),$B252/$C252)</f>
        <v>0</v>
      </c>
      <c r="G252" s="87">
        <f>IF((SUM($D252:F252)+$B252/$C252)&gt;$B252,$B252-SUM($D252:F252),$B252/$C252)</f>
        <v>0</v>
      </c>
      <c r="H252" s="87">
        <f>IF((SUM($D252:G252)+$B252/$C252)&gt;$B252,$B252-SUM($D252:G252),$B252/$C252)</f>
        <v>0</v>
      </c>
      <c r="I252" s="87">
        <f>IF((SUM($D252:H252)+$B252/$C252)&gt;$B252,$B252-SUM($D252:H252),$B252/$C252)</f>
        <v>0</v>
      </c>
      <c r="J252" s="87">
        <f>IF((SUM($D252:I252)+$B252/$C252)&gt;$B252,$B252-SUM($D252:I252),$B252/$C252)</f>
        <v>0</v>
      </c>
      <c r="K252" s="87">
        <f>IF((SUM($D252:J252)+$B252/$C252)&gt;$B252,$B252-SUM($D252:J252),$B252/$C252)</f>
        <v>0</v>
      </c>
      <c r="L252" s="87">
        <f>IF((SUM($D252:K252)+$B252/$C252)&gt;$B252,$B252-SUM($D252:K252),$B252/$C252)</f>
        <v>0</v>
      </c>
      <c r="M252" s="87">
        <f>IF((SUM($D252:L252)+$B252/$C252)&gt;$B252,$B252-SUM($D252:L252),$B252/$C252)</f>
        <v>0</v>
      </c>
      <c r="N252" s="87">
        <f>IF((SUM($D252:M252)+$B252/$C252)&gt;$B252,$B252-SUM($D252:M252),$B252/$C252)</f>
        <v>0</v>
      </c>
      <c r="O252" s="87">
        <f>IF((SUM($D252:N252)+$B252/$C252)&gt;$B252,$B252-SUM($D252:N252),$B252/$C252)</f>
        <v>0</v>
      </c>
      <c r="P252" s="87">
        <f>IF((SUM($D252:O252)+$B252/$C252)&gt;$B252,$B252-SUM($D252:O252),$B252/$C252)</f>
        <v>0</v>
      </c>
      <c r="Q252" s="87">
        <f>IF((SUM($D252:P252)+$B252/$C252)&gt;$B252,$B252-SUM($D252:P252),$B252/$C252)</f>
        <v>0</v>
      </c>
      <c r="R252" s="87">
        <f>IF((SUM($D252:Q252)+$B252/$C252)&gt;$B252,$B252-SUM($D252:Q252),$B252/$C252)</f>
        <v>0</v>
      </c>
      <c r="S252" s="87">
        <f>IF((SUM($D252:R252)+$B252/$C252)&gt;$B252,$B252-SUM($D252:R252),$B252/$C252)</f>
        <v>0</v>
      </c>
      <c r="T252" s="87">
        <f>IF((SUM($D252:S252)+$B252/$C252)&gt;$B252,$B252-SUM($D252:S252),$B252/$C252)</f>
        <v>0</v>
      </c>
      <c r="U252" s="87">
        <f>IF((SUM($D252:T252)+$B252/$C252)&gt;$B252,$B252-SUM($D252:T252),$B252/$C252)</f>
        <v>0</v>
      </c>
      <c r="V252" s="87">
        <f>IF((SUM($D252:U252)+$B252/$C252)&gt;$B252,$B252-SUM($D252:U252),$B252/$C252)</f>
        <v>0</v>
      </c>
      <c r="W252" s="87">
        <f>IF((SUM($D252:V252)+$B252/$C252)&gt;$B252,$B252-SUM($D252:V252),$B252/$C252)</f>
        <v>0</v>
      </c>
      <c r="X252" s="87">
        <f>IF((SUM($D252:W252)+$B252/$C252)&gt;$B252,$B252-SUM($D252:W252),$B252/$C252)</f>
        <v>0</v>
      </c>
      <c r="Y252" s="87">
        <f>IF((SUM($D252:X252)+$B252/$C252)&gt;$B252,$B252-SUM($D252:X252),$B252/$C252)</f>
        <v>0</v>
      </c>
      <c r="Z252" s="87">
        <f>IF((SUM($D252:Y252)+$B252/$C252)&gt;$B252,$B252-SUM($D252:Y252),$B252/$C252)</f>
        <v>0</v>
      </c>
      <c r="AA252" s="87">
        <f>IF((SUM($D252:Z252)+$B252/$C252)&gt;$B252,$B252-SUM($D252:Z252),$B252/$C252)</f>
        <v>0</v>
      </c>
    </row>
    <row r="253" spans="1:27" outlineLevel="1" x14ac:dyDescent="0.25">
      <c r="A253" s="469">
        <v>2011</v>
      </c>
      <c r="B253" s="471">
        <f>F$185</f>
        <v>0</v>
      </c>
      <c r="C253" s="470">
        <f>'Data 2009-15 (Real $2008)'!C$157</f>
        <v>7</v>
      </c>
      <c r="D253" s="480"/>
      <c r="E253" s="480"/>
      <c r="F253" s="87">
        <f>IF(C253&lt;1,B253,B253/2/C253)</f>
        <v>0</v>
      </c>
      <c r="G253" s="87">
        <f>IF((SUM($D253:F253)+$B253/$C253)&gt;$B253,$B253-SUM($D253:F253),$B253/$C253)</f>
        <v>0</v>
      </c>
      <c r="H253" s="87">
        <f>IF((SUM($D253:G253)+$B253/$C253)&gt;$B253,$B253-SUM($D253:G253),$B253/$C253)</f>
        <v>0</v>
      </c>
      <c r="I253" s="87">
        <f>IF((SUM($D253:H253)+$B253/$C253)&gt;$B253,$B253-SUM($D253:H253),$B253/$C253)</f>
        <v>0</v>
      </c>
      <c r="J253" s="87">
        <f>IF((SUM($D253:I253)+$B253/$C253)&gt;$B253,$B253-SUM($D253:I253),$B253/$C253)</f>
        <v>0</v>
      </c>
      <c r="K253" s="87">
        <f>IF((SUM($D253:J253)+$B253/$C253)&gt;$B253,$B253-SUM($D253:J253),$B253/$C253)</f>
        <v>0</v>
      </c>
      <c r="L253" s="87">
        <f>IF((SUM($D253:K253)+$B253/$C253)&gt;$B253,$B253-SUM($D253:K253),$B253/$C253)</f>
        <v>0</v>
      </c>
      <c r="M253" s="87">
        <f>IF((SUM($D253:L253)+$B253/$C253)&gt;$B253,$B253-SUM($D253:L253),$B253/$C253)</f>
        <v>0</v>
      </c>
      <c r="N253" s="87">
        <f>IF((SUM($D253:M253)+$B253/$C253)&gt;$B253,$B253-SUM($D253:M253),$B253/$C253)</f>
        <v>0</v>
      </c>
      <c r="O253" s="87">
        <f>IF((SUM($D253:N253)+$B253/$C253)&gt;$B253,$B253-SUM($D253:N253),$B253/$C253)</f>
        <v>0</v>
      </c>
      <c r="P253" s="87">
        <f>IF((SUM($D253:O253)+$B253/$C253)&gt;$B253,$B253-SUM($D253:O253),$B253/$C253)</f>
        <v>0</v>
      </c>
      <c r="Q253" s="87">
        <f>IF((SUM($D253:P253)+$B253/$C253)&gt;$B253,$B253-SUM($D253:P253),$B253/$C253)</f>
        <v>0</v>
      </c>
      <c r="R253" s="87">
        <f>IF((SUM($D253:Q253)+$B253/$C253)&gt;$B253,$B253-SUM($D253:Q253),$B253/$C253)</f>
        <v>0</v>
      </c>
      <c r="S253" s="87">
        <f>IF((SUM($D253:R253)+$B253/$C253)&gt;$B253,$B253-SUM($D253:R253),$B253/$C253)</f>
        <v>0</v>
      </c>
      <c r="T253" s="87">
        <f>IF((SUM($D253:S253)+$B253/$C253)&gt;$B253,$B253-SUM($D253:S253),$B253/$C253)</f>
        <v>0</v>
      </c>
      <c r="U253" s="87">
        <f>IF((SUM($D253:T253)+$B253/$C253)&gt;$B253,$B253-SUM($D253:T253),$B253/$C253)</f>
        <v>0</v>
      </c>
      <c r="V253" s="87">
        <f>IF((SUM($D253:U253)+$B253/$C253)&gt;$B253,$B253-SUM($D253:U253),$B253/$C253)</f>
        <v>0</v>
      </c>
      <c r="W253" s="87">
        <f>IF((SUM($D253:V253)+$B253/$C253)&gt;$B253,$B253-SUM($D253:V253),$B253/$C253)</f>
        <v>0</v>
      </c>
      <c r="X253" s="87">
        <f>IF((SUM($D253:W253)+$B253/$C253)&gt;$B253,$B253-SUM($D253:W253),$B253/$C253)</f>
        <v>0</v>
      </c>
      <c r="Y253" s="87">
        <f>IF((SUM($D253:X253)+$B253/$C253)&gt;$B253,$B253-SUM($D253:X253),$B253/$C253)</f>
        <v>0</v>
      </c>
      <c r="Z253" s="87">
        <f>IF((SUM($D253:Y253)+$B253/$C253)&gt;$B253,$B253-SUM($D253:Y253),$B253/$C253)</f>
        <v>0</v>
      </c>
      <c r="AA253" s="87">
        <f>IF((SUM($D253:Z253)+$B253/$C253)&gt;$B253,$B253-SUM($D253:Z253),$B253/$C253)</f>
        <v>0</v>
      </c>
    </row>
    <row r="254" spans="1:27" outlineLevel="1" x14ac:dyDescent="0.25">
      <c r="A254" s="469">
        <v>2012</v>
      </c>
      <c r="B254" s="471">
        <f>G$185</f>
        <v>0</v>
      </c>
      <c r="C254" s="470">
        <f>'Data 2009-15 (Real $2008)'!C$157</f>
        <v>7</v>
      </c>
      <c r="D254" s="480"/>
      <c r="E254" s="480"/>
      <c r="F254" s="480"/>
      <c r="G254" s="87">
        <f>IF($C254=1,$B254,$B254/2/$C254)</f>
        <v>0</v>
      </c>
      <c r="H254" s="87">
        <f>IF((SUM($D254:G254)+$B254/$C254)&gt;$B254,$B254-SUM($D254:G254),$B254/$C254)</f>
        <v>0</v>
      </c>
      <c r="I254" s="87">
        <f>IF((SUM($D254:H254)+$B254/$C254)&gt;$B254,$B254-SUM($D254:H254),$B254/$C254)</f>
        <v>0</v>
      </c>
      <c r="J254" s="87">
        <f>IF((SUM($D254:I254)+$B254/$C254)&gt;$B254,$B254-SUM($D254:I254),$B254/$C254)</f>
        <v>0</v>
      </c>
      <c r="K254" s="87">
        <f>IF((SUM($D254:J254)+$B254/$C254)&gt;$B254,$B254-SUM($D254:J254),$B254/$C254)</f>
        <v>0</v>
      </c>
      <c r="L254" s="87">
        <f>IF((SUM($D254:K254)+$B254/$C254)&gt;$B254,$B254-SUM($D254:K254),$B254/$C254)</f>
        <v>0</v>
      </c>
      <c r="M254" s="87">
        <f>IF((SUM($D254:L254)+$B254/$C254)&gt;$B254,$B254-SUM($D254:L254),$B254/$C254)</f>
        <v>0</v>
      </c>
      <c r="N254" s="87">
        <f>IF((SUM($D254:M254)+$B254/$C254)&gt;$B254,$B254-SUM($D254:M254),$B254/$C254)</f>
        <v>0</v>
      </c>
      <c r="O254" s="87">
        <f>IF((SUM($D254:N254)+$B254/$C254)&gt;$B254,$B254-SUM($D254:N254),$B254/$C254)</f>
        <v>0</v>
      </c>
      <c r="P254" s="87">
        <f>IF((SUM($D254:O254)+$B254/$C254)&gt;$B254,$B254-SUM($D254:O254),$B254/$C254)</f>
        <v>0</v>
      </c>
      <c r="Q254" s="87">
        <f>IF((SUM($D254:P254)+$B254/$C254)&gt;$B254,$B254-SUM($D254:P254),$B254/$C254)</f>
        <v>0</v>
      </c>
      <c r="R254" s="87">
        <f>IF((SUM($D254:Q254)+$B254/$C254)&gt;$B254,$B254-SUM($D254:Q254),$B254/$C254)</f>
        <v>0</v>
      </c>
      <c r="S254" s="87">
        <f>IF((SUM($D254:R254)+$B254/$C254)&gt;$B254,$B254-SUM($D254:R254),$B254/$C254)</f>
        <v>0</v>
      </c>
      <c r="T254" s="87">
        <f>IF((SUM($D254:S254)+$B254/$C254)&gt;$B254,$B254-SUM($D254:S254),$B254/$C254)</f>
        <v>0</v>
      </c>
      <c r="U254" s="87">
        <f>IF((SUM($D254:T254)+$B254/$C254)&gt;$B254,$B254-SUM($D254:T254),$B254/$C254)</f>
        <v>0</v>
      </c>
      <c r="V254" s="87">
        <f>IF((SUM($D254:U254)+$B254/$C254)&gt;$B254,$B254-SUM($D254:U254),$B254/$C254)</f>
        <v>0</v>
      </c>
      <c r="W254" s="87">
        <f>IF((SUM($D254:V254)+$B254/$C254)&gt;$B254,$B254-SUM($D254:V254),$B254/$C254)</f>
        <v>0</v>
      </c>
      <c r="X254" s="87">
        <f>IF((SUM($D254:W254)+$B254/$C254)&gt;$B254,$B254-SUM($D254:W254),$B254/$C254)</f>
        <v>0</v>
      </c>
      <c r="Y254" s="87">
        <f>IF((SUM($D254:X254)+$B254/$C254)&gt;$B254,$B254-SUM($D254:X254),$B254/$C254)</f>
        <v>0</v>
      </c>
      <c r="Z254" s="87">
        <f>IF((SUM($D254:Y254)+$B254/$C254)&gt;$B254,$B254-SUM($D254:Y254),$B254/$C254)</f>
        <v>0</v>
      </c>
      <c r="AA254" s="87">
        <f>IF((SUM($D254:Z254)+$B254/$C254)&gt;$B254,$B254-SUM($D254:Z254),$B254/$C254)</f>
        <v>0</v>
      </c>
    </row>
    <row r="255" spans="1:27" outlineLevel="1" x14ac:dyDescent="0.25">
      <c r="A255" s="469">
        <v>2013</v>
      </c>
      <c r="B255" s="471">
        <f>H$185</f>
        <v>0</v>
      </c>
      <c r="C255" s="470">
        <f>'Data 2009-15 (Real $2008)'!C$157</f>
        <v>7</v>
      </c>
      <c r="D255" s="480"/>
      <c r="E255" s="480"/>
      <c r="F255" s="480"/>
      <c r="G255" s="480"/>
      <c r="H255" s="87">
        <f>IF($C255=1,$B255,$B255/2/$C255)</f>
        <v>0</v>
      </c>
      <c r="I255" s="87">
        <f>IF((SUM($D255:H255)+$B255/$C255)&gt;$B255,$B255-SUM($D255:H255),$B255/$C255)</f>
        <v>0</v>
      </c>
      <c r="J255" s="87">
        <f>IF((SUM($D255:I255)+$B255/$C255)&gt;$B255,$B255-SUM($D255:I255),$B255/$C255)</f>
        <v>0</v>
      </c>
      <c r="K255" s="87">
        <f>IF((SUM($D255:J255)+$B255/$C255)&gt;$B255,$B255-SUM($D255:J255),$B255/$C255)</f>
        <v>0</v>
      </c>
      <c r="L255" s="87">
        <f>IF((SUM($D255:K255)+$B255/$C255)&gt;$B255,$B255-SUM($D255:K255),$B255/$C255)</f>
        <v>0</v>
      </c>
      <c r="M255" s="87">
        <f>IF((SUM($D255:L255)+$B255/$C255)&gt;$B255,$B255-SUM($D255:L255),$B255/$C255)</f>
        <v>0</v>
      </c>
      <c r="N255" s="87">
        <f>IF((SUM($D255:M255)+$B255/$C255)&gt;$B255,$B255-SUM($D255:M255),$B255/$C255)</f>
        <v>0</v>
      </c>
      <c r="O255" s="87">
        <f>IF((SUM($D255:N255)+$B255/$C255)&gt;$B255,$B255-SUM($D255:N255),$B255/$C255)</f>
        <v>0</v>
      </c>
      <c r="P255" s="87">
        <f>IF((SUM($D255:O255)+$B255/$C255)&gt;$B255,$B255-SUM($D255:O255),$B255/$C255)</f>
        <v>0</v>
      </c>
      <c r="Q255" s="87">
        <f>IF((SUM($D255:P255)+$B255/$C255)&gt;$B255,$B255-SUM($D255:P255),$B255/$C255)</f>
        <v>0</v>
      </c>
      <c r="R255" s="87">
        <f>IF((SUM($D255:Q255)+$B255/$C255)&gt;$B255,$B255-SUM($D255:Q255),$B255/$C255)</f>
        <v>0</v>
      </c>
      <c r="S255" s="87">
        <f>IF((SUM($D255:R255)+$B255/$C255)&gt;$B255,$B255-SUM($D255:R255),$B255/$C255)</f>
        <v>0</v>
      </c>
      <c r="T255" s="87">
        <f>IF((SUM($D255:S255)+$B255/$C255)&gt;$B255,$B255-SUM($D255:S255),$B255/$C255)</f>
        <v>0</v>
      </c>
      <c r="U255" s="87">
        <f>IF((SUM($D255:T255)+$B255/$C255)&gt;$B255,$B255-SUM($D255:T255),$B255/$C255)</f>
        <v>0</v>
      </c>
      <c r="V255" s="87">
        <f>IF((SUM($D255:U255)+$B255/$C255)&gt;$B255,$B255-SUM($D255:U255),$B255/$C255)</f>
        <v>0</v>
      </c>
      <c r="W255" s="87">
        <f>IF((SUM($D255:V255)+$B255/$C255)&gt;$B255,$B255-SUM($D255:V255),$B255/$C255)</f>
        <v>0</v>
      </c>
      <c r="X255" s="87">
        <f>IF((SUM($D255:W255)+$B255/$C255)&gt;$B255,$B255-SUM($D255:W255),$B255/$C255)</f>
        <v>0</v>
      </c>
      <c r="Y255" s="87">
        <f>IF((SUM($D255:X255)+$B255/$C255)&gt;$B255,$B255-SUM($D255:X255),$B255/$C255)</f>
        <v>0</v>
      </c>
      <c r="Z255" s="87">
        <f>IF((SUM($D255:Y255)+$B255/$C255)&gt;$B255,$B255-SUM($D255:Y255),$B255/$C255)</f>
        <v>0</v>
      </c>
      <c r="AA255" s="87">
        <f>IF((SUM($D255:Z255)+$B255/$C255)&gt;$B255,$B255-SUM($D255:Z255),$B255/$C255)</f>
        <v>0</v>
      </c>
    </row>
    <row r="256" spans="1:27" outlineLevel="1" x14ac:dyDescent="0.25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7">
        <f>IF($C256=1,$B256,$B256/2/$C256)</f>
        <v>0</v>
      </c>
      <c r="J256" s="87">
        <f>IF((SUM($D256:I256)+$B256/$C256)&gt;$B256,$B256-SUM($D256:I256),$B256/$C256)</f>
        <v>0</v>
      </c>
      <c r="K256" s="87">
        <f>IF((SUM($D256:J256)+$B256/$C256)&gt;$B256,$B256-SUM($D256:J256),$B256/$C256)</f>
        <v>0</v>
      </c>
      <c r="L256" s="87">
        <f>IF((SUM($D256:K256)+$B256/$C256)&gt;$B256,$B256-SUM($D256:K256),$B256/$C256)</f>
        <v>0</v>
      </c>
      <c r="M256" s="87">
        <f>IF((SUM($D256:L256)+$B256/$C256)&gt;$B256,$B256-SUM($D256:L256),$B256/$C256)</f>
        <v>0</v>
      </c>
      <c r="N256" s="87">
        <f>IF((SUM($D256:M256)+$B256/$C256)&gt;$B256,$B256-SUM($D256:M256),$B256/$C256)</f>
        <v>0</v>
      </c>
      <c r="O256" s="87">
        <f>IF((SUM($D256:N256)+$B256/$C256)&gt;$B256,$B256-SUM($D256:N256),$B256/$C256)</f>
        <v>0</v>
      </c>
      <c r="P256" s="87">
        <f>IF((SUM($D256:O256)+$B256/$C256)&gt;$B256,$B256-SUM($D256:O256),$B256/$C256)</f>
        <v>0</v>
      </c>
      <c r="Q256" s="87">
        <f>IF((SUM($D256:P256)+$B256/$C256)&gt;$B256,$B256-SUM($D256:P256),$B256/$C256)</f>
        <v>0</v>
      </c>
      <c r="R256" s="87">
        <f>IF((SUM($D256:Q256)+$B256/$C256)&gt;$B256,$B256-SUM($D256:Q256),$B256/$C256)</f>
        <v>0</v>
      </c>
      <c r="S256" s="87">
        <f>IF((SUM($D256:R256)+$B256/$C256)&gt;$B256,$B256-SUM($D256:R256),$B256/$C256)</f>
        <v>0</v>
      </c>
      <c r="T256" s="87">
        <f>IF((SUM($D256:S256)+$B256/$C256)&gt;$B256,$B256-SUM($D256:S256),$B256/$C256)</f>
        <v>0</v>
      </c>
      <c r="U256" s="87">
        <f>IF((SUM($D256:T256)+$B256/$C256)&gt;$B256,$B256-SUM($D256:T256),$B256/$C256)</f>
        <v>0</v>
      </c>
      <c r="V256" s="87">
        <f>IF((SUM($D256:U256)+$B256/$C256)&gt;$B256,$B256-SUM($D256:U256),$B256/$C256)</f>
        <v>0</v>
      </c>
      <c r="W256" s="87">
        <f>IF((SUM($D256:V256)+$B256/$C256)&gt;$B256,$B256-SUM($D256:V256),$B256/$C256)</f>
        <v>0</v>
      </c>
      <c r="X256" s="87">
        <f>IF((SUM($D256:W256)+$B256/$C256)&gt;$B256,$B256-SUM($D256:W256),$B256/$C256)</f>
        <v>0</v>
      </c>
      <c r="Y256" s="87">
        <f>IF((SUM($D256:X256)+$B256/$C256)&gt;$B256,$B256-SUM($D256:X256),$B256/$C256)</f>
        <v>0</v>
      </c>
      <c r="Z256" s="87">
        <f>IF((SUM($D256:Y256)+$B256/$C256)&gt;$B256,$B256-SUM($D256:Y256),$B256/$C256)</f>
        <v>0</v>
      </c>
      <c r="AA256" s="87">
        <f>IF((SUM($D256:Z256)+$B256/$C256)&gt;$B256,$B256-SUM($D256:Z256),$B256/$C256)</f>
        <v>0</v>
      </c>
    </row>
    <row r="257" spans="1:27" outlineLevel="1" x14ac:dyDescent="0.25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7">
        <f>IF($C257=1,$B257,$B257/2/$C257)</f>
        <v>0</v>
      </c>
      <c r="K257" s="87">
        <f>IF((SUM($D257:J257)+$B257/$C257)&gt;$B257,$B257-SUM($D257:J257),$B257/$C257)</f>
        <v>0</v>
      </c>
      <c r="L257" s="87">
        <f>IF((SUM($D257:K257)+$B257/$C257)&gt;$B257,$B257-SUM($D257:K257),$B257/$C257)</f>
        <v>0</v>
      </c>
      <c r="M257" s="87">
        <f>IF((SUM($D257:L257)+$B257/$C257)&gt;$B257,$B257-SUM($D257:L257),$B257/$C257)</f>
        <v>0</v>
      </c>
      <c r="N257" s="87">
        <f>IF((SUM($D257:M257)+$B257/$C257)&gt;$B257,$B257-SUM($D257:M257),$B257/$C257)</f>
        <v>0</v>
      </c>
      <c r="O257" s="87">
        <f>IF((SUM($D257:N257)+$B257/$C257)&gt;$B257,$B257-SUM($D257:N257),$B257/$C257)</f>
        <v>0</v>
      </c>
      <c r="P257" s="87">
        <f>IF((SUM($D257:O257)+$B257/$C257)&gt;$B257,$B257-SUM($D257:O257),$B257/$C257)</f>
        <v>0</v>
      </c>
      <c r="Q257" s="87">
        <f>IF((SUM($D257:P257)+$B257/$C257)&gt;$B257,$B257-SUM($D257:P257),$B257/$C257)</f>
        <v>0</v>
      </c>
      <c r="R257" s="87">
        <f>IF((SUM($D257:Q257)+$B257/$C257)&gt;$B257,$B257-SUM($D257:Q257),$B257/$C257)</f>
        <v>0</v>
      </c>
      <c r="S257" s="87">
        <f>IF((SUM($D257:R257)+$B257/$C257)&gt;$B257,$B257-SUM($D257:R257),$B257/$C257)</f>
        <v>0</v>
      </c>
      <c r="T257" s="87">
        <f>IF((SUM($D257:S257)+$B257/$C257)&gt;$B257,$B257-SUM($D257:S257),$B257/$C257)</f>
        <v>0</v>
      </c>
      <c r="U257" s="87">
        <f>IF((SUM($D257:T257)+$B257/$C257)&gt;$B257,$B257-SUM($D257:T257),$B257/$C257)</f>
        <v>0</v>
      </c>
      <c r="V257" s="87">
        <f>IF((SUM($D257:U257)+$B257/$C257)&gt;$B257,$B257-SUM($D257:U257),$B257/$C257)</f>
        <v>0</v>
      </c>
      <c r="W257" s="87">
        <f>IF((SUM($D257:V257)+$B257/$C257)&gt;$B257,$B257-SUM($D257:V257),$B257/$C257)</f>
        <v>0</v>
      </c>
      <c r="X257" s="87">
        <f>IF((SUM($D257:W257)+$B257/$C257)&gt;$B257,$B257-SUM($D257:W257),$B257/$C257)</f>
        <v>0</v>
      </c>
      <c r="Y257" s="87">
        <f>IF((SUM($D257:X257)+$B257/$C257)&gt;$B257,$B257-SUM($D257:X257),$B257/$C257)</f>
        <v>0</v>
      </c>
      <c r="Z257" s="87">
        <f>IF((SUM($D257:Y257)+$B257/$C257)&gt;$B257,$B257-SUM($D257:Y257),$B257/$C257)</f>
        <v>0</v>
      </c>
      <c r="AA257" s="87">
        <f>IF((SUM($D257:Z257)+$B257/$C257)&gt;$B257,$B257-SUM($D257:Z257),$B257/$C257)</f>
        <v>0</v>
      </c>
    </row>
    <row r="258" spans="1:27" s="469" customFormat="1" outlineLevel="1" x14ac:dyDescent="0.25">
      <c r="B258" s="472">
        <f>SUM(B251:B257)</f>
        <v>0</v>
      </c>
      <c r="D258" s="696">
        <f t="shared" ref="D258:AA258" si="76">SUM(D251:D257)</f>
        <v>0</v>
      </c>
      <c r="E258" s="696">
        <f t="shared" si="76"/>
        <v>0</v>
      </c>
      <c r="F258" s="696">
        <f t="shared" si="76"/>
        <v>0</v>
      </c>
      <c r="G258" s="696">
        <f t="shared" si="76"/>
        <v>0</v>
      </c>
      <c r="H258" s="696">
        <f t="shared" si="76"/>
        <v>0</v>
      </c>
      <c r="I258" s="696">
        <f t="shared" si="76"/>
        <v>0</v>
      </c>
      <c r="J258" s="696">
        <f t="shared" si="76"/>
        <v>0</v>
      </c>
      <c r="K258" s="696">
        <f t="shared" si="76"/>
        <v>0</v>
      </c>
      <c r="L258" s="696">
        <f t="shared" si="76"/>
        <v>0</v>
      </c>
      <c r="M258" s="696">
        <f t="shared" si="76"/>
        <v>0</v>
      </c>
      <c r="N258" s="696">
        <f t="shared" si="76"/>
        <v>0</v>
      </c>
      <c r="O258" s="696">
        <f t="shared" si="76"/>
        <v>0</v>
      </c>
      <c r="P258" s="696">
        <f t="shared" si="76"/>
        <v>0</v>
      </c>
      <c r="Q258" s="696">
        <f t="shared" si="76"/>
        <v>0</v>
      </c>
      <c r="R258" s="696">
        <f t="shared" si="76"/>
        <v>0</v>
      </c>
      <c r="S258" s="696">
        <f t="shared" si="76"/>
        <v>0</v>
      </c>
      <c r="T258" s="696">
        <f t="shared" si="76"/>
        <v>0</v>
      </c>
      <c r="U258" s="696">
        <f t="shared" si="76"/>
        <v>0</v>
      </c>
      <c r="V258" s="696">
        <f t="shared" si="76"/>
        <v>0</v>
      </c>
      <c r="W258" s="696">
        <f t="shared" si="76"/>
        <v>0</v>
      </c>
      <c r="X258" s="696">
        <f t="shared" si="76"/>
        <v>0</v>
      </c>
      <c r="Y258" s="696">
        <f t="shared" si="76"/>
        <v>0</v>
      </c>
      <c r="Z258" s="696">
        <f t="shared" si="76"/>
        <v>0</v>
      </c>
      <c r="AA258" s="696">
        <f t="shared" si="76"/>
        <v>0</v>
      </c>
    </row>
    <row r="259" spans="1:27" outlineLevel="1" x14ac:dyDescent="0.25"/>
    <row r="260" spans="1:27" outlineLevel="1" x14ac:dyDescent="0.25"/>
    <row r="261" spans="1:27" ht="13.8" outlineLevel="1" thickBot="1" x14ac:dyDescent="0.3">
      <c r="A261" s="476" t="s">
        <v>44</v>
      </c>
      <c r="B261" s="477">
        <f>SUM(B198,B210,B222,B234,B246,B258)</f>
        <v>519333.57535120304</v>
      </c>
      <c r="C261" s="476"/>
      <c r="D261" s="479">
        <f>SUM(D198,D210,D222,D234,D246,D258)</f>
        <v>2960.8775057987214</v>
      </c>
      <c r="E261" s="479">
        <f t="shared" ref="E261:W261" si="77">SUM(E198,E210,E222,E234,E246,E258)</f>
        <v>11605.156170709011</v>
      </c>
      <c r="F261" s="479">
        <f t="shared" si="77"/>
        <v>21886.848408977501</v>
      </c>
      <c r="G261" s="479">
        <f t="shared" si="77"/>
        <v>32498.967640816089</v>
      </c>
      <c r="H261" s="479">
        <f t="shared" si="77"/>
        <v>42967.779955047212</v>
      </c>
      <c r="I261" s="479">
        <f t="shared" si="77"/>
        <v>43487.172309911562</v>
      </c>
      <c r="J261" s="479">
        <f t="shared" si="77"/>
        <v>46777.13999670076</v>
      </c>
      <c r="K261" s="479">
        <f t="shared" si="77"/>
        <v>46378.817334254272</v>
      </c>
      <c r="L261" s="479">
        <f t="shared" si="77"/>
        <v>41320.981497557703</v>
      </c>
      <c r="M261" s="479">
        <f t="shared" si="77"/>
        <v>36019.354328579095</v>
      </c>
      <c r="N261" s="479">
        <f t="shared" si="77"/>
        <v>30790.724666520458</v>
      </c>
      <c r="O261" s="479">
        <f t="shared" si="77"/>
        <v>25942.083564138415</v>
      </c>
      <c r="P261" s="479">
        <f t="shared" si="77"/>
        <v>23464.621752505696</v>
      </c>
      <c r="Q261" s="479">
        <f t="shared" si="77"/>
        <v>21376.452545028245</v>
      </c>
      <c r="R261" s="479">
        <f t="shared" si="77"/>
        <v>20041.388734723387</v>
      </c>
      <c r="S261" s="479">
        <f t="shared" si="77"/>
        <v>20002.727727491354</v>
      </c>
      <c r="T261" s="479">
        <f t="shared" si="77"/>
        <v>19033.04303842556</v>
      </c>
      <c r="U261" s="479">
        <f t="shared" si="77"/>
        <v>15653.832051340783</v>
      </c>
      <c r="V261" s="479">
        <f t="shared" si="77"/>
        <v>10535.248599445944</v>
      </c>
      <c r="W261" s="479">
        <f t="shared" si="77"/>
        <v>5134.2247057128552</v>
      </c>
      <c r="X261" s="479">
        <f>SUM(X198,X210,X222,X234,X246,X258)</f>
        <v>1328.9656484150933</v>
      </c>
      <c r="Y261" s="479">
        <f>SUM(Y198,Y210,Y222,Y234,Y246,Y258)</f>
        <v>127.16716910333344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8" thickTop="1" x14ac:dyDescent="0.25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63.109375" style="57" customWidth="1"/>
    <col min="2" max="2" width="10" style="57" customWidth="1"/>
    <col min="3" max="3" width="11.44140625" style="57" customWidth="1"/>
    <col min="4" max="4" width="16.33203125" style="57" customWidth="1"/>
    <col min="5" max="5" width="13.109375" style="57" customWidth="1"/>
    <col min="6" max="6" width="12.88671875" style="57" customWidth="1"/>
    <col min="7" max="7" width="12.6640625" style="57" customWidth="1"/>
    <col min="8" max="8" width="14.44140625" style="57" customWidth="1"/>
    <col min="9" max="9" width="11.5546875" style="57" bestFit="1" customWidth="1"/>
    <col min="10" max="10" width="10" style="57" customWidth="1"/>
    <col min="11" max="11" width="9.109375" style="57"/>
    <col min="12" max="14" width="9.33203125" style="57" bestFit="1" customWidth="1"/>
    <col min="15" max="16" width="10" style="57" customWidth="1"/>
    <col min="17" max="17" width="9.44140625" style="57" bestFit="1" customWidth="1"/>
    <col min="18" max="18" width="9.88671875" style="57" customWidth="1"/>
    <col min="19" max="16384" width="9.109375" style="57"/>
  </cols>
  <sheetData>
    <row r="1" spans="1:11" ht="15.6" x14ac:dyDescent="0.3">
      <c r="A1" s="554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6" x14ac:dyDescent="0.3">
      <c r="B2" s="342"/>
      <c r="C2" s="342"/>
    </row>
    <row r="3" spans="1:11" x14ac:dyDescent="0.25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5">
      <c r="A4" s="422" t="s">
        <v>85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5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5">
      <c r="A6" s="423" t="s">
        <v>295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5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5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5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5">
      <c r="A10" s="500" t="s">
        <v>343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5">
      <c r="A11" s="409" t="s">
        <v>296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5">
      <c r="A12" s="422" t="s">
        <v>298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1"/>
      <c r="H12" s="531"/>
      <c r="I12" s="531"/>
      <c r="J12" s="531"/>
      <c r="K12" s="522"/>
    </row>
    <row r="13" spans="1:11" x14ac:dyDescent="0.25">
      <c r="A13" s="422" t="s">
        <v>304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1"/>
      <c r="J13" s="531"/>
      <c r="K13" s="522"/>
    </row>
    <row r="14" spans="1:11" x14ac:dyDescent="0.25">
      <c r="A14" s="422" t="s">
        <v>303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5">
      <c r="A15" s="422" t="s">
        <v>305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1"/>
      <c r="H15" s="531"/>
      <c r="I15" s="531"/>
      <c r="J15" s="531"/>
      <c r="K15" s="522"/>
    </row>
    <row r="16" spans="1:11" x14ac:dyDescent="0.25">
      <c r="A16" s="422" t="s">
        <v>44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5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5">
      <c r="A18" s="422" t="s">
        <v>306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5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8" thickBot="1" x14ac:dyDescent="0.3">
      <c r="A20" s="430" t="s">
        <v>344</v>
      </c>
      <c r="B20" s="431"/>
      <c r="C20" s="431"/>
      <c r="D20" s="533"/>
      <c r="E20" s="533"/>
      <c r="F20" s="533"/>
      <c r="G20" s="429">
        <f>SUMPRODUCT(D16:K16,D18:K18)</f>
        <v>-6137.4832866242659</v>
      </c>
      <c r="H20" s="532"/>
      <c r="I20" s="532"/>
      <c r="J20" s="533"/>
      <c r="K20" s="533"/>
    </row>
    <row r="21" spans="1:11" ht="13.8" thickTop="1" x14ac:dyDescent="0.25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5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5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5">
      <c r="A24" s="43" t="s">
        <v>302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5">
      <c r="A25" s="409" t="s">
        <v>299</v>
      </c>
      <c r="D25" s="307"/>
      <c r="E25" s="275"/>
      <c r="F25" s="275"/>
      <c r="G25" s="275"/>
      <c r="H25" s="275"/>
    </row>
    <row r="26" spans="1:11" x14ac:dyDescent="0.25">
      <c r="A26" s="85" t="s">
        <v>300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5">
      <c r="A27" s="84" t="s">
        <v>130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5">
      <c r="A28" s="279" t="s">
        <v>131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8" thickBot="1" x14ac:dyDescent="0.3">
      <c r="A29" s="57" t="s">
        <v>301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8" thickTop="1" x14ac:dyDescent="0.25">
      <c r="D30" s="275"/>
      <c r="E30" s="275"/>
      <c r="F30" s="275"/>
      <c r="G30" s="275"/>
      <c r="H30" s="275"/>
    </row>
    <row r="31" spans="1:11" x14ac:dyDescent="0.25">
      <c r="A31" s="57" t="s">
        <v>301</v>
      </c>
      <c r="D31" s="275"/>
      <c r="E31" s="275"/>
      <c r="F31" s="275"/>
      <c r="G31" s="275"/>
      <c r="H31" s="275"/>
    </row>
    <row r="32" spans="1:11" x14ac:dyDescent="0.25">
      <c r="A32" s="409" t="s">
        <v>288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5">
      <c r="D33" s="275"/>
      <c r="E33" s="275"/>
      <c r="F33" s="275"/>
      <c r="G33" s="275"/>
      <c r="H33" s="275"/>
    </row>
    <row r="34" spans="1:11" x14ac:dyDescent="0.25">
      <c r="D34" s="275"/>
      <c r="E34" s="275"/>
      <c r="F34" s="275"/>
      <c r="G34" s="275"/>
      <c r="H34" s="275"/>
    </row>
    <row r="35" spans="1:11" x14ac:dyDescent="0.25">
      <c r="A35" s="57" t="s">
        <v>301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5">
      <c r="A36" s="409" t="s">
        <v>296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5">
      <c r="D37" s="275"/>
      <c r="E37" s="275"/>
      <c r="F37" s="275"/>
      <c r="G37" s="275"/>
      <c r="H37" s="275"/>
    </row>
    <row r="38" spans="1:11" ht="13.8" thickBot="1" x14ac:dyDescent="0.3">
      <c r="A38" s="534"/>
      <c r="B38" s="534"/>
      <c r="C38" s="534"/>
      <c r="D38" s="535"/>
      <c r="E38" s="535"/>
      <c r="F38" s="535"/>
      <c r="G38" s="535"/>
      <c r="H38" s="535"/>
      <c r="I38" s="534"/>
      <c r="J38" s="534"/>
      <c r="K38" s="534"/>
    </row>
    <row r="39" spans="1:11" x14ac:dyDescent="0.25">
      <c r="D39" s="275"/>
      <c r="E39" s="275"/>
      <c r="F39" s="275"/>
      <c r="G39" s="275"/>
      <c r="H39" s="275"/>
    </row>
    <row r="40" spans="1:11" x14ac:dyDescent="0.25">
      <c r="A40" s="43" t="s">
        <v>303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5">
      <c r="A41" s="409" t="s">
        <v>288</v>
      </c>
      <c r="D41" s="275"/>
      <c r="E41" s="275"/>
      <c r="F41" s="275"/>
      <c r="G41" s="275"/>
      <c r="H41" s="275"/>
    </row>
    <row r="42" spans="1:11" x14ac:dyDescent="0.25">
      <c r="A42" s="344" t="s">
        <v>353</v>
      </c>
    </row>
    <row r="43" spans="1:11" x14ac:dyDescent="0.25">
      <c r="A43" s="280" t="s">
        <v>309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5">
      <c r="A44" s="84" t="s">
        <v>23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5">
      <c r="A45" s="84" t="s">
        <v>261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5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5">
      <c r="A48" s="344" t="s">
        <v>310</v>
      </c>
    </row>
    <row r="49" spans="1:11" x14ac:dyDescent="0.25">
      <c r="A49" s="280" t="s">
        <v>309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5">
      <c r="A50" s="84" t="s">
        <v>23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5">
      <c r="A51" s="84" t="s">
        <v>261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5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5">
      <c r="A54" s="57" t="s">
        <v>357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5">
      <c r="A55" s="57" t="s">
        <v>311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5">
      <c r="A57" s="344" t="s">
        <v>312</v>
      </c>
    </row>
    <row r="58" spans="1:11" x14ac:dyDescent="0.25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5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5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8" thickBot="1" x14ac:dyDescent="0.3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8" thickTop="1" x14ac:dyDescent="0.25"/>
    <row r="64" spans="1:11" x14ac:dyDescent="0.25">
      <c r="A64" s="448" t="s">
        <v>303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5">
      <c r="A65" s="409" t="s">
        <v>296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5">
      <c r="D66" s="347"/>
      <c r="E66" s="347"/>
      <c r="F66" s="347"/>
      <c r="G66" s="347"/>
      <c r="H66" s="347"/>
      <c r="I66" s="347"/>
      <c r="J66" s="347"/>
      <c r="K66" s="347"/>
    </row>
    <row r="67" spans="1:18" ht="13.8" thickBot="1" x14ac:dyDescent="0.3">
      <c r="A67" s="534"/>
      <c r="B67" s="534"/>
      <c r="C67" s="534"/>
      <c r="D67" s="534"/>
      <c r="E67" s="534"/>
      <c r="F67" s="534"/>
      <c r="G67" s="534"/>
      <c r="H67" s="534"/>
      <c r="I67" s="534"/>
      <c r="J67" s="534"/>
      <c r="K67" s="534"/>
    </row>
    <row r="69" spans="1:18" x14ac:dyDescent="0.25">
      <c r="A69" s="59" t="s">
        <v>298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5">
      <c r="A70" s="409" t="s">
        <v>296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5">
      <c r="A71" s="279" t="s">
        <v>292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5">
      <c r="A72" s="424" t="s">
        <v>294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8" thickBot="1" x14ac:dyDescent="0.3">
      <c r="A73" s="356" t="s">
        <v>297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8" thickTop="1" x14ac:dyDescent="0.25">
      <c r="D74" s="349"/>
      <c r="E74" s="349"/>
      <c r="F74" s="349"/>
    </row>
    <row r="75" spans="1:18" s="279" customFormat="1" x14ac:dyDescent="0.25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5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5">
      <c r="A77" s="57"/>
      <c r="B77" s="57"/>
      <c r="C77" s="57"/>
      <c r="D77" s="351"/>
      <c r="E77" s="351"/>
      <c r="F77" s="351"/>
      <c r="G77" s="351"/>
      <c r="H77" s="351"/>
    </row>
    <row r="78" spans="1:18" x14ac:dyDescent="0.25">
      <c r="A78" s="355" t="s">
        <v>294</v>
      </c>
      <c r="B78" s="279"/>
      <c r="C78" s="279"/>
    </row>
    <row r="79" spans="1:18" x14ac:dyDescent="0.25">
      <c r="A79" s="409" t="s">
        <v>288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5">
      <c r="A80" s="360" t="s">
        <v>135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5">
      <c r="A81" s="360" t="s">
        <v>136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5">
      <c r="A82" s="360" t="s">
        <v>137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5">
      <c r="A83" s="365" t="s">
        <v>293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8" thickBot="1" x14ac:dyDescent="0.3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8" thickTop="1" x14ac:dyDescent="0.25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5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5">
      <c r="C87" s="356"/>
      <c r="G87" s="280"/>
      <c r="H87" s="280"/>
    </row>
    <row r="88" spans="1:18" s="279" customFormat="1" x14ac:dyDescent="0.25">
      <c r="A88" s="278" t="s">
        <v>139</v>
      </c>
      <c r="C88" s="356"/>
      <c r="G88" s="280"/>
      <c r="H88" s="280"/>
    </row>
    <row r="89" spans="1:18" s="279" customFormat="1" x14ac:dyDescent="0.25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5">
      <c r="A90" s="279" t="s">
        <v>83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5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5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5">
      <c r="A93" s="279" t="s">
        <v>146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5">
      <c r="D94" s="319"/>
      <c r="I94" s="280"/>
      <c r="J94" s="280"/>
    </row>
    <row r="95" spans="1:18" s="279" customFormat="1" x14ac:dyDescent="0.25">
      <c r="A95" s="280" t="s">
        <v>141</v>
      </c>
      <c r="D95" s="416">
        <f>'Data 2006-08'!C169</f>
        <v>0.3</v>
      </c>
      <c r="I95" s="280"/>
      <c r="J95" s="280"/>
    </row>
    <row r="96" spans="1:18" s="279" customFormat="1" x14ac:dyDescent="0.25">
      <c r="A96" s="280" t="s">
        <v>140</v>
      </c>
      <c r="D96" s="417">
        <f>'Data 2006-08'!C171</f>
        <v>0.6</v>
      </c>
      <c r="I96" s="280"/>
      <c r="J96" s="280"/>
    </row>
    <row r="97" spans="1:10" s="279" customFormat="1" x14ac:dyDescent="0.25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5">
      <c r="I98" s="280"/>
      <c r="J98" s="280"/>
    </row>
    <row r="99" spans="1:10" s="279" customFormat="1" x14ac:dyDescent="0.25">
      <c r="A99" s="278" t="s">
        <v>350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5">
      <c r="A100" s="279" t="s">
        <v>292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5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5">
      <c r="A102" s="279" t="s">
        <v>125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5">
      <c r="A103" s="279" t="s">
        <v>126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5">
      <c r="A104" s="279" t="s">
        <v>127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5">
      <c r="A105" s="279" t="s">
        <v>128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5">
      <c r="A106" s="279" t="s">
        <v>150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5">
      <c r="A107" s="279" t="s">
        <v>151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5">
      <c r="A108" s="279" t="s">
        <v>131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5">
      <c r="A109" s="279" t="s">
        <v>351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5">
      <c r="G110" s="280"/>
      <c r="H110" s="280"/>
      <c r="I110" s="280"/>
      <c r="J110" s="280"/>
    </row>
    <row r="111" spans="1:10" s="279" customFormat="1" x14ac:dyDescent="0.25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5">
      <c r="A112" s="279" t="s">
        <v>151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5">
      <c r="A113" s="279" t="s">
        <v>131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5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5">
      <c r="D115" s="319"/>
      <c r="E115" s="319"/>
      <c r="F115" s="319"/>
      <c r="G115" s="280"/>
      <c r="H115" s="280"/>
      <c r="I115" s="280"/>
      <c r="J115" s="378"/>
    </row>
    <row r="116" spans="1:10" x14ac:dyDescent="0.25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5">
      <c r="G117" s="356"/>
      <c r="H117" s="356"/>
      <c r="I117" s="280"/>
      <c r="J117" s="280"/>
    </row>
    <row r="118" spans="1:10" x14ac:dyDescent="0.25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5">
      <c r="A119" s="264" t="s">
        <v>162</v>
      </c>
      <c r="G119" s="356"/>
      <c r="H119" s="356"/>
      <c r="I119" s="280"/>
      <c r="J119" s="280"/>
    </row>
    <row r="120" spans="1:10" x14ac:dyDescent="0.25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5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5">
      <c r="A122" s="84" t="s">
        <v>260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5">
      <c r="A123" s="84" t="s">
        <v>259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5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5">
      <c r="A125" s="356" t="s">
        <v>289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5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5">
      <c r="A127" s="84" t="s">
        <v>42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5">
      <c r="A128" s="84" t="s">
        <v>43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5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5">
      <c r="A130" s="356" t="s">
        <v>167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5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5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5">
      <c r="A133" s="268"/>
      <c r="G133" s="356"/>
      <c r="H133" s="356"/>
      <c r="I133" s="280"/>
      <c r="J133" s="280"/>
    </row>
    <row r="134" spans="1:10" x14ac:dyDescent="0.25">
      <c r="A134" s="268"/>
      <c r="G134" s="356"/>
      <c r="H134" s="356"/>
      <c r="I134" s="280"/>
      <c r="J134" s="280"/>
    </row>
    <row r="135" spans="1:10" x14ac:dyDescent="0.25">
      <c r="A135" s="388" t="s">
        <v>168</v>
      </c>
      <c r="B135" s="279"/>
      <c r="C135" s="279"/>
      <c r="D135" s="279"/>
      <c r="G135" s="356"/>
      <c r="H135" s="356"/>
      <c r="I135" s="280"/>
      <c r="J135" s="280"/>
    </row>
    <row r="136" spans="1:10" x14ac:dyDescent="0.25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5">
      <c r="I137" s="280"/>
      <c r="J137" s="280"/>
    </row>
    <row r="138" spans="1:10" x14ac:dyDescent="0.25">
      <c r="A138" s="346" t="s">
        <v>260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5">
      <c r="A139" s="356" t="s">
        <v>170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5">
      <c r="A140" s="356" t="s">
        <v>171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5">
      <c r="A141" s="57" t="s">
        <v>5</v>
      </c>
      <c r="B141" s="280"/>
      <c r="C141" s="280"/>
      <c r="D141" s="758">
        <v>0</v>
      </c>
      <c r="E141" s="758">
        <v>0</v>
      </c>
      <c r="F141" s="758">
        <v>0</v>
      </c>
      <c r="G141" s="275"/>
      <c r="H141" s="275"/>
      <c r="I141" s="275"/>
      <c r="J141" s="275"/>
    </row>
    <row r="142" spans="1:10" x14ac:dyDescent="0.25">
      <c r="A142" s="57" t="s">
        <v>136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5">
      <c r="A143" s="356" t="s">
        <v>172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5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5">
      <c r="A145" s="356" t="s">
        <v>173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5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5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5">
      <c r="A148" s="346" t="s">
        <v>259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5">
      <c r="A149" s="356" t="s">
        <v>170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5">
      <c r="A150" s="356" t="s">
        <v>171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5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5">
      <c r="A152" s="57" t="s">
        <v>136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5">
      <c r="A153" s="356" t="s">
        <v>172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5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5">
      <c r="A155" s="356" t="s">
        <v>173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5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5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5">
      <c r="A158" s="346" t="s">
        <v>89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5">
      <c r="A159" s="356" t="s">
        <v>170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5">
      <c r="A160" s="356" t="s">
        <v>171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5">
      <c r="A161" s="57" t="s">
        <v>5</v>
      </c>
      <c r="B161" s="275"/>
      <c r="C161" s="275"/>
      <c r="D161" s="758">
        <v>0</v>
      </c>
      <c r="E161" s="758">
        <v>0</v>
      </c>
      <c r="F161" s="758">
        <v>0</v>
      </c>
      <c r="G161" s="275"/>
      <c r="H161" s="275"/>
      <c r="I161" s="275"/>
      <c r="J161" s="275"/>
    </row>
    <row r="162" spans="1:10" x14ac:dyDescent="0.25">
      <c r="A162" s="356" t="s">
        <v>175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5">
      <c r="A163" s="356" t="s">
        <v>172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5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5">
      <c r="A165" s="356" t="s">
        <v>173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5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5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5">
      <c r="A168" s="346" t="s">
        <v>166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5">
      <c r="A169" s="356" t="s">
        <v>170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5">
      <c r="A170" s="356" t="s">
        <v>171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5">
      <c r="A171" s="57" t="s">
        <v>5</v>
      </c>
      <c r="B171" s="275"/>
      <c r="C171" s="275"/>
      <c r="D171" s="758">
        <v>0</v>
      </c>
      <c r="E171" s="758">
        <v>0</v>
      </c>
      <c r="F171" s="758">
        <v>0</v>
      </c>
      <c r="G171" s="275"/>
      <c r="H171" s="275"/>
      <c r="I171" s="275"/>
      <c r="J171" s="275"/>
    </row>
    <row r="172" spans="1:10" x14ac:dyDescent="0.25">
      <c r="A172" s="356" t="s">
        <v>175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5">
      <c r="A173" s="356" t="s">
        <v>172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5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5">
      <c r="A175" s="356" t="s">
        <v>173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5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5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5">
      <c r="A178" s="346" t="s">
        <v>44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5">
      <c r="A179" s="356" t="s">
        <v>170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5">
      <c r="A180" s="356" t="s">
        <v>171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5">
      <c r="A181" s="356" t="s">
        <v>176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5">
      <c r="A182" s="356" t="s">
        <v>175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5">
      <c r="A183" s="356" t="s">
        <v>172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5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5">
      <c r="A185" s="356" t="s">
        <v>173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5">
      <c r="D186" s="390"/>
      <c r="E186" s="390"/>
      <c r="F186" s="390"/>
      <c r="G186" s="275"/>
      <c r="H186" s="275"/>
      <c r="I186" s="369"/>
      <c r="J186" s="369"/>
    </row>
    <row r="187" spans="1:10" x14ac:dyDescent="0.25">
      <c r="A187" s="344" t="s">
        <v>290</v>
      </c>
      <c r="G187" s="275"/>
      <c r="H187" s="275"/>
      <c r="I187" s="280"/>
      <c r="J187" s="280"/>
    </row>
    <row r="188" spans="1:10" x14ac:dyDescent="0.25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5">
      <c r="A189" s="343" t="s">
        <v>178</v>
      </c>
      <c r="G189" s="275"/>
      <c r="H189" s="275"/>
      <c r="I189" s="280"/>
      <c r="J189" s="280"/>
    </row>
    <row r="190" spans="1:10" x14ac:dyDescent="0.25">
      <c r="A190" s="84" t="s">
        <v>260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5">
      <c r="A191" s="84" t="s">
        <v>259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5">
      <c r="A192" s="84" t="s">
        <v>42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5">
      <c r="A193" s="84" t="s">
        <v>43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5">
      <c r="G194" s="275"/>
      <c r="H194" s="275"/>
      <c r="I194" s="280"/>
      <c r="J194" s="280"/>
    </row>
    <row r="195" spans="1:10" s="279" customFormat="1" x14ac:dyDescent="0.25">
      <c r="I195" s="280"/>
      <c r="J195" s="280"/>
    </row>
    <row r="196" spans="1:10" s="365" customFormat="1" x14ac:dyDescent="0.25">
      <c r="A196" s="264" t="s">
        <v>291</v>
      </c>
      <c r="I196" s="395"/>
      <c r="J196" s="395"/>
    </row>
    <row r="197" spans="1:10" s="365" customFormat="1" x14ac:dyDescent="0.25">
      <c r="A197" s="346" t="str">
        <f>$A$79</f>
        <v>($000 Real 2008)</v>
      </c>
      <c r="I197" s="395"/>
      <c r="J197" s="395"/>
    </row>
    <row r="198" spans="1:10" s="365" customFormat="1" x14ac:dyDescent="0.25">
      <c r="A198" s="396" t="s">
        <v>180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5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5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5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5">
      <c r="B202" s="398"/>
      <c r="G202" s="394"/>
      <c r="H202" s="394"/>
      <c r="I202" s="395"/>
      <c r="J202" s="395"/>
    </row>
    <row r="203" spans="1:10" s="365" customFormat="1" x14ac:dyDescent="0.25">
      <c r="B203" s="398"/>
      <c r="G203" s="394"/>
      <c r="H203" s="394"/>
      <c r="I203" s="395"/>
      <c r="J203" s="395"/>
    </row>
    <row r="204" spans="1:10" s="365" customFormat="1" x14ac:dyDescent="0.25">
      <c r="G204" s="394"/>
      <c r="H204" s="394"/>
      <c r="I204" s="395"/>
      <c r="J204" s="395"/>
    </row>
    <row r="205" spans="1:10" s="365" customFormat="1" x14ac:dyDescent="0.25">
      <c r="A205" s="393" t="s">
        <v>169</v>
      </c>
      <c r="C205" s="365" t="s">
        <v>181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5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5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5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5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5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5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5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5">
      <c r="A213" s="393" t="s">
        <v>174</v>
      </c>
      <c r="C213" s="365" t="s">
        <v>181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5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5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5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5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5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5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5">
      <c r="G220" s="394"/>
      <c r="H220" s="394"/>
      <c r="I220" s="395"/>
      <c r="J220" s="395"/>
    </row>
    <row r="221" spans="1:10" s="365" customFormat="1" x14ac:dyDescent="0.25">
      <c r="A221" s="380" t="s">
        <v>89</v>
      </c>
      <c r="C221" s="365" t="s">
        <v>181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5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5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5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5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5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5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5">
      <c r="G228" s="394"/>
      <c r="H228" s="394"/>
      <c r="I228" s="395"/>
      <c r="J228" s="395"/>
    </row>
    <row r="229" spans="1:10" s="365" customFormat="1" x14ac:dyDescent="0.25">
      <c r="A229" s="380" t="s">
        <v>166</v>
      </c>
      <c r="C229" s="365" t="s">
        <v>181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5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5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5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5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5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5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5">
      <c r="G236" s="394"/>
      <c r="H236" s="394"/>
      <c r="I236" s="280"/>
      <c r="J236" s="280"/>
    </row>
    <row r="237" spans="1:10" s="279" customFormat="1" x14ac:dyDescent="0.25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5">
      <c r="G238" s="394"/>
      <c r="H238" s="394"/>
      <c r="I238" s="280"/>
      <c r="J238" s="280"/>
    </row>
    <row r="239" spans="1:10" s="279" customFormat="1" x14ac:dyDescent="0.25">
      <c r="I239" s="280"/>
      <c r="J239" s="280"/>
    </row>
    <row r="240" spans="1:10" x14ac:dyDescent="0.25">
      <c r="A240" s="344" t="s">
        <v>182</v>
      </c>
      <c r="I240" s="280"/>
      <c r="J240" s="280"/>
    </row>
    <row r="241" spans="1:10" x14ac:dyDescent="0.25">
      <c r="A241" s="268" t="s">
        <v>183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5">
      <c r="A242" s="344" t="s">
        <v>184</v>
      </c>
      <c r="G242" s="280"/>
      <c r="H242" s="280"/>
      <c r="I242" s="280"/>
      <c r="J242" s="280"/>
    </row>
    <row r="243" spans="1:10" s="126" customFormat="1" ht="26.4" x14ac:dyDescent="0.25">
      <c r="A243" s="133" t="s">
        <v>185</v>
      </c>
      <c r="D243" s="414" t="s">
        <v>186</v>
      </c>
      <c r="E243" s="252"/>
      <c r="I243" s="157"/>
      <c r="J243" s="157"/>
    </row>
    <row r="244" spans="1:10" x14ac:dyDescent="0.25">
      <c r="A244" s="346" t="s">
        <v>187</v>
      </c>
      <c r="C244" s="404"/>
      <c r="D244" s="404"/>
      <c r="E244" s="404"/>
      <c r="G244" s="280"/>
      <c r="H244" s="280"/>
      <c r="I244" s="280"/>
      <c r="J244" s="280"/>
    </row>
    <row r="245" spans="1:10" x14ac:dyDescent="0.25">
      <c r="A245" s="57" t="s">
        <v>48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5">
      <c r="A246" s="57" t="s">
        <v>49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5">
      <c r="A247" s="57" t="s">
        <v>89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5">
      <c r="A248" s="347" t="s">
        <v>90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5">
      <c r="D249" s="405"/>
      <c r="G249" s="280"/>
      <c r="H249" s="280"/>
      <c r="I249" s="280"/>
      <c r="J249" s="280"/>
    </row>
    <row r="250" spans="1:10" s="279" customFormat="1" x14ac:dyDescent="0.25">
      <c r="D250" s="405"/>
      <c r="G250" s="280"/>
      <c r="H250" s="280"/>
      <c r="I250" s="280"/>
      <c r="J250" s="280"/>
    </row>
    <row r="251" spans="1:10" s="280" customFormat="1" x14ac:dyDescent="0.25">
      <c r="A251" s="267" t="s">
        <v>197</v>
      </c>
    </row>
    <row r="252" spans="1:10" s="279" customFormat="1" x14ac:dyDescent="0.25">
      <c r="A252" s="270" t="s">
        <v>48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5">
      <c r="A253" s="279" t="s">
        <v>352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5">
      <c r="A254" s="279" t="s">
        <v>175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5">
      <c r="A255" s="279" t="s">
        <v>199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5">
      <c r="A256" s="279" t="s">
        <v>200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5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5">
      <c r="A258" s="270" t="s">
        <v>49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5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5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5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5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5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5">
      <c r="A264" s="270" t="s">
        <v>89</v>
      </c>
      <c r="G264" s="280"/>
      <c r="H264" s="280"/>
      <c r="I264" s="280"/>
      <c r="J264" s="280"/>
    </row>
    <row r="265" spans="1:10" s="279" customFormat="1" x14ac:dyDescent="0.25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5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5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5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5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5">
      <c r="A270" s="270" t="s">
        <v>90</v>
      </c>
      <c r="G270" s="280"/>
      <c r="H270" s="280"/>
      <c r="I270" s="280"/>
      <c r="J270" s="280"/>
    </row>
    <row r="271" spans="1:10" s="279" customFormat="1" x14ac:dyDescent="0.25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5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5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5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5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5">
      <c r="A276" s="270" t="s">
        <v>44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5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5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5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5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5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5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5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5">
      <c r="A284" s="268"/>
      <c r="G284" s="280"/>
      <c r="H284" s="280"/>
      <c r="I284" s="280"/>
      <c r="J284" s="280"/>
    </row>
    <row r="285" spans="1:10" x14ac:dyDescent="0.25">
      <c r="A285" s="268"/>
      <c r="G285" s="280"/>
      <c r="H285" s="280"/>
      <c r="I285" s="280"/>
      <c r="J285" s="280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63.109375" style="126" customWidth="1"/>
    <col min="2" max="2" width="10" style="126" customWidth="1"/>
    <col min="3" max="3" width="11.44140625" style="126" customWidth="1"/>
    <col min="4" max="4" width="13.5546875" style="126" customWidth="1"/>
    <col min="5" max="5" width="13.109375" style="126" customWidth="1"/>
    <col min="6" max="6" width="12.88671875" style="126" customWidth="1"/>
    <col min="7" max="7" width="12.6640625" style="126" customWidth="1"/>
    <col min="8" max="8" width="14.44140625" style="126" customWidth="1"/>
    <col min="9" max="9" width="11.5546875" style="126" bestFit="1" customWidth="1"/>
    <col min="10" max="10" width="10" style="126" customWidth="1"/>
    <col min="11" max="11" width="9.109375" style="126"/>
    <col min="12" max="14" width="9.33203125" style="126" bestFit="1" customWidth="1"/>
    <col min="15" max="16" width="10" style="126" customWidth="1"/>
    <col min="17" max="17" width="9.44140625" style="126" bestFit="1" customWidth="1"/>
    <col min="18" max="18" width="9.88671875" style="126" customWidth="1"/>
    <col min="19" max="16384" width="9.109375" style="126"/>
  </cols>
  <sheetData>
    <row r="1" spans="1:10" ht="15.6" x14ac:dyDescent="0.3">
      <c r="A1" s="124" t="s">
        <v>358</v>
      </c>
      <c r="B1" s="125"/>
      <c r="C1" s="125"/>
      <c r="D1" s="125"/>
      <c r="E1" s="125"/>
    </row>
    <row r="2" spans="1:10" ht="15.6" x14ac:dyDescent="0.3">
      <c r="A2" s="127"/>
      <c r="B2" s="125"/>
      <c r="C2" s="125"/>
    </row>
    <row r="3" spans="1:10" ht="15.6" x14ac:dyDescent="0.3">
      <c r="A3" s="128" t="s">
        <v>111</v>
      </c>
      <c r="B3" s="125"/>
      <c r="C3" s="125"/>
    </row>
    <row r="4" spans="1:10" x14ac:dyDescent="0.25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5">
      <c r="A5" s="132" t="s">
        <v>112</v>
      </c>
    </row>
    <row r="6" spans="1:10" x14ac:dyDescent="0.25">
      <c r="A6" s="133" t="s">
        <v>113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5">
      <c r="A7" s="126" t="s">
        <v>114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5">
      <c r="A8" s="126" t="s">
        <v>115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5">
      <c r="A9" s="126" t="s">
        <v>116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5">
      <c r="A10" s="126" t="s">
        <v>117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8" thickBot="1" x14ac:dyDescent="0.3">
      <c r="A11" s="133" t="s">
        <v>118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8" thickTop="1" x14ac:dyDescent="0.25">
      <c r="D12" s="145"/>
      <c r="E12" s="145"/>
      <c r="F12" s="145"/>
      <c r="G12" s="145"/>
      <c r="H12" s="145"/>
    </row>
    <row r="13" spans="1:10" x14ac:dyDescent="0.25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5">
      <c r="A15" s="133" t="s">
        <v>119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5">
      <c r="A16" s="126" t="s">
        <v>120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5">
      <c r="A17" s="126" t="s">
        <v>115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5">
      <c r="A18" s="126" t="s">
        <v>116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5">
      <c r="A19" s="126" t="s">
        <v>117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8" thickBot="1" x14ac:dyDescent="0.3">
      <c r="A20" s="133" t="s">
        <v>118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8" thickTop="1" x14ac:dyDescent="0.25">
      <c r="D21" s="145"/>
      <c r="E21" s="145"/>
      <c r="F21" s="145"/>
      <c r="G21" s="145"/>
      <c r="H21" s="145"/>
    </row>
    <row r="22" spans="1:8" x14ac:dyDescent="0.25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5">
      <c r="D23" s="145"/>
      <c r="E23" s="148"/>
      <c r="F23" s="148"/>
      <c r="G23" s="145"/>
      <c r="H23" s="145"/>
    </row>
    <row r="24" spans="1:8" x14ac:dyDescent="0.25">
      <c r="A24" s="126" t="s">
        <v>121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5">
      <c r="A25" s="151"/>
      <c r="D25" s="153"/>
      <c r="E25" s="154"/>
      <c r="F25" s="154"/>
      <c r="G25" s="154"/>
      <c r="H25" s="154"/>
    </row>
    <row r="26" spans="1:8" s="152" customFormat="1" x14ac:dyDescent="0.25">
      <c r="F26" s="156"/>
      <c r="G26" s="156"/>
      <c r="H26" s="156"/>
    </row>
    <row r="27" spans="1:8" s="152" customFormat="1" x14ac:dyDescent="0.25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5">
      <c r="A28" s="151"/>
      <c r="C28" s="157"/>
      <c r="D28" s="158"/>
      <c r="E28" s="154"/>
      <c r="F28" s="154"/>
      <c r="G28" s="154"/>
      <c r="H28" s="154"/>
    </row>
    <row r="29" spans="1:8" s="152" customFormat="1" ht="17.399999999999999" x14ac:dyDescent="0.3">
      <c r="A29" s="151"/>
      <c r="C29" s="159" t="s">
        <v>359</v>
      </c>
      <c r="D29" s="536">
        <v>-0.2</v>
      </c>
      <c r="E29" s="154"/>
      <c r="F29" s="154"/>
      <c r="G29" s="154"/>
      <c r="H29" s="154"/>
    </row>
    <row r="30" spans="1:8" s="152" customFormat="1" x14ac:dyDescent="0.25">
      <c r="A30" s="151"/>
      <c r="C30" s="160"/>
      <c r="D30" s="161"/>
      <c r="E30" s="154"/>
      <c r="F30" s="154"/>
      <c r="G30" s="154"/>
      <c r="H30" s="154"/>
    </row>
    <row r="31" spans="1:8" s="152" customFormat="1" x14ac:dyDescent="0.25">
      <c r="A31" s="151"/>
      <c r="C31" s="160"/>
      <c r="D31" s="161"/>
      <c r="E31" s="154"/>
      <c r="F31" s="154"/>
      <c r="G31" s="154"/>
      <c r="H31" s="154"/>
    </row>
    <row r="32" spans="1:8" s="152" customFormat="1" x14ac:dyDescent="0.25">
      <c r="A32" s="162" t="s">
        <v>122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5">
      <c r="A33" s="133" t="s">
        <v>117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5">
      <c r="A34" s="133" t="s">
        <v>123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5">
      <c r="A35" s="126" t="s">
        <v>120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5">
      <c r="A36" s="126" t="s">
        <v>124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5">
      <c r="A37" s="126" t="s">
        <v>125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5">
      <c r="A38" s="126" t="s">
        <v>126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5">
      <c r="A39" s="126" t="s">
        <v>127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5">
      <c r="A40" s="126" t="s">
        <v>128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5">
      <c r="A41" s="126" t="s">
        <v>129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5">
      <c r="A42" s="126" t="s">
        <v>130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5">
      <c r="A43" s="126" t="s">
        <v>131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5">
      <c r="A44" s="126" t="s">
        <v>132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5">
      <c r="A45" s="126" t="s">
        <v>133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5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5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5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5">
      <c r="A49" s="126"/>
      <c r="B49" s="126"/>
      <c r="C49" s="126"/>
      <c r="D49" s="168"/>
      <c r="E49" s="168"/>
      <c r="F49" s="168"/>
      <c r="G49" s="168"/>
      <c r="H49" s="168"/>
    </row>
    <row r="50" spans="1:18" ht="26.4" x14ac:dyDescent="0.25">
      <c r="A50" s="180" t="s">
        <v>134</v>
      </c>
      <c r="B50" s="152"/>
      <c r="C50" s="152"/>
    </row>
    <row r="51" spans="1:18" x14ac:dyDescent="0.25">
      <c r="C51" s="155"/>
      <c r="L51" s="157"/>
      <c r="M51" s="157"/>
      <c r="N51" s="157"/>
      <c r="O51" s="157"/>
      <c r="P51" s="157"/>
      <c r="Q51" s="152"/>
      <c r="R51" s="152"/>
    </row>
    <row r="52" spans="1:18" x14ac:dyDescent="0.25">
      <c r="A52" s="181" t="s">
        <v>112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5">
      <c r="A53" s="185" t="s">
        <v>135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5">
      <c r="A54" s="185" t="s">
        <v>136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5">
      <c r="A55" s="185" t="s">
        <v>137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5">
      <c r="A56" s="190" t="s">
        <v>138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8" thickBot="1" x14ac:dyDescent="0.3">
      <c r="A57" s="181" t="s">
        <v>113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8" thickTop="1" x14ac:dyDescent="0.25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5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5">
      <c r="C60" s="155"/>
    </row>
    <row r="61" spans="1:18" s="152" customFormat="1" x14ac:dyDescent="0.25">
      <c r="A61" s="198" t="s">
        <v>139</v>
      </c>
      <c r="C61" s="155"/>
    </row>
    <row r="62" spans="1:18" s="152" customFormat="1" x14ac:dyDescent="0.25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5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5">
      <c r="A64" s="157" t="s">
        <v>140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5">
      <c r="A65" s="157" t="s">
        <v>141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5">
      <c r="A66" s="157" t="s">
        <v>142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5">
      <c r="A67" s="152" t="s">
        <v>143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5">
      <c r="A68" s="152" t="s">
        <v>144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5">
      <c r="A69" s="157" t="s">
        <v>145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5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5">
      <c r="A71" s="152" t="s">
        <v>146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5">
      <c r="D72" s="209"/>
      <c r="I72" s="157"/>
      <c r="J72" s="157"/>
    </row>
    <row r="73" spans="1:10" s="152" customFormat="1" x14ac:dyDescent="0.25">
      <c r="A73" s="152" t="s">
        <v>78</v>
      </c>
      <c r="D73" s="303">
        <f>'Data 2006-08'!C128</f>
        <v>2.64E-2</v>
      </c>
      <c r="I73" s="157"/>
      <c r="J73" s="157"/>
    </row>
    <row r="74" spans="1:10" s="152" customFormat="1" x14ac:dyDescent="0.25">
      <c r="A74" s="152" t="s">
        <v>147</v>
      </c>
      <c r="D74" s="304">
        <f>'Data 2006-08'!C129</f>
        <v>1.4250000000000001E-2</v>
      </c>
      <c r="I74" s="157"/>
      <c r="J74" s="157"/>
    </row>
    <row r="75" spans="1:10" s="152" customFormat="1" x14ac:dyDescent="0.25">
      <c r="A75" s="152" t="s">
        <v>83</v>
      </c>
      <c r="D75" s="210">
        <f>(1+SUM(D73:D74))*(1+D63)-1</f>
        <v>6.7290640000000179E-2</v>
      </c>
      <c r="I75" s="157"/>
      <c r="J75" s="157"/>
    </row>
    <row r="76" spans="1:10" s="152" customFormat="1" x14ac:dyDescent="0.25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5">
      <c r="I77" s="157"/>
      <c r="J77" s="157"/>
    </row>
    <row r="78" spans="1:10" s="152" customFormat="1" x14ac:dyDescent="0.25">
      <c r="A78" s="198" t="s">
        <v>148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5">
      <c r="A79" s="152" t="s">
        <v>149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5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5">
      <c r="A81" s="152" t="s">
        <v>125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5">
      <c r="A82" s="152" t="s">
        <v>126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5">
      <c r="A83" s="152" t="s">
        <v>127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5">
      <c r="A84" s="152" t="s">
        <v>128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5">
      <c r="A85" s="152" t="s">
        <v>150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5">
      <c r="A86" s="152" t="s">
        <v>151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5">
      <c r="A87" s="152" t="s">
        <v>131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5">
      <c r="A88" s="152" t="s">
        <v>152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5">
      <c r="I89" s="157"/>
      <c r="J89" s="157"/>
    </row>
    <row r="90" spans="1:10" s="152" customFormat="1" x14ac:dyDescent="0.25">
      <c r="A90" s="198" t="s">
        <v>112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5">
      <c r="A91" s="152" t="s">
        <v>151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5">
      <c r="A92" s="152" t="s">
        <v>131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5">
      <c r="A93" s="152" t="s">
        <v>153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5">
      <c r="D94" s="209"/>
      <c r="E94" s="209"/>
      <c r="F94" s="209"/>
      <c r="G94" s="209"/>
      <c r="H94" s="209"/>
      <c r="I94" s="208"/>
      <c r="J94" s="208"/>
    </row>
    <row r="95" spans="1:10" s="152" customFormat="1" x14ac:dyDescent="0.25">
      <c r="A95" s="152" t="s">
        <v>154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5">
      <c r="I96" s="157"/>
      <c r="J96" s="157"/>
    </row>
    <row r="97" spans="1:10" x14ac:dyDescent="0.25">
      <c r="I97" s="157"/>
      <c r="J97" s="157"/>
    </row>
    <row r="98" spans="1:10" x14ac:dyDescent="0.25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5">
      <c r="A99" s="133"/>
      <c r="I99" s="157"/>
      <c r="J99" s="157"/>
    </row>
    <row r="100" spans="1:10" x14ac:dyDescent="0.25">
      <c r="A100" s="162" t="s">
        <v>155</v>
      </c>
      <c r="I100" s="157"/>
      <c r="J100" s="157"/>
    </row>
    <row r="101" spans="1:10" x14ac:dyDescent="0.25">
      <c r="A101" s="130" t="s">
        <v>156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5">
      <c r="A102" s="133"/>
      <c r="B102" s="157"/>
      <c r="C102" s="157"/>
      <c r="I102" s="157"/>
      <c r="J102" s="157"/>
    </row>
    <row r="103" spans="1:10" x14ac:dyDescent="0.25">
      <c r="A103" s="128" t="s">
        <v>157</v>
      </c>
      <c r="B103" s="157"/>
      <c r="C103" s="157"/>
      <c r="I103" s="157"/>
      <c r="J103" s="157"/>
    </row>
    <row r="104" spans="1:10" x14ac:dyDescent="0.25">
      <c r="A104" s="155" t="s">
        <v>158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5">
      <c r="A105" s="155" t="s">
        <v>89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5">
      <c r="A106" s="222" t="s">
        <v>44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5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5">
      <c r="A108" s="225" t="s">
        <v>159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5">
      <c r="A109" t="s">
        <v>23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5">
      <c r="A110" s="228" t="s">
        <v>160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5">
      <c r="A111" s="157" t="s">
        <v>53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5">
      <c r="A112" s="229" t="s">
        <v>44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5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5">
      <c r="A114" s="155" t="s">
        <v>161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5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5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5">
      <c r="I117" s="157"/>
      <c r="J117" s="157"/>
    </row>
    <row r="118" spans="1:10" x14ac:dyDescent="0.25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5">
      <c r="A119" s="162" t="s">
        <v>162</v>
      </c>
      <c r="I119" s="157"/>
      <c r="J119" s="157"/>
    </row>
    <row r="120" spans="1:10" x14ac:dyDescent="0.25">
      <c r="A120" s="130" t="s">
        <v>156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5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5">
      <c r="A122" s="155" t="s">
        <v>163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5">
      <c r="A123" s="155" t="s">
        <v>164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5">
      <c r="A124" s="155" t="s">
        <v>4</v>
      </c>
      <c r="B124" s="232"/>
      <c r="D124" s="537">
        <v>0</v>
      </c>
      <c r="E124" s="537">
        <v>0</v>
      </c>
      <c r="F124" s="537">
        <v>0</v>
      </c>
      <c r="G124" s="537">
        <v>0</v>
      </c>
      <c r="H124" s="537">
        <v>0</v>
      </c>
      <c r="I124" s="221"/>
      <c r="J124" s="221"/>
    </row>
    <row r="125" spans="1:10" x14ac:dyDescent="0.25">
      <c r="A125" s="229" t="s">
        <v>165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5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5">
      <c r="A127" s="155" t="s">
        <v>89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5">
      <c r="A128" s="157" t="s">
        <v>166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5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5">
      <c r="A130" s="155" t="s">
        <v>167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5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5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5">
      <c r="A133" s="133"/>
      <c r="I133" s="157"/>
      <c r="J133" s="157"/>
    </row>
    <row r="134" spans="1:10" x14ac:dyDescent="0.25">
      <c r="A134" s="133"/>
      <c r="I134" s="157"/>
      <c r="J134" s="157"/>
    </row>
    <row r="135" spans="1:10" x14ac:dyDescent="0.25">
      <c r="A135" s="235" t="s">
        <v>168</v>
      </c>
      <c r="B135" s="152"/>
      <c r="C135" s="152"/>
      <c r="D135" s="152"/>
      <c r="I135" s="157"/>
      <c r="J135" s="157"/>
    </row>
    <row r="136" spans="1:10" x14ac:dyDescent="0.25">
      <c r="A136" s="130" t="s">
        <v>156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5">
      <c r="I137" s="157"/>
      <c r="J137" s="157"/>
    </row>
    <row r="138" spans="1:10" x14ac:dyDescent="0.25">
      <c r="A138" s="130" t="s">
        <v>169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5">
      <c r="A139" s="155" t="s">
        <v>170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5">
      <c r="A140" s="155" t="s">
        <v>171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5">
      <c r="A141" s="126" t="s">
        <v>5</v>
      </c>
      <c r="B141" s="157"/>
      <c r="C141" s="157"/>
      <c r="D141" s="537">
        <v>0</v>
      </c>
      <c r="E141" s="537">
        <v>0</v>
      </c>
      <c r="F141" s="537">
        <v>0</v>
      </c>
      <c r="G141" s="537">
        <v>0</v>
      </c>
      <c r="H141" s="537">
        <v>0</v>
      </c>
      <c r="I141" s="220"/>
      <c r="J141" s="220"/>
    </row>
    <row r="142" spans="1:10" x14ac:dyDescent="0.25">
      <c r="A142" s="126" t="s">
        <v>136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5">
      <c r="A143" s="155" t="s">
        <v>172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5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5">
      <c r="A145" s="155" t="s">
        <v>173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5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5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5">
      <c r="A148" s="130" t="s">
        <v>174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5">
      <c r="A149" s="155" t="s">
        <v>170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5">
      <c r="A150" s="155" t="s">
        <v>171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5">
      <c r="A151" s="126" t="s">
        <v>5</v>
      </c>
      <c r="B151" s="157"/>
      <c r="C151" s="157"/>
      <c r="D151" s="537">
        <v>0</v>
      </c>
      <c r="E151" s="537">
        <v>0</v>
      </c>
      <c r="F151" s="537">
        <v>0</v>
      </c>
      <c r="G151" s="537">
        <v>0</v>
      </c>
      <c r="H151" s="537">
        <v>0</v>
      </c>
      <c r="I151" s="220"/>
      <c r="J151" s="220"/>
    </row>
    <row r="152" spans="1:10" x14ac:dyDescent="0.25">
      <c r="A152" s="126" t="s">
        <v>136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5">
      <c r="A153" s="155" t="s">
        <v>172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5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5">
      <c r="A155" s="155" t="s">
        <v>173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5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5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5">
      <c r="A158" s="130" t="s">
        <v>89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5">
      <c r="A159" s="155" t="s">
        <v>170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5">
      <c r="A160" s="155" t="s">
        <v>171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5">
      <c r="A161" s="126" t="s">
        <v>5</v>
      </c>
      <c r="B161" s="220"/>
      <c r="C161" s="220"/>
      <c r="D161" s="537">
        <v>0</v>
      </c>
      <c r="E161" s="537">
        <v>0</v>
      </c>
      <c r="F161" s="537">
        <v>0</v>
      </c>
      <c r="G161" s="537">
        <v>0</v>
      </c>
      <c r="H161" s="537">
        <v>0</v>
      </c>
      <c r="I161" s="220"/>
      <c r="J161" s="220"/>
    </row>
    <row r="162" spans="1:10" x14ac:dyDescent="0.25">
      <c r="A162" s="155" t="s">
        <v>175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5">
      <c r="A163" s="155" t="s">
        <v>172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5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5">
      <c r="A165" s="155" t="s">
        <v>173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5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5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5">
      <c r="A168" s="130" t="s">
        <v>166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5">
      <c r="A169" s="155" t="s">
        <v>170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5">
      <c r="A170" s="155" t="s">
        <v>171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5">
      <c r="A171" s="126" t="s">
        <v>5</v>
      </c>
      <c r="B171" s="220"/>
      <c r="C171" s="220"/>
      <c r="D171" s="537">
        <v>0</v>
      </c>
      <c r="E171" s="537">
        <v>0</v>
      </c>
      <c r="F171" s="537">
        <v>0</v>
      </c>
      <c r="G171" s="537">
        <v>0</v>
      </c>
      <c r="H171" s="537">
        <v>0</v>
      </c>
      <c r="I171" s="220"/>
      <c r="J171" s="220"/>
    </row>
    <row r="172" spans="1:10" x14ac:dyDescent="0.25">
      <c r="A172" s="155" t="s">
        <v>175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5">
      <c r="A173" s="155" t="s">
        <v>172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5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5">
      <c r="A175" s="155" t="s">
        <v>173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5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5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5">
      <c r="A178" s="130" t="s">
        <v>44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5">
      <c r="A179" s="155" t="s">
        <v>170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5">
      <c r="A180" s="155" t="s">
        <v>171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5">
      <c r="A181" s="155" t="s">
        <v>176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5">
      <c r="A182" s="155" t="s">
        <v>175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5">
      <c r="A183" s="155" t="s">
        <v>172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5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5">
      <c r="A185" s="155" t="s">
        <v>173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5">
      <c r="D186" s="237"/>
      <c r="E186" s="237"/>
      <c r="F186" s="237"/>
      <c r="G186" s="237"/>
      <c r="H186" s="237"/>
      <c r="I186" s="195"/>
      <c r="J186" s="195"/>
    </row>
    <row r="187" spans="1:10" x14ac:dyDescent="0.25">
      <c r="A187" s="128" t="s">
        <v>177</v>
      </c>
      <c r="I187" s="157"/>
      <c r="J187" s="157"/>
    </row>
    <row r="188" spans="1:10" x14ac:dyDescent="0.25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5">
      <c r="A189" s="127" t="s">
        <v>178</v>
      </c>
      <c r="I189" s="157"/>
      <c r="J189" s="157"/>
    </row>
    <row r="190" spans="1:10" x14ac:dyDescent="0.25">
      <c r="A190" s="240" t="s">
        <v>169</v>
      </c>
      <c r="D190" s="538">
        <v>35</v>
      </c>
      <c r="E190" s="538">
        <v>35</v>
      </c>
      <c r="F190" s="538">
        <v>35</v>
      </c>
      <c r="G190" s="538">
        <v>35</v>
      </c>
      <c r="H190" s="538">
        <v>35</v>
      </c>
      <c r="I190" s="241"/>
      <c r="J190" s="241"/>
    </row>
    <row r="191" spans="1:10" x14ac:dyDescent="0.25">
      <c r="A191" s="240" t="s">
        <v>174</v>
      </c>
      <c r="D191" s="538">
        <v>10</v>
      </c>
      <c r="E191" s="538">
        <v>10</v>
      </c>
      <c r="F191" s="538">
        <v>10</v>
      </c>
      <c r="G191" s="538">
        <v>10</v>
      </c>
      <c r="H191" s="538">
        <v>10</v>
      </c>
      <c r="I191" s="241"/>
      <c r="J191" s="241"/>
    </row>
    <row r="192" spans="1:10" x14ac:dyDescent="0.25">
      <c r="A192" s="131" t="s">
        <v>89</v>
      </c>
      <c r="D192" s="538">
        <v>5</v>
      </c>
      <c r="E192" s="538">
        <v>5</v>
      </c>
      <c r="F192" s="538">
        <v>5</v>
      </c>
      <c r="G192" s="538">
        <v>5</v>
      </c>
      <c r="H192" s="538">
        <v>5</v>
      </c>
      <c r="I192" s="241"/>
      <c r="J192" s="241"/>
    </row>
    <row r="193" spans="1:10" x14ac:dyDescent="0.25">
      <c r="A193" s="131" t="s">
        <v>166</v>
      </c>
      <c r="D193" s="538">
        <v>5</v>
      </c>
      <c r="E193" s="538">
        <v>5</v>
      </c>
      <c r="F193" s="538">
        <v>5</v>
      </c>
      <c r="G193" s="538">
        <v>5</v>
      </c>
      <c r="H193" s="538">
        <v>5</v>
      </c>
      <c r="I193" s="241"/>
      <c r="J193" s="241"/>
    </row>
    <row r="194" spans="1:10" x14ac:dyDescent="0.25">
      <c r="I194" s="157"/>
      <c r="J194" s="157"/>
    </row>
    <row r="195" spans="1:10" s="152" customFormat="1" x14ac:dyDescent="0.25">
      <c r="I195" s="157"/>
      <c r="J195" s="157"/>
    </row>
    <row r="196" spans="1:10" s="190" customFormat="1" x14ac:dyDescent="0.25">
      <c r="A196" s="162" t="s">
        <v>179</v>
      </c>
      <c r="I196" s="242"/>
      <c r="J196" s="242"/>
    </row>
    <row r="197" spans="1:10" s="190" customFormat="1" x14ac:dyDescent="0.25">
      <c r="I197" s="242"/>
      <c r="J197" s="242"/>
    </row>
    <row r="198" spans="1:10" s="190" customFormat="1" x14ac:dyDescent="0.25">
      <c r="A198" s="243" t="s">
        <v>180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5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5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5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5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5">
      <c r="B203" s="245">
        <v>2010</v>
      </c>
      <c r="H203" s="190">
        <v>0.5</v>
      </c>
      <c r="I203" s="242"/>
      <c r="J203" s="242"/>
    </row>
    <row r="204" spans="1:10" s="190" customFormat="1" x14ac:dyDescent="0.25">
      <c r="B204" s="245"/>
      <c r="I204" s="242"/>
      <c r="J204" s="242"/>
    </row>
    <row r="205" spans="1:10" s="190" customFormat="1" x14ac:dyDescent="0.25">
      <c r="B205" s="245"/>
      <c r="I205" s="242"/>
      <c r="J205" s="242"/>
    </row>
    <row r="206" spans="1:10" s="190" customFormat="1" x14ac:dyDescent="0.25">
      <c r="I206" s="242"/>
      <c r="J206" s="242"/>
    </row>
    <row r="207" spans="1:10" s="190" customFormat="1" x14ac:dyDescent="0.25">
      <c r="A207" s="240" t="s">
        <v>169</v>
      </c>
      <c r="C207" s="190" t="s">
        <v>181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5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5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5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5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5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5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5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5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5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5">
      <c r="A217" s="240" t="s">
        <v>174</v>
      </c>
      <c r="C217" s="190" t="s">
        <v>181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5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5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5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5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5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5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5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5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5">
      <c r="I226" s="242"/>
      <c r="J226" s="242"/>
    </row>
    <row r="227" spans="1:10" s="190" customFormat="1" x14ac:dyDescent="0.25">
      <c r="A227" s="218" t="s">
        <v>89</v>
      </c>
      <c r="C227" s="190" t="s">
        <v>181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5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5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5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5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5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5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5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5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5">
      <c r="I236" s="242"/>
      <c r="J236" s="242"/>
    </row>
    <row r="237" spans="1:10" s="190" customFormat="1" x14ac:dyDescent="0.25">
      <c r="A237" s="218" t="s">
        <v>166</v>
      </c>
      <c r="C237" s="190" t="s">
        <v>181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5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5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5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5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5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5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5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5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5">
      <c r="I246" s="157"/>
      <c r="J246" s="157"/>
    </row>
    <row r="247" spans="1:10" s="152" customFormat="1" x14ac:dyDescent="0.25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5">
      <c r="I248" s="157"/>
      <c r="J248" s="157"/>
    </row>
    <row r="249" spans="1:10" s="152" customFormat="1" x14ac:dyDescent="0.25">
      <c r="I249" s="157"/>
      <c r="J249" s="157"/>
    </row>
    <row r="250" spans="1:10" x14ac:dyDescent="0.25">
      <c r="A250" s="128" t="s">
        <v>182</v>
      </c>
      <c r="I250" s="157"/>
      <c r="J250" s="157"/>
    </row>
    <row r="251" spans="1:10" x14ac:dyDescent="0.25">
      <c r="A251" s="133" t="s">
        <v>183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5">
      <c r="A252" s="128" t="s">
        <v>184</v>
      </c>
      <c r="I252" s="157"/>
      <c r="J252" s="157"/>
    </row>
    <row r="253" spans="1:10" ht="24" x14ac:dyDescent="0.25">
      <c r="A253" s="133" t="s">
        <v>185</v>
      </c>
      <c r="D253" s="251" t="s">
        <v>186</v>
      </c>
      <c r="E253" s="252"/>
      <c r="I253" s="157"/>
      <c r="J253" s="157"/>
    </row>
    <row r="254" spans="1:10" x14ac:dyDescent="0.25">
      <c r="A254" s="130" t="s">
        <v>187</v>
      </c>
      <c r="C254" s="252"/>
      <c r="D254" s="252"/>
      <c r="E254" s="252"/>
      <c r="I254" s="157"/>
      <c r="J254" s="157"/>
    </row>
    <row r="255" spans="1:10" x14ac:dyDescent="0.25">
      <c r="A255" s="126" t="s">
        <v>48</v>
      </c>
      <c r="D255" s="303">
        <f>'Data 2006-08'!C176</f>
        <v>0.375</v>
      </c>
      <c r="F255" s="202"/>
      <c r="I255" s="157"/>
      <c r="J255" s="157"/>
    </row>
    <row r="256" spans="1:10" x14ac:dyDescent="0.25">
      <c r="A256" s="126" t="s">
        <v>49</v>
      </c>
      <c r="D256" s="304">
        <f>'Data 2006-08'!C177</f>
        <v>0.06</v>
      </c>
      <c r="F256" s="202"/>
      <c r="I256" s="157"/>
      <c r="J256" s="157"/>
    </row>
    <row r="257" spans="1:10" x14ac:dyDescent="0.25">
      <c r="A257" s="126" t="s">
        <v>89</v>
      </c>
      <c r="D257" s="304">
        <f>'Data 2006-08'!C178</f>
        <v>0.4</v>
      </c>
      <c r="F257" s="202"/>
      <c r="I257" s="157"/>
      <c r="J257" s="157"/>
    </row>
    <row r="258" spans="1:10" x14ac:dyDescent="0.25">
      <c r="A258" s="131" t="s">
        <v>90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5">
      <c r="D259" s="253"/>
      <c r="I259" s="157"/>
      <c r="J259" s="157"/>
    </row>
    <row r="260" spans="1:10" s="152" customFormat="1" x14ac:dyDescent="0.25">
      <c r="A260" s="254" t="s">
        <v>188</v>
      </c>
      <c r="D260" s="253"/>
      <c r="I260" s="157"/>
      <c r="J260" s="157"/>
    </row>
    <row r="261" spans="1:10" s="152" customFormat="1" x14ac:dyDescent="0.25">
      <c r="A261" s="126" t="s">
        <v>48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5">
      <c r="A262" s="126" t="s">
        <v>49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5">
      <c r="A263" s="152" t="s">
        <v>189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5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5">
      <c r="A265" s="254" t="s">
        <v>188</v>
      </c>
      <c r="D265" s="253"/>
      <c r="I265" s="157"/>
      <c r="J265" s="157"/>
    </row>
    <row r="266" spans="1:10" s="157" customFormat="1" x14ac:dyDescent="0.25">
      <c r="A266" s="255" t="s">
        <v>49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5">
      <c r="A267" t="s">
        <v>190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5">
      <c r="A268" t="s">
        <v>191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5">
      <c r="A269" s="157" t="s">
        <v>192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5">
      <c r="A270" s="157" t="s">
        <v>193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5">
      <c r="A271" s="157" t="s">
        <v>194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5">
      <c r="A272" s="157" t="s">
        <v>195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5">
      <c r="A273" s="228" t="s">
        <v>360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5">
      <c r="A274" s="257" t="s">
        <v>196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5">
      <c r="D275" s="253"/>
      <c r="I275" s="157"/>
      <c r="J275" s="157"/>
    </row>
    <row r="276" spans="1:10" s="152" customFormat="1" x14ac:dyDescent="0.25">
      <c r="D276" s="253"/>
      <c r="I276" s="157"/>
      <c r="J276" s="157"/>
    </row>
    <row r="277" spans="1:10" s="152" customFormat="1" x14ac:dyDescent="0.25">
      <c r="D277" s="253"/>
      <c r="I277" s="157"/>
      <c r="J277" s="157"/>
    </row>
    <row r="278" spans="1:10" s="152" customFormat="1" x14ac:dyDescent="0.25">
      <c r="A278" s="126" t="s">
        <v>146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5">
      <c r="D279" s="253"/>
      <c r="I279" s="157"/>
      <c r="J279" s="157"/>
    </row>
    <row r="280" spans="1:10" s="157" customFormat="1" x14ac:dyDescent="0.25">
      <c r="A280" s="216" t="s">
        <v>197</v>
      </c>
    </row>
    <row r="281" spans="1:10" s="152" customFormat="1" x14ac:dyDescent="0.25">
      <c r="A281" s="260" t="s">
        <v>48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5">
      <c r="A282" s="152" t="s">
        <v>198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5">
      <c r="A283" s="152" t="s">
        <v>175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5">
      <c r="A284" s="152" t="s">
        <v>199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5">
      <c r="A285" s="152" t="s">
        <v>200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5">
      <c r="A286" s="157"/>
      <c r="B286" s="157"/>
      <c r="C286" s="157"/>
      <c r="I286" s="157"/>
      <c r="J286" s="157"/>
    </row>
    <row r="287" spans="1:10" s="152" customFormat="1" x14ac:dyDescent="0.25">
      <c r="A287" s="260" t="s">
        <v>49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5">
      <c r="A288" s="152" t="s">
        <v>198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5">
      <c r="A289" s="152" t="s">
        <v>175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5">
      <c r="A290" s="152" t="s">
        <v>199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5">
      <c r="A291" s="152" t="s">
        <v>200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5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5">
      <c r="A293" s="260" t="s">
        <v>89</v>
      </c>
      <c r="I293" s="157"/>
      <c r="J293" s="157"/>
    </row>
    <row r="294" spans="1:10" s="152" customFormat="1" x14ac:dyDescent="0.25">
      <c r="A294" s="152" t="s">
        <v>198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5">
      <c r="A295" s="152" t="s">
        <v>175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5">
      <c r="A296" s="152" t="s">
        <v>199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5">
      <c r="A297" s="152" t="s">
        <v>200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5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5">
      <c r="A299" s="260" t="s">
        <v>90</v>
      </c>
      <c r="I299" s="157"/>
      <c r="J299" s="157"/>
    </row>
    <row r="300" spans="1:10" s="152" customFormat="1" x14ac:dyDescent="0.25">
      <c r="A300" s="152" t="s">
        <v>198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5">
      <c r="A301" s="152" t="s">
        <v>175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5">
      <c r="A302" s="152" t="s">
        <v>199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5">
      <c r="A303" s="152" t="s">
        <v>200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5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5">
      <c r="A305" s="260" t="s">
        <v>44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5">
      <c r="A306" s="152" t="s">
        <v>198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5">
      <c r="A307" s="152" t="s">
        <v>175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5">
      <c r="A308" s="152" t="s">
        <v>199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5">
      <c r="A309" s="152" t="s">
        <v>200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5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5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5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5">
      <c r="A313" s="133"/>
      <c r="I313" s="157"/>
      <c r="J313" s="157"/>
    </row>
    <row r="314" spans="1:16" x14ac:dyDescent="0.25">
      <c r="A314" s="133"/>
      <c r="I314" s="157"/>
      <c r="J314" s="157"/>
    </row>
    <row r="315" spans="1:16" x14ac:dyDescent="0.25">
      <c r="A315" s="162" t="s">
        <v>201</v>
      </c>
      <c r="I315" s="157"/>
      <c r="J315" s="157"/>
    </row>
    <row r="316" spans="1:16" x14ac:dyDescent="0.25">
      <c r="A316" s="130" t="s">
        <v>202</v>
      </c>
      <c r="I316" s="157"/>
      <c r="J316" s="157"/>
    </row>
    <row r="317" spans="1:16" x14ac:dyDescent="0.25">
      <c r="A317" s="133"/>
      <c r="I317" s="157"/>
      <c r="J317" s="157"/>
    </row>
    <row r="318" spans="1:16" customFormat="1" x14ac:dyDescent="0.25">
      <c r="A318" s="264" t="s">
        <v>203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5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5">
      <c r="A320" s="268" t="s">
        <v>204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5">
      <c r="A321" s="264" t="s">
        <v>205</v>
      </c>
      <c r="B321" s="264"/>
      <c r="C321" s="264"/>
      <c r="D321" s="269"/>
      <c r="E321" s="269"/>
      <c r="F321" s="269"/>
      <c r="G321" s="269"/>
      <c r="H321" s="269"/>
      <c r="J321" s="264" t="s">
        <v>206</v>
      </c>
      <c r="K321" s="273"/>
      <c r="L321" s="271"/>
      <c r="M321" s="271"/>
      <c r="N321" s="271"/>
      <c r="O321" s="271"/>
      <c r="P321" s="271"/>
    </row>
    <row r="322" spans="1:16" customFormat="1" x14ac:dyDescent="0.25">
      <c r="A322" t="s">
        <v>207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5">
      <c r="A323" t="s">
        <v>190</v>
      </c>
      <c r="D323" s="539">
        <v>37.301250000000003</v>
      </c>
      <c r="E323" s="539">
        <v>37.301250000000003</v>
      </c>
      <c r="F323" s="539">
        <v>37.301250000000003</v>
      </c>
      <c r="G323" s="539">
        <v>37.301250000000003</v>
      </c>
      <c r="H323" s="539">
        <v>37.301250000000003</v>
      </c>
      <c r="J323" s="542">
        <v>0</v>
      </c>
      <c r="K323" s="542">
        <v>0</v>
      </c>
      <c r="L323" s="542">
        <v>0</v>
      </c>
      <c r="M323" s="542">
        <v>0</v>
      </c>
      <c r="N323" s="542">
        <v>0</v>
      </c>
      <c r="O323" s="274"/>
      <c r="P323" s="274"/>
    </row>
    <row r="324" spans="1:16" customFormat="1" x14ac:dyDescent="0.25">
      <c r="A324" t="s">
        <v>191</v>
      </c>
      <c r="D324" s="540"/>
      <c r="E324" s="540"/>
      <c r="F324" s="540"/>
      <c r="G324" s="540"/>
      <c r="H324" s="540"/>
      <c r="I324" s="228"/>
      <c r="J324" s="382"/>
      <c r="K324" s="543"/>
      <c r="L324" s="382"/>
      <c r="M324" s="382"/>
      <c r="N324" s="382"/>
      <c r="O324" s="276"/>
      <c r="P324" s="276"/>
    </row>
    <row r="325" spans="1:16" customFormat="1" x14ac:dyDescent="0.25">
      <c r="A325" t="s">
        <v>208</v>
      </c>
      <c r="D325" s="539">
        <v>85.26</v>
      </c>
      <c r="E325" s="539">
        <v>85.26</v>
      </c>
      <c r="F325" s="539">
        <v>85.26</v>
      </c>
      <c r="G325" s="539">
        <v>85.26</v>
      </c>
      <c r="H325" s="539">
        <v>85.26</v>
      </c>
      <c r="J325" s="542">
        <v>7171</v>
      </c>
      <c r="K325" s="542">
        <v>7730</v>
      </c>
      <c r="L325" s="542">
        <v>8081</v>
      </c>
      <c r="M325" s="542">
        <v>7984</v>
      </c>
      <c r="N325" s="542">
        <v>8804</v>
      </c>
      <c r="O325" s="277"/>
      <c r="P325" s="277"/>
    </row>
    <row r="326" spans="1:16" customFormat="1" x14ac:dyDescent="0.25">
      <c r="A326" t="s">
        <v>209</v>
      </c>
      <c r="D326" s="539">
        <v>165.19125</v>
      </c>
      <c r="E326" s="539">
        <v>165.19125</v>
      </c>
      <c r="F326" s="539">
        <v>165.19125</v>
      </c>
      <c r="G326" s="539">
        <v>165.19125</v>
      </c>
      <c r="H326" s="539">
        <v>165.19125</v>
      </c>
      <c r="J326" s="542">
        <v>3074</v>
      </c>
      <c r="K326" s="542">
        <v>3074</v>
      </c>
      <c r="L326" s="542">
        <v>3074</v>
      </c>
      <c r="M326" s="542">
        <v>3074</v>
      </c>
      <c r="N326" s="542">
        <v>3074</v>
      </c>
      <c r="O326" s="274"/>
      <c r="P326" s="274"/>
    </row>
    <row r="327" spans="1:16" customFormat="1" x14ac:dyDescent="0.25">
      <c r="A327" t="s">
        <v>210</v>
      </c>
      <c r="D327" s="539">
        <v>314.39625000000001</v>
      </c>
      <c r="E327" s="539">
        <v>314.39625000000001</v>
      </c>
      <c r="F327" s="539">
        <v>314.39625000000001</v>
      </c>
      <c r="G327" s="539">
        <v>314.39625000000001</v>
      </c>
      <c r="H327" s="539">
        <v>314.39625000000001</v>
      </c>
      <c r="J327" s="542">
        <v>678</v>
      </c>
      <c r="K327" s="542">
        <v>678</v>
      </c>
      <c r="L327" s="542">
        <v>678</v>
      </c>
      <c r="M327" s="542">
        <v>678</v>
      </c>
      <c r="N327" s="542">
        <v>678</v>
      </c>
      <c r="O327" s="274"/>
      <c r="P327" s="274"/>
    </row>
    <row r="328" spans="1:16" customFormat="1" x14ac:dyDescent="0.25">
      <c r="A328" t="s">
        <v>361</v>
      </c>
      <c r="D328" s="539">
        <v>399.65625</v>
      </c>
      <c r="E328" s="539">
        <v>399.65625</v>
      </c>
      <c r="F328" s="539">
        <v>399.65625</v>
      </c>
      <c r="G328" s="539">
        <v>399.65625</v>
      </c>
      <c r="H328" s="539">
        <v>399.65625</v>
      </c>
      <c r="J328" s="542">
        <v>1142</v>
      </c>
      <c r="K328" s="542">
        <v>1231</v>
      </c>
      <c r="L328" s="542">
        <v>1286</v>
      </c>
      <c r="M328" s="542">
        <v>1271</v>
      </c>
      <c r="N328" s="542">
        <v>1401</v>
      </c>
      <c r="O328" s="274"/>
      <c r="P328" s="274"/>
    </row>
    <row r="329" spans="1:16" customFormat="1" x14ac:dyDescent="0.25">
      <c r="A329" t="s">
        <v>211</v>
      </c>
      <c r="D329" s="539">
        <v>378.34125</v>
      </c>
      <c r="E329" s="539">
        <v>378.34125</v>
      </c>
      <c r="F329" s="539">
        <v>378.34125</v>
      </c>
      <c r="G329" s="539">
        <v>378.34125</v>
      </c>
      <c r="H329" s="539">
        <v>378.34125</v>
      </c>
      <c r="J329" s="542">
        <v>40</v>
      </c>
      <c r="K329" s="542">
        <v>43</v>
      </c>
      <c r="L329" s="542">
        <v>45</v>
      </c>
      <c r="M329" s="542">
        <v>44</v>
      </c>
      <c r="N329" s="542">
        <v>49</v>
      </c>
      <c r="O329" s="274"/>
      <c r="P329" s="274"/>
    </row>
    <row r="330" spans="1:16" customFormat="1" x14ac:dyDescent="0.25">
      <c r="D330" s="540"/>
      <c r="E330" s="540"/>
      <c r="F330" s="540"/>
      <c r="G330" s="540"/>
      <c r="H330" s="540"/>
      <c r="I330" s="228"/>
      <c r="J330" s="543"/>
      <c r="K330" s="543"/>
      <c r="L330" s="543"/>
      <c r="M330" s="543"/>
      <c r="N330" s="543"/>
      <c r="O330" s="274"/>
      <c r="P330" s="274"/>
    </row>
    <row r="331" spans="1:16" customFormat="1" x14ac:dyDescent="0.25">
      <c r="A331" t="s">
        <v>212</v>
      </c>
      <c r="D331" s="562"/>
      <c r="E331" s="562"/>
      <c r="F331" s="562"/>
      <c r="G331" s="562"/>
      <c r="H331" s="562"/>
      <c r="J331" s="543"/>
      <c r="K331" s="543"/>
      <c r="L331" s="543"/>
      <c r="M331" s="543"/>
      <c r="N331" s="543"/>
      <c r="O331" s="274"/>
      <c r="P331" s="274"/>
    </row>
    <row r="332" spans="1:16" customFormat="1" x14ac:dyDescent="0.25">
      <c r="A332" t="s">
        <v>190</v>
      </c>
      <c r="D332" s="539">
        <v>137.34125</v>
      </c>
      <c r="E332" s="539">
        <v>139.21534200000002</v>
      </c>
      <c r="F332" s="539">
        <v>141.13122625160003</v>
      </c>
      <c r="G332" s="539">
        <v>143.08983472201069</v>
      </c>
      <c r="H332" s="539">
        <v>145.09212016131153</v>
      </c>
      <c r="I332" s="228"/>
      <c r="J332" s="542">
        <v>6500</v>
      </c>
      <c r="K332" s="542">
        <v>0</v>
      </c>
      <c r="L332" s="542">
        <v>0</v>
      </c>
      <c r="M332" s="542">
        <v>0</v>
      </c>
      <c r="N332" s="542">
        <v>0</v>
      </c>
      <c r="O332" s="274"/>
      <c r="P332" s="274"/>
    </row>
    <row r="333" spans="1:16" customFormat="1" x14ac:dyDescent="0.25">
      <c r="A333" t="s">
        <v>191</v>
      </c>
      <c r="D333" s="562"/>
      <c r="E333" s="562"/>
      <c r="F333" s="562"/>
      <c r="G333" s="562"/>
      <c r="H333" s="562"/>
      <c r="J333" s="542"/>
      <c r="K333" s="542"/>
      <c r="L333" s="542"/>
      <c r="M333" s="542"/>
      <c r="N333" s="542"/>
      <c r="O333" s="276"/>
      <c r="P333" s="276"/>
    </row>
    <row r="334" spans="1:16" customFormat="1" x14ac:dyDescent="0.25">
      <c r="A334" t="s">
        <v>208</v>
      </c>
      <c r="D334" s="539">
        <v>191.96666666666667</v>
      </c>
      <c r="E334" s="539">
        <v>193.98942533333332</v>
      </c>
      <c r="F334" s="539">
        <v>196.05729151826665</v>
      </c>
      <c r="G334" s="539">
        <v>198.17127111912401</v>
      </c>
      <c r="H334" s="539">
        <v>200.33239246508049</v>
      </c>
      <c r="J334" s="542">
        <v>0</v>
      </c>
      <c r="K334" s="542">
        <v>0</v>
      </c>
      <c r="L334" s="542">
        <v>6123.9024244176217</v>
      </c>
      <c r="M334" s="542">
        <v>6123.9024244176217</v>
      </c>
      <c r="N334" s="542">
        <v>6123.9024244176217</v>
      </c>
      <c r="O334" s="277"/>
      <c r="P334" s="277"/>
    </row>
    <row r="335" spans="1:16" customFormat="1" x14ac:dyDescent="0.25">
      <c r="A335" t="s">
        <v>209</v>
      </c>
      <c r="D335" s="539">
        <v>333.23124999999999</v>
      </c>
      <c r="E335" s="539">
        <v>336.62174199999998</v>
      </c>
      <c r="F335" s="539">
        <v>340.08784197159997</v>
      </c>
      <c r="G335" s="539">
        <v>343.63123597256663</v>
      </c>
      <c r="H335" s="539">
        <v>347.2536476597549</v>
      </c>
      <c r="J335" s="542">
        <v>4255</v>
      </c>
      <c r="K335" s="542">
        <v>4255</v>
      </c>
      <c r="L335" s="542">
        <v>19897</v>
      </c>
      <c r="M335" s="542">
        <v>19897</v>
      </c>
      <c r="N335" s="542">
        <v>19897</v>
      </c>
      <c r="O335" s="274"/>
      <c r="P335" s="274"/>
    </row>
    <row r="336" spans="1:16" customFormat="1" x14ac:dyDescent="0.25">
      <c r="A336" t="s">
        <v>210</v>
      </c>
      <c r="D336" s="539">
        <v>538.67142788597039</v>
      </c>
      <c r="E336" s="539">
        <v>543.02461422882766</v>
      </c>
      <c r="F336" s="539">
        <v>547.47487662713047</v>
      </c>
      <c r="G336" s="539">
        <v>552.02437987691542</v>
      </c>
      <c r="H336" s="539">
        <v>556.67533704917059</v>
      </c>
      <c r="J336" s="542">
        <v>3157</v>
      </c>
      <c r="K336" s="542">
        <v>3157</v>
      </c>
      <c r="L336" s="542">
        <v>8628</v>
      </c>
      <c r="M336" s="542">
        <v>8628</v>
      </c>
      <c r="N336" s="542">
        <v>8268</v>
      </c>
      <c r="O336" s="274"/>
      <c r="P336" s="274"/>
    </row>
    <row r="337" spans="1:16" customFormat="1" x14ac:dyDescent="0.25">
      <c r="A337" t="s">
        <v>361</v>
      </c>
      <c r="D337" s="539">
        <v>736.45142788597036</v>
      </c>
      <c r="E337" s="539">
        <v>742.95701022882758</v>
      </c>
      <c r="F337" s="539">
        <v>749.60766705793026</v>
      </c>
      <c r="G337" s="539">
        <v>756.40663353432228</v>
      </c>
      <c r="H337" s="539">
        <v>763.35721696313749</v>
      </c>
      <c r="J337" s="542">
        <v>468.67173433833449</v>
      </c>
      <c r="K337" s="542">
        <v>468.55725663087549</v>
      </c>
      <c r="L337" s="542">
        <v>17759.590336343601</v>
      </c>
      <c r="M337" s="542">
        <v>17759.590336343601</v>
      </c>
      <c r="N337" s="542">
        <v>17759.590336343601</v>
      </c>
      <c r="O337" s="274"/>
      <c r="P337" s="274"/>
    </row>
    <row r="338" spans="1:16" customFormat="1" x14ac:dyDescent="0.25">
      <c r="A338" t="s">
        <v>211</v>
      </c>
      <c r="D338" s="539">
        <v>918.84791666666661</v>
      </c>
      <c r="E338" s="539">
        <v>930.54441533333329</v>
      </c>
      <c r="F338" s="539">
        <v>942.50174592026679</v>
      </c>
      <c r="G338" s="539">
        <v>954.72572497928877</v>
      </c>
      <c r="H338" s="539">
        <v>967.2222987713269</v>
      </c>
      <c r="J338" s="542">
        <v>766</v>
      </c>
      <c r="K338" s="542">
        <v>766</v>
      </c>
      <c r="L338" s="542">
        <v>0</v>
      </c>
      <c r="M338" s="542">
        <v>0</v>
      </c>
      <c r="N338" s="542">
        <v>0</v>
      </c>
      <c r="O338" s="274"/>
      <c r="P338" s="274"/>
    </row>
    <row r="339" spans="1:16" customFormat="1" x14ac:dyDescent="0.25">
      <c r="A339" s="278"/>
      <c r="B339" s="278"/>
      <c r="C339" s="278"/>
      <c r="D339" s="563"/>
      <c r="E339" s="563"/>
      <c r="F339" s="563"/>
      <c r="G339" s="563"/>
      <c r="H339" s="563"/>
      <c r="J339" s="271"/>
      <c r="K339" s="271"/>
      <c r="L339" s="274"/>
      <c r="M339" s="274"/>
      <c r="N339" s="274"/>
      <c r="O339" s="274"/>
      <c r="P339" s="274"/>
    </row>
    <row r="340" spans="1:16" customFormat="1" x14ac:dyDescent="0.25">
      <c r="A340" s="278" t="s">
        <v>214</v>
      </c>
      <c r="B340" s="279"/>
      <c r="C340" s="279"/>
      <c r="D340" s="541">
        <v>5730000</v>
      </c>
      <c r="E340" s="541">
        <v>5000000</v>
      </c>
      <c r="F340" s="541">
        <v>500000</v>
      </c>
      <c r="G340" s="541">
        <v>500000</v>
      </c>
      <c r="H340" s="541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5">
      <c r="A341" s="278"/>
      <c r="B341" s="278"/>
      <c r="C341" s="278"/>
      <c r="D341" s="563"/>
      <c r="E341" s="563"/>
      <c r="F341" s="563"/>
      <c r="G341" s="563"/>
      <c r="H341" s="563"/>
      <c r="J341" s="280"/>
      <c r="K341" s="280"/>
      <c r="L341" s="274"/>
      <c r="M341" s="274"/>
      <c r="N341" s="274"/>
      <c r="O341" s="274"/>
      <c r="P341" s="274"/>
    </row>
    <row r="342" spans="1:16" customFormat="1" x14ac:dyDescent="0.25">
      <c r="A342" s="278" t="s">
        <v>215</v>
      </c>
      <c r="B342" s="279"/>
      <c r="C342" s="279"/>
      <c r="D342" s="541">
        <v>750000</v>
      </c>
      <c r="E342" s="541">
        <v>50000</v>
      </c>
      <c r="F342" s="541">
        <v>100000</v>
      </c>
      <c r="G342" s="541">
        <v>50000</v>
      </c>
      <c r="H342" s="541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5">
      <c r="A343" s="278"/>
      <c r="B343" s="278"/>
      <c r="C343" s="278"/>
      <c r="D343" s="563"/>
      <c r="E343" s="563"/>
      <c r="F343" s="563"/>
      <c r="G343" s="563"/>
      <c r="H343" s="563"/>
      <c r="J343" s="271"/>
      <c r="K343" s="271"/>
      <c r="L343" s="277"/>
      <c r="M343" s="277"/>
      <c r="N343" s="277"/>
      <c r="O343" s="277"/>
      <c r="P343" s="277"/>
    </row>
    <row r="344" spans="1:16" customFormat="1" x14ac:dyDescent="0.25">
      <c r="J344" s="271"/>
      <c r="K344" s="271"/>
      <c r="L344" s="274"/>
      <c r="M344" s="274"/>
      <c r="N344" s="274"/>
      <c r="O344" s="274"/>
      <c r="P344" s="274"/>
    </row>
    <row r="345" spans="1:16" customFormat="1" x14ac:dyDescent="0.25">
      <c r="J345" s="271"/>
      <c r="K345" s="271"/>
      <c r="L345" s="274"/>
      <c r="M345" s="274"/>
      <c r="N345" s="274"/>
      <c r="O345" s="274"/>
      <c r="P345" s="274"/>
    </row>
    <row r="346" spans="1:16" customFormat="1" x14ac:dyDescent="0.25">
      <c r="A346" s="264" t="s">
        <v>216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5">
      <c r="J347" s="271"/>
      <c r="K347" s="271"/>
      <c r="L347" s="274"/>
      <c r="M347" s="274"/>
      <c r="N347" s="274"/>
      <c r="O347" s="274"/>
      <c r="P347" s="274"/>
    </row>
    <row r="348" spans="1:16" customFormat="1" x14ac:dyDescent="0.25">
      <c r="A348" s="281" t="s">
        <v>50</v>
      </c>
      <c r="B348" s="281"/>
      <c r="C348" s="281"/>
      <c r="J348" s="270" t="s">
        <v>217</v>
      </c>
      <c r="K348" s="271"/>
      <c r="L348" s="274"/>
      <c r="M348" s="274"/>
      <c r="N348" s="274"/>
      <c r="O348" s="274"/>
      <c r="P348" s="274"/>
    </row>
    <row r="349" spans="1:16" customFormat="1" x14ac:dyDescent="0.25">
      <c r="A349" s="264" t="s">
        <v>218</v>
      </c>
      <c r="B349" s="264"/>
      <c r="C349" s="264"/>
      <c r="D349" s="544">
        <v>1.640241300098602</v>
      </c>
      <c r="E349" s="544">
        <v>1.6395822818441947</v>
      </c>
      <c r="F349" s="544">
        <v>1.6405941226017764</v>
      </c>
      <c r="G349" s="544">
        <v>1.64</v>
      </c>
      <c r="H349" s="544">
        <v>1.64</v>
      </c>
      <c r="J349" s="542">
        <v>747451</v>
      </c>
      <c r="K349" s="542">
        <v>759339.75</v>
      </c>
      <c r="L349" s="542">
        <v>748509.32542202831</v>
      </c>
      <c r="M349" s="542">
        <v>737857.94078350009</v>
      </c>
      <c r="N349" s="542">
        <v>727740.97618373868</v>
      </c>
      <c r="O349" s="274"/>
      <c r="P349" s="274"/>
    </row>
    <row r="350" spans="1:16" customFormat="1" x14ac:dyDescent="0.25">
      <c r="A350" s="268" t="s">
        <v>219</v>
      </c>
      <c r="D350" s="545">
        <v>420000</v>
      </c>
      <c r="E350" s="545">
        <v>420000</v>
      </c>
      <c r="F350" s="545">
        <v>420000</v>
      </c>
      <c r="G350" s="545">
        <v>420000</v>
      </c>
      <c r="H350" s="545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5">
      <c r="A351" s="268" t="s">
        <v>213</v>
      </c>
      <c r="B351" s="268"/>
      <c r="C351" s="268"/>
      <c r="D351" s="545">
        <v>600000</v>
      </c>
      <c r="E351" s="545">
        <v>600000</v>
      </c>
      <c r="F351" s="545">
        <v>600000</v>
      </c>
      <c r="G351" s="545">
        <v>600000</v>
      </c>
      <c r="H351" s="545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5">
      <c r="D352" s="546"/>
      <c r="E352" s="546"/>
      <c r="F352" s="546"/>
      <c r="G352" s="546"/>
      <c r="H352" s="546"/>
      <c r="J352" s="271"/>
      <c r="K352" s="271"/>
      <c r="L352" s="277"/>
      <c r="M352" s="277"/>
      <c r="N352" s="277"/>
      <c r="O352" s="277"/>
      <c r="P352" s="277"/>
    </row>
    <row r="353" spans="1:16" customFormat="1" x14ac:dyDescent="0.25">
      <c r="A353" s="281" t="s">
        <v>220</v>
      </c>
      <c r="B353" s="281"/>
      <c r="C353" s="281"/>
      <c r="D353" s="546"/>
      <c r="E353" s="546"/>
      <c r="F353" s="546"/>
      <c r="G353" s="546"/>
      <c r="H353" s="546"/>
      <c r="J353" s="271"/>
      <c r="K353" s="271"/>
      <c r="L353" s="274"/>
      <c r="M353" s="274"/>
      <c r="N353" s="274"/>
      <c r="O353" s="274"/>
      <c r="P353" s="274"/>
    </row>
    <row r="354" spans="1:16" customFormat="1" x14ac:dyDescent="0.25">
      <c r="A354" s="268" t="s">
        <v>221</v>
      </c>
      <c r="B354" s="268"/>
      <c r="C354" s="268"/>
      <c r="D354" s="546"/>
      <c r="E354" s="546"/>
      <c r="F354" s="546"/>
      <c r="G354" s="546"/>
      <c r="H354" s="546"/>
      <c r="J354" s="264" t="s">
        <v>206</v>
      </c>
      <c r="K354" s="271"/>
      <c r="L354" s="274"/>
      <c r="M354" s="274"/>
      <c r="N354" s="274"/>
      <c r="O354" s="274"/>
      <c r="P354" s="274"/>
    </row>
    <row r="355" spans="1:16" customFormat="1" x14ac:dyDescent="0.25">
      <c r="A355" t="s">
        <v>212</v>
      </c>
      <c r="D355" s="546"/>
      <c r="E355" s="546"/>
      <c r="F355" s="546"/>
      <c r="G355" s="546"/>
      <c r="H355" s="546"/>
      <c r="J355" s="271"/>
      <c r="K355" s="271"/>
      <c r="L355" s="274"/>
      <c r="M355" s="274"/>
      <c r="N355" s="274"/>
      <c r="O355" s="274"/>
      <c r="P355" s="274"/>
    </row>
    <row r="356" spans="1:16" customFormat="1" x14ac:dyDescent="0.25">
      <c r="A356" t="s">
        <v>190</v>
      </c>
      <c r="D356" s="544">
        <v>34.6</v>
      </c>
      <c r="E356" s="544">
        <v>35.110669999999999</v>
      </c>
      <c r="F356" s="544">
        <v>35.632727940999999</v>
      </c>
      <c r="G356" s="544">
        <v>36.166427774084298</v>
      </c>
      <c r="H356" s="544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5">
      <c r="A357" t="s">
        <v>191</v>
      </c>
      <c r="D357" s="540"/>
      <c r="E357" s="540"/>
      <c r="F357" s="540"/>
      <c r="G357" s="540"/>
      <c r="H357" s="540"/>
      <c r="J357" s="271"/>
      <c r="K357" s="271"/>
      <c r="L357" s="274"/>
      <c r="M357" s="274"/>
      <c r="N357" s="274"/>
      <c r="O357" s="274"/>
      <c r="P357" s="274"/>
    </row>
    <row r="358" spans="1:16" customFormat="1" x14ac:dyDescent="0.25">
      <c r="A358" t="s">
        <v>208</v>
      </c>
      <c r="D358" s="544">
        <v>34.6</v>
      </c>
      <c r="E358" s="544">
        <v>35.110669999999999</v>
      </c>
      <c r="F358" s="544">
        <v>35.632727940999999</v>
      </c>
      <c r="G358" s="544">
        <v>36.166427774084298</v>
      </c>
      <c r="H358" s="544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5">
      <c r="A359" t="s">
        <v>209</v>
      </c>
      <c r="D359" s="544">
        <v>34.6</v>
      </c>
      <c r="E359" s="544">
        <v>35.110669999999999</v>
      </c>
      <c r="F359" s="544">
        <v>35.632727940999999</v>
      </c>
      <c r="G359" s="544">
        <v>36.166427774084298</v>
      </c>
      <c r="H359" s="544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5">
      <c r="A360" t="s">
        <v>210</v>
      </c>
      <c r="D360" s="544">
        <v>34.6</v>
      </c>
      <c r="E360" s="544">
        <v>35.110669999999999</v>
      </c>
      <c r="F360" s="544">
        <v>35.632727940999999</v>
      </c>
      <c r="G360" s="544">
        <v>36.166427774084298</v>
      </c>
      <c r="H360" s="544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5">
      <c r="A361" t="s">
        <v>361</v>
      </c>
      <c r="D361" s="544">
        <v>34.6</v>
      </c>
      <c r="E361" s="544">
        <v>35.110669999999999</v>
      </c>
      <c r="F361" s="544">
        <v>35.632727940999999</v>
      </c>
      <c r="G361" s="544">
        <v>36.166427774084298</v>
      </c>
      <c r="H361" s="544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5">
      <c r="A362" t="s">
        <v>211</v>
      </c>
      <c r="D362" s="544">
        <v>34.6</v>
      </c>
      <c r="E362" s="544">
        <v>35.110669999999999</v>
      </c>
      <c r="F362" s="544">
        <v>35.632727940999999</v>
      </c>
      <c r="G362" s="544">
        <v>36.166427774084298</v>
      </c>
      <c r="H362" s="544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5">
      <c r="D363" s="540"/>
      <c r="E363" s="540"/>
      <c r="F363" s="540"/>
      <c r="G363" s="540"/>
      <c r="H363" s="540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5">
      <c r="A364" s="282" t="s">
        <v>222</v>
      </c>
      <c r="B364" s="282"/>
      <c r="C364" s="282"/>
      <c r="D364" s="540"/>
      <c r="E364" s="540"/>
      <c r="F364" s="540"/>
      <c r="G364" s="540"/>
      <c r="H364" s="540"/>
      <c r="I364" s="271"/>
      <c r="N364" s="276"/>
      <c r="O364" s="276"/>
      <c r="P364" s="276"/>
    </row>
    <row r="365" spans="1:16" customFormat="1" x14ac:dyDescent="0.25">
      <c r="A365" s="283" t="s">
        <v>190</v>
      </c>
      <c r="B365" s="283"/>
      <c r="C365" s="283"/>
      <c r="D365" s="544">
        <v>1.5</v>
      </c>
      <c r="E365" s="544">
        <v>1.5</v>
      </c>
      <c r="F365" s="544">
        <v>1.5</v>
      </c>
      <c r="G365" s="544">
        <v>1.5</v>
      </c>
      <c r="H365" s="544">
        <v>1.5</v>
      </c>
      <c r="I365" s="271"/>
      <c r="N365" s="271"/>
      <c r="O365" s="271"/>
      <c r="P365" s="271"/>
    </row>
    <row r="366" spans="1:16" customFormat="1" x14ac:dyDescent="0.25">
      <c r="A366" s="283" t="s">
        <v>223</v>
      </c>
      <c r="B366" s="283"/>
      <c r="C366" s="283"/>
      <c r="D366" s="544">
        <v>2.5</v>
      </c>
      <c r="E366" s="544">
        <v>2.5</v>
      </c>
      <c r="F366" s="544">
        <v>2.5</v>
      </c>
      <c r="G366" s="544">
        <v>2.5</v>
      </c>
      <c r="H366" s="544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5">
      <c r="A367" s="283" t="s">
        <v>224</v>
      </c>
      <c r="B367" s="283"/>
      <c r="C367" s="283"/>
      <c r="D367" s="544">
        <v>4.5</v>
      </c>
      <c r="E367" s="544">
        <v>4.5</v>
      </c>
      <c r="F367" s="544">
        <v>4.5</v>
      </c>
      <c r="G367" s="544">
        <v>4.5</v>
      </c>
      <c r="H367" s="544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5">
      <c r="A368" s="283" t="s">
        <v>225</v>
      </c>
      <c r="B368" s="283"/>
      <c r="C368" s="283"/>
      <c r="D368" s="544">
        <v>6.2</v>
      </c>
      <c r="E368" s="544">
        <v>6.2</v>
      </c>
      <c r="F368" s="544">
        <v>6.2</v>
      </c>
      <c r="G368" s="544">
        <v>6.2</v>
      </c>
      <c r="H368" s="544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5">
      <c r="D369" s="546"/>
      <c r="E369" s="546"/>
      <c r="F369" s="546"/>
      <c r="G369" s="546"/>
      <c r="H369" s="546"/>
      <c r="I369" s="271"/>
      <c r="J369" s="264" t="s">
        <v>226</v>
      </c>
      <c r="K369" s="271"/>
      <c r="L369" s="276"/>
      <c r="M369" s="276"/>
      <c r="N369" s="271"/>
      <c r="O369" s="271"/>
      <c r="P369" s="271"/>
    </row>
    <row r="370" spans="1:16" customFormat="1" x14ac:dyDescent="0.25">
      <c r="A370" t="s">
        <v>227</v>
      </c>
      <c r="D370" s="546"/>
      <c r="E370" s="546"/>
      <c r="F370" s="546"/>
      <c r="G370" s="546"/>
      <c r="H370" s="546"/>
      <c r="J370" s="547">
        <v>2840.5</v>
      </c>
      <c r="K370" s="547">
        <v>0</v>
      </c>
      <c r="L370" s="547">
        <v>0</v>
      </c>
      <c r="M370" s="547">
        <v>0</v>
      </c>
      <c r="N370" s="547">
        <v>0</v>
      </c>
    </row>
    <row r="371" spans="1:16" customFormat="1" x14ac:dyDescent="0.25">
      <c r="A371" t="s">
        <v>228</v>
      </c>
      <c r="D371" s="546"/>
      <c r="E371" s="546"/>
      <c r="F371" s="546"/>
      <c r="G371" s="546"/>
      <c r="H371" s="546"/>
      <c r="J371" s="547">
        <v>704157.15653132333</v>
      </c>
      <c r="K371" s="547">
        <v>695525.52097347646</v>
      </c>
      <c r="L371" s="547">
        <v>605602.09639550466</v>
      </c>
      <c r="M371" s="547">
        <v>515942.71175697667</v>
      </c>
      <c r="N371" s="547">
        <v>425738.74715721508</v>
      </c>
    </row>
    <row r="372" spans="1:16" customFormat="1" x14ac:dyDescent="0.25">
      <c r="A372" t="s">
        <v>229</v>
      </c>
      <c r="D372" s="546"/>
      <c r="E372" s="546"/>
      <c r="F372" s="546"/>
      <c r="G372" s="546"/>
      <c r="H372" s="546"/>
      <c r="J372" s="547">
        <v>5242.6427209510994</v>
      </c>
      <c r="K372" s="547">
        <v>7714.5067294751007</v>
      </c>
      <c r="L372" s="547">
        <v>7022.5067294751007</v>
      </c>
      <c r="M372" s="547">
        <v>6312.5067294751007</v>
      </c>
      <c r="N372" s="547">
        <v>5576.5067294751007</v>
      </c>
    </row>
    <row r="373" spans="1:16" customFormat="1" x14ac:dyDescent="0.25">
      <c r="A373" t="s">
        <v>230</v>
      </c>
      <c r="D373" s="546"/>
      <c r="E373" s="546"/>
      <c r="F373" s="546"/>
      <c r="G373" s="546"/>
      <c r="H373" s="546"/>
      <c r="J373" s="547">
        <v>35210.700747725568</v>
      </c>
      <c r="K373" s="547">
        <v>56099.7222970484</v>
      </c>
      <c r="L373" s="547">
        <v>135884.7222970484</v>
      </c>
      <c r="M373" s="547">
        <v>215602.7222970484</v>
      </c>
      <c r="N373" s="547">
        <v>296425.72229704843</v>
      </c>
    </row>
    <row r="374" spans="1:16" customFormat="1" x14ac:dyDescent="0.25">
      <c r="D374" s="546"/>
      <c r="E374" s="546"/>
      <c r="F374" s="546"/>
      <c r="G374" s="546"/>
      <c r="H374" s="546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5">
      <c r="A375" s="278" t="s">
        <v>53</v>
      </c>
      <c r="D375" s="541">
        <v>5644406.5512591293</v>
      </c>
      <c r="E375" s="541">
        <v>5765762.3580535455</v>
      </c>
      <c r="F375" s="541">
        <v>5765762.3580535455</v>
      </c>
      <c r="G375" s="541">
        <v>5765762.3580535455</v>
      </c>
      <c r="H375" s="541">
        <v>5765762.3580535455</v>
      </c>
    </row>
    <row r="376" spans="1:16" customFormat="1" x14ac:dyDescent="0.25"/>
    <row r="377" spans="1:16" customFormat="1" x14ac:dyDescent="0.25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5"/>
    <row r="379" spans="1:16" customFormat="1" x14ac:dyDescent="0.25"/>
    <row r="380" spans="1:16" customFormat="1" x14ac:dyDescent="0.25">
      <c r="A380" s="264" t="s">
        <v>231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5">
      <c r="A381" s="130" t="s">
        <v>202</v>
      </c>
    </row>
    <row r="382" spans="1:16" customFormat="1" ht="15.6" x14ac:dyDescent="0.3">
      <c r="A382" s="130"/>
      <c r="C382" s="286" t="s">
        <v>362</v>
      </c>
      <c r="D382" s="548">
        <v>1</v>
      </c>
    </row>
    <row r="383" spans="1:16" customFormat="1" x14ac:dyDescent="0.25">
      <c r="D383" s="133" t="s">
        <v>232</v>
      </c>
      <c r="J383" s="133" t="s">
        <v>22</v>
      </c>
    </row>
    <row r="384" spans="1:16" customFormat="1" x14ac:dyDescent="0.25">
      <c r="A384" s="255" t="s">
        <v>233</v>
      </c>
      <c r="B384" s="255"/>
      <c r="C384" s="255"/>
      <c r="D384" t="s">
        <v>234</v>
      </c>
      <c r="J384" s="267"/>
      <c r="K384" s="267"/>
      <c r="L384" s="267"/>
      <c r="M384" s="267"/>
      <c r="N384" s="267"/>
    </row>
    <row r="385" spans="1:19" customFormat="1" x14ac:dyDescent="0.25">
      <c r="A385" s="126" t="s">
        <v>235</v>
      </c>
      <c r="B385" s="126"/>
      <c r="C385" s="549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5">
      <c r="A386" s="126" t="s">
        <v>236</v>
      </c>
      <c r="B386" s="126"/>
      <c r="C386" s="549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5">
      <c r="A387" s="126" t="s">
        <v>237</v>
      </c>
      <c r="B387" s="126"/>
      <c r="C387" s="549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5">
      <c r="A388" s="126" t="s">
        <v>238</v>
      </c>
      <c r="B388" s="126"/>
      <c r="C388" s="549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5">
      <c r="A389" s="126"/>
      <c r="B389" s="126"/>
      <c r="C389" s="550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5">
      <c r="A390" s="255" t="s">
        <v>233</v>
      </c>
      <c r="B390" s="255"/>
      <c r="C390" s="551"/>
      <c r="D390" t="s">
        <v>239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5">
      <c r="A391" s="126" t="s">
        <v>250</v>
      </c>
      <c r="B391" s="126"/>
      <c r="C391" s="549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2">
        <v>0</v>
      </c>
      <c r="K391" s="552">
        <v>0</v>
      </c>
      <c r="L391" s="552">
        <v>0</v>
      </c>
      <c r="M391" s="552">
        <v>0</v>
      </c>
      <c r="N391" s="552">
        <v>0</v>
      </c>
      <c r="O391" s="292"/>
      <c r="P391" s="271"/>
      <c r="Q391" s="271"/>
      <c r="R391" s="271"/>
      <c r="S391" s="271"/>
    </row>
    <row r="392" spans="1:19" customFormat="1" x14ac:dyDescent="0.25">
      <c r="A392" s="126" t="s">
        <v>251</v>
      </c>
      <c r="B392" s="126"/>
      <c r="C392" s="549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2">
        <v>541474.83945697406</v>
      </c>
      <c r="K392" s="552">
        <v>534697.81323619781</v>
      </c>
      <c r="L392" s="552">
        <v>488233.27305191796</v>
      </c>
      <c r="M392" s="552">
        <v>441987.50174757856</v>
      </c>
      <c r="N392" s="552">
        <v>395296.78029193444</v>
      </c>
      <c r="O392" s="271"/>
      <c r="P392" s="271"/>
      <c r="Q392" s="271"/>
      <c r="R392" s="271"/>
      <c r="S392" s="271"/>
    </row>
    <row r="393" spans="1:19" customFormat="1" x14ac:dyDescent="0.25">
      <c r="A393" s="126" t="s">
        <v>252</v>
      </c>
      <c r="B393" s="126"/>
      <c r="C393" s="549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2">
        <v>6508.9489249309008</v>
      </c>
      <c r="K393" s="552">
        <v>5882.9389853199536</v>
      </c>
      <c r="L393" s="552">
        <v>5218.1334253192936</v>
      </c>
      <c r="M393" s="552">
        <v>4535.2401989378968</v>
      </c>
      <c r="N393" s="552">
        <v>3829.5488259490016</v>
      </c>
      <c r="O393" s="271"/>
      <c r="P393" s="271"/>
      <c r="Q393" s="271"/>
      <c r="R393" s="271"/>
      <c r="S393" s="271"/>
    </row>
    <row r="394" spans="1:19" customFormat="1" x14ac:dyDescent="0.25">
      <c r="A394" s="126" t="s">
        <v>253</v>
      </c>
      <c r="B394" s="126"/>
      <c r="C394" s="549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2">
        <v>29415.451934137975</v>
      </c>
      <c r="K394" s="552">
        <v>47080.830466136853</v>
      </c>
      <c r="L394" s="552">
        <v>105119.68334438653</v>
      </c>
      <c r="M394" s="552">
        <v>163130.54146459873</v>
      </c>
      <c r="N394" s="552">
        <v>222112.24617836383</v>
      </c>
      <c r="O394" s="271"/>
      <c r="P394" s="271"/>
      <c r="Q394" s="271"/>
      <c r="R394" s="271"/>
      <c r="S394" s="271"/>
    </row>
    <row r="395" spans="1:19" customFormat="1" x14ac:dyDescent="0.25">
      <c r="A395" s="126"/>
      <c r="B395" s="126"/>
      <c r="C395" s="550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5">
      <c r="A396" s="255" t="s">
        <v>240</v>
      </c>
      <c r="B396" s="255"/>
      <c r="C396" s="551"/>
      <c r="O396" s="271"/>
      <c r="P396" s="271"/>
      <c r="Q396" s="271"/>
      <c r="R396" s="271"/>
      <c r="S396" s="271"/>
    </row>
    <row r="397" spans="1:19" customFormat="1" x14ac:dyDescent="0.25">
      <c r="A397" s="255" t="s">
        <v>241</v>
      </c>
      <c r="B397" s="255"/>
      <c r="C397" s="551"/>
      <c r="D397" t="s">
        <v>242</v>
      </c>
      <c r="O397" s="271"/>
      <c r="P397" s="271"/>
      <c r="Q397" s="271"/>
      <c r="R397" s="271"/>
      <c r="S397" s="271"/>
    </row>
    <row r="398" spans="1:19" customFormat="1" x14ac:dyDescent="0.25">
      <c r="A398" s="126" t="s">
        <v>243</v>
      </c>
      <c r="B398" s="126"/>
      <c r="C398" s="549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2">
        <v>81</v>
      </c>
      <c r="K398" s="552">
        <v>81</v>
      </c>
      <c r="L398" s="552">
        <v>81</v>
      </c>
      <c r="M398" s="552">
        <v>81</v>
      </c>
      <c r="N398" s="552">
        <v>81</v>
      </c>
      <c r="O398" s="271"/>
      <c r="P398" s="271"/>
      <c r="Q398" s="271"/>
      <c r="R398" s="271"/>
      <c r="S398" s="271"/>
    </row>
    <row r="399" spans="1:19" customFormat="1" x14ac:dyDescent="0.25">
      <c r="A399" s="126" t="s">
        <v>244</v>
      </c>
      <c r="B399" s="126"/>
      <c r="C399" s="549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2">
        <v>109501</v>
      </c>
      <c r="K399" s="552">
        <v>113971</v>
      </c>
      <c r="L399" s="552">
        <v>118623</v>
      </c>
      <c r="M399" s="552">
        <v>123465</v>
      </c>
      <c r="N399" s="552">
        <v>128505</v>
      </c>
      <c r="O399" s="271"/>
      <c r="P399" s="271"/>
      <c r="Q399" s="271"/>
      <c r="R399" s="271"/>
      <c r="S399" s="271"/>
    </row>
    <row r="400" spans="1:19" customFormat="1" x14ac:dyDescent="0.25">
      <c r="A400" s="126"/>
      <c r="B400" s="126"/>
      <c r="C400" s="550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5">
      <c r="A401" s="255" t="s">
        <v>28</v>
      </c>
      <c r="B401" s="255"/>
      <c r="C401" s="551"/>
      <c r="D401" t="s">
        <v>242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5">
      <c r="A402" s="126" t="s">
        <v>245</v>
      </c>
      <c r="B402" s="126"/>
      <c r="C402" s="549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2">
        <v>327081.07016085723</v>
      </c>
      <c r="K402" s="552">
        <v>334788.23161118897</v>
      </c>
      <c r="L402" s="552">
        <v>342342.5113433029</v>
      </c>
      <c r="M402" s="552">
        <v>349977.60200844088</v>
      </c>
      <c r="N402" s="552">
        <v>358038.3536431223</v>
      </c>
      <c r="O402" s="271"/>
      <c r="P402" s="271"/>
      <c r="Q402" s="271"/>
      <c r="R402" s="271"/>
      <c r="S402" s="271"/>
    </row>
    <row r="403" spans="1:19" customFormat="1" x14ac:dyDescent="0.25">
      <c r="A403" s="126" t="s">
        <v>246</v>
      </c>
      <c r="B403" s="126"/>
      <c r="C403" s="549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2">
        <v>336438.38255269907</v>
      </c>
      <c r="K403" s="552">
        <v>340055.93100589758</v>
      </c>
      <c r="L403" s="552">
        <v>321198.73973271751</v>
      </c>
      <c r="M403" s="552">
        <v>302440.52795478486</v>
      </c>
      <c r="N403" s="552">
        <v>283769.02061518887</v>
      </c>
      <c r="O403" s="271"/>
      <c r="P403" s="271"/>
      <c r="Q403" s="271"/>
      <c r="R403" s="271"/>
      <c r="S403" s="271"/>
    </row>
    <row r="404" spans="1:19" customFormat="1" x14ac:dyDescent="0.25">
      <c r="A404" s="126" t="s">
        <v>247</v>
      </c>
      <c r="B404" s="126"/>
      <c r="C404" s="549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2">
        <v>82453.314942680299</v>
      </c>
      <c r="K404" s="552">
        <v>82990.399336892544</v>
      </c>
      <c r="L404" s="552">
        <v>83437.127095429198</v>
      </c>
      <c r="M404" s="552">
        <v>83883.667122120998</v>
      </c>
      <c r="N404" s="552">
        <v>84350.534545684379</v>
      </c>
      <c r="O404" s="271"/>
      <c r="P404" s="271"/>
      <c r="Q404" s="271"/>
      <c r="R404" s="271"/>
      <c r="S404" s="271"/>
    </row>
    <row r="405" spans="1:19" customFormat="1" x14ac:dyDescent="0.25">
      <c r="A405" s="126" t="s">
        <v>248</v>
      </c>
      <c r="B405" s="126"/>
      <c r="C405" s="549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2">
        <v>1478.232343763259</v>
      </c>
      <c r="K405" s="552">
        <v>1505.1880460207444</v>
      </c>
      <c r="L405" s="552">
        <v>1530.9472505786187</v>
      </c>
      <c r="M405" s="552">
        <v>1556.1436981534141</v>
      </c>
      <c r="N405" s="552">
        <v>1583.0673797430527</v>
      </c>
      <c r="O405" s="271"/>
      <c r="P405" s="271"/>
      <c r="Q405" s="271"/>
      <c r="R405" s="271"/>
      <c r="S405" s="271"/>
    </row>
    <row r="406" spans="1:19" customFormat="1" x14ac:dyDescent="0.25">
      <c r="A406" s="222" t="s">
        <v>363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5">
      <c r="A407" t="s">
        <v>44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5">
      <c r="O408" s="292"/>
      <c r="P408" s="271"/>
      <c r="Q408" s="271"/>
      <c r="R408" s="271"/>
      <c r="S408" s="271"/>
    </row>
    <row r="409" spans="1:19" customFormat="1" x14ac:dyDescent="0.25">
      <c r="A409" s="133" t="s">
        <v>249</v>
      </c>
      <c r="D409" s="126"/>
      <c r="O409" s="271"/>
      <c r="P409" s="271"/>
      <c r="Q409" s="271"/>
      <c r="R409" s="271"/>
      <c r="S409" s="271"/>
    </row>
    <row r="410" spans="1:19" customFormat="1" x14ac:dyDescent="0.25">
      <c r="A410" s="255" t="s">
        <v>233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5">
      <c r="A411" s="126" t="s">
        <v>235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5">
      <c r="A412" s="126" t="s">
        <v>236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5">
      <c r="A413" s="126" t="s">
        <v>237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5">
      <c r="A414" s="126" t="s">
        <v>238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5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5">
      <c r="A416" s="255" t="s">
        <v>233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5">
      <c r="A417" s="126" t="s">
        <v>250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5">
      <c r="A418" s="126" t="s">
        <v>251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5">
      <c r="A419" s="126" t="s">
        <v>252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5">
      <c r="A420" s="126" t="s">
        <v>253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5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5">
      <c r="A422" s="255" t="s">
        <v>240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5">
      <c r="A423" s="255" t="s">
        <v>241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5">
      <c r="A424" s="126" t="s">
        <v>243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5">
      <c r="A425" s="126" t="s">
        <v>244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5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5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5">
      <c r="A428" s="126" t="s">
        <v>245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5">
      <c r="A429" s="126" t="s">
        <v>246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5">
      <c r="A430" s="126" t="s">
        <v>247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5">
      <c r="A431" s="126" t="s">
        <v>248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5">
      <c r="A432" s="222" t="s">
        <v>363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5">
      <c r="A433" t="s">
        <v>44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5"/>
    <row r="435" spans="1:14" customFormat="1" ht="13.8" thickBot="1" x14ac:dyDescent="0.3">
      <c r="A435" t="s">
        <v>254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8" thickTop="1" x14ac:dyDescent="0.25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5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5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5">
      <c r="A439" s="133"/>
      <c r="I439" s="157"/>
      <c r="J439" s="157"/>
    </row>
    <row r="440" spans="1:14" x14ac:dyDescent="0.25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5">
      <c r="A441" s="133"/>
      <c r="I441" s="157"/>
      <c r="J441" s="157"/>
    </row>
    <row r="442" spans="1:14" x14ac:dyDescent="0.25">
      <c r="A442" s="133"/>
      <c r="I442" s="157"/>
      <c r="J442" s="157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Sheet1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Mei Kwan See Toh</cp:lastModifiedBy>
  <dcterms:created xsi:type="dcterms:W3CDTF">2009-04-11T02:58:03Z</dcterms:created>
  <dcterms:modified xsi:type="dcterms:W3CDTF">2016-05-26T10:47:12Z</dcterms:modified>
</cp:coreProperties>
</file>