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5" yWindow="0" windowWidth="28725" windowHeight="12975" tabRatio="820"/>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zzz">#REF!</definedName>
    <definedName name="zzz2">#REF!</definedName>
  </definedNames>
  <calcPr calcId="125725"/>
</workbook>
</file>

<file path=xl/calcChain.xml><?xml version="1.0" encoding="utf-8"?>
<calcChain xmlns="http://schemas.openxmlformats.org/spreadsheetml/2006/main">
  <c r="L49" i="7944"/>
  <c r="M49"/>
  <c r="N49"/>
  <c r="O49"/>
  <c r="P49"/>
  <c r="L50"/>
  <c r="M50"/>
  <c r="N50"/>
  <c r="O50"/>
  <c r="P50"/>
  <c r="L51"/>
  <c r="M51"/>
  <c r="N51"/>
  <c r="O51"/>
  <c r="P51"/>
  <c r="L52"/>
  <c r="M52"/>
  <c r="N52"/>
  <c r="O52"/>
  <c r="P52"/>
  <c r="L53"/>
  <c r="M53"/>
  <c r="N53"/>
  <c r="O53"/>
  <c r="P53"/>
  <c r="L54"/>
  <c r="M54"/>
  <c r="N54"/>
  <c r="O54"/>
  <c r="P54"/>
  <c r="L55"/>
  <c r="M55"/>
  <c r="N55"/>
  <c r="O55"/>
  <c r="P55"/>
  <c r="M48"/>
  <c r="N48"/>
  <c r="O48"/>
  <c r="P48"/>
  <c r="L41"/>
  <c r="M41"/>
  <c r="N41"/>
  <c r="O41"/>
  <c r="P41"/>
  <c r="L42"/>
  <c r="M42"/>
  <c r="N42"/>
  <c r="O42"/>
  <c r="P42"/>
  <c r="L43"/>
  <c r="M43"/>
  <c r="N43"/>
  <c r="O43"/>
  <c r="P43"/>
  <c r="L44"/>
  <c r="M44"/>
  <c r="N44"/>
  <c r="O44"/>
  <c r="P44"/>
  <c r="L45"/>
  <c r="M45"/>
  <c r="N45"/>
  <c r="O45"/>
  <c r="P45"/>
  <c r="M40"/>
  <c r="N40"/>
  <c r="O40"/>
  <c r="P40"/>
  <c r="P325" i="18"/>
  <c r="Q325"/>
  <c r="O325"/>
  <c r="P355" i="7944"/>
  <c r="P354"/>
  <c r="O354"/>
  <c r="O353"/>
  <c r="P353"/>
  <c r="N353"/>
  <c r="N352"/>
  <c r="O352"/>
  <c r="P352"/>
  <c r="M352"/>
  <c r="N351"/>
  <c r="O351"/>
  <c r="P351"/>
  <c r="M351"/>
  <c r="M350"/>
  <c r="N350"/>
  <c r="O350"/>
  <c r="P350"/>
  <c r="K350"/>
  <c r="K349"/>
  <c r="M349"/>
  <c r="N349"/>
  <c r="O349"/>
  <c r="P349"/>
  <c r="J349"/>
  <c r="J348"/>
  <c r="K348"/>
  <c r="M348"/>
  <c r="N348"/>
  <c r="O348"/>
  <c r="P348"/>
  <c r="I348"/>
  <c r="H347"/>
  <c r="I347"/>
  <c r="J347"/>
  <c r="K347"/>
  <c r="M347"/>
  <c r="N347"/>
  <c r="O347"/>
  <c r="P347"/>
  <c r="G12" i="7942"/>
  <c r="G460" i="18"/>
  <c r="G352" i="7942"/>
  <c r="G348"/>
  <c r="H348" s="1"/>
  <c r="G448" i="18"/>
  <c r="G340" i="7942"/>
  <c r="G440" i="18"/>
  <c r="G334" i="7942"/>
  <c r="G20" i="7944"/>
  <c r="G23"/>
  <c r="G29"/>
  <c r="G30"/>
  <c r="G31"/>
  <c r="N37" i="1"/>
  <c r="L6" i="18"/>
  <c r="G6" i="7942"/>
  <c r="D467" i="7941"/>
  <c r="D466"/>
  <c r="D465"/>
  <c r="D464"/>
  <c r="D463"/>
  <c r="D462"/>
  <c r="D461"/>
  <c r="D460"/>
  <c r="D459"/>
  <c r="D458"/>
  <c r="D457"/>
  <c r="D456"/>
  <c r="D455"/>
  <c r="D454"/>
  <c r="D453"/>
  <c r="D452"/>
  <c r="D451"/>
  <c r="D450"/>
  <c r="D449"/>
  <c r="D448"/>
  <c r="D447"/>
  <c r="D446"/>
  <c r="D445"/>
  <c r="D444"/>
  <c r="D441"/>
  <c r="D440"/>
  <c r="D439"/>
  <c r="D438"/>
  <c r="D415"/>
  <c r="D414"/>
  <c r="D413"/>
  <c r="D437"/>
  <c r="D436"/>
  <c r="D435"/>
  <c r="D434"/>
  <c r="D433"/>
  <c r="D432"/>
  <c r="D431"/>
  <c r="D430"/>
  <c r="D429"/>
  <c r="D428"/>
  <c r="D427"/>
  <c r="D426"/>
  <c r="D425"/>
  <c r="D424"/>
  <c r="D423"/>
  <c r="D422"/>
  <c r="D421"/>
  <c r="D420"/>
  <c r="D419"/>
  <c r="D418"/>
  <c r="D412"/>
  <c r="D411"/>
  <c r="D410"/>
  <c r="D409"/>
  <c r="D408"/>
  <c r="D407"/>
  <c r="D406"/>
  <c r="D405"/>
  <c r="D404"/>
  <c r="D403"/>
  <c r="D402"/>
  <c r="D401"/>
  <c r="D400"/>
  <c r="D399"/>
  <c r="D398"/>
  <c r="D397"/>
  <c r="D396"/>
  <c r="D395"/>
  <c r="D394"/>
  <c r="D393"/>
  <c r="D392"/>
  <c r="G330" i="7947"/>
  <c r="G22"/>
  <c r="G36"/>
  <c r="G50"/>
  <c r="G64"/>
  <c r="G78"/>
  <c r="G92"/>
  <c r="G106"/>
  <c r="G120"/>
  <c r="G134"/>
  <c r="G148"/>
  <c r="G162"/>
  <c r="G176"/>
  <c r="G190"/>
  <c r="G204"/>
  <c r="G218"/>
  <c r="G232"/>
  <c r="G246"/>
  <c r="G260"/>
  <c r="G274"/>
  <c r="G288"/>
  <c r="G316"/>
  <c r="G303"/>
  <c r="G304"/>
  <c r="G305"/>
  <c r="G306"/>
  <c r="G307"/>
  <c r="G308"/>
  <c r="G309"/>
  <c r="G310"/>
  <c r="G311"/>
  <c r="G312"/>
  <c r="G302"/>
  <c r="B329"/>
  <c r="C341"/>
  <c r="B315"/>
  <c r="C327" s="1"/>
  <c r="E330"/>
  <c r="E331"/>
  <c r="E332"/>
  <c r="E333"/>
  <c r="E334"/>
  <c r="E335"/>
  <c r="E316"/>
  <c r="E317"/>
  <c r="E318"/>
  <c r="E319"/>
  <c r="E320"/>
  <c r="E321"/>
  <c r="B301"/>
  <c r="C313"/>
  <c r="E302"/>
  <c r="E303"/>
  <c r="E304"/>
  <c r="E305"/>
  <c r="E306"/>
  <c r="E307"/>
  <c r="B287"/>
  <c r="C299"/>
  <c r="B7"/>
  <c r="C19" s="1"/>
  <c r="B21"/>
  <c r="C33"/>
  <c r="B35"/>
  <c r="C47" s="1"/>
  <c r="B49"/>
  <c r="C61"/>
  <c r="B63"/>
  <c r="C75" s="1"/>
  <c r="B77"/>
  <c r="C89" s="1"/>
  <c r="B91"/>
  <c r="C103" s="1"/>
  <c r="B105"/>
  <c r="C117" s="1"/>
  <c r="B119"/>
  <c r="C131" s="1"/>
  <c r="B133"/>
  <c r="C145" s="1"/>
  <c r="B147"/>
  <c r="C159" s="1"/>
  <c r="B161"/>
  <c r="C173" s="1"/>
  <c r="B175"/>
  <c r="C187" s="1"/>
  <c r="B189"/>
  <c r="C201" s="1"/>
  <c r="B203"/>
  <c r="C215" s="1"/>
  <c r="B217"/>
  <c r="C229" s="1"/>
  <c r="B231"/>
  <c r="C243" s="1"/>
  <c r="B245"/>
  <c r="C257" s="1"/>
  <c r="B259"/>
  <c r="C271" s="1"/>
  <c r="B273"/>
  <c r="C285" s="1"/>
  <c r="H343" i="18"/>
  <c r="H355" s="1"/>
  <c r="H655" s="1"/>
  <c r="I343"/>
  <c r="J343"/>
  <c r="K343"/>
  <c r="L343"/>
  <c r="E8" i="7947"/>
  <c r="E9"/>
  <c r="E10"/>
  <c r="E11"/>
  <c r="E12"/>
  <c r="E13"/>
  <c r="E22"/>
  <c r="E23"/>
  <c r="E24"/>
  <c r="E25"/>
  <c r="E26"/>
  <c r="E27"/>
  <c r="E36"/>
  <c r="E37"/>
  <c r="E38"/>
  <c r="E39"/>
  <c r="E40"/>
  <c r="E41"/>
  <c r="E50"/>
  <c r="E51"/>
  <c r="E52"/>
  <c r="E53"/>
  <c r="E54"/>
  <c r="E61"/>
  <c r="E55"/>
  <c r="E64"/>
  <c r="E65"/>
  <c r="E66"/>
  <c r="E67"/>
  <c r="E68"/>
  <c r="E69"/>
  <c r="E78"/>
  <c r="E79"/>
  <c r="E80"/>
  <c r="E81"/>
  <c r="E82"/>
  <c r="E83"/>
  <c r="E92"/>
  <c r="E93"/>
  <c r="E94"/>
  <c r="E95"/>
  <c r="E96"/>
  <c r="E97"/>
  <c r="E106"/>
  <c r="E107"/>
  <c r="E108"/>
  <c r="E109"/>
  <c r="E110"/>
  <c r="E111"/>
  <c r="E120"/>
  <c r="E121"/>
  <c r="E122"/>
  <c r="E123"/>
  <c r="E124"/>
  <c r="E125"/>
  <c r="E134"/>
  <c r="E135"/>
  <c r="E136"/>
  <c r="E137"/>
  <c r="E138"/>
  <c r="E139"/>
  <c r="E148"/>
  <c r="E149"/>
  <c r="E150"/>
  <c r="E151"/>
  <c r="E152"/>
  <c r="E153"/>
  <c r="E176"/>
  <c r="E177"/>
  <c r="E178"/>
  <c r="E179"/>
  <c r="E180"/>
  <c r="E181"/>
  <c r="E162"/>
  <c r="E163"/>
  <c r="E164"/>
  <c r="E165"/>
  <c r="E166"/>
  <c r="E167"/>
  <c r="E190"/>
  <c r="E191"/>
  <c r="E192"/>
  <c r="E193"/>
  <c r="E194"/>
  <c r="E195"/>
  <c r="E204"/>
  <c r="E205"/>
  <c r="E206"/>
  <c r="E207"/>
  <c r="E208"/>
  <c r="E209"/>
  <c r="E218"/>
  <c r="E219"/>
  <c r="E220"/>
  <c r="E221"/>
  <c r="E222"/>
  <c r="E223"/>
  <c r="E232"/>
  <c r="E233"/>
  <c r="E234"/>
  <c r="E235"/>
  <c r="E236"/>
  <c r="E237"/>
  <c r="E246"/>
  <c r="E247"/>
  <c r="E248"/>
  <c r="E249"/>
  <c r="E250"/>
  <c r="E251"/>
  <c r="E260"/>
  <c r="E261"/>
  <c r="E262"/>
  <c r="E263"/>
  <c r="E264"/>
  <c r="E265"/>
  <c r="E274"/>
  <c r="E275"/>
  <c r="E276"/>
  <c r="E277"/>
  <c r="E278"/>
  <c r="E279"/>
  <c r="H178" i="1"/>
  <c r="G4" i="7944"/>
  <c r="C8"/>
  <c r="C9"/>
  <c r="C10"/>
  <c r="C11"/>
  <c r="C12"/>
  <c r="C13"/>
  <c r="C14"/>
  <c r="C15"/>
  <c r="C16"/>
  <c r="C17"/>
  <c r="C18"/>
  <c r="C19"/>
  <c r="C20"/>
  <c r="C21"/>
  <c r="C22"/>
  <c r="C23"/>
  <c r="C24"/>
  <c r="C25"/>
  <c r="C26"/>
  <c r="C27"/>
  <c r="C28"/>
  <c r="C29"/>
  <c r="C30"/>
  <c r="C31"/>
  <c r="C32"/>
  <c r="C33"/>
  <c r="C34"/>
  <c r="C35"/>
  <c r="C36"/>
  <c r="C37"/>
  <c r="C40"/>
  <c r="L40"/>
  <c r="C41"/>
  <c r="C42"/>
  <c r="C43"/>
  <c r="C44"/>
  <c r="C45"/>
  <c r="C46"/>
  <c r="L46"/>
  <c r="M46"/>
  <c r="N46"/>
  <c r="O46"/>
  <c r="P46"/>
  <c r="P39" s="1"/>
  <c r="C47"/>
  <c r="L47"/>
  <c r="M47"/>
  <c r="N47"/>
  <c r="O47"/>
  <c r="P47"/>
  <c r="C48"/>
  <c r="L48"/>
  <c r="C49"/>
  <c r="C50"/>
  <c r="C51"/>
  <c r="C52"/>
  <c r="C53"/>
  <c r="C54"/>
  <c r="C55"/>
  <c r="C56"/>
  <c r="L56"/>
  <c r="M56"/>
  <c r="N56"/>
  <c r="O56"/>
  <c r="P56"/>
  <c r="C57"/>
  <c r="L57"/>
  <c r="M57"/>
  <c r="N57"/>
  <c r="O57"/>
  <c r="P57"/>
  <c r="C58"/>
  <c r="L58"/>
  <c r="M58"/>
  <c r="N58"/>
  <c r="O58"/>
  <c r="P58"/>
  <c r="C59"/>
  <c r="L59"/>
  <c r="M59"/>
  <c r="N59"/>
  <c r="O59"/>
  <c r="P59"/>
  <c r="C60"/>
  <c r="L60"/>
  <c r="M60"/>
  <c r="N60"/>
  <c r="O60"/>
  <c r="P60"/>
  <c r="C61"/>
  <c r="L61"/>
  <c r="M61"/>
  <c r="N61"/>
  <c r="O61"/>
  <c r="P61"/>
  <c r="C62"/>
  <c r="L62"/>
  <c r="M62"/>
  <c r="N62"/>
  <c r="O62"/>
  <c r="P62"/>
  <c r="C63"/>
  <c r="L63"/>
  <c r="M63"/>
  <c r="N63"/>
  <c r="O63"/>
  <c r="P63"/>
  <c r="C64"/>
  <c r="G64"/>
  <c r="H64"/>
  <c r="I64"/>
  <c r="J64"/>
  <c r="K64"/>
  <c r="L64"/>
  <c r="M64"/>
  <c r="N64"/>
  <c r="O64"/>
  <c r="P64"/>
  <c r="C65"/>
  <c r="G65"/>
  <c r="H65"/>
  <c r="I65"/>
  <c r="J65"/>
  <c r="K65"/>
  <c r="L65"/>
  <c r="M65"/>
  <c r="N65"/>
  <c r="O65"/>
  <c r="P65"/>
  <c r="C66"/>
  <c r="G66"/>
  <c r="H66"/>
  <c r="I66"/>
  <c r="J66"/>
  <c r="K66"/>
  <c r="L66"/>
  <c r="M66"/>
  <c r="N66"/>
  <c r="O66"/>
  <c r="P66"/>
  <c r="C67"/>
  <c r="G67"/>
  <c r="H67"/>
  <c r="I67"/>
  <c r="J67"/>
  <c r="K67"/>
  <c r="L67"/>
  <c r="M67"/>
  <c r="N67"/>
  <c r="O67"/>
  <c r="P67"/>
  <c r="C68"/>
  <c r="G68"/>
  <c r="H68"/>
  <c r="I68"/>
  <c r="J68"/>
  <c r="K68"/>
  <c r="L68"/>
  <c r="M68"/>
  <c r="N68"/>
  <c r="O68"/>
  <c r="P68"/>
  <c r="C69"/>
  <c r="G69"/>
  <c r="H69"/>
  <c r="I69"/>
  <c r="J69"/>
  <c r="K69"/>
  <c r="L69"/>
  <c r="M69"/>
  <c r="N69"/>
  <c r="O69"/>
  <c r="P69"/>
  <c r="B72"/>
  <c r="C84"/>
  <c r="B85"/>
  <c r="C97"/>
  <c r="B98"/>
  <c r="C110"/>
  <c r="B111"/>
  <c r="C123"/>
  <c r="B124"/>
  <c r="C136"/>
  <c r="B137"/>
  <c r="C149"/>
  <c r="B150"/>
  <c r="C162"/>
  <c r="B163"/>
  <c r="C175"/>
  <c r="B176"/>
  <c r="C188"/>
  <c r="B189"/>
  <c r="C201"/>
  <c r="B202"/>
  <c r="C214"/>
  <c r="B215"/>
  <c r="G227"/>
  <c r="C227"/>
  <c r="B228"/>
  <c r="G240"/>
  <c r="C240"/>
  <c r="B241"/>
  <c r="C253"/>
  <c r="B254"/>
  <c r="C266"/>
  <c r="B267"/>
  <c r="C279"/>
  <c r="B280"/>
  <c r="C292"/>
  <c r="B293"/>
  <c r="G305"/>
  <c r="C305"/>
  <c r="B306"/>
  <c r="C318"/>
  <c r="B319"/>
  <c r="C331"/>
  <c r="B332"/>
  <c r="C344"/>
  <c r="F344"/>
  <c r="B345"/>
  <c r="J358"/>
  <c r="C358"/>
  <c r="F358"/>
  <c r="B359"/>
  <c r="C372"/>
  <c r="F372"/>
  <c r="B373"/>
  <c r="C386"/>
  <c r="F386"/>
  <c r="B387"/>
  <c r="G389"/>
  <c r="H389" s="1"/>
  <c r="H390"/>
  <c r="C400"/>
  <c r="F400"/>
  <c r="G32" s="1"/>
  <c r="B401"/>
  <c r="G403"/>
  <c r="H403" s="1"/>
  <c r="H404"/>
  <c r="I404" s="1"/>
  <c r="J404" s="1"/>
  <c r="C414"/>
  <c r="F414"/>
  <c r="G33" s="1"/>
  <c r="B415"/>
  <c r="G415"/>
  <c r="G417"/>
  <c r="H417" s="1"/>
  <c r="H418"/>
  <c r="C428"/>
  <c r="F428"/>
  <c r="G34" s="1"/>
  <c r="B429"/>
  <c r="F442"/>
  <c r="G35" s="1"/>
  <c r="G431"/>
  <c r="H431" s="1"/>
  <c r="H432"/>
  <c r="I432" s="1"/>
  <c r="C442"/>
  <c r="B443"/>
  <c r="G443"/>
  <c r="H443" s="1"/>
  <c r="G445"/>
  <c r="H445" s="1"/>
  <c r="H446"/>
  <c r="C456"/>
  <c r="F456"/>
  <c r="G36" s="1"/>
  <c r="H36" s="1"/>
  <c r="B457"/>
  <c r="G457"/>
  <c r="G459"/>
  <c r="H460"/>
  <c r="C470"/>
  <c r="F470"/>
  <c r="G37"/>
  <c r="G8" i="7947"/>
  <c r="H3" i="7941"/>
  <c r="I3"/>
  <c r="J3"/>
  <c r="K3"/>
  <c r="L3"/>
  <c r="M3"/>
  <c r="D7"/>
  <c r="D8"/>
  <c r="D9"/>
  <c r="D10"/>
  <c r="D11"/>
  <c r="D12"/>
  <c r="D13"/>
  <c r="D14"/>
  <c r="D15"/>
  <c r="D16"/>
  <c r="D17"/>
  <c r="D18"/>
  <c r="D19"/>
  <c r="D20"/>
  <c r="D21"/>
  <c r="D22"/>
  <c r="D23"/>
  <c r="D24"/>
  <c r="D25"/>
  <c r="D26"/>
  <c r="D27"/>
  <c r="D28"/>
  <c r="D29"/>
  <c r="D30"/>
  <c r="D31"/>
  <c r="D32"/>
  <c r="D33"/>
  <c r="D34"/>
  <c r="D35"/>
  <c r="D36"/>
  <c r="D39"/>
  <c r="D40"/>
  <c r="D41"/>
  <c r="D42"/>
  <c r="D43"/>
  <c r="D44"/>
  <c r="D45"/>
  <c r="D46"/>
  <c r="D47"/>
  <c r="D48"/>
  <c r="D49"/>
  <c r="D50"/>
  <c r="D51"/>
  <c r="D52"/>
  <c r="D53"/>
  <c r="D54"/>
  <c r="D55"/>
  <c r="D56"/>
  <c r="D57"/>
  <c r="D58"/>
  <c r="D59"/>
  <c r="D60"/>
  <c r="D61"/>
  <c r="D62"/>
  <c r="D63"/>
  <c r="D64"/>
  <c r="D65"/>
  <c r="D66"/>
  <c r="D67"/>
  <c r="D68"/>
  <c r="D71"/>
  <c r="D72"/>
  <c r="D73"/>
  <c r="D74"/>
  <c r="D75"/>
  <c r="D76"/>
  <c r="D77"/>
  <c r="D78"/>
  <c r="D79"/>
  <c r="D80"/>
  <c r="D81"/>
  <c r="D82"/>
  <c r="D83"/>
  <c r="D84"/>
  <c r="D85"/>
  <c r="D86"/>
  <c r="D87"/>
  <c r="D88"/>
  <c r="D89"/>
  <c r="D90"/>
  <c r="D91"/>
  <c r="D92"/>
  <c r="D93"/>
  <c r="D94"/>
  <c r="D95"/>
  <c r="D96"/>
  <c r="D97"/>
  <c r="D98"/>
  <c r="D99"/>
  <c r="D100"/>
  <c r="D103"/>
  <c r="D104"/>
  <c r="D105"/>
  <c r="D106"/>
  <c r="D107"/>
  <c r="D108"/>
  <c r="D109"/>
  <c r="D110"/>
  <c r="D111"/>
  <c r="D112"/>
  <c r="D113"/>
  <c r="D114"/>
  <c r="D115"/>
  <c r="D116"/>
  <c r="D117"/>
  <c r="D118"/>
  <c r="D119"/>
  <c r="D120"/>
  <c r="D121"/>
  <c r="D122"/>
  <c r="D123"/>
  <c r="D124"/>
  <c r="D125"/>
  <c r="D126"/>
  <c r="D127"/>
  <c r="D128"/>
  <c r="D129"/>
  <c r="D130"/>
  <c r="D131"/>
  <c r="D132"/>
  <c r="D135"/>
  <c r="D136"/>
  <c r="D137"/>
  <c r="D138"/>
  <c r="D139"/>
  <c r="D140"/>
  <c r="D141"/>
  <c r="D142"/>
  <c r="D143"/>
  <c r="D144"/>
  <c r="D145"/>
  <c r="D146"/>
  <c r="D147"/>
  <c r="D148"/>
  <c r="D149"/>
  <c r="D150"/>
  <c r="D151"/>
  <c r="D152"/>
  <c r="D153"/>
  <c r="D154"/>
  <c r="D155"/>
  <c r="D156"/>
  <c r="D157"/>
  <c r="D158"/>
  <c r="D159"/>
  <c r="D160"/>
  <c r="D161"/>
  <c r="D162"/>
  <c r="D163"/>
  <c r="D164"/>
  <c r="D167"/>
  <c r="D168"/>
  <c r="D169"/>
  <c r="D170"/>
  <c r="D171"/>
  <c r="D172"/>
  <c r="D173"/>
  <c r="D174"/>
  <c r="D175"/>
  <c r="D176"/>
  <c r="D177"/>
  <c r="D178"/>
  <c r="D179"/>
  <c r="D180"/>
  <c r="D181"/>
  <c r="D182"/>
  <c r="D183"/>
  <c r="D184"/>
  <c r="D185"/>
  <c r="D186"/>
  <c r="D187"/>
  <c r="D188"/>
  <c r="D189"/>
  <c r="D190"/>
  <c r="D191"/>
  <c r="D192"/>
  <c r="D193"/>
  <c r="D194"/>
  <c r="D195"/>
  <c r="D196"/>
  <c r="D199"/>
  <c r="D200"/>
  <c r="D201"/>
  <c r="D202"/>
  <c r="D203"/>
  <c r="D204"/>
  <c r="D205"/>
  <c r="D206"/>
  <c r="D207"/>
  <c r="D208"/>
  <c r="D209"/>
  <c r="D210"/>
  <c r="D211"/>
  <c r="D212"/>
  <c r="D213"/>
  <c r="D214"/>
  <c r="D215"/>
  <c r="D216"/>
  <c r="D217"/>
  <c r="D218"/>
  <c r="D219"/>
  <c r="D220"/>
  <c r="D221"/>
  <c r="D222"/>
  <c r="D223"/>
  <c r="D224"/>
  <c r="D225"/>
  <c r="D226"/>
  <c r="D227"/>
  <c r="D228"/>
  <c r="D231"/>
  <c r="D232"/>
  <c r="D233"/>
  <c r="D234"/>
  <c r="D235"/>
  <c r="D236"/>
  <c r="D237"/>
  <c r="D238"/>
  <c r="D239"/>
  <c r="D240"/>
  <c r="D241"/>
  <c r="D242"/>
  <c r="D243"/>
  <c r="D244"/>
  <c r="D245"/>
  <c r="D246"/>
  <c r="D247"/>
  <c r="D248"/>
  <c r="D249"/>
  <c r="D250"/>
  <c r="D251"/>
  <c r="D252"/>
  <c r="D253"/>
  <c r="D254"/>
  <c r="D255"/>
  <c r="D256"/>
  <c r="D257"/>
  <c r="D258"/>
  <c r="D259"/>
  <c r="D260"/>
  <c r="D263"/>
  <c r="D264"/>
  <c r="D265"/>
  <c r="D266"/>
  <c r="D267"/>
  <c r="D268"/>
  <c r="D269"/>
  <c r="D270"/>
  <c r="D271"/>
  <c r="D272"/>
  <c r="D273"/>
  <c r="D274"/>
  <c r="D275"/>
  <c r="D276"/>
  <c r="D277"/>
  <c r="D278"/>
  <c r="D279"/>
  <c r="D280"/>
  <c r="D281"/>
  <c r="D282"/>
  <c r="D283"/>
  <c r="D284"/>
  <c r="D285"/>
  <c r="D286"/>
  <c r="D287"/>
  <c r="D288"/>
  <c r="D289"/>
  <c r="D290"/>
  <c r="D291"/>
  <c r="D292"/>
  <c r="D295"/>
  <c r="D296"/>
  <c r="D297"/>
  <c r="D298"/>
  <c r="D299"/>
  <c r="D300"/>
  <c r="D301"/>
  <c r="D302"/>
  <c r="D303"/>
  <c r="D304"/>
  <c r="D305"/>
  <c r="D306"/>
  <c r="D307"/>
  <c r="D308"/>
  <c r="D309"/>
  <c r="D310"/>
  <c r="D311"/>
  <c r="D312"/>
  <c r="D313"/>
  <c r="D314"/>
  <c r="D315"/>
  <c r="D316"/>
  <c r="D317"/>
  <c r="D318"/>
  <c r="D319"/>
  <c r="D320"/>
  <c r="D321"/>
  <c r="D322"/>
  <c r="D323"/>
  <c r="D324"/>
  <c r="D327"/>
  <c r="D328"/>
  <c r="D329"/>
  <c r="D330"/>
  <c r="D331"/>
  <c r="D332"/>
  <c r="D333"/>
  <c r="D334"/>
  <c r="D335"/>
  <c r="D336"/>
  <c r="D337"/>
  <c r="D338"/>
  <c r="D339"/>
  <c r="D340"/>
  <c r="D341"/>
  <c r="D342"/>
  <c r="D343"/>
  <c r="D344"/>
  <c r="D345"/>
  <c r="D346"/>
  <c r="D347"/>
  <c r="D348"/>
  <c r="D349"/>
  <c r="D350"/>
  <c r="D351"/>
  <c r="D352"/>
  <c r="D353"/>
  <c r="D354"/>
  <c r="D355"/>
  <c r="D356"/>
  <c r="D359"/>
  <c r="D360"/>
  <c r="D361"/>
  <c r="D362"/>
  <c r="D363"/>
  <c r="D364"/>
  <c r="D365"/>
  <c r="D366"/>
  <c r="D367"/>
  <c r="D368"/>
  <c r="D369"/>
  <c r="D370"/>
  <c r="D371"/>
  <c r="D372"/>
  <c r="D373"/>
  <c r="D374"/>
  <c r="D375"/>
  <c r="D376"/>
  <c r="D377"/>
  <c r="D378"/>
  <c r="D379"/>
  <c r="D380"/>
  <c r="D381"/>
  <c r="D382"/>
  <c r="D383"/>
  <c r="D384"/>
  <c r="D385"/>
  <c r="D386"/>
  <c r="D387"/>
  <c r="D388"/>
  <c r="H3" i="18"/>
  <c r="I3"/>
  <c r="J3"/>
  <c r="K3"/>
  <c r="L3"/>
  <c r="M3"/>
  <c r="N3"/>
  <c r="O3"/>
  <c r="P3"/>
  <c r="Q3"/>
  <c r="R3"/>
  <c r="H4"/>
  <c r="M6"/>
  <c r="N6"/>
  <c r="O6"/>
  <c r="P6"/>
  <c r="Q6"/>
  <c r="G7"/>
  <c r="D12"/>
  <c r="D13"/>
  <c r="D14"/>
  <c r="D15"/>
  <c r="D16"/>
  <c r="D17"/>
  <c r="D18"/>
  <c r="D19"/>
  <c r="D20"/>
  <c r="D21"/>
  <c r="D22"/>
  <c r="D23"/>
  <c r="D24"/>
  <c r="D25"/>
  <c r="D26"/>
  <c r="D27"/>
  <c r="D28"/>
  <c r="D29"/>
  <c r="D30"/>
  <c r="D31"/>
  <c r="D32"/>
  <c r="D33"/>
  <c r="D34"/>
  <c r="D35"/>
  <c r="D36"/>
  <c r="D37"/>
  <c r="D38"/>
  <c r="D39"/>
  <c r="D40"/>
  <c r="D41"/>
  <c r="C44"/>
  <c r="D56"/>
  <c r="C57"/>
  <c r="D69"/>
  <c r="C70"/>
  <c r="D82"/>
  <c r="C83"/>
  <c r="D95"/>
  <c r="C96"/>
  <c r="D108"/>
  <c r="C109"/>
  <c r="D121"/>
  <c r="C122"/>
  <c r="D134"/>
  <c r="C135"/>
  <c r="D147"/>
  <c r="C148"/>
  <c r="H148"/>
  <c r="H160" s="1"/>
  <c r="H640" s="1"/>
  <c r="I148"/>
  <c r="J148"/>
  <c r="K148"/>
  <c r="L148"/>
  <c r="M148"/>
  <c r="N148"/>
  <c r="O148"/>
  <c r="P148"/>
  <c r="Q148"/>
  <c r="D160"/>
  <c r="C161"/>
  <c r="D173"/>
  <c r="C174"/>
  <c r="D186"/>
  <c r="C187"/>
  <c r="D199"/>
  <c r="C200"/>
  <c r="D212"/>
  <c r="C213"/>
  <c r="D225"/>
  <c r="C226"/>
  <c r="D238"/>
  <c r="C239"/>
  <c r="H239"/>
  <c r="H251"/>
  <c r="I239"/>
  <c r="J239"/>
  <c r="K239"/>
  <c r="L239"/>
  <c r="M239"/>
  <c r="N239"/>
  <c r="O239"/>
  <c r="P239"/>
  <c r="Q239"/>
  <c r="D251"/>
  <c r="C252"/>
  <c r="D264"/>
  <c r="C265"/>
  <c r="D277"/>
  <c r="C278"/>
  <c r="D290"/>
  <c r="C291"/>
  <c r="D303"/>
  <c r="C304"/>
  <c r="D316"/>
  <c r="C317"/>
  <c r="D329"/>
  <c r="C330"/>
  <c r="D342"/>
  <c r="C343"/>
  <c r="D355"/>
  <c r="C356"/>
  <c r="D368"/>
  <c r="C369"/>
  <c r="D381"/>
  <c r="C382"/>
  <c r="D394"/>
  <c r="C395"/>
  <c r="D407"/>
  <c r="C408"/>
  <c r="D420"/>
  <c r="C421"/>
  <c r="D433"/>
  <c r="D438"/>
  <c r="D439"/>
  <c r="D440"/>
  <c r="D441"/>
  <c r="D442"/>
  <c r="D443"/>
  <c r="D444"/>
  <c r="D445"/>
  <c r="D446"/>
  <c r="D447"/>
  <c r="D448"/>
  <c r="D449"/>
  <c r="D450"/>
  <c r="D451"/>
  <c r="D452"/>
  <c r="D453"/>
  <c r="D454"/>
  <c r="D455"/>
  <c r="D456"/>
  <c r="D457"/>
  <c r="D458"/>
  <c r="G458"/>
  <c r="G27" i="7941" s="1"/>
  <c r="D459" i="18"/>
  <c r="G459"/>
  <c r="G28" i="7941"/>
  <c r="D460" i="18"/>
  <c r="D461"/>
  <c r="G461"/>
  <c r="G30" i="7941"/>
  <c r="D462" i="18"/>
  <c r="G462"/>
  <c r="G31" i="7941" s="1"/>
  <c r="D463" i="18"/>
  <c r="G463"/>
  <c r="G32" i="7941"/>
  <c r="D464" i="18"/>
  <c r="G464"/>
  <c r="G692" s="1"/>
  <c r="D465"/>
  <c r="G465"/>
  <c r="G34" i="7941"/>
  <c r="D466" i="18"/>
  <c r="G466"/>
  <c r="G35" i="7941" s="1"/>
  <c r="D467" i="18"/>
  <c r="G467"/>
  <c r="G36" i="7941"/>
  <c r="D470" i="18"/>
  <c r="D471"/>
  <c r="D472"/>
  <c r="D473"/>
  <c r="D474"/>
  <c r="D475"/>
  <c r="D476"/>
  <c r="D477"/>
  <c r="D478"/>
  <c r="D479"/>
  <c r="D480"/>
  <c r="D481"/>
  <c r="D482"/>
  <c r="D483"/>
  <c r="D484"/>
  <c r="D485"/>
  <c r="D486"/>
  <c r="D487"/>
  <c r="D488"/>
  <c r="D489"/>
  <c r="D490"/>
  <c r="D491"/>
  <c r="D492"/>
  <c r="D493"/>
  <c r="D494"/>
  <c r="D495"/>
  <c r="D496"/>
  <c r="D497"/>
  <c r="D498"/>
  <c r="D499"/>
  <c r="D502"/>
  <c r="D503"/>
  <c r="D504"/>
  <c r="D505"/>
  <c r="D506"/>
  <c r="D507"/>
  <c r="D508"/>
  <c r="D509"/>
  <c r="D510"/>
  <c r="D511"/>
  <c r="D512"/>
  <c r="D513"/>
  <c r="D514"/>
  <c r="D515"/>
  <c r="D516"/>
  <c r="D517"/>
  <c r="D518"/>
  <c r="D519"/>
  <c r="D520"/>
  <c r="D521"/>
  <c r="D522"/>
  <c r="D523"/>
  <c r="D524"/>
  <c r="D525"/>
  <c r="D526"/>
  <c r="D527"/>
  <c r="D528"/>
  <c r="D529"/>
  <c r="D530"/>
  <c r="D531"/>
  <c r="D534"/>
  <c r="D535"/>
  <c r="D536"/>
  <c r="D537"/>
  <c r="D538"/>
  <c r="D539"/>
  <c r="D540"/>
  <c r="D541"/>
  <c r="D542"/>
  <c r="D543"/>
  <c r="D544"/>
  <c r="D545"/>
  <c r="D546"/>
  <c r="D547"/>
  <c r="D548"/>
  <c r="D549"/>
  <c r="D550"/>
  <c r="D551"/>
  <c r="D552"/>
  <c r="D553"/>
  <c r="D554"/>
  <c r="D555"/>
  <c r="D556"/>
  <c r="D557"/>
  <c r="D558"/>
  <c r="D559"/>
  <c r="D560"/>
  <c r="D561"/>
  <c r="D562"/>
  <c r="D563"/>
  <c r="D566"/>
  <c r="D567"/>
  <c r="D568"/>
  <c r="D569"/>
  <c r="D570"/>
  <c r="D571"/>
  <c r="D572"/>
  <c r="D573"/>
  <c r="D574"/>
  <c r="D575"/>
  <c r="D576"/>
  <c r="D577"/>
  <c r="D578"/>
  <c r="D579"/>
  <c r="D580"/>
  <c r="D581"/>
  <c r="D582"/>
  <c r="D583"/>
  <c r="D584"/>
  <c r="D585"/>
  <c r="D586"/>
  <c r="D587"/>
  <c r="D588"/>
  <c r="D589"/>
  <c r="D590"/>
  <c r="D591"/>
  <c r="D592"/>
  <c r="D593"/>
  <c r="D594"/>
  <c r="D595"/>
  <c r="D598"/>
  <c r="D599"/>
  <c r="D600"/>
  <c r="D601"/>
  <c r="D602"/>
  <c r="D603"/>
  <c r="D604"/>
  <c r="D605"/>
  <c r="D606"/>
  <c r="D607"/>
  <c r="D608"/>
  <c r="D609"/>
  <c r="D610"/>
  <c r="D611"/>
  <c r="D612"/>
  <c r="D613"/>
  <c r="D614"/>
  <c r="D615"/>
  <c r="D616"/>
  <c r="D617"/>
  <c r="D618"/>
  <c r="D619"/>
  <c r="D620"/>
  <c r="D621"/>
  <c r="D622"/>
  <c r="D623"/>
  <c r="D624"/>
  <c r="D625"/>
  <c r="D626"/>
  <c r="D627"/>
  <c r="D632"/>
  <c r="D633"/>
  <c r="D634"/>
  <c r="D635"/>
  <c r="D636"/>
  <c r="D637"/>
  <c r="D638"/>
  <c r="D639"/>
  <c r="D640"/>
  <c r="D641"/>
  <c r="D642"/>
  <c r="D643"/>
  <c r="D644"/>
  <c r="D645"/>
  <c r="D646"/>
  <c r="D647"/>
  <c r="D648"/>
  <c r="D649"/>
  <c r="D650"/>
  <c r="D651"/>
  <c r="D652"/>
  <c r="D653"/>
  <c r="D654"/>
  <c r="D655"/>
  <c r="D656"/>
  <c r="D657"/>
  <c r="D658"/>
  <c r="D659"/>
  <c r="D660"/>
  <c r="D661"/>
  <c r="D666"/>
  <c r="D667"/>
  <c r="D668"/>
  <c r="D669"/>
  <c r="D670"/>
  <c r="D671"/>
  <c r="D672"/>
  <c r="D673"/>
  <c r="D674"/>
  <c r="D675"/>
  <c r="D676"/>
  <c r="D677"/>
  <c r="D678"/>
  <c r="D679"/>
  <c r="D680"/>
  <c r="D681"/>
  <c r="D682"/>
  <c r="D683"/>
  <c r="D684"/>
  <c r="D685"/>
  <c r="D686"/>
  <c r="D687"/>
  <c r="D688"/>
  <c r="D689"/>
  <c r="D690"/>
  <c r="D691"/>
  <c r="D692"/>
  <c r="D693"/>
  <c r="D694"/>
  <c r="D695"/>
  <c r="C12" i="7942"/>
  <c r="C13"/>
  <c r="G13"/>
  <c r="C14"/>
  <c r="G14"/>
  <c r="C15"/>
  <c r="G15"/>
  <c r="C16"/>
  <c r="G16"/>
  <c r="C17"/>
  <c r="G17"/>
  <c r="C18"/>
  <c r="G18"/>
  <c r="C19"/>
  <c r="G19"/>
  <c r="C20"/>
  <c r="G20"/>
  <c r="C21"/>
  <c r="G21"/>
  <c r="C22"/>
  <c r="G22"/>
  <c r="C23"/>
  <c r="G23"/>
  <c r="C24"/>
  <c r="G24"/>
  <c r="C25"/>
  <c r="G25"/>
  <c r="C26"/>
  <c r="G26"/>
  <c r="C27"/>
  <c r="G27"/>
  <c r="C28"/>
  <c r="G28"/>
  <c r="C29"/>
  <c r="G29"/>
  <c r="C30"/>
  <c r="G30"/>
  <c r="C31"/>
  <c r="G31"/>
  <c r="C32"/>
  <c r="G32"/>
  <c r="C33"/>
  <c r="G33"/>
  <c r="C34"/>
  <c r="G34"/>
  <c r="C35"/>
  <c r="G35"/>
  <c r="C36"/>
  <c r="G36"/>
  <c r="C37"/>
  <c r="G37"/>
  <c r="C38"/>
  <c r="G38"/>
  <c r="C39"/>
  <c r="G39"/>
  <c r="C40"/>
  <c r="G40"/>
  <c r="C41"/>
  <c r="G41"/>
  <c r="C44"/>
  <c r="C45"/>
  <c r="C46"/>
  <c r="C47"/>
  <c r="C48"/>
  <c r="C49"/>
  <c r="C50"/>
  <c r="C51"/>
  <c r="C52"/>
  <c r="C53"/>
  <c r="C54"/>
  <c r="C55"/>
  <c r="C56"/>
  <c r="C57"/>
  <c r="C58"/>
  <c r="C59"/>
  <c r="C60"/>
  <c r="C61"/>
  <c r="C62"/>
  <c r="C63"/>
  <c r="C64"/>
  <c r="C65"/>
  <c r="C66"/>
  <c r="C67"/>
  <c r="C68"/>
  <c r="C69"/>
  <c r="C70"/>
  <c r="C71"/>
  <c r="C72"/>
  <c r="C73"/>
  <c r="C76"/>
  <c r="C77"/>
  <c r="C78"/>
  <c r="C79"/>
  <c r="C80"/>
  <c r="C81"/>
  <c r="C82"/>
  <c r="C83"/>
  <c r="C84"/>
  <c r="C85"/>
  <c r="C86"/>
  <c r="C87"/>
  <c r="C88"/>
  <c r="C89"/>
  <c r="C90"/>
  <c r="C91"/>
  <c r="C92"/>
  <c r="C93"/>
  <c r="C94"/>
  <c r="C95"/>
  <c r="C96"/>
  <c r="C97"/>
  <c r="C98"/>
  <c r="C99"/>
  <c r="C100"/>
  <c r="C101"/>
  <c r="C102"/>
  <c r="C103"/>
  <c r="C104"/>
  <c r="C105"/>
  <c r="C108"/>
  <c r="C110"/>
  <c r="C112"/>
  <c r="C114"/>
  <c r="C116"/>
  <c r="C118"/>
  <c r="C120"/>
  <c r="C122"/>
  <c r="C124"/>
  <c r="C126"/>
  <c r="C128"/>
  <c r="C130"/>
  <c r="C132"/>
  <c r="C134"/>
  <c r="C136"/>
  <c r="C138"/>
  <c r="C140"/>
  <c r="C142"/>
  <c r="C144"/>
  <c r="C146"/>
  <c r="C148"/>
  <c r="C150"/>
  <c r="C152"/>
  <c r="C154"/>
  <c r="C156"/>
  <c r="C158"/>
  <c r="C160"/>
  <c r="C162"/>
  <c r="C164"/>
  <c r="C166"/>
  <c r="C173"/>
  <c r="G173"/>
  <c r="C174"/>
  <c r="G174"/>
  <c r="C175"/>
  <c r="G175"/>
  <c r="C176"/>
  <c r="G176"/>
  <c r="C177"/>
  <c r="G177"/>
  <c r="C178"/>
  <c r="G178"/>
  <c r="C179"/>
  <c r="G179"/>
  <c r="C180"/>
  <c r="G180"/>
  <c r="C181"/>
  <c r="G181"/>
  <c r="C182"/>
  <c r="G182"/>
  <c r="C183"/>
  <c r="G183"/>
  <c r="C184"/>
  <c r="G184"/>
  <c r="C185"/>
  <c r="G185"/>
  <c r="C186"/>
  <c r="G186"/>
  <c r="C187"/>
  <c r="G187"/>
  <c r="C188"/>
  <c r="G188"/>
  <c r="C189"/>
  <c r="G189"/>
  <c r="C190"/>
  <c r="G190"/>
  <c r="C191"/>
  <c r="G191"/>
  <c r="C192"/>
  <c r="G192"/>
  <c r="C193"/>
  <c r="G193"/>
  <c r="C194"/>
  <c r="G194"/>
  <c r="C195"/>
  <c r="G195"/>
  <c r="C196"/>
  <c r="G196"/>
  <c r="C197"/>
  <c r="G197"/>
  <c r="C198"/>
  <c r="G198"/>
  <c r="C199"/>
  <c r="G199"/>
  <c r="C200"/>
  <c r="G200"/>
  <c r="C201"/>
  <c r="G201"/>
  <c r="C202"/>
  <c r="G202"/>
  <c r="C205"/>
  <c r="G205"/>
  <c r="C206"/>
  <c r="G206"/>
  <c r="C207"/>
  <c r="G207"/>
  <c r="G239"/>
  <c r="C208"/>
  <c r="G208"/>
  <c r="G240" s="1"/>
  <c r="C209"/>
  <c r="G209"/>
  <c r="C210"/>
  <c r="G210"/>
  <c r="C211"/>
  <c r="G211"/>
  <c r="G243"/>
  <c r="C212"/>
  <c r="G212"/>
  <c r="G244" s="1"/>
  <c r="C213"/>
  <c r="G213"/>
  <c r="G245"/>
  <c r="C214"/>
  <c r="G214"/>
  <c r="G246" s="1"/>
  <c r="C215"/>
  <c r="G215"/>
  <c r="G247"/>
  <c r="C216"/>
  <c r="G216"/>
  <c r="G248" s="1"/>
  <c r="C217"/>
  <c r="G217"/>
  <c r="G249"/>
  <c r="C218"/>
  <c r="G218"/>
  <c r="G250" s="1"/>
  <c r="C219"/>
  <c r="G219"/>
  <c r="C220"/>
  <c r="G220"/>
  <c r="G252"/>
  <c r="C221"/>
  <c r="G221"/>
  <c r="G253" s="1"/>
  <c r="C222"/>
  <c r="G222"/>
  <c r="G254"/>
  <c r="C223"/>
  <c r="G223"/>
  <c r="G255" s="1"/>
  <c r="C224"/>
  <c r="G224"/>
  <c r="G256"/>
  <c r="C225"/>
  <c r="G225"/>
  <c r="G257" s="1"/>
  <c r="C226"/>
  <c r="G226"/>
  <c r="G258" s="1"/>
  <c r="C227"/>
  <c r="G227"/>
  <c r="G259"/>
  <c r="C228"/>
  <c r="G228"/>
  <c r="G260" s="1"/>
  <c r="C229"/>
  <c r="G229"/>
  <c r="C230"/>
  <c r="G230"/>
  <c r="G262"/>
  <c r="H319" s="1"/>
  <c r="C231"/>
  <c r="G231"/>
  <c r="G263"/>
  <c r="C232"/>
  <c r="G232"/>
  <c r="G264" s="1"/>
  <c r="C233"/>
  <c r="G233"/>
  <c r="C234"/>
  <c r="G234"/>
  <c r="G266"/>
  <c r="C237"/>
  <c r="G237"/>
  <c r="C238"/>
  <c r="C239"/>
  <c r="C240"/>
  <c r="C241"/>
  <c r="G241"/>
  <c r="C242"/>
  <c r="C243"/>
  <c r="C244"/>
  <c r="C245"/>
  <c r="C246"/>
  <c r="C247"/>
  <c r="C248"/>
  <c r="C249"/>
  <c r="C250"/>
  <c r="C251"/>
  <c r="G251"/>
  <c r="C252"/>
  <c r="C253"/>
  <c r="C254"/>
  <c r="C255"/>
  <c r="C256"/>
  <c r="C257"/>
  <c r="C258"/>
  <c r="C259"/>
  <c r="C260"/>
  <c r="C261"/>
  <c r="G261"/>
  <c r="J317" s="1"/>
  <c r="C262"/>
  <c r="C263"/>
  <c r="C264"/>
  <c r="C265"/>
  <c r="G265"/>
  <c r="C266"/>
  <c r="C269"/>
  <c r="C271"/>
  <c r="C273"/>
  <c r="C275"/>
  <c r="C277"/>
  <c r="C279"/>
  <c r="C281"/>
  <c r="C283"/>
  <c r="C285"/>
  <c r="C287"/>
  <c r="C289"/>
  <c r="C291"/>
  <c r="C293"/>
  <c r="C295"/>
  <c r="C297"/>
  <c r="C299"/>
  <c r="C301"/>
  <c r="C303"/>
  <c r="C305"/>
  <c r="C307"/>
  <c r="C309"/>
  <c r="C311"/>
  <c r="C313"/>
  <c r="C315"/>
  <c r="C317"/>
  <c r="C319"/>
  <c r="C321"/>
  <c r="C323"/>
  <c r="C325"/>
  <c r="C327"/>
  <c r="C334"/>
  <c r="C335"/>
  <c r="C336"/>
  <c r="C337"/>
  <c r="C338"/>
  <c r="C339"/>
  <c r="C340"/>
  <c r="C341"/>
  <c r="C342"/>
  <c r="C343"/>
  <c r="C344"/>
  <c r="C345"/>
  <c r="C346"/>
  <c r="C347"/>
  <c r="C348"/>
  <c r="C349"/>
  <c r="C350"/>
  <c r="C351"/>
  <c r="C352"/>
  <c r="C353"/>
  <c r="C354"/>
  <c r="G354"/>
  <c r="C355"/>
  <c r="G355"/>
  <c r="C356"/>
  <c r="C357"/>
  <c r="G357"/>
  <c r="H357" s="1"/>
  <c r="C358"/>
  <c r="G358"/>
  <c r="C359"/>
  <c r="G359"/>
  <c r="C360"/>
  <c r="G360"/>
  <c r="C361"/>
  <c r="G361"/>
  <c r="C362"/>
  <c r="G362"/>
  <c r="C363"/>
  <c r="G363"/>
  <c r="C366"/>
  <c r="C367"/>
  <c r="G367"/>
  <c r="C368"/>
  <c r="G368"/>
  <c r="G472" i="18"/>
  <c r="C369" i="7942"/>
  <c r="G369"/>
  <c r="G473" i="18" s="1"/>
  <c r="C370" i="7942"/>
  <c r="G370"/>
  <c r="G474" i="18" s="1"/>
  <c r="C371" i="7942"/>
  <c r="G371"/>
  <c r="G475" i="18" s="1"/>
  <c r="C372" i="7942"/>
  <c r="G372"/>
  <c r="C373"/>
  <c r="G373"/>
  <c r="C374"/>
  <c r="G374"/>
  <c r="C375"/>
  <c r="G375"/>
  <c r="G479" i="18"/>
  <c r="C376" i="7942"/>
  <c r="G376"/>
  <c r="C377"/>
  <c r="G377"/>
  <c r="G481" i="18" s="1"/>
  <c r="C378" i="7942"/>
  <c r="G378"/>
  <c r="G482" i="18"/>
  <c r="G51" i="7941" s="1"/>
  <c r="C379" i="7942"/>
  <c r="G379"/>
  <c r="G483" i="18"/>
  <c r="G52" i="7941" s="1"/>
  <c r="C380" i="7942"/>
  <c r="G380"/>
  <c r="G484" i="18"/>
  <c r="C381" i="7942"/>
  <c r="G381"/>
  <c r="G485" i="18" s="1"/>
  <c r="C382" i="7942"/>
  <c r="G382"/>
  <c r="G486" i="18"/>
  <c r="C383" i="7942"/>
  <c r="G383"/>
  <c r="G487" i="18" s="1"/>
  <c r="C384" i="7942"/>
  <c r="G384"/>
  <c r="G488" i="18" s="1"/>
  <c r="C385" i="7942"/>
  <c r="G385"/>
  <c r="G489" i="18"/>
  <c r="G58" i="7941" s="1"/>
  <c r="C386" i="7942"/>
  <c r="G386"/>
  <c r="G490" i="18"/>
  <c r="C387" i="7942"/>
  <c r="G387"/>
  <c r="G491" i="18" s="1"/>
  <c r="C388" i="7942"/>
  <c r="G388"/>
  <c r="G492" i="18"/>
  <c r="C389" i="7942"/>
  <c r="G389"/>
  <c r="G493" i="18" s="1"/>
  <c r="C390" i="7942"/>
  <c r="G390"/>
  <c r="G494" i="18"/>
  <c r="G63" i="7941" s="1"/>
  <c r="C391" i="7942"/>
  <c r="G391"/>
  <c r="C392"/>
  <c r="G392"/>
  <c r="G496" i="18"/>
  <c r="C393" i="7942"/>
  <c r="G393"/>
  <c r="H361" s="1"/>
  <c r="C394"/>
  <c r="G394"/>
  <c r="C395"/>
  <c r="G395"/>
  <c r="C398"/>
  <c r="G398"/>
  <c r="G502" i="18" s="1"/>
  <c r="C399" i="7942"/>
  <c r="G399"/>
  <c r="G503" i="18"/>
  <c r="C400" i="7942"/>
  <c r="G400"/>
  <c r="G504" i="18" s="1"/>
  <c r="C401" i="7942"/>
  <c r="G401"/>
  <c r="G505" i="18" s="1"/>
  <c r="G74" i="7941" s="1"/>
  <c r="C402" i="7942"/>
  <c r="G402"/>
  <c r="G506" i="18" s="1"/>
  <c r="C403" i="7942"/>
  <c r="G403"/>
  <c r="C404"/>
  <c r="G404"/>
  <c r="G508" i="18" s="1"/>
  <c r="G77" i="7941" s="1"/>
  <c r="C405" i="7942"/>
  <c r="G405"/>
  <c r="G509" i="18"/>
  <c r="G78" i="7941" s="1"/>
  <c r="C406" i="7942"/>
  <c r="G406"/>
  <c r="G510" i="18"/>
  <c r="C407" i="7942"/>
  <c r="G407"/>
  <c r="G511" i="18" s="1"/>
  <c r="C408" i="7942"/>
  <c r="G408"/>
  <c r="G512" i="18"/>
  <c r="G81" i="7941" s="1"/>
  <c r="C409" i="7942"/>
  <c r="G409"/>
  <c r="G513" i="18"/>
  <c r="C410" i="7942"/>
  <c r="G410"/>
  <c r="G514" i="18" s="1"/>
  <c r="C411" i="7942"/>
  <c r="G411"/>
  <c r="G515" i="18"/>
  <c r="G84" i="7941" s="1"/>
  <c r="C412" i="7942"/>
  <c r="G412"/>
  <c r="G516" i="18"/>
  <c r="C413" i="7942"/>
  <c r="G413"/>
  <c r="G517" i="18" s="1"/>
  <c r="C414" i="7942"/>
  <c r="G414"/>
  <c r="C415"/>
  <c r="G415"/>
  <c r="G519" i="18"/>
  <c r="C416" i="7942"/>
  <c r="G416"/>
  <c r="G520" i="18" s="1"/>
  <c r="C417" i="7942"/>
  <c r="G417"/>
  <c r="C418"/>
  <c r="G418"/>
  <c r="C419"/>
  <c r="G419"/>
  <c r="G523" i="18"/>
  <c r="C420" i="7942"/>
  <c r="G420"/>
  <c r="G524" i="18" s="1"/>
  <c r="C421" i="7942"/>
  <c r="G421"/>
  <c r="G525" i="18" s="1"/>
  <c r="C422" i="7942"/>
  <c r="G422"/>
  <c r="G526" i="18" s="1"/>
  <c r="C423" i="7942"/>
  <c r="G423"/>
  <c r="C424"/>
  <c r="G424"/>
  <c r="G528" i="18" s="1"/>
  <c r="C425" i="7942"/>
  <c r="G425"/>
  <c r="G529" i="18"/>
  <c r="C426" i="7942"/>
  <c r="G426"/>
  <c r="G530" i="18" s="1"/>
  <c r="C427" i="7942"/>
  <c r="G427"/>
  <c r="G531" i="18"/>
  <c r="C430" i="7942"/>
  <c r="G430"/>
  <c r="G534" i="18" s="1"/>
  <c r="C431" i="7942"/>
  <c r="G431"/>
  <c r="C432"/>
  <c r="G432"/>
  <c r="G536" i="18"/>
  <c r="C433" i="7942"/>
  <c r="G433"/>
  <c r="G537" i="18" s="1"/>
  <c r="G106" i="7941" s="1"/>
  <c r="C434" i="7942"/>
  <c r="G434"/>
  <c r="G538" i="18"/>
  <c r="C435" i="7942"/>
  <c r="G435"/>
  <c r="G539" i="18" s="1"/>
  <c r="G108" i="7941" s="1"/>
  <c r="C436" i="7942"/>
  <c r="G436"/>
  <c r="G540" i="18" s="1"/>
  <c r="G109" i="7941" s="1"/>
  <c r="C437" i="7942"/>
  <c r="G437"/>
  <c r="G541" i="18" s="1"/>
  <c r="C438" i="7942"/>
  <c r="G438"/>
  <c r="G542" i="18"/>
  <c r="C439" i="7942"/>
  <c r="G439"/>
  <c r="G543" i="18" s="1"/>
  <c r="G112" i="7941" s="1"/>
  <c r="C440" i="7942"/>
  <c r="G440"/>
  <c r="G544" i="18" s="1"/>
  <c r="C441" i="7942"/>
  <c r="G441"/>
  <c r="G545" i="18"/>
  <c r="C442" i="7942"/>
  <c r="G442"/>
  <c r="G546" i="18" s="1"/>
  <c r="G115" i="7941" s="1"/>
  <c r="C443" i="7942"/>
  <c r="G443"/>
  <c r="G547" i="18"/>
  <c r="C444" i="7942"/>
  <c r="G444"/>
  <c r="G548" i="18" s="1"/>
  <c r="C445" i="7942"/>
  <c r="G445"/>
  <c r="G549" i="18"/>
  <c r="G118" i="7941" s="1"/>
  <c r="C446" i="7942"/>
  <c r="G446"/>
  <c r="G550" i="18"/>
  <c r="C447" i="7942"/>
  <c r="G447"/>
  <c r="G551" i="18" s="1"/>
  <c r="G120" i="7941" s="1"/>
  <c r="C448" i="7942"/>
  <c r="G448"/>
  <c r="G552" i="18" s="1"/>
  <c r="G121" i="7941" s="1"/>
  <c r="C449" i="7942"/>
  <c r="G449"/>
  <c r="G553" i="18" s="1"/>
  <c r="C450" i="7942"/>
  <c r="G450"/>
  <c r="G554" i="18"/>
  <c r="C451" i="7942"/>
  <c r="G451"/>
  <c r="C452"/>
  <c r="G452"/>
  <c r="G556" i="18" s="1"/>
  <c r="G125" i="7941" s="1"/>
  <c r="C453" i="7942"/>
  <c r="G453"/>
  <c r="G557" i="18" s="1"/>
  <c r="G126" i="7941" s="1"/>
  <c r="C454" i="7942"/>
  <c r="G454"/>
  <c r="G558" i="18" s="1"/>
  <c r="G127" i="7941" s="1"/>
  <c r="C455" i="7942"/>
  <c r="G455"/>
  <c r="G559" i="18" s="1"/>
  <c r="C456" i="7942"/>
  <c r="G456"/>
  <c r="G560" i="18" s="1"/>
  <c r="G129" i="7941" s="1"/>
  <c r="C457" i="7942"/>
  <c r="G457"/>
  <c r="G561" i="18" s="1"/>
  <c r="C458" i="7942"/>
  <c r="G458"/>
  <c r="G562" i="18" s="1"/>
  <c r="G131" i="7941" s="1"/>
  <c r="C459" i="7942"/>
  <c r="G459"/>
  <c r="G563" i="18" s="1"/>
  <c r="C462" i="7942"/>
  <c r="G462"/>
  <c r="G566" i="18" s="1"/>
  <c r="C463" i="7942"/>
  <c r="G463"/>
  <c r="C464"/>
  <c r="G464"/>
  <c r="G461" s="1"/>
  <c r="C465"/>
  <c r="G465"/>
  <c r="G569" i="18" s="1"/>
  <c r="G138" i="7941" s="1"/>
  <c r="C466" i="7942"/>
  <c r="G466"/>
  <c r="G570" i="18" s="1"/>
  <c r="G139" i="7941" s="1"/>
  <c r="C467" i="7942"/>
  <c r="G467"/>
  <c r="G571" i="18" s="1"/>
  <c r="G140" i="7941" s="1"/>
  <c r="C468" i="7942"/>
  <c r="G468"/>
  <c r="C469"/>
  <c r="G469"/>
  <c r="G573" i="18" s="1"/>
  <c r="G142" i="7941" s="1"/>
  <c r="C470" i="7942"/>
  <c r="G470"/>
  <c r="G574" i="18" s="1"/>
  <c r="C471" i="7942"/>
  <c r="G471"/>
  <c r="G575" i="18" s="1"/>
  <c r="G144" i="7941" s="1"/>
  <c r="C472" i="7942"/>
  <c r="G472"/>
  <c r="C473"/>
  <c r="G473"/>
  <c r="G577" i="18"/>
  <c r="G146" i="7941" s="1"/>
  <c r="C474" i="7942"/>
  <c r="G474"/>
  <c r="G578" i="18"/>
  <c r="G147" i="7941" s="1"/>
  <c r="C475" i="7942"/>
  <c r="G475"/>
  <c r="G579" i="18"/>
  <c r="G148" i="7941" s="1"/>
  <c r="C476" i="7942"/>
  <c r="G476"/>
  <c r="G580" i="18"/>
  <c r="G149" i="7941" s="1"/>
  <c r="C477" i="7942"/>
  <c r="G477"/>
  <c r="G581" i="18"/>
  <c r="G150" i="7941" s="1"/>
  <c r="C478" i="7942"/>
  <c r="G478"/>
  <c r="G582" i="18"/>
  <c r="G151" i="7941" s="1"/>
  <c r="C479" i="7942"/>
  <c r="G479"/>
  <c r="G583" i="18"/>
  <c r="G152" i="7941" s="1"/>
  <c r="C480" i="7942"/>
  <c r="G480"/>
  <c r="C481"/>
  <c r="G481"/>
  <c r="G585" i="18" s="1"/>
  <c r="G154" i="7941" s="1"/>
  <c r="C482" i="7942"/>
  <c r="G482"/>
  <c r="G586" i="18" s="1"/>
  <c r="C483" i="7942"/>
  <c r="G483"/>
  <c r="G587" i="18" s="1"/>
  <c r="G156" i="7941" s="1"/>
  <c r="C484" i="7942"/>
  <c r="G484"/>
  <c r="G588" i="18" s="1"/>
  <c r="G157" i="7941" s="1"/>
  <c r="C485" i="7942"/>
  <c r="G485"/>
  <c r="G589" i="18" s="1"/>
  <c r="G158" i="7941" s="1"/>
  <c r="C486" i="7942"/>
  <c r="G486"/>
  <c r="G590" i="18" s="1"/>
  <c r="G159" i="7941" s="1"/>
  <c r="C487" i="7942"/>
  <c r="G487"/>
  <c r="G591" i="18" s="1"/>
  <c r="G160" i="7941" s="1"/>
  <c r="C488" i="7942"/>
  <c r="G488"/>
  <c r="G592" i="18" s="1"/>
  <c r="G161" i="7941" s="1"/>
  <c r="C489" i="7942"/>
  <c r="G489"/>
  <c r="G593" i="18" s="1"/>
  <c r="G162" i="7941" s="1"/>
  <c r="C490" i="7942"/>
  <c r="G490"/>
  <c r="G594" i="18" s="1"/>
  <c r="G163" i="7941" s="1"/>
  <c r="C491" i="7942"/>
  <c r="G491"/>
  <c r="G595" i="18" s="1"/>
  <c r="G164" i="7941" s="1"/>
  <c r="C494" i="7942"/>
  <c r="G494"/>
  <c r="G598" i="18" s="1"/>
  <c r="C495" i="7942"/>
  <c r="G495"/>
  <c r="C496"/>
  <c r="G496"/>
  <c r="G493"/>
  <c r="C497"/>
  <c r="G497"/>
  <c r="G601" i="18"/>
  <c r="G170" i="7941"/>
  <c r="C498" i="7942"/>
  <c r="G498"/>
  <c r="G602" i="18"/>
  <c r="G171" i="7941"/>
  <c r="C499" i="7942"/>
  <c r="G499"/>
  <c r="G603" i="18"/>
  <c r="G172" i="7941"/>
  <c r="C500" i="7942"/>
  <c r="G500"/>
  <c r="G604" i="18"/>
  <c r="G173" i="7941"/>
  <c r="C501" i="7942"/>
  <c r="G501"/>
  <c r="G605" i="18"/>
  <c r="G174" i="7941"/>
  <c r="C502" i="7942"/>
  <c r="G502"/>
  <c r="G606" i="18"/>
  <c r="G175" i="7941"/>
  <c r="C503" i="7942"/>
  <c r="G503"/>
  <c r="G607" i="18"/>
  <c r="G176" i="7941"/>
  <c r="C504" i="7942"/>
  <c r="G504"/>
  <c r="G608" i="18"/>
  <c r="G177" i="7941"/>
  <c r="C505" i="7942"/>
  <c r="G505"/>
  <c r="G609" i="18"/>
  <c r="G178" i="7941"/>
  <c r="C506" i="7942"/>
  <c r="G506"/>
  <c r="G610" i="18"/>
  <c r="G179" i="7941"/>
  <c r="C507" i="7942"/>
  <c r="G507"/>
  <c r="G611" i="18"/>
  <c r="G180" i="7941"/>
  <c r="C508" i="7942"/>
  <c r="G508"/>
  <c r="G612" i="18"/>
  <c r="G181" i="7941"/>
  <c r="C509" i="7942"/>
  <c r="G509"/>
  <c r="G613" i="18"/>
  <c r="G182" i="7941"/>
  <c r="C510" i="7942"/>
  <c r="G510"/>
  <c r="G614" i="18"/>
  <c r="G183" i="7941"/>
  <c r="C511" i="7942"/>
  <c r="G511"/>
  <c r="G615" i="18"/>
  <c r="G184" i="7941"/>
  <c r="C512" i="7942"/>
  <c r="G512"/>
  <c r="H352" s="1"/>
  <c r="G616" i="18"/>
  <c r="G185" i="7941"/>
  <c r="C513" i="7942"/>
  <c r="G513"/>
  <c r="G617" i="18"/>
  <c r="G186" i="7941"/>
  <c r="C514" i="7942"/>
  <c r="G514"/>
  <c r="G618" i="18"/>
  <c r="G187" i="7941"/>
  <c r="C515" i="7942"/>
  <c r="G515"/>
  <c r="G619" i="18"/>
  <c r="G188" i="7941"/>
  <c r="C516" i="7942"/>
  <c r="G516"/>
  <c r="G620" i="18"/>
  <c r="G189" i="7941"/>
  <c r="C517" i="7942"/>
  <c r="G517"/>
  <c r="G621" i="18"/>
  <c r="G190" i="7941"/>
  <c r="C518" i="7942"/>
  <c r="G518"/>
  <c r="G622" i="18"/>
  <c r="G191" i="7941"/>
  <c r="C519" i="7942"/>
  <c r="G519"/>
  <c r="G623" i="18"/>
  <c r="G192" i="7941"/>
  <c r="C520" i="7942"/>
  <c r="G520"/>
  <c r="G624" i="18"/>
  <c r="G193" i="7941"/>
  <c r="C521" i="7942"/>
  <c r="G521"/>
  <c r="G625" i="18"/>
  <c r="G194" i="7941"/>
  <c r="C522" i="7942"/>
  <c r="G522"/>
  <c r="G626" i="18"/>
  <c r="G195" i="7941"/>
  <c r="C523" i="7942"/>
  <c r="G523"/>
  <c r="G627" i="18"/>
  <c r="G196" i="7941"/>
  <c r="F5" i="1"/>
  <c r="G9" i="7944"/>
  <c r="G10"/>
  <c r="G11"/>
  <c r="G12"/>
  <c r="G14"/>
  <c r="G15"/>
  <c r="G18"/>
  <c r="G19"/>
  <c r="G21"/>
  <c r="G22"/>
  <c r="G24"/>
  <c r="G25"/>
  <c r="G26"/>
  <c r="G28"/>
  <c r="O37" i="1"/>
  <c r="P37"/>
  <c r="Q37"/>
  <c r="R37"/>
  <c r="H40"/>
  <c r="H4" i="7941"/>
  <c r="I40" i="1"/>
  <c r="I4" i="7941"/>
  <c r="F41" i="1"/>
  <c r="F42"/>
  <c r="F43"/>
  <c r="F44"/>
  <c r="F45"/>
  <c r="F46"/>
  <c r="F47"/>
  <c r="F48"/>
  <c r="F49"/>
  <c r="F50"/>
  <c r="F51"/>
  <c r="F52"/>
  <c r="F53"/>
  <c r="F54"/>
  <c r="F55"/>
  <c r="F56"/>
  <c r="F57"/>
  <c r="F58"/>
  <c r="F59"/>
  <c r="F60"/>
  <c r="F61"/>
  <c r="F62"/>
  <c r="F63"/>
  <c r="F64"/>
  <c r="F65"/>
  <c r="F66"/>
  <c r="F67"/>
  <c r="F68"/>
  <c r="F69"/>
  <c r="F70"/>
  <c r="M71"/>
  <c r="N71"/>
  <c r="O71"/>
  <c r="P71"/>
  <c r="Q71"/>
  <c r="F75"/>
  <c r="F76"/>
  <c r="F77"/>
  <c r="F78"/>
  <c r="F79"/>
  <c r="F80"/>
  <c r="F81"/>
  <c r="F82"/>
  <c r="F83"/>
  <c r="F84"/>
  <c r="F85"/>
  <c r="F86"/>
  <c r="F87"/>
  <c r="F88"/>
  <c r="F89"/>
  <c r="F90"/>
  <c r="F91"/>
  <c r="F92"/>
  <c r="F93"/>
  <c r="F94"/>
  <c r="F95"/>
  <c r="F96"/>
  <c r="F97"/>
  <c r="F98"/>
  <c r="F99"/>
  <c r="F100"/>
  <c r="F101"/>
  <c r="F102"/>
  <c r="F103"/>
  <c r="F104"/>
  <c r="M105"/>
  <c r="N105"/>
  <c r="O105"/>
  <c r="P105"/>
  <c r="Q105"/>
  <c r="F109"/>
  <c r="F110"/>
  <c r="F111"/>
  <c r="F112"/>
  <c r="F113"/>
  <c r="F114"/>
  <c r="F115"/>
  <c r="F116"/>
  <c r="F117"/>
  <c r="F118"/>
  <c r="H152"/>
  <c r="F119"/>
  <c r="F120"/>
  <c r="F121"/>
  <c r="F122"/>
  <c r="F123"/>
  <c r="F124"/>
  <c r="F125"/>
  <c r="F126"/>
  <c r="F127"/>
  <c r="F128"/>
  <c r="F129"/>
  <c r="F130"/>
  <c r="F131"/>
  <c r="F132"/>
  <c r="F133"/>
  <c r="F134"/>
  <c r="F135"/>
  <c r="F136"/>
  <c r="F137"/>
  <c r="F138"/>
  <c r="M139"/>
  <c r="N139"/>
  <c r="O139"/>
  <c r="P139"/>
  <c r="Q139"/>
  <c r="F141"/>
  <c r="H142"/>
  <c r="F143"/>
  <c r="F144"/>
  <c r="F145"/>
  <c r="F146"/>
  <c r="F147"/>
  <c r="F148"/>
  <c r="F149"/>
  <c r="F150"/>
  <c r="F151"/>
  <c r="F152"/>
  <c r="F153"/>
  <c r="F154"/>
  <c r="F155"/>
  <c r="F156"/>
  <c r="F157"/>
  <c r="F158"/>
  <c r="F159"/>
  <c r="F160"/>
  <c r="F161"/>
  <c r="F162"/>
  <c r="F163"/>
  <c r="F164"/>
  <c r="F165"/>
  <c r="F166"/>
  <c r="F167"/>
  <c r="G167"/>
  <c r="F168"/>
  <c r="G168"/>
  <c r="F169"/>
  <c r="G169"/>
  <c r="F170"/>
  <c r="G170"/>
  <c r="F171"/>
  <c r="G171"/>
  <c r="F172"/>
  <c r="G172"/>
  <c r="H176"/>
  <c r="I6" i="18"/>
  <c r="J6"/>
  <c r="H180" i="1"/>
  <c r="G183"/>
  <c r="H183"/>
  <c r="I182"/>
  <c r="J182"/>
  <c r="K182"/>
  <c r="L182"/>
  <c r="M182"/>
  <c r="N182"/>
  <c r="O182"/>
  <c r="P182"/>
  <c r="Q182"/>
  <c r="M184"/>
  <c r="N184"/>
  <c r="N7" i="7942"/>
  <c r="O184" i="1"/>
  <c r="O7" i="7942"/>
  <c r="P184" i="1"/>
  <c r="P7" i="7942"/>
  <c r="Q184" i="1"/>
  <c r="Q7" i="7942"/>
  <c r="G17" i="7944"/>
  <c r="G16"/>
  <c r="H415"/>
  <c r="I415" s="1"/>
  <c r="G401"/>
  <c r="G414" s="1"/>
  <c r="G387"/>
  <c r="G400" s="1"/>
  <c r="G429"/>
  <c r="G442" s="1"/>
  <c r="H317" i="18"/>
  <c r="H329" s="1"/>
  <c r="H653" s="1"/>
  <c r="I317"/>
  <c r="H74" i="7944"/>
  <c r="G8"/>
  <c r="G13"/>
  <c r="I74"/>
  <c r="I405"/>
  <c r="I419"/>
  <c r="I461"/>
  <c r="I433"/>
  <c r="K433" s="1"/>
  <c r="J433"/>
  <c r="I446"/>
  <c r="J446" s="1"/>
  <c r="I391"/>
  <c r="J391" s="1"/>
  <c r="I390"/>
  <c r="I447"/>
  <c r="I460"/>
  <c r="I75"/>
  <c r="I418"/>
  <c r="J392"/>
  <c r="J448"/>
  <c r="K448"/>
  <c r="J406"/>
  <c r="J462"/>
  <c r="J420"/>
  <c r="K420" s="1"/>
  <c r="J447"/>
  <c r="K447" s="1"/>
  <c r="J74"/>
  <c r="J405"/>
  <c r="J75"/>
  <c r="J434"/>
  <c r="K434" s="1"/>
  <c r="J461"/>
  <c r="K461" s="1"/>
  <c r="K406"/>
  <c r="K421"/>
  <c r="K462"/>
  <c r="K435"/>
  <c r="K74"/>
  <c r="K393"/>
  <c r="K449"/>
  <c r="M3"/>
  <c r="K392"/>
  <c r="K407"/>
  <c r="K463"/>
  <c r="K75"/>
  <c r="M124"/>
  <c r="M228"/>
  <c r="M74"/>
  <c r="M79"/>
  <c r="M394"/>
  <c r="M144"/>
  <c r="M437"/>
  <c r="M465"/>
  <c r="M359"/>
  <c r="M451"/>
  <c r="M75"/>
  <c r="N74"/>
  <c r="N79"/>
  <c r="N80"/>
  <c r="N75"/>
  <c r="O80"/>
  <c r="O81"/>
  <c r="O74"/>
  <c r="O79"/>
  <c r="O75"/>
  <c r="P82"/>
  <c r="P81"/>
  <c r="P74"/>
  <c r="P79"/>
  <c r="P80"/>
  <c r="P75"/>
  <c r="G347" i="7942"/>
  <c r="H347"/>
  <c r="G451" i="18"/>
  <c r="G20" i="7941"/>
  <c r="G335" i="7942"/>
  <c r="H335"/>
  <c r="G439" i="18"/>
  <c r="G450"/>
  <c r="G346" i="7942"/>
  <c r="G339"/>
  <c r="H339" s="1"/>
  <c r="G443" i="18"/>
  <c r="G12" i="7941"/>
  <c r="G353" i="7942"/>
  <c r="G457" i="18"/>
  <c r="G446"/>
  <c r="G342" i="7942"/>
  <c r="G442" i="18"/>
  <c r="G11" i="7941"/>
  <c r="G338" i="7942"/>
  <c r="G337"/>
  <c r="H337" s="1"/>
  <c r="G441" i="18"/>
  <c r="G10" i="7941"/>
  <c r="G454" i="18"/>
  <c r="G23" i="7941"/>
  <c r="G350" i="7942"/>
  <c r="H350"/>
  <c r="G345"/>
  <c r="H345"/>
  <c r="G449" i="18"/>
  <c r="G452"/>
  <c r="G351" i="7942"/>
  <c r="H351"/>
  <c r="K265" i="18" s="1"/>
  <c r="G455"/>
  <c r="G24" i="7941" s="1"/>
  <c r="G456" i="18"/>
  <c r="G25" i="7941" s="1"/>
  <c r="G343" i="7942"/>
  <c r="H343" s="1"/>
  <c r="G447" i="18"/>
  <c r="G444"/>
  <c r="G13" i="7941" s="1"/>
  <c r="G6" s="1"/>
  <c r="G341" i="7942"/>
  <c r="G445" i="18"/>
  <c r="G14" i="7941"/>
  <c r="G349" i="7942"/>
  <c r="H349"/>
  <c r="G453" i="18"/>
  <c r="G26" i="7941"/>
  <c r="G15"/>
  <c r="G8"/>
  <c r="Q44" i="18"/>
  <c r="N44"/>
  <c r="J44"/>
  <c r="O44"/>
  <c r="P78" i="7944"/>
  <c r="M78"/>
  <c r="N78"/>
  <c r="O78"/>
  <c r="M77"/>
  <c r="P77"/>
  <c r="K77"/>
  <c r="N77"/>
  <c r="O77"/>
  <c r="K76"/>
  <c r="M76"/>
  <c r="N76"/>
  <c r="O76"/>
  <c r="P76"/>
  <c r="J76"/>
  <c r="G18" i="7941"/>
  <c r="J317" i="18"/>
  <c r="J329" s="1"/>
  <c r="J653" s="1"/>
  <c r="H429" i="7944"/>
  <c r="K317" i="18"/>
  <c r="G498"/>
  <c r="G67" i="7941" s="1"/>
  <c r="L317" i="18"/>
  <c r="M317"/>
  <c r="K6"/>
  <c r="G19" i="7941"/>
  <c r="G22"/>
  <c r="M44" i="18"/>
  <c r="K44"/>
  <c r="I44"/>
  <c r="P44"/>
  <c r="L44"/>
  <c r="H44"/>
  <c r="H56"/>
  <c r="G567"/>
  <c r="G599"/>
  <c r="G522"/>
  <c r="G91" i="7941"/>
  <c r="H354" i="7942"/>
  <c r="M304" i="18"/>
  <c r="G518"/>
  <c r="G87" i="7941"/>
  <c r="G478" i="18"/>
  <c r="G47" i="7941"/>
  <c r="G521" i="18"/>
  <c r="G90" i="7941"/>
  <c r="H353" i="7942"/>
  <c r="N291" i="18"/>
  <c r="G477"/>
  <c r="G172" i="7942"/>
  <c r="G238"/>
  <c r="G168" i="7941"/>
  <c r="N252" i="18"/>
  <c r="O252"/>
  <c r="P252"/>
  <c r="M252"/>
  <c r="K252"/>
  <c r="H252"/>
  <c r="H264" s="1"/>
  <c r="H648" s="1"/>
  <c r="H518" s="1"/>
  <c r="H87" i="7941" s="1"/>
  <c r="L252" i="18"/>
  <c r="J252"/>
  <c r="I252"/>
  <c r="Q252"/>
  <c r="G136" i="7941"/>
  <c r="I179" i="1"/>
  <c r="J179"/>
  <c r="K179"/>
  <c r="L179"/>
  <c r="M179"/>
  <c r="N179"/>
  <c r="O179"/>
  <c r="P179"/>
  <c r="Q179"/>
  <c r="J320" i="18"/>
  <c r="I319"/>
  <c r="I329"/>
  <c r="J319"/>
  <c r="K320"/>
  <c r="K319"/>
  <c r="L319"/>
  <c r="M319"/>
  <c r="N319"/>
  <c r="L320"/>
  <c r="M320"/>
  <c r="O319"/>
  <c r="P319"/>
  <c r="N320"/>
  <c r="O320"/>
  <c r="Q319"/>
  <c r="G470" i="7944"/>
  <c r="H457"/>
  <c r="G456"/>
  <c r="I429"/>
  <c r="H401"/>
  <c r="I401" s="1"/>
  <c r="H387"/>
  <c r="H400" s="1"/>
  <c r="P320" i="18"/>
  <c r="Q320"/>
  <c r="I457" i="7944"/>
  <c r="K321" i="18"/>
  <c r="L321"/>
  <c r="L322"/>
  <c r="M373" i="7944"/>
  <c r="M323" i="18"/>
  <c r="M322"/>
  <c r="E289" i="7947"/>
  <c r="E291"/>
  <c r="E299"/>
  <c r="M321" i="18"/>
  <c r="N50"/>
  <c r="O50"/>
  <c r="Q50"/>
  <c r="P50"/>
  <c r="M50"/>
  <c r="N51"/>
  <c r="Q51"/>
  <c r="P51"/>
  <c r="O51"/>
  <c r="N321"/>
  <c r="N323"/>
  <c r="O323"/>
  <c r="E290" i="7947"/>
  <c r="E288"/>
  <c r="O321" i="18"/>
  <c r="N324"/>
  <c r="O324"/>
  <c r="N322"/>
  <c r="O322"/>
  <c r="E292" i="7947"/>
  <c r="E293"/>
  <c r="P322" i="18"/>
  <c r="Q322"/>
  <c r="P324"/>
  <c r="Q324"/>
  <c r="P323"/>
  <c r="Q323"/>
  <c r="P321"/>
  <c r="Q321"/>
  <c r="P52"/>
  <c r="Q52"/>
  <c r="O52"/>
  <c r="Q53"/>
  <c r="P53"/>
  <c r="G14" i="7947"/>
  <c r="Q326" i="18"/>
  <c r="P326"/>
  <c r="Q54"/>
  <c r="Q327"/>
  <c r="H360" i="7942"/>
  <c r="H382" i="18" s="1"/>
  <c r="N220"/>
  <c r="P220"/>
  <c r="Q220"/>
  <c r="J460" i="7944"/>
  <c r="K460" s="1"/>
  <c r="J419"/>
  <c r="K419" s="1"/>
  <c r="G497" i="18"/>
  <c r="G429" i="7942"/>
  <c r="G535" i="18"/>
  <c r="G568"/>
  <c r="G137" i="7941" s="1"/>
  <c r="G507" i="18"/>
  <c r="G76" i="7941" s="1"/>
  <c r="G480" i="18"/>
  <c r="G49" i="7941" s="1"/>
  <c r="G46"/>
  <c r="H363" i="7942"/>
  <c r="H421" i="18" s="1"/>
  <c r="G572"/>
  <c r="G471"/>
  <c r="G40" i="7941"/>
  <c r="H338" i="7942"/>
  <c r="I96" i="18"/>
  <c r="M462" i="7944"/>
  <c r="G555" i="18"/>
  <c r="G124" i="7941" s="1"/>
  <c r="G527" i="18"/>
  <c r="G499"/>
  <c r="K405" i="7944"/>
  <c r="M405" s="1"/>
  <c r="J390"/>
  <c r="K390" s="1"/>
  <c r="J304" i="18"/>
  <c r="K304"/>
  <c r="N304"/>
  <c r="O304"/>
  <c r="P304"/>
  <c r="H304"/>
  <c r="H316"/>
  <c r="H652" s="1"/>
  <c r="Q304"/>
  <c r="I304"/>
  <c r="O96"/>
  <c r="Q96"/>
  <c r="M343"/>
  <c r="N343"/>
  <c r="N317"/>
  <c r="L291"/>
  <c r="G104" i="7941"/>
  <c r="G66"/>
  <c r="G141"/>
  <c r="G96"/>
  <c r="G68"/>
  <c r="M345" i="7944"/>
  <c r="O317" i="18"/>
  <c r="P317"/>
  <c r="O343"/>
  <c r="Q343"/>
  <c r="P343"/>
  <c r="O48"/>
  <c r="M48"/>
  <c r="P48"/>
  <c r="N48"/>
  <c r="L48"/>
  <c r="K48"/>
  <c r="Q48"/>
  <c r="Q317"/>
  <c r="J47"/>
  <c r="P47"/>
  <c r="L47"/>
  <c r="O47"/>
  <c r="M47"/>
  <c r="Q47"/>
  <c r="N47"/>
  <c r="K47"/>
  <c r="O46"/>
  <c r="P46"/>
  <c r="K46"/>
  <c r="L46"/>
  <c r="I46"/>
  <c r="I56" s="1"/>
  <c r="I632" s="1"/>
  <c r="J46"/>
  <c r="J56" s="1"/>
  <c r="J632" s="1"/>
  <c r="M46"/>
  <c r="Q46"/>
  <c r="N46"/>
  <c r="P49"/>
  <c r="M49"/>
  <c r="L49"/>
  <c r="N49"/>
  <c r="Q49"/>
  <c r="O49"/>
  <c r="G10" i="7947"/>
  <c r="G11"/>
  <c r="G9"/>
  <c r="G12"/>
  <c r="G13"/>
  <c r="G15"/>
  <c r="G17"/>
  <c r="G16"/>
  <c r="G18"/>
  <c r="J219" i="7944"/>
  <c r="M220"/>
  <c r="G214"/>
  <c r="G201"/>
  <c r="K219"/>
  <c r="I51"/>
  <c r="M219"/>
  <c r="H50"/>
  <c r="M192"/>
  <c r="H167" i="1"/>
  <c r="H169"/>
  <c r="H171"/>
  <c r="H168"/>
  <c r="I371" i="18"/>
  <c r="H170" i="1"/>
  <c r="G6" i="18"/>
  <c r="G674" s="1"/>
  <c r="G184" i="1"/>
  <c r="J191" i="7944"/>
  <c r="M205"/>
  <c r="I50"/>
  <c r="H51"/>
  <c r="J192"/>
  <c r="K205"/>
  <c r="K206"/>
  <c r="K232"/>
  <c r="H191"/>
  <c r="H201" s="1"/>
  <c r="M206"/>
  <c r="G153" i="1"/>
  <c r="G54" i="7942"/>
  <c r="G154" i="1"/>
  <c r="G55" i="7942"/>
  <c r="J52" i="7944"/>
  <c r="G11" i="7942"/>
  <c r="M37" i="1"/>
  <c r="G366" i="7942"/>
  <c r="G29" i="7941"/>
  <c r="G688" i="18"/>
  <c r="I213"/>
  <c r="O213"/>
  <c r="Q213"/>
  <c r="M213"/>
  <c r="N213"/>
  <c r="J213"/>
  <c r="G675"/>
  <c r="G672"/>
  <c r="G638" s="1"/>
  <c r="G684"/>
  <c r="G689"/>
  <c r="H291"/>
  <c r="G21" i="7941"/>
  <c r="G336" i="7942"/>
  <c r="G344"/>
  <c r="H344" s="1"/>
  <c r="G356"/>
  <c r="H356" s="1"/>
  <c r="G679" i="18"/>
  <c r="G682"/>
  <c r="G648"/>
  <c r="O291"/>
  <c r="G16" i="7941"/>
  <c r="M291" i="18"/>
  <c r="K291"/>
  <c r="J37" i="1"/>
  <c r="G438" i="18"/>
  <c r="G666"/>
  <c r="G632" s="1"/>
  <c r="G470"/>
  <c r="G39" i="7941" s="1"/>
  <c r="H303" i="18"/>
  <c r="G49" i="7944"/>
  <c r="K194"/>
  <c r="K192"/>
  <c r="I230"/>
  <c r="K220"/>
  <c r="J205"/>
  <c r="M218"/>
  <c r="I309"/>
  <c r="I269"/>
  <c r="H155" i="1"/>
  <c r="K230" i="7944"/>
  <c r="M230"/>
  <c r="J230"/>
  <c r="G52"/>
  <c r="G155" i="1"/>
  <c r="I204" i="7944"/>
  <c r="G50"/>
  <c r="J204"/>
  <c r="K204"/>
  <c r="H153" i="1"/>
  <c r="M204" i="7944"/>
  <c r="H204"/>
  <c r="H214" s="1"/>
  <c r="K193"/>
  <c r="I49"/>
  <c r="M193"/>
  <c r="J193"/>
  <c r="G681" i="18"/>
  <c r="G685"/>
  <c r="G651" s="1"/>
  <c r="G690"/>
  <c r="G670"/>
  <c r="G687"/>
  <c r="G653"/>
  <c r="G678"/>
  <c r="G680"/>
  <c r="G677"/>
  <c r="G695"/>
  <c r="G693"/>
  <c r="G671"/>
  <c r="G691"/>
  <c r="G657" s="1"/>
  <c r="G683"/>
  <c r="G649" s="1"/>
  <c r="G694"/>
  <c r="K218" i="7944"/>
  <c r="J218"/>
  <c r="I231"/>
  <c r="M231"/>
  <c r="K231"/>
  <c r="H52"/>
  <c r="M191"/>
  <c r="K191"/>
  <c r="I191"/>
  <c r="G667" i="18"/>
  <c r="I192" i="7944"/>
  <c r="H49"/>
  <c r="J51"/>
  <c r="G72" i="7942"/>
  <c r="G70"/>
  <c r="I205" i="7944"/>
  <c r="I214" s="1"/>
  <c r="G69" i="7942"/>
  <c r="G101" s="1"/>
  <c r="G68"/>
  <c r="H230" i="7944"/>
  <c r="H240"/>
  <c r="K56" i="18"/>
  <c r="G43" i="7944"/>
  <c r="K309"/>
  <c r="J309"/>
  <c r="J113"/>
  <c r="H54"/>
  <c r="K269"/>
  <c r="G55"/>
  <c r="M257"/>
  <c r="M309"/>
  <c r="K113"/>
  <c r="J257"/>
  <c r="M269"/>
  <c r="H269"/>
  <c r="G56" i="7942"/>
  <c r="J217" i="7944"/>
  <c r="J227" s="1"/>
  <c r="K217"/>
  <c r="G51"/>
  <c r="H154" i="1"/>
  <c r="M217" i="7944"/>
  <c r="H217"/>
  <c r="H227" s="1"/>
  <c r="I217"/>
  <c r="M207"/>
  <c r="K207"/>
  <c r="S202" s="1"/>
  <c r="M208"/>
  <c r="H6" i="18"/>
  <c r="I178" i="1"/>
  <c r="S37"/>
  <c r="J50" i="7944"/>
  <c r="H7" i="18"/>
  <c r="H651" s="1"/>
  <c r="H172" i="1"/>
  <c r="G27" i="7944"/>
  <c r="L56" i="18"/>
  <c r="J206" i="7944"/>
  <c r="M7" i="7942"/>
  <c r="O220" i="18"/>
  <c r="M234" i="7944"/>
  <c r="G71" i="7942"/>
  <c r="K50" i="7944"/>
  <c r="L329" i="18"/>
  <c r="G73" i="7942"/>
  <c r="M194" i="7944"/>
  <c r="M113"/>
  <c r="H632" i="18"/>
  <c r="I172" i="1"/>
  <c r="I167"/>
  <c r="I170"/>
  <c r="I171"/>
  <c r="J178"/>
  <c r="J172"/>
  <c r="I168"/>
  <c r="I7" i="18"/>
  <c r="I169" i="1"/>
  <c r="I38" i="18"/>
  <c r="I496" s="1"/>
  <c r="I65" i="7941" s="1"/>
  <c r="I152" i="1"/>
  <c r="I154"/>
  <c r="I155"/>
  <c r="I153"/>
  <c r="J177" i="18"/>
  <c r="J7"/>
  <c r="L417" i="7941"/>
  <c r="L391"/>
  <c r="I183" i="1"/>
  <c r="H184"/>
  <c r="G63" i="7944"/>
  <c r="H375"/>
  <c r="L375"/>
  <c r="I113"/>
  <c r="I375"/>
  <c r="J375"/>
  <c r="E313" i="7947"/>
  <c r="H19" i="7944"/>
  <c r="I387"/>
  <c r="M395"/>
  <c r="M85"/>
  <c r="M408"/>
  <c r="M339"/>
  <c r="M267"/>
  <c r="M189"/>
  <c r="M137"/>
  <c r="M72"/>
  <c r="M332"/>
  <c r="M435"/>
  <c r="M209"/>
  <c r="M176"/>
  <c r="M98"/>
  <c r="I240"/>
  <c r="M421"/>
  <c r="M300"/>
  <c r="M464"/>
  <c r="M423"/>
  <c r="M392"/>
  <c r="M215"/>
  <c r="M163"/>
  <c r="M111"/>
  <c r="M450"/>
  <c r="M393"/>
  <c r="M280"/>
  <c r="M319"/>
  <c r="M241"/>
  <c r="M183"/>
  <c r="M150"/>
  <c r="M105"/>
  <c r="H20"/>
  <c r="I20"/>
  <c r="H84"/>
  <c r="H459"/>
  <c r="H470" s="1"/>
  <c r="K214"/>
  <c r="M248"/>
  <c r="I84"/>
  <c r="G110"/>
  <c r="G253"/>
  <c r="H279"/>
  <c r="G292"/>
  <c r="G188"/>
  <c r="H386"/>
  <c r="M235"/>
  <c r="G175"/>
  <c r="G279"/>
  <c r="H23" s="1"/>
  <c r="G331"/>
  <c r="H358"/>
  <c r="G386"/>
  <c r="H31" s="1"/>
  <c r="I31" s="1"/>
  <c r="G358"/>
  <c r="G372"/>
  <c r="G84"/>
  <c r="G136"/>
  <c r="G162"/>
  <c r="G266"/>
  <c r="G318"/>
  <c r="G344"/>
  <c r="I184" i="1"/>
  <c r="J183"/>
  <c r="H21" i="18"/>
  <c r="H39"/>
  <c r="H497"/>
  <c r="I384"/>
  <c r="K176"/>
  <c r="H22"/>
  <c r="P176"/>
  <c r="N176"/>
  <c r="N163"/>
  <c r="I163"/>
  <c r="J202"/>
  <c r="L176"/>
  <c r="Q202"/>
  <c r="Q189"/>
  <c r="I189"/>
  <c r="K189"/>
  <c r="O163"/>
  <c r="P163"/>
  <c r="Q176"/>
  <c r="H36"/>
  <c r="H494" s="1"/>
  <c r="H63" i="7941" s="1"/>
  <c r="O176" i="18"/>
  <c r="I397"/>
  <c r="J397" s="1"/>
  <c r="M163"/>
  <c r="K202"/>
  <c r="N202"/>
  <c r="M189"/>
  <c r="L189"/>
  <c r="P189"/>
  <c r="I423"/>
  <c r="J163"/>
  <c r="L163"/>
  <c r="I358"/>
  <c r="J358"/>
  <c r="J384"/>
  <c r="K384" s="1"/>
  <c r="I202"/>
  <c r="P202"/>
  <c r="O189"/>
  <c r="J189"/>
  <c r="H41"/>
  <c r="H499" s="1"/>
  <c r="H68" i="7941" s="1"/>
  <c r="I410" i="18"/>
  <c r="K163"/>
  <c r="Q163"/>
  <c r="H7" i="7942"/>
  <c r="H277" s="1"/>
  <c r="I176" i="18"/>
  <c r="H40"/>
  <c r="H498" s="1"/>
  <c r="H67" i="7941" s="1"/>
  <c r="M176" i="18"/>
  <c r="H38"/>
  <c r="H496" s="1"/>
  <c r="H65" i="7941" s="1"/>
  <c r="J176" i="18"/>
  <c r="H24"/>
  <c r="H482"/>
  <c r="H51" i="7941" s="1"/>
  <c r="O202" i="18"/>
  <c r="L202"/>
  <c r="M202"/>
  <c r="H23"/>
  <c r="F163" i="7947" s="1"/>
  <c r="G163" s="1"/>
  <c r="N189" i="18"/>
  <c r="I459" i="7944"/>
  <c r="J459"/>
  <c r="H269" i="7942"/>
  <c r="H273"/>
  <c r="H317"/>
  <c r="H271"/>
  <c r="H325"/>
  <c r="H480" i="18"/>
  <c r="J184" i="1"/>
  <c r="K183"/>
  <c r="H479" i="18"/>
  <c r="J423"/>
  <c r="K423" s="1"/>
  <c r="H481"/>
  <c r="K190"/>
  <c r="P190"/>
  <c r="P203"/>
  <c r="N203"/>
  <c r="O203"/>
  <c r="I40"/>
  <c r="I498" s="1"/>
  <c r="I67" i="7941" s="1"/>
  <c r="N164" i="18"/>
  <c r="I21"/>
  <c r="I7" i="7942"/>
  <c r="O190" i="18"/>
  <c r="J190"/>
  <c r="L203"/>
  <c r="K203"/>
  <c r="J372"/>
  <c r="K372" s="1"/>
  <c r="J411"/>
  <c r="P164"/>
  <c r="O164"/>
  <c r="I39"/>
  <c r="I497" s="1"/>
  <c r="I66" i="7941" s="1"/>
  <c r="I23" i="18"/>
  <c r="F164" i="7947"/>
  <c r="G164" s="1"/>
  <c r="Q190" i="18"/>
  <c r="J203"/>
  <c r="I24"/>
  <c r="I36"/>
  <c r="I494" s="1"/>
  <c r="I63" i="7941" s="1"/>
  <c r="L164" i="18"/>
  <c r="Q164"/>
  <c r="M164"/>
  <c r="N190"/>
  <c r="L190"/>
  <c r="M190"/>
  <c r="Q203"/>
  <c r="M203"/>
  <c r="I37"/>
  <c r="I495"/>
  <c r="I64" i="7941" s="1"/>
  <c r="J359" i="18"/>
  <c r="K359" s="1"/>
  <c r="I41"/>
  <c r="I499"/>
  <c r="I68" i="7941" s="1"/>
  <c r="J424" i="18"/>
  <c r="K424" s="1"/>
  <c r="M177"/>
  <c r="K164"/>
  <c r="J164"/>
  <c r="F136" i="7947" s="1"/>
  <c r="G136" s="1"/>
  <c r="J398" i="18"/>
  <c r="K398" s="1"/>
  <c r="J410"/>
  <c r="K410" s="1"/>
  <c r="H48" i="7941"/>
  <c r="J7" i="7942"/>
  <c r="J325" s="1"/>
  <c r="I482" i="18"/>
  <c r="I51" i="7941"/>
  <c r="F178" i="7947"/>
  <c r="G178" s="1"/>
  <c r="I271" i="7942"/>
  <c r="I273"/>
  <c r="I317"/>
  <c r="I325"/>
  <c r="L183" i="1"/>
  <c r="M183"/>
  <c r="N183"/>
  <c r="O183"/>
  <c r="P183"/>
  <c r="Q183"/>
  <c r="K184"/>
  <c r="I481" i="18"/>
  <c r="I50" i="7941"/>
  <c r="H50"/>
  <c r="H49"/>
  <c r="L184" i="1"/>
  <c r="L7" i="7942"/>
  <c r="K7"/>
  <c r="G92" i="7941"/>
  <c r="G55"/>
  <c r="G668" i="18"/>
  <c r="G9" i="7941"/>
  <c r="G59"/>
  <c r="G152" i="1"/>
  <c r="G53" i="7942"/>
  <c r="I218" i="7944"/>
  <c r="J232"/>
  <c r="G333" i="7942"/>
  <c r="I653" i="18"/>
  <c r="N187"/>
  <c r="P187"/>
  <c r="M187"/>
  <c r="J187"/>
  <c r="H187"/>
  <c r="O187"/>
  <c r="L187"/>
  <c r="I187"/>
  <c r="I199" s="1"/>
  <c r="I643" s="1"/>
  <c r="Q187"/>
  <c r="K187"/>
  <c r="F162" i="7947" s="1"/>
  <c r="G48" i="7941"/>
  <c r="G53"/>
  <c r="G41"/>
  <c r="G676" i="18"/>
  <c r="G17" i="7941"/>
  <c r="G79"/>
  <c r="G61"/>
  <c r="H113" i="7944"/>
  <c r="G669" i="18"/>
  <c r="G635" s="1"/>
  <c r="K233" i="7944"/>
  <c r="L304" i="18"/>
  <c r="F288" i="7947"/>
  <c r="F232"/>
  <c r="E201"/>
  <c r="E257"/>
  <c r="E173"/>
  <c r="E145"/>
  <c r="E89"/>
  <c r="E271"/>
  <c r="E243"/>
  <c r="E187"/>
  <c r="E47"/>
  <c r="E341"/>
  <c r="E229"/>
  <c r="E103"/>
  <c r="E75"/>
  <c r="E33"/>
  <c r="E19"/>
  <c r="E285"/>
  <c r="E159"/>
  <c r="E131"/>
  <c r="E327"/>
  <c r="E215"/>
  <c r="E117"/>
  <c r="G428" i="7944"/>
  <c r="M306"/>
  <c r="M448"/>
  <c r="K358"/>
  <c r="I201"/>
  <c r="S189"/>
  <c r="K84"/>
  <c r="H285" i="7942"/>
  <c r="J285"/>
  <c r="I285"/>
  <c r="G82" i="7941"/>
  <c r="G643" i="18"/>
  <c r="H307" i="7942"/>
  <c r="H321"/>
  <c r="J321"/>
  <c r="I321"/>
  <c r="P57" i="18"/>
  <c r="L57"/>
  <c r="M57"/>
  <c r="O57"/>
  <c r="I57"/>
  <c r="N57"/>
  <c r="K57"/>
  <c r="H57"/>
  <c r="H69"/>
  <c r="H633" s="1"/>
  <c r="J57"/>
  <c r="Q57"/>
  <c r="G85" i="7941"/>
  <c r="G646" i="18"/>
  <c r="H313" i="7942"/>
  <c r="I313" s="1"/>
  <c r="H299"/>
  <c r="K358" i="18"/>
  <c r="L358" s="1"/>
  <c r="I269" i="7942"/>
  <c r="J269" s="1"/>
  <c r="I470" i="7944"/>
  <c r="L177" i="18"/>
  <c r="K177"/>
  <c r="J385"/>
  <c r="O177"/>
  <c r="H293" i="7942"/>
  <c r="I293" s="1"/>
  <c r="F149" i="7947"/>
  <c r="G149" s="1"/>
  <c r="H37" i="18"/>
  <c r="H495"/>
  <c r="J84" i="7944"/>
  <c r="G105" i="7942"/>
  <c r="K227" i="7944"/>
  <c r="G100" i="7942"/>
  <c r="G104"/>
  <c r="G7" i="7941"/>
  <c r="I265" i="18"/>
  <c r="H341" i="7942"/>
  <c r="H342"/>
  <c r="F120" i="7947" s="1"/>
  <c r="G397" i="7942"/>
  <c r="G204"/>
  <c r="F218" i="7947"/>
  <c r="I180" i="1"/>
  <c r="J40"/>
  <c r="G600" i="18"/>
  <c r="G169" i="7941"/>
  <c r="G584" i="18"/>
  <c r="G153" i="7941" s="1"/>
  <c r="G576" i="18"/>
  <c r="G145" i="7941" s="1"/>
  <c r="H4" i="7942"/>
  <c r="G33" i="7941"/>
  <c r="I4" i="18"/>
  <c r="J201" i="7944"/>
  <c r="L39"/>
  <c r="H4"/>
  <c r="G642" i="18"/>
  <c r="G85" i="7942"/>
  <c r="I126" s="1"/>
  <c r="J126" s="1"/>
  <c r="H126"/>
  <c r="J273"/>
  <c r="K273"/>
  <c r="I479" i="18"/>
  <c r="I48" i="7941"/>
  <c r="N177" i="18"/>
  <c r="Q177"/>
  <c r="P177"/>
  <c r="S72" i="7944"/>
  <c r="S345"/>
  <c r="G123"/>
  <c r="H11" s="1"/>
  <c r="I11" s="1"/>
  <c r="G149"/>
  <c r="J170" i="1"/>
  <c r="G103" i="7942"/>
  <c r="J214" i="7944"/>
  <c r="G102" i="7942"/>
  <c r="J265" i="18"/>
  <c r="H336" i="7942"/>
  <c r="H265" i="18"/>
  <c r="G86" i="7942"/>
  <c r="G673" i="18"/>
  <c r="I176" i="1"/>
  <c r="H74"/>
  <c r="H108"/>
  <c r="G40"/>
  <c r="H359" i="7942"/>
  <c r="H369" i="18"/>
  <c r="I4" i="7942"/>
  <c r="N39" i="7944"/>
  <c r="M39"/>
  <c r="S228"/>
  <c r="H199" i="18"/>
  <c r="H643"/>
  <c r="G437"/>
  <c r="J199"/>
  <c r="J643" s="1"/>
  <c r="G645"/>
  <c r="I227" i="7944"/>
  <c r="J271" i="7942"/>
  <c r="K271"/>
  <c r="I22" i="18"/>
  <c r="J371"/>
  <c r="K371" s="1"/>
  <c r="G97" i="7944"/>
  <c r="I358"/>
  <c r="H123"/>
  <c r="J155" i="1"/>
  <c r="G88" i="7942"/>
  <c r="H132"/>
  <c r="K201" i="7944"/>
  <c r="G637" i="18"/>
  <c r="G686"/>
  <c r="G652"/>
  <c r="G365" i="7942"/>
  <c r="H334"/>
  <c r="F8" i="7947"/>
  <c r="G87" i="7942"/>
  <c r="H346"/>
  <c r="I142" i="1"/>
  <c r="I74"/>
  <c r="I108"/>
  <c r="H358" i="7942"/>
  <c r="G242"/>
  <c r="O39" i="7944"/>
  <c r="G65" i="7941"/>
  <c r="G123"/>
  <c r="G119"/>
  <c r="H454" i="18"/>
  <c r="H682"/>
  <c r="G111" i="7941"/>
  <c r="G107"/>
  <c r="G105"/>
  <c r="H327" i="7942"/>
  <c r="H162"/>
  <c r="I162"/>
  <c r="G72" i="7941"/>
  <c r="G200" s="1"/>
  <c r="G633" i="18"/>
  <c r="H439"/>
  <c r="H667" s="1"/>
  <c r="H289" i="7942"/>
  <c r="I289"/>
  <c r="H281"/>
  <c r="J281" s="1"/>
  <c r="I281"/>
  <c r="H451" i="18"/>
  <c r="H679"/>
  <c r="G116" i="7941"/>
  <c r="G114"/>
  <c r="G100"/>
  <c r="G661" i="18"/>
  <c r="G98" i="7941"/>
  <c r="H303" i="7942"/>
  <c r="I303" s="1"/>
  <c r="J303" s="1"/>
  <c r="H279"/>
  <c r="G659" i="18"/>
  <c r="H18" i="7944"/>
  <c r="H362" i="7942"/>
  <c r="H340"/>
  <c r="G495" i="18"/>
  <c r="H355" i="7942"/>
  <c r="F302" i="7947" s="1"/>
  <c r="H17" i="7944"/>
  <c r="J429"/>
  <c r="K429" s="1"/>
  <c r="K459"/>
  <c r="M459" s="1"/>
  <c r="S215"/>
  <c r="H37"/>
  <c r="I37" s="1"/>
  <c r="J37" s="1"/>
  <c r="J457"/>
  <c r="K240"/>
  <c r="M407"/>
  <c r="M202"/>
  <c r="M92"/>
  <c r="M436"/>
  <c r="M261"/>
  <c r="M157"/>
  <c r="M293"/>
  <c r="M409"/>
  <c r="M222"/>
  <c r="M118"/>
  <c r="M287"/>
  <c r="N3"/>
  <c r="N195"/>
  <c r="M326"/>
  <c r="M196"/>
  <c r="M406"/>
  <c r="M463"/>
  <c r="M313"/>
  <c r="M170"/>
  <c r="M449"/>
  <c r="M422"/>
  <c r="M254"/>
  <c r="M131"/>
  <c r="M274"/>
  <c r="J180" i="1"/>
  <c r="K180"/>
  <c r="L180"/>
  <c r="M180"/>
  <c r="N180"/>
  <c r="O180"/>
  <c r="P180"/>
  <c r="Q180"/>
  <c r="H166" i="7942"/>
  <c r="H64" i="7941"/>
  <c r="G639" i="18"/>
  <c r="L271" i="7942"/>
  <c r="M271"/>
  <c r="L272" s="1"/>
  <c r="H66" i="7941"/>
  <c r="K425" i="18"/>
  <c r="J41"/>
  <c r="J499"/>
  <c r="J68" i="7941" s="1"/>
  <c r="H156" i="7942"/>
  <c r="H160"/>
  <c r="L273"/>
  <c r="J154" i="1"/>
  <c r="J153"/>
  <c r="J168"/>
  <c r="H130" i="7942"/>
  <c r="J152" i="1"/>
  <c r="J171"/>
  <c r="K178"/>
  <c r="K159"/>
  <c r="J167"/>
  <c r="J169"/>
  <c r="H647" i="18"/>
  <c r="H128" i="7942"/>
  <c r="I128" s="1"/>
  <c r="F135" i="7947"/>
  <c r="G135" s="1"/>
  <c r="F177"/>
  <c r="G177" s="1"/>
  <c r="K329" i="18"/>
  <c r="K375" i="7944"/>
  <c r="M233"/>
  <c r="I52"/>
  <c r="J20" s="1"/>
  <c r="J269"/>
  <c r="K52"/>
  <c r="G88" i="7941"/>
  <c r="M232" i="7944"/>
  <c r="M195"/>
  <c r="K49"/>
  <c r="J231"/>
  <c r="J240" s="1"/>
  <c r="N231"/>
  <c r="H213" i="18"/>
  <c r="P213"/>
  <c r="L213"/>
  <c r="K213"/>
  <c r="K257" i="7944"/>
  <c r="I257"/>
  <c r="H58"/>
  <c r="J49"/>
  <c r="I291" i="18"/>
  <c r="K96"/>
  <c r="M96"/>
  <c r="H96"/>
  <c r="Q135"/>
  <c r="G476"/>
  <c r="M334" i="7944"/>
  <c r="I46"/>
  <c r="I161" i="1"/>
  <c r="I157"/>
  <c r="G160"/>
  <c r="G61" i="7942"/>
  <c r="G93" s="1"/>
  <c r="G145" i="1"/>
  <c r="G46" i="7942"/>
  <c r="G78"/>
  <c r="H166" i="1"/>
  <c r="H158"/>
  <c r="H146"/>
  <c r="J96" i="18"/>
  <c r="L96"/>
  <c r="J291"/>
  <c r="G156" i="1"/>
  <c r="G57" i="7942"/>
  <c r="G89" s="1"/>
  <c r="G148" i="1"/>
  <c r="G49" i="7942"/>
  <c r="G81"/>
  <c r="G162" i="1"/>
  <c r="G63" i="7942"/>
  <c r="G95"/>
  <c r="J151" i="1"/>
  <c r="J147"/>
  <c r="K88" i="7944"/>
  <c r="H139" i="1"/>
  <c r="I139"/>
  <c r="K51" i="7944"/>
  <c r="N96" i="18"/>
  <c r="P96"/>
  <c r="J135"/>
  <c r="H135"/>
  <c r="H105" i="1"/>
  <c r="G139"/>
  <c r="H381" i="18"/>
  <c r="H657" s="1"/>
  <c r="I369"/>
  <c r="I381"/>
  <c r="I657"/>
  <c r="K321" i="7942"/>
  <c r="K285"/>
  <c r="F150" i="7947"/>
  <c r="G150" s="1"/>
  <c r="I480" i="18"/>
  <c r="I49" i="7941"/>
  <c r="N70" i="18"/>
  <c r="J70"/>
  <c r="L70"/>
  <c r="H70"/>
  <c r="H82" s="1"/>
  <c r="H634" s="1"/>
  <c r="O70"/>
  <c r="I70"/>
  <c r="P70"/>
  <c r="M70"/>
  <c r="K70"/>
  <c r="Q70"/>
  <c r="I135"/>
  <c r="K135"/>
  <c r="N135"/>
  <c r="M135"/>
  <c r="P135"/>
  <c r="L135"/>
  <c r="M200"/>
  <c r="H200"/>
  <c r="H212"/>
  <c r="H644" s="1"/>
  <c r="L200"/>
  <c r="I200"/>
  <c r="I212"/>
  <c r="I644" s="1"/>
  <c r="N200"/>
  <c r="Q200"/>
  <c r="J200"/>
  <c r="J212" s="1"/>
  <c r="J644" s="1"/>
  <c r="P200"/>
  <c r="K200"/>
  <c r="O200"/>
  <c r="H277"/>
  <c r="H649" s="1"/>
  <c r="O135"/>
  <c r="H356"/>
  <c r="H368"/>
  <c r="H656" s="1"/>
  <c r="I327" i="7942"/>
  <c r="K385" i="18"/>
  <c r="L385"/>
  <c r="Q204"/>
  <c r="M204"/>
  <c r="P204"/>
  <c r="L204"/>
  <c r="O204"/>
  <c r="K204"/>
  <c r="J24"/>
  <c r="N204"/>
  <c r="F4" i="7944"/>
  <c r="G4" i="18"/>
  <c r="G4" i="7942"/>
  <c r="F4"/>
  <c r="F4" i="18" s="1"/>
  <c r="G74" i="1"/>
  <c r="G108"/>
  <c r="G176"/>
  <c r="G4" i="7941"/>
  <c r="G142" i="1"/>
  <c r="J39" i="18"/>
  <c r="J497"/>
  <c r="J66" i="7941" s="1"/>
  <c r="K399" i="18"/>
  <c r="L425"/>
  <c r="K457" i="7944"/>
  <c r="H8" i="7941"/>
  <c r="J4" i="7942"/>
  <c r="J176" i="1"/>
  <c r="J142"/>
  <c r="I4" i="7944"/>
  <c r="J4" i="18"/>
  <c r="K40" i="1"/>
  <c r="J4" i="7941"/>
  <c r="J74" i="1"/>
  <c r="J108"/>
  <c r="J289" i="7942"/>
  <c r="L289" s="1"/>
  <c r="F22" i="7947"/>
  <c r="K289" i="7942"/>
  <c r="G64" i="7941"/>
  <c r="P122" i="18"/>
  <c r="L122"/>
  <c r="M122"/>
  <c r="Q122"/>
  <c r="N122"/>
  <c r="I122"/>
  <c r="O122"/>
  <c r="K122"/>
  <c r="J122"/>
  <c r="H122"/>
  <c r="H134" s="1"/>
  <c r="H638" s="1"/>
  <c r="J470" i="7944"/>
  <c r="J369" i="18"/>
  <c r="J162" i="7942"/>
  <c r="K162" s="1"/>
  <c r="H408" i="18"/>
  <c r="H420"/>
  <c r="H660" s="1"/>
  <c r="K369"/>
  <c r="N234" i="7944"/>
  <c r="N366"/>
  <c r="N210"/>
  <c r="N170"/>
  <c r="N339"/>
  <c r="N93"/>
  <c r="N359"/>
  <c r="N98"/>
  <c r="N183"/>
  <c r="N326"/>
  <c r="N436"/>
  <c r="N192"/>
  <c r="N232"/>
  <c r="N230"/>
  <c r="N207"/>
  <c r="N113"/>
  <c r="N375"/>
  <c r="N319"/>
  <c r="N124"/>
  <c r="N340"/>
  <c r="N189"/>
  <c r="N262"/>
  <c r="N261"/>
  <c r="N293"/>
  <c r="N215"/>
  <c r="N106"/>
  <c r="N248"/>
  <c r="N423"/>
  <c r="N197"/>
  <c r="N380"/>
  <c r="N275"/>
  <c r="O3"/>
  <c r="N184"/>
  <c r="N72"/>
  <c r="N144"/>
  <c r="N288"/>
  <c r="N465"/>
  <c r="N314"/>
  <c r="N176"/>
  <c r="N301"/>
  <c r="N438"/>
  <c r="N345"/>
  <c r="N205"/>
  <c r="N218"/>
  <c r="N257"/>
  <c r="N217"/>
  <c r="N157"/>
  <c r="N407"/>
  <c r="N267"/>
  <c r="N332"/>
  <c r="N435"/>
  <c r="N424"/>
  <c r="N306"/>
  <c r="N287"/>
  <c r="N300"/>
  <c r="N249"/>
  <c r="N235"/>
  <c r="N395"/>
  <c r="N392"/>
  <c r="N408"/>
  <c r="N381"/>
  <c r="N132"/>
  <c r="N327"/>
  <c r="N118"/>
  <c r="N222"/>
  <c r="N463"/>
  <c r="N223"/>
  <c r="N451"/>
  <c r="N150"/>
  <c r="N241"/>
  <c r="N406"/>
  <c r="N373"/>
  <c r="N462"/>
  <c r="N193"/>
  <c r="N220"/>
  <c r="N194"/>
  <c r="N204"/>
  <c r="N269"/>
  <c r="N208"/>
  <c r="N196"/>
  <c r="N85"/>
  <c r="N313"/>
  <c r="N449"/>
  <c r="N422"/>
  <c r="N131"/>
  <c r="N409"/>
  <c r="N111"/>
  <c r="N236"/>
  <c r="N309"/>
  <c r="N464"/>
  <c r="N367"/>
  <c r="N280"/>
  <c r="N92"/>
  <c r="N202"/>
  <c r="N437"/>
  <c r="N145"/>
  <c r="N410"/>
  <c r="N105"/>
  <c r="N209"/>
  <c r="N396"/>
  <c r="N452"/>
  <c r="N191"/>
  <c r="N206"/>
  <c r="N254"/>
  <c r="N466"/>
  <c r="N171"/>
  <c r="N137"/>
  <c r="N158"/>
  <c r="N448"/>
  <c r="N228"/>
  <c r="N119"/>
  <c r="N163"/>
  <c r="N394"/>
  <c r="N393"/>
  <c r="N274"/>
  <c r="N421"/>
  <c r="N450"/>
  <c r="N233"/>
  <c r="N219"/>
  <c r="I166" i="7942"/>
  <c r="J166"/>
  <c r="K166" s="1"/>
  <c r="L166" s="1"/>
  <c r="K360" i="18"/>
  <c r="J36"/>
  <c r="J494"/>
  <c r="J63" i="7941" s="1"/>
  <c r="J40" i="18"/>
  <c r="J498" s="1"/>
  <c r="J67" i="7941" s="1"/>
  <c r="K412" i="18"/>
  <c r="I130" i="7942"/>
  <c r="J130" s="1"/>
  <c r="M191" i="18"/>
  <c r="L191"/>
  <c r="N191"/>
  <c r="O191"/>
  <c r="J23"/>
  <c r="P191"/>
  <c r="Q191"/>
  <c r="K191"/>
  <c r="K199" s="1"/>
  <c r="K643" s="1"/>
  <c r="I160" i="7942"/>
  <c r="I156"/>
  <c r="M425" i="18"/>
  <c r="J38"/>
  <c r="J496"/>
  <c r="J65" i="7941" s="1"/>
  <c r="K386" i="18"/>
  <c r="K152" i="1"/>
  <c r="K171"/>
  <c r="K167"/>
  <c r="K172"/>
  <c r="K170"/>
  <c r="K153"/>
  <c r="L178"/>
  <c r="K7" i="18"/>
  <c r="K653"/>
  <c r="K168" i="1"/>
  <c r="K154"/>
  <c r="K155"/>
  <c r="K169"/>
  <c r="L178" i="18"/>
  <c r="P178"/>
  <c r="O178"/>
  <c r="J22"/>
  <c r="K178"/>
  <c r="Q178"/>
  <c r="M178"/>
  <c r="N178"/>
  <c r="M273" i="7942"/>
  <c r="L274"/>
  <c r="M289"/>
  <c r="L290"/>
  <c r="N271"/>
  <c r="P165" i="18"/>
  <c r="K165"/>
  <c r="O165"/>
  <c r="J21"/>
  <c r="L165"/>
  <c r="M165"/>
  <c r="N165"/>
  <c r="Q165"/>
  <c r="J37"/>
  <c r="J495" s="1"/>
  <c r="J64" i="7941" s="1"/>
  <c r="K373" i="18"/>
  <c r="K381" s="1"/>
  <c r="K657" s="1"/>
  <c r="J128" i="7942"/>
  <c r="K128"/>
  <c r="L128" s="1"/>
  <c r="I132"/>
  <c r="J132"/>
  <c r="K126"/>
  <c r="L126"/>
  <c r="K20" i="7944"/>
  <c r="L20" s="1"/>
  <c r="O345" i="18"/>
  <c r="N345"/>
  <c r="Q345"/>
  <c r="M345"/>
  <c r="J345"/>
  <c r="L345"/>
  <c r="P345"/>
  <c r="I345"/>
  <c r="I355" s="1"/>
  <c r="I655" s="1"/>
  <c r="H35"/>
  <c r="K345"/>
  <c r="H146" i="7942"/>
  <c r="H112"/>
  <c r="I112"/>
  <c r="K43" i="7944"/>
  <c r="M117"/>
  <c r="O117"/>
  <c r="N117"/>
  <c r="L146" i="1"/>
  <c r="K57" i="7944"/>
  <c r="M299"/>
  <c r="L160" i="1"/>
  <c r="O365" i="7944"/>
  <c r="K62"/>
  <c r="L365"/>
  <c r="N365"/>
  <c r="L165" i="1"/>
  <c r="J45" i="7944"/>
  <c r="N142"/>
  <c r="K142"/>
  <c r="O142"/>
  <c r="M142"/>
  <c r="K148" i="1"/>
  <c r="N179" i="7944"/>
  <c r="O179"/>
  <c r="M179"/>
  <c r="K179"/>
  <c r="I179"/>
  <c r="I151" i="1"/>
  <c r="J179" i="7944"/>
  <c r="H48"/>
  <c r="K298"/>
  <c r="M298" s="1"/>
  <c r="J57"/>
  <c r="K160" i="1"/>
  <c r="O377" i="7944"/>
  <c r="K377"/>
  <c r="J166" i="1"/>
  <c r="L377" i="7944"/>
  <c r="N377"/>
  <c r="J377"/>
  <c r="I63"/>
  <c r="H295"/>
  <c r="H305"/>
  <c r="G57"/>
  <c r="H25" s="1"/>
  <c r="H160" i="1"/>
  <c r="H100" i="7944"/>
  <c r="H110" s="1"/>
  <c r="I100"/>
  <c r="K100"/>
  <c r="J100"/>
  <c r="M100"/>
  <c r="H145" i="1"/>
  <c r="N100" i="7944"/>
  <c r="G42"/>
  <c r="H10" s="1"/>
  <c r="O100"/>
  <c r="M130"/>
  <c r="N130"/>
  <c r="K44"/>
  <c r="O130"/>
  <c r="L147" i="1"/>
  <c r="H47" i="7944"/>
  <c r="J166"/>
  <c r="O166"/>
  <c r="M166"/>
  <c r="N166"/>
  <c r="I150" i="1"/>
  <c r="I166" i="7944"/>
  <c r="K166"/>
  <c r="J258"/>
  <c r="M258"/>
  <c r="O258"/>
  <c r="K258"/>
  <c r="N258"/>
  <c r="I54"/>
  <c r="J157" i="1"/>
  <c r="I57" i="7944"/>
  <c r="J297"/>
  <c r="J160" i="1"/>
  <c r="H61" i="7944"/>
  <c r="I164" i="1"/>
  <c r="I33" i="18"/>
  <c r="I491" s="1"/>
  <c r="I60" i="7941" s="1"/>
  <c r="J281" i="18"/>
  <c r="M281"/>
  <c r="Q281"/>
  <c r="N281"/>
  <c r="I30"/>
  <c r="P281"/>
  <c r="O281"/>
  <c r="L281"/>
  <c r="K281"/>
  <c r="J89" i="7944"/>
  <c r="M89"/>
  <c r="N89"/>
  <c r="K89"/>
  <c r="O89"/>
  <c r="J144" i="1"/>
  <c r="J71"/>
  <c r="I41" i="7944"/>
  <c r="M129"/>
  <c r="J44"/>
  <c r="N129"/>
  <c r="K129"/>
  <c r="O129"/>
  <c r="K147" i="1"/>
  <c r="O165" i="7944"/>
  <c r="I165"/>
  <c r="G47"/>
  <c r="H15" s="1"/>
  <c r="N165"/>
  <c r="K165"/>
  <c r="M165"/>
  <c r="H165"/>
  <c r="H175" s="1"/>
  <c r="J165"/>
  <c r="H150" i="1"/>
  <c r="K244" i="7944"/>
  <c r="H53"/>
  <c r="J244"/>
  <c r="I244"/>
  <c r="I156" i="1"/>
  <c r="M244" i="7944"/>
  <c r="O244"/>
  <c r="N244"/>
  <c r="M273"/>
  <c r="O273"/>
  <c r="K55"/>
  <c r="N273"/>
  <c r="L158" i="1"/>
  <c r="H60" i="7944"/>
  <c r="J335"/>
  <c r="O335"/>
  <c r="I335"/>
  <c r="I163" i="1"/>
  <c r="N335" i="7944"/>
  <c r="M335"/>
  <c r="K335"/>
  <c r="O378"/>
  <c r="J63"/>
  <c r="K378"/>
  <c r="K166" i="1"/>
  <c r="L378" i="7944"/>
  <c r="N378"/>
  <c r="O269"/>
  <c r="L139" i="1"/>
  <c r="G146"/>
  <c r="G47" i="7942"/>
  <c r="G79"/>
  <c r="G158" i="1"/>
  <c r="G59" i="7942"/>
  <c r="G91" s="1"/>
  <c r="G163" i="1"/>
  <c r="G64" i="7942"/>
  <c r="G96"/>
  <c r="K139" i="1"/>
  <c r="G166"/>
  <c r="G67" i="7942"/>
  <c r="G99"/>
  <c r="G161" i="1"/>
  <c r="G62" i="7942"/>
  <c r="G94" s="1"/>
  <c r="N88" i="7944"/>
  <c r="H139"/>
  <c r="H149" s="1"/>
  <c r="I13" s="1"/>
  <c r="J13" s="1"/>
  <c r="K13" s="1"/>
  <c r="L13" s="1"/>
  <c r="J128"/>
  <c r="N128"/>
  <c r="M180"/>
  <c r="J180"/>
  <c r="K285"/>
  <c r="N334"/>
  <c r="K102"/>
  <c r="J102"/>
  <c r="I42"/>
  <c r="N102"/>
  <c r="O102"/>
  <c r="M102"/>
  <c r="J145" i="1"/>
  <c r="K272" i="7944"/>
  <c r="M272"/>
  <c r="N272"/>
  <c r="O272"/>
  <c r="J55"/>
  <c r="K158" i="1"/>
  <c r="I62" i="7944"/>
  <c r="K363"/>
  <c r="L363"/>
  <c r="N363"/>
  <c r="O363"/>
  <c r="J165" i="1"/>
  <c r="J363" i="7944"/>
  <c r="M221"/>
  <c r="L154" i="1"/>
  <c r="O101" i="7944"/>
  <c r="H42"/>
  <c r="K101"/>
  <c r="I101"/>
  <c r="I145" i="1"/>
  <c r="N101" i="7944"/>
  <c r="M101"/>
  <c r="J101"/>
  <c r="H118" i="7942"/>
  <c r="J256" i="7944"/>
  <c r="J266" s="1"/>
  <c r="N256"/>
  <c r="O256"/>
  <c r="H256"/>
  <c r="H266" s="1"/>
  <c r="G54"/>
  <c r="H22" s="1"/>
  <c r="I256"/>
  <c r="I266" s="1"/>
  <c r="K256"/>
  <c r="H157" i="1"/>
  <c r="M256" i="7944"/>
  <c r="K284"/>
  <c r="I56"/>
  <c r="J284"/>
  <c r="J159" i="1"/>
  <c r="M284" i="7944"/>
  <c r="O323"/>
  <c r="N323"/>
  <c r="I59"/>
  <c r="J323"/>
  <c r="K323"/>
  <c r="J162" i="1"/>
  <c r="M323" i="7944"/>
  <c r="I243"/>
  <c r="I253" s="1"/>
  <c r="K243"/>
  <c r="H243"/>
  <c r="H253" s="1"/>
  <c r="J243"/>
  <c r="H156" i="1"/>
  <c r="N243" i="7944"/>
  <c r="O243"/>
  <c r="M243"/>
  <c r="O90"/>
  <c r="J41"/>
  <c r="K90"/>
  <c r="N90"/>
  <c r="M90"/>
  <c r="K144" i="1"/>
  <c r="I126" i="7944"/>
  <c r="H126"/>
  <c r="H136" s="1"/>
  <c r="K126"/>
  <c r="J126"/>
  <c r="N126"/>
  <c r="G44"/>
  <c r="H12"/>
  <c r="H147" i="1"/>
  <c r="M126" i="7944"/>
  <c r="O126"/>
  <c r="N156"/>
  <c r="O156"/>
  <c r="K46"/>
  <c r="M156"/>
  <c r="L149" i="1"/>
  <c r="O245" i="7944"/>
  <c r="J245"/>
  <c r="K245"/>
  <c r="I53"/>
  <c r="M245"/>
  <c r="N245"/>
  <c r="J156" i="1"/>
  <c r="H142" i="7942"/>
  <c r="I142"/>
  <c r="K336" i="7944"/>
  <c r="O336"/>
  <c r="N336"/>
  <c r="M336"/>
  <c r="J163" i="1"/>
  <c r="J336" i="7944"/>
  <c r="I60"/>
  <c r="N364"/>
  <c r="L364"/>
  <c r="K364"/>
  <c r="J62"/>
  <c r="O364"/>
  <c r="K165" i="1"/>
  <c r="K155" i="7944"/>
  <c r="N155"/>
  <c r="M155"/>
  <c r="O155"/>
  <c r="J46"/>
  <c r="K149" i="1"/>
  <c r="J48" i="7944"/>
  <c r="M181"/>
  <c r="O181"/>
  <c r="K181"/>
  <c r="N181"/>
  <c r="K151" i="1"/>
  <c r="I270" i="7944"/>
  <c r="I279" s="1"/>
  <c r="K270"/>
  <c r="H55"/>
  <c r="N270"/>
  <c r="I158" i="1"/>
  <c r="M270" i="7944"/>
  <c r="J270"/>
  <c r="O270"/>
  <c r="H57"/>
  <c r="I296"/>
  <c r="J296" s="1"/>
  <c r="I160" i="1"/>
  <c r="N325" i="7944"/>
  <c r="K59"/>
  <c r="O325"/>
  <c r="M325"/>
  <c r="L162" i="1"/>
  <c r="K376" i="7944"/>
  <c r="N376"/>
  <c r="O376"/>
  <c r="H63"/>
  <c r="I166" i="1"/>
  <c r="I376" i="7944"/>
  <c r="I386" s="1"/>
  <c r="L376"/>
  <c r="J376"/>
  <c r="J386" s="1"/>
  <c r="G45" i="7941"/>
  <c r="G469" i="18"/>
  <c r="H444"/>
  <c r="G151" i="1"/>
  <c r="G52" i="7942"/>
  <c r="G84"/>
  <c r="G165" i="1"/>
  <c r="G66" i="7942"/>
  <c r="G98" s="1"/>
  <c r="L105" i="1"/>
  <c r="K164"/>
  <c r="K33" i="18"/>
  <c r="K491" s="1"/>
  <c r="K60" i="7941" s="1"/>
  <c r="G144" i="1"/>
  <c r="G45" i="7942"/>
  <c r="G77" s="1"/>
  <c r="G147" i="1"/>
  <c r="G48" i="7942"/>
  <c r="G80" s="1"/>
  <c r="J88" i="7944"/>
  <c r="K128"/>
  <c r="O180"/>
  <c r="M285"/>
  <c r="O334"/>
  <c r="J334"/>
  <c r="M257" i="18"/>
  <c r="L257"/>
  <c r="P257"/>
  <c r="K28"/>
  <c r="O257"/>
  <c r="Q257"/>
  <c r="N257"/>
  <c r="M247" i="7944"/>
  <c r="O247"/>
  <c r="K53"/>
  <c r="N247"/>
  <c r="L156" i="1"/>
  <c r="M338" i="7944"/>
  <c r="O338"/>
  <c r="N338"/>
  <c r="K60"/>
  <c r="L163" i="1"/>
  <c r="M152" i="18"/>
  <c r="K152"/>
  <c r="Q152"/>
  <c r="O152"/>
  <c r="N152"/>
  <c r="P152"/>
  <c r="J20"/>
  <c r="L152"/>
  <c r="K361" i="7944"/>
  <c r="N361"/>
  <c r="H165" i="1"/>
  <c r="H361" i="7944"/>
  <c r="H372" s="1"/>
  <c r="L361"/>
  <c r="G62"/>
  <c r="H30"/>
  <c r="J361"/>
  <c r="M91"/>
  <c r="K41"/>
  <c r="N91"/>
  <c r="O91"/>
  <c r="L144" i="1"/>
  <c r="K127" i="7944"/>
  <c r="J127"/>
  <c r="H44"/>
  <c r="N127"/>
  <c r="O127"/>
  <c r="I147" i="1"/>
  <c r="M127" i="7944"/>
  <c r="I127"/>
  <c r="K246"/>
  <c r="N246"/>
  <c r="O246"/>
  <c r="J53"/>
  <c r="M246"/>
  <c r="K156" i="1"/>
  <c r="I282" i="7944"/>
  <c r="J282"/>
  <c r="H282"/>
  <c r="H292" s="1"/>
  <c r="G56"/>
  <c r="H24" s="1"/>
  <c r="H159" i="1"/>
  <c r="K282" i="7944"/>
  <c r="M312"/>
  <c r="N312"/>
  <c r="K58"/>
  <c r="O312"/>
  <c r="L161" i="1"/>
  <c r="I61" i="7944"/>
  <c r="J164" i="1"/>
  <c r="J33" i="18"/>
  <c r="J491" s="1"/>
  <c r="J60" i="7941" s="1"/>
  <c r="G143" i="1"/>
  <c r="G71"/>
  <c r="H15" i="18"/>
  <c r="Q85"/>
  <c r="O85"/>
  <c r="N85"/>
  <c r="P85"/>
  <c r="J85"/>
  <c r="I85"/>
  <c r="M85"/>
  <c r="L85"/>
  <c r="K85"/>
  <c r="M241"/>
  <c r="H27"/>
  <c r="K241"/>
  <c r="L241"/>
  <c r="P241"/>
  <c r="J241"/>
  <c r="O241"/>
  <c r="Q241"/>
  <c r="N241"/>
  <c r="I241"/>
  <c r="I251" s="1"/>
  <c r="I647" s="1"/>
  <c r="H148" i="1"/>
  <c r="M139" i="7944"/>
  <c r="G45"/>
  <c r="H13"/>
  <c r="I139"/>
  <c r="K139"/>
  <c r="N139"/>
  <c r="J139"/>
  <c r="N87"/>
  <c r="G41"/>
  <c r="H9" s="1"/>
  <c r="J87"/>
  <c r="M87"/>
  <c r="H87"/>
  <c r="H97" s="1"/>
  <c r="H144" i="1"/>
  <c r="K87" i="7944"/>
  <c r="O87"/>
  <c r="I87"/>
  <c r="N115"/>
  <c r="K115"/>
  <c r="M115"/>
  <c r="J146" i="1"/>
  <c r="I43" i="7944"/>
  <c r="J115"/>
  <c r="O115"/>
  <c r="K152"/>
  <c r="H149" i="1"/>
  <c r="J152" i="7944"/>
  <c r="H152"/>
  <c r="H162" s="1"/>
  <c r="N152"/>
  <c r="M152"/>
  <c r="O152"/>
  <c r="I152"/>
  <c r="G46"/>
  <c r="H14"/>
  <c r="O182"/>
  <c r="M182"/>
  <c r="N182"/>
  <c r="K48"/>
  <c r="L151" i="1"/>
  <c r="K322" i="7944"/>
  <c r="I322"/>
  <c r="J322"/>
  <c r="O322"/>
  <c r="I162" i="1"/>
  <c r="M322" i="7944"/>
  <c r="H59"/>
  <c r="N322"/>
  <c r="N362"/>
  <c r="H62"/>
  <c r="I362"/>
  <c r="J362"/>
  <c r="O362"/>
  <c r="K362"/>
  <c r="I165" i="1"/>
  <c r="L362" i="7944"/>
  <c r="K40"/>
  <c r="L71" i="1"/>
  <c r="L143"/>
  <c r="O229" i="18"/>
  <c r="Q229"/>
  <c r="L229"/>
  <c r="N229"/>
  <c r="M229"/>
  <c r="P229"/>
  <c r="K229"/>
  <c r="J229"/>
  <c r="I26"/>
  <c r="H43" i="7944"/>
  <c r="N114"/>
  <c r="I114"/>
  <c r="I123" s="1"/>
  <c r="M114"/>
  <c r="J114"/>
  <c r="J123" s="1"/>
  <c r="K114"/>
  <c r="O114"/>
  <c r="I146" i="1"/>
  <c r="I178" i="7944"/>
  <c r="I188" s="1"/>
  <c r="O178"/>
  <c r="H178"/>
  <c r="H188" s="1"/>
  <c r="M178"/>
  <c r="G48"/>
  <c r="H16" s="1"/>
  <c r="H151" i="1"/>
  <c r="J178" i="7944"/>
  <c r="K178"/>
  <c r="N178"/>
  <c r="K259"/>
  <c r="O259"/>
  <c r="N259"/>
  <c r="M259"/>
  <c r="J54"/>
  <c r="K157" i="1"/>
  <c r="N286" i="7944"/>
  <c r="O286"/>
  <c r="K56"/>
  <c r="M286"/>
  <c r="L159" i="1"/>
  <c r="I321" i="7944"/>
  <c r="H162" i="1"/>
  <c r="G59" i="7944"/>
  <c r="H27"/>
  <c r="J321"/>
  <c r="M321"/>
  <c r="K321"/>
  <c r="H321"/>
  <c r="H331"/>
  <c r="N321"/>
  <c r="O321"/>
  <c r="H164" i="1"/>
  <c r="H33" i="18"/>
  <c r="G61" i="7944"/>
  <c r="H29" s="1"/>
  <c r="I29" s="1"/>
  <c r="J29" s="1"/>
  <c r="K29" s="1"/>
  <c r="L29" s="1"/>
  <c r="J40"/>
  <c r="K71" i="1"/>
  <c r="K143"/>
  <c r="H108" i="18"/>
  <c r="F64" i="7947"/>
  <c r="G105" i="1"/>
  <c r="G150"/>
  <c r="G51" i="7942"/>
  <c r="G83" s="1"/>
  <c r="G159" i="1"/>
  <c r="G60" i="7942"/>
  <c r="G92"/>
  <c r="I105" i="1"/>
  <c r="G149"/>
  <c r="G50" i="7942"/>
  <c r="G82"/>
  <c r="I361" i="7944"/>
  <c r="J61"/>
  <c r="I44"/>
  <c r="I48"/>
  <c r="N285"/>
  <c r="O285" s="1"/>
  <c r="P285" s="1"/>
  <c r="J56"/>
  <c r="N221"/>
  <c r="N143"/>
  <c r="O143"/>
  <c r="M143"/>
  <c r="K45"/>
  <c r="L148" i="1"/>
  <c r="K324" i="7944"/>
  <c r="O324"/>
  <c r="J59"/>
  <c r="N324"/>
  <c r="K162" i="1"/>
  <c r="M324" i="7944"/>
  <c r="H147" i="18"/>
  <c r="H639" s="1"/>
  <c r="F106" i="7947"/>
  <c r="H41" i="7944"/>
  <c r="I144" i="1"/>
  <c r="O88" i="7944"/>
  <c r="M88"/>
  <c r="N100" i="18"/>
  <c r="M100"/>
  <c r="O100"/>
  <c r="K100"/>
  <c r="L100"/>
  <c r="Q100"/>
  <c r="P100"/>
  <c r="J16"/>
  <c r="N116" i="7944"/>
  <c r="O116"/>
  <c r="K116"/>
  <c r="M116"/>
  <c r="J43"/>
  <c r="K146" i="1"/>
  <c r="I153" i="7944"/>
  <c r="O153"/>
  <c r="J153"/>
  <c r="H46"/>
  <c r="M153"/>
  <c r="K153"/>
  <c r="N153"/>
  <c r="I149" i="1"/>
  <c r="H134" i="7942"/>
  <c r="I134" s="1"/>
  <c r="N271" i="7944"/>
  <c r="J271"/>
  <c r="M271"/>
  <c r="J158" i="1"/>
  <c r="O271" i="7944"/>
  <c r="K271"/>
  <c r="I55"/>
  <c r="H308"/>
  <c r="H318" s="1"/>
  <c r="H161" i="1"/>
  <c r="I308" i="7944"/>
  <c r="I318" s="1"/>
  <c r="K308"/>
  <c r="N308"/>
  <c r="G58"/>
  <c r="H26" s="1"/>
  <c r="J308"/>
  <c r="M308"/>
  <c r="M337"/>
  <c r="N337"/>
  <c r="J60"/>
  <c r="K337"/>
  <c r="K163" i="1"/>
  <c r="O337" i="7944"/>
  <c r="K63"/>
  <c r="L379"/>
  <c r="N379"/>
  <c r="O379"/>
  <c r="L166" i="1"/>
  <c r="O167" i="7944"/>
  <c r="K167"/>
  <c r="M167"/>
  <c r="N167"/>
  <c r="I47"/>
  <c r="J167"/>
  <c r="J150" i="1"/>
  <c r="J143"/>
  <c r="I40" i="7944"/>
  <c r="J105" i="1"/>
  <c r="K42" i="7944"/>
  <c r="O104"/>
  <c r="M104"/>
  <c r="N104"/>
  <c r="L145" i="1"/>
  <c r="O141" i="7944"/>
  <c r="K141"/>
  <c r="M141"/>
  <c r="N141"/>
  <c r="J141"/>
  <c r="I45"/>
  <c r="J148" i="1"/>
  <c r="N169" i="7944"/>
  <c r="K47"/>
  <c r="M169"/>
  <c r="O169"/>
  <c r="L150" i="1"/>
  <c r="O260" i="7944"/>
  <c r="M260"/>
  <c r="N260"/>
  <c r="K54"/>
  <c r="L157" i="1"/>
  <c r="M311" i="7944"/>
  <c r="N311"/>
  <c r="O311"/>
  <c r="J58"/>
  <c r="K311"/>
  <c r="K161" i="1"/>
  <c r="K61" i="7944"/>
  <c r="L164" i="1"/>
  <c r="L33" i="18"/>
  <c r="H40" i="7944"/>
  <c r="I71" i="1"/>
  <c r="I143"/>
  <c r="J154" i="7944"/>
  <c r="M154"/>
  <c r="J149" i="1"/>
  <c r="O154" i="7944"/>
  <c r="N154"/>
  <c r="K154"/>
  <c r="K334"/>
  <c r="I334"/>
  <c r="I344" s="1"/>
  <c r="G60"/>
  <c r="H28" s="1"/>
  <c r="H334"/>
  <c r="H344" s="1"/>
  <c r="H163" i="1"/>
  <c r="M103" i="7944"/>
  <c r="K145" i="1"/>
  <c r="N103" i="7944"/>
  <c r="O103"/>
  <c r="J42"/>
  <c r="K103"/>
  <c r="O140"/>
  <c r="N140"/>
  <c r="K140"/>
  <c r="I148" i="1"/>
  <c r="H45" i="7944"/>
  <c r="M140"/>
  <c r="I140"/>
  <c r="J140"/>
  <c r="O168"/>
  <c r="J47"/>
  <c r="K168"/>
  <c r="M168"/>
  <c r="N168"/>
  <c r="K150" i="1"/>
  <c r="K283" i="7944"/>
  <c r="J283"/>
  <c r="H56"/>
  <c r="I159" i="1"/>
  <c r="I283" i="7944"/>
  <c r="I58"/>
  <c r="N310"/>
  <c r="J310"/>
  <c r="M310"/>
  <c r="O310"/>
  <c r="J161" i="1"/>
  <c r="K310" i="7944"/>
  <c r="G40"/>
  <c r="H143" i="1"/>
  <c r="H71"/>
  <c r="F274" i="7947"/>
  <c r="P291" i="18"/>
  <c r="Q291" s="1"/>
  <c r="H225"/>
  <c r="H645"/>
  <c r="H515" s="1"/>
  <c r="H84" i="7941" s="1"/>
  <c r="F190" i="7947"/>
  <c r="K105" i="1"/>
  <c r="J139"/>
  <c r="G157"/>
  <c r="G58" i="7942"/>
  <c r="G90"/>
  <c r="G164" i="1"/>
  <c r="G65" i="7942"/>
  <c r="G97" s="1"/>
  <c r="G53" i="7944"/>
  <c r="H21" s="1"/>
  <c r="I21" s="1"/>
  <c r="I88"/>
  <c r="M128"/>
  <c r="O128"/>
  <c r="N180"/>
  <c r="K180"/>
  <c r="O221"/>
  <c r="I175"/>
  <c r="J344"/>
  <c r="M385" i="18"/>
  <c r="J482"/>
  <c r="J51" i="7941"/>
  <c r="F179" i="7947"/>
  <c r="G179" s="1"/>
  <c r="N385" i="18"/>
  <c r="O385"/>
  <c r="M457" i="7944"/>
  <c r="N457"/>
  <c r="I408" i="18"/>
  <c r="L399"/>
  <c r="I356"/>
  <c r="J4" i="7944"/>
  <c r="K4" i="18"/>
  <c r="L40" i="1"/>
  <c r="K176"/>
  <c r="K4" i="7941"/>
  <c r="K74" i="1"/>
  <c r="K108"/>
  <c r="K142"/>
  <c r="K4" i="7942"/>
  <c r="F176" i="7947"/>
  <c r="F36"/>
  <c r="M399" i="18"/>
  <c r="N399"/>
  <c r="K212"/>
  <c r="F92" i="7947"/>
  <c r="L162" i="7942"/>
  <c r="M162" s="1"/>
  <c r="J381" i="18"/>
  <c r="J657" s="1"/>
  <c r="L369"/>
  <c r="K303" i="7942"/>
  <c r="L303"/>
  <c r="J188" i="7944"/>
  <c r="S373"/>
  <c r="O380"/>
  <c r="O92"/>
  <c r="O215"/>
  <c r="O93"/>
  <c r="O198"/>
  <c r="O359"/>
  <c r="O131"/>
  <c r="O241"/>
  <c r="O438"/>
  <c r="O184"/>
  <c r="O327"/>
  <c r="O406"/>
  <c r="O345"/>
  <c r="O194"/>
  <c r="O193"/>
  <c r="O218"/>
  <c r="O191"/>
  <c r="O208"/>
  <c r="O309"/>
  <c r="O172"/>
  <c r="O196"/>
  <c r="O340"/>
  <c r="O85"/>
  <c r="O170"/>
  <c r="O407"/>
  <c r="O435"/>
  <c r="O467"/>
  <c r="O332"/>
  <c r="O452"/>
  <c r="O176"/>
  <c r="O107"/>
  <c r="O163"/>
  <c r="O300"/>
  <c r="O275"/>
  <c r="O248"/>
  <c r="O465"/>
  <c r="O395"/>
  <c r="O392"/>
  <c r="O424"/>
  <c r="O381"/>
  <c r="O382"/>
  <c r="O367"/>
  <c r="O451"/>
  <c r="O189"/>
  <c r="O313"/>
  <c r="O171"/>
  <c r="O328"/>
  <c r="O124"/>
  <c r="O209"/>
  <c r="O326"/>
  <c r="O158"/>
  <c r="O287"/>
  <c r="O437"/>
  <c r="O373"/>
  <c r="O192"/>
  <c r="O224"/>
  <c r="O254"/>
  <c r="O410"/>
  <c r="O133"/>
  <c r="O222"/>
  <c r="O94"/>
  <c r="O228"/>
  <c r="O159"/>
  <c r="O397"/>
  <c r="O202"/>
  <c r="O422"/>
  <c r="O457"/>
  <c r="O249"/>
  <c r="O235"/>
  <c r="O450"/>
  <c r="O464"/>
  <c r="O205"/>
  <c r="O368"/>
  <c r="O366"/>
  <c r="O72"/>
  <c r="O144"/>
  <c r="O302"/>
  <c r="O145"/>
  <c r="O293"/>
  <c r="O98"/>
  <c r="O183"/>
  <c r="O301"/>
  <c r="O132"/>
  <c r="O262"/>
  <c r="O463"/>
  <c r="O462"/>
  <c r="O206"/>
  <c r="O230"/>
  <c r="O220"/>
  <c r="O207"/>
  <c r="O231"/>
  <c r="O375"/>
  <c r="O315"/>
  <c r="O319"/>
  <c r="O105"/>
  <c r="O185"/>
  <c r="O306"/>
  <c r="O466"/>
  <c r="O411"/>
  <c r="O146"/>
  <c r="O289"/>
  <c r="O211"/>
  <c r="O288"/>
  <c r="O394"/>
  <c r="O236"/>
  <c r="O393"/>
  <c r="O449"/>
  <c r="O421"/>
  <c r="O448"/>
  <c r="O408"/>
  <c r="O197"/>
  <c r="O118"/>
  <c r="O267"/>
  <c r="O119"/>
  <c r="O223"/>
  <c r="O157"/>
  <c r="O261"/>
  <c r="P3"/>
  <c r="P269" s="1"/>
  <c r="O106"/>
  <c r="O210"/>
  <c r="O341"/>
  <c r="O436"/>
  <c r="O396"/>
  <c r="O204"/>
  <c r="O232"/>
  <c r="O113"/>
  <c r="O217"/>
  <c r="O233"/>
  <c r="O425"/>
  <c r="O120"/>
  <c r="O150"/>
  <c r="O263"/>
  <c r="O439"/>
  <c r="O137"/>
  <c r="O280"/>
  <c r="O314"/>
  <c r="O453"/>
  <c r="O339"/>
  <c r="O111"/>
  <c r="O409"/>
  <c r="O237"/>
  <c r="O274"/>
  <c r="O276"/>
  <c r="O250"/>
  <c r="O423"/>
  <c r="O195"/>
  <c r="O234"/>
  <c r="O139"/>
  <c r="O257"/>
  <c r="O219"/>
  <c r="P300"/>
  <c r="P309"/>
  <c r="M205" i="18"/>
  <c r="L205"/>
  <c r="L212" s="1"/>
  <c r="L644" s="1"/>
  <c r="P205"/>
  <c r="N205"/>
  <c r="Q205"/>
  <c r="O205"/>
  <c r="K24"/>
  <c r="L153" i="1"/>
  <c r="M178"/>
  <c r="L7" i="18"/>
  <c r="L491"/>
  <c r="L60" i="7941"/>
  <c r="L167" i="1"/>
  <c r="L169"/>
  <c r="L170"/>
  <c r="L172"/>
  <c r="L155"/>
  <c r="L171"/>
  <c r="L168"/>
  <c r="L152"/>
  <c r="L361" i="18"/>
  <c r="K36"/>
  <c r="K494" s="1"/>
  <c r="K63" i="7941" s="1"/>
  <c r="J160" i="7942"/>
  <c r="K160" s="1"/>
  <c r="N289"/>
  <c r="O289"/>
  <c r="L386" i="18"/>
  <c r="M386" s="1"/>
  <c r="N386" s="1"/>
  <c r="L360"/>
  <c r="J479"/>
  <c r="J48" i="7941"/>
  <c r="F137" i="7947"/>
  <c r="M272" i="7942"/>
  <c r="F151" i="7947"/>
  <c r="J480" i="18"/>
  <c r="J49" i="7941"/>
  <c r="L387" i="18"/>
  <c r="M387" s="1"/>
  <c r="N387" s="1"/>
  <c r="K38"/>
  <c r="K496"/>
  <c r="K65" i="7941"/>
  <c r="K632" i="18"/>
  <c r="K644"/>
  <c r="L426"/>
  <c r="K41"/>
  <c r="K499"/>
  <c r="K68" i="7941"/>
  <c r="L374" i="18"/>
  <c r="K37"/>
  <c r="K495" s="1"/>
  <c r="K64" i="7941" s="1"/>
  <c r="K39" i="18"/>
  <c r="K497" s="1"/>
  <c r="K66" i="7941" s="1"/>
  <c r="L400" i="18"/>
  <c r="M166"/>
  <c r="O166"/>
  <c r="L166"/>
  <c r="P166"/>
  <c r="K21"/>
  <c r="Q166"/>
  <c r="N166"/>
  <c r="N425"/>
  <c r="J156" i="7942"/>
  <c r="F165" i="7947"/>
  <c r="G165" s="1"/>
  <c r="J481" i="18"/>
  <c r="J50" i="7941" s="1"/>
  <c r="M192" i="18"/>
  <c r="Q192"/>
  <c r="L192"/>
  <c r="L199"/>
  <c r="L643" s="1"/>
  <c r="N192"/>
  <c r="O192"/>
  <c r="K23"/>
  <c r="P192"/>
  <c r="K22"/>
  <c r="P179"/>
  <c r="M179"/>
  <c r="Q179"/>
  <c r="N179"/>
  <c r="L179"/>
  <c r="O179"/>
  <c r="K40"/>
  <c r="K498"/>
  <c r="K67" i="7941" s="1"/>
  <c r="L413" i="18"/>
  <c r="M413" s="1"/>
  <c r="L373"/>
  <c r="M373" s="1"/>
  <c r="N273" i="7942"/>
  <c r="O273"/>
  <c r="N274" s="1"/>
  <c r="L412" i="18"/>
  <c r="O271" i="7942"/>
  <c r="N272"/>
  <c r="M282" i="7944"/>
  <c r="N282" s="1"/>
  <c r="J142" i="7942"/>
  <c r="M283" i="7944"/>
  <c r="K132" i="7942"/>
  <c r="M132" s="1"/>
  <c r="L132"/>
  <c r="M126"/>
  <c r="L127"/>
  <c r="I295" i="7944"/>
  <c r="I118" i="7942"/>
  <c r="I146"/>
  <c r="J146"/>
  <c r="I331" i="7944"/>
  <c r="P270"/>
  <c r="I372"/>
  <c r="J331"/>
  <c r="P362"/>
  <c r="J97"/>
  <c r="H12" i="18"/>
  <c r="H173" i="1"/>
  <c r="P75" i="18"/>
  <c r="Q75"/>
  <c r="L75"/>
  <c r="M75"/>
  <c r="K14"/>
  <c r="O75"/>
  <c r="N75"/>
  <c r="L19"/>
  <c r="P141"/>
  <c r="N141"/>
  <c r="O141"/>
  <c r="Q141"/>
  <c r="M141"/>
  <c r="H30"/>
  <c r="K280"/>
  <c r="N280"/>
  <c r="P280"/>
  <c r="L280"/>
  <c r="O280"/>
  <c r="J280"/>
  <c r="I280"/>
  <c r="M280"/>
  <c r="Q280"/>
  <c r="N125"/>
  <c r="K125"/>
  <c r="I18"/>
  <c r="O125"/>
  <c r="P125"/>
  <c r="Q125"/>
  <c r="M125"/>
  <c r="J125"/>
  <c r="L125"/>
  <c r="J474"/>
  <c r="J43" i="7941"/>
  <c r="F67" i="7947"/>
  <c r="G67" s="1"/>
  <c r="H120" i="7942"/>
  <c r="S319" i="7944"/>
  <c r="K331"/>
  <c r="M293" i="18"/>
  <c r="K293"/>
  <c r="P293"/>
  <c r="Q293"/>
  <c r="O293"/>
  <c r="I293"/>
  <c r="I303" s="1"/>
  <c r="I651" s="1"/>
  <c r="J293"/>
  <c r="L293"/>
  <c r="N293"/>
  <c r="H31"/>
  <c r="S176" i="7944"/>
  <c r="K188"/>
  <c r="O154" i="18"/>
  <c r="M154"/>
  <c r="L20"/>
  <c r="Q154"/>
  <c r="P154"/>
  <c r="N154"/>
  <c r="M87"/>
  <c r="J15"/>
  <c r="K87"/>
  <c r="Q87"/>
  <c r="N87"/>
  <c r="P87"/>
  <c r="O87"/>
  <c r="L87"/>
  <c r="K59"/>
  <c r="O59"/>
  <c r="N59"/>
  <c r="M59"/>
  <c r="L59"/>
  <c r="I59"/>
  <c r="I69" s="1"/>
  <c r="H13"/>
  <c r="J59"/>
  <c r="P59"/>
  <c r="Q59"/>
  <c r="S280" i="7944"/>
  <c r="K292"/>
  <c r="S359"/>
  <c r="K372"/>
  <c r="K486" i="18"/>
  <c r="K55" i="7941"/>
  <c r="F236" i="7947"/>
  <c r="G236" s="1"/>
  <c r="H124" i="7942"/>
  <c r="P242" i="18"/>
  <c r="Q242"/>
  <c r="L242"/>
  <c r="J242"/>
  <c r="O242"/>
  <c r="I27"/>
  <c r="M242"/>
  <c r="N242"/>
  <c r="K242"/>
  <c r="L127"/>
  <c r="N127"/>
  <c r="K18"/>
  <c r="Q127"/>
  <c r="O127"/>
  <c r="M127"/>
  <c r="P127"/>
  <c r="K217"/>
  <c r="J25"/>
  <c r="N217"/>
  <c r="P217"/>
  <c r="M217"/>
  <c r="L217"/>
  <c r="Q217"/>
  <c r="O217"/>
  <c r="N128"/>
  <c r="P128"/>
  <c r="M128"/>
  <c r="Q128"/>
  <c r="O128"/>
  <c r="L18"/>
  <c r="L62"/>
  <c r="O62"/>
  <c r="K13"/>
  <c r="N62"/>
  <c r="P62"/>
  <c r="Q62"/>
  <c r="M62"/>
  <c r="N244"/>
  <c r="P244"/>
  <c r="L244"/>
  <c r="O244"/>
  <c r="M244"/>
  <c r="K27"/>
  <c r="Q244"/>
  <c r="N245"/>
  <c r="P245"/>
  <c r="O245"/>
  <c r="L27"/>
  <c r="M245"/>
  <c r="Q245"/>
  <c r="S163" i="7944"/>
  <c r="K175"/>
  <c r="M269" i="18"/>
  <c r="J29"/>
  <c r="O269"/>
  <c r="L269"/>
  <c r="N269"/>
  <c r="K269"/>
  <c r="P230"/>
  <c r="O230"/>
  <c r="L230"/>
  <c r="N230"/>
  <c r="Q230"/>
  <c r="K230"/>
  <c r="J26"/>
  <c r="M230"/>
  <c r="P347"/>
  <c r="J35"/>
  <c r="O347"/>
  <c r="Q347"/>
  <c r="K347"/>
  <c r="M347"/>
  <c r="N347"/>
  <c r="L347"/>
  <c r="P151"/>
  <c r="I20"/>
  <c r="M151"/>
  <c r="Q151"/>
  <c r="K151"/>
  <c r="N151"/>
  <c r="J151"/>
  <c r="O151"/>
  <c r="L151"/>
  <c r="H493"/>
  <c r="H39" i="7944"/>
  <c r="O308"/>
  <c r="I162"/>
  <c r="I97"/>
  <c r="J292"/>
  <c r="O361"/>
  <c r="J136"/>
  <c r="J253"/>
  <c r="N284"/>
  <c r="O284" s="1"/>
  <c r="P284" s="1"/>
  <c r="K386"/>
  <c r="J175"/>
  <c r="N299"/>
  <c r="N282" i="18"/>
  <c r="K282"/>
  <c r="M282"/>
  <c r="O282"/>
  <c r="J30"/>
  <c r="Q282"/>
  <c r="P282"/>
  <c r="L282"/>
  <c r="K255"/>
  <c r="M255"/>
  <c r="O255"/>
  <c r="J255"/>
  <c r="N255"/>
  <c r="P255"/>
  <c r="L255"/>
  <c r="I28"/>
  <c r="O140"/>
  <c r="L140"/>
  <c r="N140"/>
  <c r="K19"/>
  <c r="P140"/>
  <c r="Q140"/>
  <c r="M140"/>
  <c r="K126"/>
  <c r="J18"/>
  <c r="P126"/>
  <c r="O126"/>
  <c r="N126"/>
  <c r="L126"/>
  <c r="Q126"/>
  <c r="M126"/>
  <c r="M283"/>
  <c r="P283"/>
  <c r="K30"/>
  <c r="O283"/>
  <c r="Q283"/>
  <c r="L283"/>
  <c r="N283"/>
  <c r="J19"/>
  <c r="K139"/>
  <c r="O139"/>
  <c r="P139"/>
  <c r="M139"/>
  <c r="N139"/>
  <c r="L139"/>
  <c r="Q139"/>
  <c r="N349"/>
  <c r="P349"/>
  <c r="M349"/>
  <c r="L35"/>
  <c r="Q349"/>
  <c r="O349"/>
  <c r="K32"/>
  <c r="L309"/>
  <c r="N309"/>
  <c r="P309"/>
  <c r="Q309"/>
  <c r="O309"/>
  <c r="M309"/>
  <c r="I13"/>
  <c r="P60"/>
  <c r="Q60"/>
  <c r="J60"/>
  <c r="M60"/>
  <c r="L60"/>
  <c r="O60"/>
  <c r="N60"/>
  <c r="K60"/>
  <c r="K173" i="1"/>
  <c r="K12" i="18"/>
  <c r="F303" i="7947"/>
  <c r="H491" i="18"/>
  <c r="S111" i="7944"/>
  <c r="K123"/>
  <c r="L12" i="18"/>
  <c r="L173" i="1"/>
  <c r="M333" i="18"/>
  <c r="L333"/>
  <c r="N333"/>
  <c r="I34"/>
  <c r="P333"/>
  <c r="J333"/>
  <c r="O333"/>
  <c r="K333"/>
  <c r="Q333"/>
  <c r="K162" i="7944"/>
  <c r="S150"/>
  <c r="K97"/>
  <c r="S85"/>
  <c r="G44" i="7942"/>
  <c r="G173" i="1"/>
  <c r="M284" i="18"/>
  <c r="P284"/>
  <c r="O284"/>
  <c r="Q284"/>
  <c r="L30"/>
  <c r="N284"/>
  <c r="I16"/>
  <c r="O99"/>
  <c r="P99"/>
  <c r="N99"/>
  <c r="M99"/>
  <c r="L99"/>
  <c r="J99"/>
  <c r="Q99"/>
  <c r="K99"/>
  <c r="Q219"/>
  <c r="M219"/>
  <c r="O219"/>
  <c r="P219"/>
  <c r="L25"/>
  <c r="N219"/>
  <c r="H13" i="7941"/>
  <c r="G205"/>
  <c r="J346" i="18"/>
  <c r="M346"/>
  <c r="I35"/>
  <c r="P346"/>
  <c r="K346"/>
  <c r="L346"/>
  <c r="O346"/>
  <c r="Q346"/>
  <c r="N346"/>
  <c r="M268"/>
  <c r="K268"/>
  <c r="I29"/>
  <c r="L268"/>
  <c r="N268"/>
  <c r="J268"/>
  <c r="K279" i="7944"/>
  <c r="S267"/>
  <c r="K34" i="18"/>
  <c r="Q335"/>
  <c r="L335"/>
  <c r="N335"/>
  <c r="O335"/>
  <c r="P335"/>
  <c r="M335"/>
  <c r="K215"/>
  <c r="P215"/>
  <c r="H25"/>
  <c r="J215"/>
  <c r="M215"/>
  <c r="Q215"/>
  <c r="O215"/>
  <c r="N215"/>
  <c r="I215"/>
  <c r="I225"/>
  <c r="I645" s="1"/>
  <c r="L215"/>
  <c r="L256"/>
  <c r="Q256"/>
  <c r="J28"/>
  <c r="K256"/>
  <c r="O256"/>
  <c r="M256"/>
  <c r="P256"/>
  <c r="N256"/>
  <c r="J73"/>
  <c r="O73"/>
  <c r="K73"/>
  <c r="P73"/>
  <c r="Q73"/>
  <c r="M73"/>
  <c r="N73"/>
  <c r="I14"/>
  <c r="L73"/>
  <c r="N74"/>
  <c r="M74"/>
  <c r="P74"/>
  <c r="O74"/>
  <c r="L74"/>
  <c r="Q74"/>
  <c r="J14"/>
  <c r="K74"/>
  <c r="H114" i="7942"/>
  <c r="K35" i="18"/>
  <c r="M348"/>
  <c r="N348"/>
  <c r="P348"/>
  <c r="Q348"/>
  <c r="O348"/>
  <c r="L348"/>
  <c r="F331" i="7947"/>
  <c r="G331" s="1"/>
  <c r="H19" i="18"/>
  <c r="K137"/>
  <c r="L137"/>
  <c r="N137"/>
  <c r="I137"/>
  <c r="I147" s="1"/>
  <c r="I639" s="1"/>
  <c r="J137"/>
  <c r="O137"/>
  <c r="Q137"/>
  <c r="P137"/>
  <c r="M137"/>
  <c r="M61"/>
  <c r="N61"/>
  <c r="Q61"/>
  <c r="P61"/>
  <c r="J13"/>
  <c r="L61"/>
  <c r="K61"/>
  <c r="O61"/>
  <c r="N72"/>
  <c r="Q72"/>
  <c r="O72"/>
  <c r="I72"/>
  <c r="I82" s="1"/>
  <c r="I634" s="1"/>
  <c r="H14"/>
  <c r="J72"/>
  <c r="J82" s="1"/>
  <c r="J634" s="1"/>
  <c r="K72"/>
  <c r="L72"/>
  <c r="M72"/>
  <c r="P72"/>
  <c r="J267"/>
  <c r="J277"/>
  <c r="J649" s="1"/>
  <c r="H29"/>
  <c r="I267"/>
  <c r="I277"/>
  <c r="I649" s="1"/>
  <c r="K267"/>
  <c r="K277"/>
  <c r="K649"/>
  <c r="L267"/>
  <c r="M267"/>
  <c r="Q114"/>
  <c r="P114"/>
  <c r="M114"/>
  <c r="N114"/>
  <c r="L114"/>
  <c r="O114"/>
  <c r="K17"/>
  <c r="N283" i="7944"/>
  <c r="O283" s="1"/>
  <c r="P283" s="1"/>
  <c r="J318"/>
  <c r="I27"/>
  <c r="J27" s="1"/>
  <c r="K27" s="1"/>
  <c r="L27" s="1"/>
  <c r="I136"/>
  <c r="K297"/>
  <c r="I110"/>
  <c r="K355" i="18"/>
  <c r="K655"/>
  <c r="H136" i="7942"/>
  <c r="O112" i="18"/>
  <c r="K112"/>
  <c r="P112"/>
  <c r="J112"/>
  <c r="N112"/>
  <c r="Q112"/>
  <c r="M112"/>
  <c r="L112"/>
  <c r="I17"/>
  <c r="P306"/>
  <c r="L306"/>
  <c r="O306"/>
  <c r="K306"/>
  <c r="Q306"/>
  <c r="M306"/>
  <c r="H32"/>
  <c r="N306"/>
  <c r="I306"/>
  <c r="I316" s="1"/>
  <c r="I652" s="1"/>
  <c r="J306"/>
  <c r="S332" i="7944"/>
  <c r="K344"/>
  <c r="I173" i="1"/>
  <c r="I12" i="18"/>
  <c r="N232"/>
  <c r="M232"/>
  <c r="P232"/>
  <c r="O232"/>
  <c r="Q232"/>
  <c r="L26"/>
  <c r="M113"/>
  <c r="Q113"/>
  <c r="J17"/>
  <c r="O113"/>
  <c r="N113"/>
  <c r="L113"/>
  <c r="K113"/>
  <c r="P113"/>
  <c r="O76"/>
  <c r="L14"/>
  <c r="N76"/>
  <c r="M76"/>
  <c r="P76"/>
  <c r="Q76"/>
  <c r="J12"/>
  <c r="J173" i="1"/>
  <c r="S306" i="7944"/>
  <c r="K318"/>
  <c r="L243" i="18"/>
  <c r="L251" s="1"/>
  <c r="L647" s="1"/>
  <c r="O243"/>
  <c r="N243"/>
  <c r="J27"/>
  <c r="P243"/>
  <c r="Q243"/>
  <c r="M243"/>
  <c r="K243"/>
  <c r="Q115"/>
  <c r="P115"/>
  <c r="O115"/>
  <c r="L17"/>
  <c r="N115"/>
  <c r="M115"/>
  <c r="H140" i="7942"/>
  <c r="H636" i="18"/>
  <c r="Q258"/>
  <c r="L28"/>
  <c r="N258"/>
  <c r="O258"/>
  <c r="M258"/>
  <c r="P258"/>
  <c r="J150"/>
  <c r="J160"/>
  <c r="J640"/>
  <c r="M150"/>
  <c r="P150"/>
  <c r="N150"/>
  <c r="O150"/>
  <c r="L150"/>
  <c r="K150"/>
  <c r="K160" s="1"/>
  <c r="K640" s="1"/>
  <c r="Q150"/>
  <c r="I150"/>
  <c r="I160" s="1"/>
  <c r="I640" s="1"/>
  <c r="H20"/>
  <c r="I484"/>
  <c r="I53" i="7941" s="1"/>
  <c r="F206" i="7947"/>
  <c r="G206" s="1"/>
  <c r="M294" i="18"/>
  <c r="P294"/>
  <c r="N294"/>
  <c r="L294"/>
  <c r="K294"/>
  <c r="Q294"/>
  <c r="J294"/>
  <c r="O294"/>
  <c r="I31"/>
  <c r="M124"/>
  <c r="N124"/>
  <c r="Q124"/>
  <c r="L124"/>
  <c r="L134" s="1"/>
  <c r="L638" s="1"/>
  <c r="J124"/>
  <c r="J134" s="1"/>
  <c r="J638" s="1"/>
  <c r="K124"/>
  <c r="K134"/>
  <c r="K638" s="1"/>
  <c r="O124"/>
  <c r="H18"/>
  <c r="I124"/>
  <c r="I134" s="1"/>
  <c r="I638" s="1"/>
  <c r="P124"/>
  <c r="F219" i="7947"/>
  <c r="G219" s="1"/>
  <c r="H485" i="18"/>
  <c r="R72" i="1"/>
  <c r="L218" i="18"/>
  <c r="M218"/>
  <c r="P218"/>
  <c r="O218"/>
  <c r="N218"/>
  <c r="Q218"/>
  <c r="K25"/>
  <c r="P63"/>
  <c r="N63"/>
  <c r="M63"/>
  <c r="O63"/>
  <c r="L13"/>
  <c r="Q63"/>
  <c r="N332"/>
  <c r="I332"/>
  <c r="K332"/>
  <c r="L332"/>
  <c r="P332"/>
  <c r="J332"/>
  <c r="H34"/>
  <c r="O332"/>
  <c r="Q332"/>
  <c r="M332"/>
  <c r="J478"/>
  <c r="J47" i="7941" s="1"/>
  <c r="F123" i="7947"/>
  <c r="G123" s="1"/>
  <c r="K253" i="7944"/>
  <c r="S241"/>
  <c r="L295" i="18"/>
  <c r="P295"/>
  <c r="O295"/>
  <c r="K295"/>
  <c r="J31"/>
  <c r="M295"/>
  <c r="Q295"/>
  <c r="N295"/>
  <c r="K266" i="7944"/>
  <c r="S254"/>
  <c r="M193" i="18"/>
  <c r="Q193"/>
  <c r="O193"/>
  <c r="L23"/>
  <c r="N193"/>
  <c r="P193"/>
  <c r="P334"/>
  <c r="Q334"/>
  <c r="J34"/>
  <c r="O334"/>
  <c r="N334"/>
  <c r="L334"/>
  <c r="K334"/>
  <c r="M334"/>
  <c r="H154" i="7942"/>
  <c r="J307" i="18"/>
  <c r="K307"/>
  <c r="M307"/>
  <c r="L307"/>
  <c r="P307"/>
  <c r="I32"/>
  <c r="O307"/>
  <c r="Q307"/>
  <c r="N307"/>
  <c r="L216"/>
  <c r="I25"/>
  <c r="K216"/>
  <c r="O216"/>
  <c r="M216"/>
  <c r="N216"/>
  <c r="Q216"/>
  <c r="P216"/>
  <c r="J216"/>
  <c r="L138"/>
  <c r="O138"/>
  <c r="N138"/>
  <c r="J138"/>
  <c r="Q138"/>
  <c r="K138"/>
  <c r="M138"/>
  <c r="I19"/>
  <c r="P138"/>
  <c r="S98" i="7944"/>
  <c r="K110"/>
  <c r="L34" i="18"/>
  <c r="N336"/>
  <c r="Q336"/>
  <c r="P336"/>
  <c r="M336"/>
  <c r="O336"/>
  <c r="L15"/>
  <c r="M89"/>
  <c r="Q89"/>
  <c r="O89"/>
  <c r="P89"/>
  <c r="N89"/>
  <c r="J149" i="7944"/>
  <c r="I149"/>
  <c r="J251" i="18"/>
  <c r="J647"/>
  <c r="J372" i="7944"/>
  <c r="J279"/>
  <c r="I305"/>
  <c r="J112" i="7942"/>
  <c r="G39" i="7944"/>
  <c r="H8"/>
  <c r="N88" i="18"/>
  <c r="K15"/>
  <c r="M88"/>
  <c r="Q88"/>
  <c r="O88"/>
  <c r="L88"/>
  <c r="P88"/>
  <c r="L296"/>
  <c r="P296"/>
  <c r="O296"/>
  <c r="M296"/>
  <c r="Q296"/>
  <c r="N296"/>
  <c r="K31"/>
  <c r="R106" i="1"/>
  <c r="K26" i="18"/>
  <c r="P231"/>
  <c r="N231"/>
  <c r="M231"/>
  <c r="O231"/>
  <c r="Q231"/>
  <c r="L231"/>
  <c r="I15"/>
  <c r="P86"/>
  <c r="L86"/>
  <c r="J86"/>
  <c r="K86"/>
  <c r="M86"/>
  <c r="Q86"/>
  <c r="O86"/>
  <c r="N86"/>
  <c r="S137" i="7944"/>
  <c r="K149"/>
  <c r="L111" i="18"/>
  <c r="I111"/>
  <c r="J111"/>
  <c r="N111"/>
  <c r="K111"/>
  <c r="O111"/>
  <c r="H17"/>
  <c r="Q111"/>
  <c r="P111"/>
  <c r="M111"/>
  <c r="F51" i="7947"/>
  <c r="G51" s="1"/>
  <c r="H473" i="18"/>
  <c r="L254"/>
  <c r="L264"/>
  <c r="L648" s="1"/>
  <c r="O254"/>
  <c r="J254"/>
  <c r="J264"/>
  <c r="J648" s="1"/>
  <c r="N254"/>
  <c r="H28"/>
  <c r="K254"/>
  <c r="K264" s="1"/>
  <c r="K648" s="1"/>
  <c r="I254"/>
  <c r="I264"/>
  <c r="I648" s="1"/>
  <c r="M254"/>
  <c r="Q310"/>
  <c r="P310"/>
  <c r="N310"/>
  <c r="L32"/>
  <c r="O310"/>
  <c r="M310"/>
  <c r="H672"/>
  <c r="H508"/>
  <c r="H77" i="7941"/>
  <c r="L31" i="18"/>
  <c r="Q297"/>
  <c r="N297"/>
  <c r="O297"/>
  <c r="P297"/>
  <c r="M297"/>
  <c r="N153"/>
  <c r="O153"/>
  <c r="P153"/>
  <c r="Q153"/>
  <c r="M153"/>
  <c r="L153"/>
  <c r="K20"/>
  <c r="J32"/>
  <c r="K308"/>
  <c r="O308"/>
  <c r="N308"/>
  <c r="P308"/>
  <c r="M308"/>
  <c r="L308"/>
  <c r="Q308"/>
  <c r="P98"/>
  <c r="I98"/>
  <c r="I108"/>
  <c r="I636"/>
  <c r="J98"/>
  <c r="J108"/>
  <c r="J636"/>
  <c r="Q98"/>
  <c r="K98"/>
  <c r="K108" s="1"/>
  <c r="K636" s="1"/>
  <c r="H16"/>
  <c r="M98"/>
  <c r="O98"/>
  <c r="L98"/>
  <c r="N98"/>
  <c r="K136" i="7944"/>
  <c r="S124"/>
  <c r="I228" i="18"/>
  <c r="L228"/>
  <c r="M228"/>
  <c r="K228"/>
  <c r="J228"/>
  <c r="O228"/>
  <c r="Q228"/>
  <c r="H26"/>
  <c r="P228"/>
  <c r="N228"/>
  <c r="H148" i="7942"/>
  <c r="I148"/>
  <c r="P101" i="18"/>
  <c r="L101"/>
  <c r="K16"/>
  <c r="Q101"/>
  <c r="O101"/>
  <c r="M101"/>
  <c r="N101"/>
  <c r="I488"/>
  <c r="I57" i="7941" s="1"/>
  <c r="F262" i="7947"/>
  <c r="G262" s="1"/>
  <c r="M102" i="18"/>
  <c r="N102"/>
  <c r="P102"/>
  <c r="O102"/>
  <c r="Q102"/>
  <c r="L16"/>
  <c r="L270"/>
  <c r="N270"/>
  <c r="M270"/>
  <c r="K29"/>
  <c r="P270"/>
  <c r="O270"/>
  <c r="O271"/>
  <c r="N271"/>
  <c r="M271"/>
  <c r="P271"/>
  <c r="L29"/>
  <c r="Q271"/>
  <c r="I39" i="7944"/>
  <c r="P308"/>
  <c r="J39"/>
  <c r="K39"/>
  <c r="J162"/>
  <c r="K251" i="18"/>
  <c r="K647" s="1"/>
  <c r="I292" i="7944"/>
  <c r="P361"/>
  <c r="K142" i="7942"/>
  <c r="J110" i="7944"/>
  <c r="J295"/>
  <c r="K295"/>
  <c r="R140" i="1"/>
  <c r="P286" i="7944"/>
  <c r="I368" i="18"/>
  <c r="I656"/>
  <c r="J356"/>
  <c r="O399"/>
  <c r="P385"/>
  <c r="Q385" s="1"/>
  <c r="K4" i="7944"/>
  <c r="L4" i="7941"/>
  <c r="L74" i="1"/>
  <c r="L108"/>
  <c r="L142"/>
  <c r="L4" i="18"/>
  <c r="L4" i="7942"/>
  <c r="L176" i="1"/>
  <c r="M40"/>
  <c r="I420" i="18"/>
  <c r="I660" s="1"/>
  <c r="J408"/>
  <c r="M369"/>
  <c r="N369" s="1"/>
  <c r="M303" i="7942"/>
  <c r="N303" s="1"/>
  <c r="P381" i="7944"/>
  <c r="P369"/>
  <c r="P367"/>
  <c r="P159"/>
  <c r="P293"/>
  <c r="P98"/>
  <c r="P150"/>
  <c r="P228"/>
  <c r="P326"/>
  <c r="P158"/>
  <c r="P287"/>
  <c r="P440"/>
  <c r="P118"/>
  <c r="P189"/>
  <c r="P288"/>
  <c r="P468"/>
  <c r="P113"/>
  <c r="P217"/>
  <c r="P313"/>
  <c r="P144"/>
  <c r="P280"/>
  <c r="P301"/>
  <c r="P437"/>
  <c r="P119"/>
  <c r="P222"/>
  <c r="P92"/>
  <c r="P224"/>
  <c r="P319"/>
  <c r="P147"/>
  <c r="P290"/>
  <c r="P397"/>
  <c r="P439"/>
  <c r="P275"/>
  <c r="P276"/>
  <c r="P449"/>
  <c r="P450"/>
  <c r="P457"/>
  <c r="P464"/>
  <c r="P366"/>
  <c r="P133"/>
  <c r="P263"/>
  <c r="P131"/>
  <c r="P209"/>
  <c r="P316"/>
  <c r="Q3"/>
  <c r="P132"/>
  <c r="P262"/>
  <c r="P398"/>
  <c r="P108"/>
  <c r="P170"/>
  <c r="P264"/>
  <c r="P463"/>
  <c r="P462"/>
  <c r="P233"/>
  <c r="P220"/>
  <c r="P231"/>
  <c r="P207"/>
  <c r="P257"/>
  <c r="P186"/>
  <c r="P327"/>
  <c r="P342"/>
  <c r="P157"/>
  <c r="P171"/>
  <c r="P466"/>
  <c r="P302"/>
  <c r="P134"/>
  <c r="P303"/>
  <c r="P426"/>
  <c r="P176"/>
  <c r="P340"/>
  <c r="P93"/>
  <c r="P411"/>
  <c r="P451"/>
  <c r="P277"/>
  <c r="P410"/>
  <c r="P249"/>
  <c r="P393"/>
  <c r="P394"/>
  <c r="P421"/>
  <c r="P448"/>
  <c r="P422"/>
  <c r="P197"/>
  <c r="P383"/>
  <c r="P236"/>
  <c r="P107"/>
  <c r="P211"/>
  <c r="P359"/>
  <c r="P124"/>
  <c r="P183"/>
  <c r="P289"/>
  <c r="P438"/>
  <c r="P106"/>
  <c r="P210"/>
  <c r="P332"/>
  <c r="P160"/>
  <c r="P215"/>
  <c r="P329"/>
  <c r="P436"/>
  <c r="P232"/>
  <c r="P194"/>
  <c r="P204"/>
  <c r="P191"/>
  <c r="P206"/>
  <c r="P234"/>
  <c r="P375"/>
  <c r="P212"/>
  <c r="P72"/>
  <c r="P94"/>
  <c r="P196"/>
  <c r="P223"/>
  <c r="P339"/>
  <c r="P163"/>
  <c r="P341"/>
  <c r="P120"/>
  <c r="P225"/>
  <c r="P95"/>
  <c r="P145"/>
  <c r="P453"/>
  <c r="P409"/>
  <c r="P250"/>
  <c r="P235"/>
  <c r="P251"/>
  <c r="P274"/>
  <c r="P248"/>
  <c r="P423"/>
  <c r="P392"/>
  <c r="P382"/>
  <c r="P380"/>
  <c r="P368"/>
  <c r="P85"/>
  <c r="P185"/>
  <c r="P328"/>
  <c r="P105"/>
  <c r="P173"/>
  <c r="P254"/>
  <c r="P412"/>
  <c r="P184"/>
  <c r="P315"/>
  <c r="P454"/>
  <c r="P137"/>
  <c r="P202"/>
  <c r="P306"/>
  <c r="P406"/>
  <c r="P345"/>
  <c r="P192"/>
  <c r="P205"/>
  <c r="P230"/>
  <c r="P193"/>
  <c r="P218"/>
  <c r="P208"/>
  <c r="P373"/>
  <c r="P267"/>
  <c r="P111"/>
  <c r="P146"/>
  <c r="P241"/>
  <c r="P314"/>
  <c r="P407"/>
  <c r="P435"/>
  <c r="P396"/>
  <c r="P199"/>
  <c r="P425"/>
  <c r="P172"/>
  <c r="P261"/>
  <c r="P121"/>
  <c r="P198"/>
  <c r="P467"/>
  <c r="P452"/>
  <c r="P237"/>
  <c r="P238"/>
  <c r="P465"/>
  <c r="P395"/>
  <c r="P424"/>
  <c r="P408"/>
  <c r="P195"/>
  <c r="P219"/>
  <c r="P365"/>
  <c r="P130"/>
  <c r="P166"/>
  <c r="P165"/>
  <c r="P363"/>
  <c r="P323"/>
  <c r="P243"/>
  <c r="P90"/>
  <c r="P126"/>
  <c r="P325"/>
  <c r="P247"/>
  <c r="P312"/>
  <c r="P87"/>
  <c r="P152"/>
  <c r="P114"/>
  <c r="P128"/>
  <c r="P271"/>
  <c r="P337"/>
  <c r="P167"/>
  <c r="P169"/>
  <c r="P311"/>
  <c r="P168"/>
  <c r="P310"/>
  <c r="P179"/>
  <c r="P100"/>
  <c r="P129"/>
  <c r="P244"/>
  <c r="P378"/>
  <c r="P221"/>
  <c r="P101"/>
  <c r="P245"/>
  <c r="P364"/>
  <c r="P376"/>
  <c r="P322"/>
  <c r="P143"/>
  <c r="P153"/>
  <c r="P141"/>
  <c r="P117"/>
  <c r="P377"/>
  <c r="P273"/>
  <c r="P102"/>
  <c r="P272"/>
  <c r="P256"/>
  <c r="P156"/>
  <c r="P181"/>
  <c r="P338"/>
  <c r="P127"/>
  <c r="P139"/>
  <c r="P321"/>
  <c r="P88"/>
  <c r="P116"/>
  <c r="P104"/>
  <c r="P260"/>
  <c r="P154"/>
  <c r="P103"/>
  <c r="P140"/>
  <c r="P142"/>
  <c r="P258"/>
  <c r="P89"/>
  <c r="P335"/>
  <c r="P336"/>
  <c r="P155"/>
  <c r="P180"/>
  <c r="P91"/>
  <c r="P246"/>
  <c r="P115"/>
  <c r="P182"/>
  <c r="P178"/>
  <c r="P259"/>
  <c r="P324"/>
  <c r="P379"/>
  <c r="P334"/>
  <c r="L82" i="18"/>
  <c r="L634" s="1"/>
  <c r="L355"/>
  <c r="L655" s="1"/>
  <c r="K82"/>
  <c r="K634" s="1"/>
  <c r="M426"/>
  <c r="N290" i="7942"/>
  <c r="P289"/>
  <c r="O290"/>
  <c r="K481" i="18"/>
  <c r="K50" i="7941" s="1"/>
  <c r="F166" i="7947"/>
  <c r="G166" s="1"/>
  <c r="L40" i="18"/>
  <c r="L498" s="1"/>
  <c r="L67" i="7941" s="1"/>
  <c r="M414" i="18"/>
  <c r="N414" s="1"/>
  <c r="L38"/>
  <c r="L496" s="1"/>
  <c r="L65" i="7941" s="1"/>
  <c r="M388" i="18"/>
  <c r="O180"/>
  <c r="Q180"/>
  <c r="P180"/>
  <c r="L22"/>
  <c r="N180"/>
  <c r="M180"/>
  <c r="M400"/>
  <c r="M412"/>
  <c r="M361"/>
  <c r="F138" i="7947"/>
  <c r="G138" s="1"/>
  <c r="K479" i="18"/>
  <c r="K48" i="7941" s="1"/>
  <c r="G137" i="7947"/>
  <c r="L37" i="18"/>
  <c r="L495" s="1"/>
  <c r="L64" i="7941" s="1"/>
  <c r="M375" i="18"/>
  <c r="M401"/>
  <c r="O401" s="1"/>
  <c r="N401"/>
  <c r="L39"/>
  <c r="L497"/>
  <c r="L66" i="7941"/>
  <c r="M147" i="1"/>
  <c r="M161"/>
  <c r="M158"/>
  <c r="M165"/>
  <c r="M144"/>
  <c r="M149"/>
  <c r="M145"/>
  <c r="M155"/>
  <c r="M143"/>
  <c r="M172"/>
  <c r="M146"/>
  <c r="M170"/>
  <c r="M160"/>
  <c r="M168"/>
  <c r="M157"/>
  <c r="M150"/>
  <c r="M154"/>
  <c r="M159"/>
  <c r="M167"/>
  <c r="M148"/>
  <c r="M156"/>
  <c r="M25" i="18"/>
  <c r="M7"/>
  <c r="M152" i="1"/>
  <c r="N178"/>
  <c r="M169"/>
  <c r="M164"/>
  <c r="M33" i="18"/>
  <c r="M491" s="1"/>
  <c r="M60" i="7941" s="1"/>
  <c r="M151" i="1"/>
  <c r="M166"/>
  <c r="M163"/>
  <c r="M162"/>
  <c r="M171"/>
  <c r="M153"/>
  <c r="M374" i="18"/>
  <c r="N374" s="1"/>
  <c r="P271" i="7942"/>
  <c r="K480" i="18"/>
  <c r="K49" i="7941" s="1"/>
  <c r="F152" i="7947"/>
  <c r="G152" s="1"/>
  <c r="O425" i="18"/>
  <c r="Q425" s="1"/>
  <c r="P425"/>
  <c r="G151" i="7947"/>
  <c r="M360" i="18"/>
  <c r="N360"/>
  <c r="O360"/>
  <c r="Q167"/>
  <c r="M167"/>
  <c r="N167"/>
  <c r="O167"/>
  <c r="P167"/>
  <c r="L21"/>
  <c r="L11" s="1"/>
  <c r="L41"/>
  <c r="L499"/>
  <c r="L68" i="7941" s="1"/>
  <c r="M427" i="18"/>
  <c r="L653"/>
  <c r="L632"/>
  <c r="M274" i="7942"/>
  <c r="P273"/>
  <c r="O274" s="1"/>
  <c r="M290"/>
  <c r="L24" i="18"/>
  <c r="N206"/>
  <c r="Q206"/>
  <c r="O206"/>
  <c r="P206"/>
  <c r="M206"/>
  <c r="L36"/>
  <c r="L494" s="1"/>
  <c r="L63" i="7941" s="1"/>
  <c r="M362" i="18"/>
  <c r="K482"/>
  <c r="F180" i="7947"/>
  <c r="N426" i="18"/>
  <c r="O426"/>
  <c r="N126" i="7942"/>
  <c r="O126"/>
  <c r="N127"/>
  <c r="Q270" i="18"/>
  <c r="O268"/>
  <c r="Q255"/>
  <c r="K146" i="7942"/>
  <c r="J148"/>
  <c r="K148" s="1"/>
  <c r="M295" i="7944"/>
  <c r="F251" i="7947"/>
  <c r="G251" s="1"/>
  <c r="L487" i="18"/>
  <c r="L56" i="7941" s="1"/>
  <c r="F250" i="7947"/>
  <c r="G250" s="1"/>
  <c r="K487" i="18"/>
  <c r="K56" i="7941" s="1"/>
  <c r="F69" i="7947"/>
  <c r="G69" s="1"/>
  <c r="L474" i="18"/>
  <c r="L43" i="7941" s="1"/>
  <c r="K474" i="18"/>
  <c r="K43" i="7941"/>
  <c r="F68" i="7947"/>
  <c r="G68" s="1"/>
  <c r="F291"/>
  <c r="G291" s="1"/>
  <c r="J490" i="18"/>
  <c r="J59" i="7941"/>
  <c r="F305" i="7947"/>
  <c r="H42" i="7941"/>
  <c r="F278" i="7947"/>
  <c r="G278" s="1"/>
  <c r="K489" i="18"/>
  <c r="K58" i="7941" s="1"/>
  <c r="K473" i="18"/>
  <c r="K42" i="7941"/>
  <c r="F54" i="7947"/>
  <c r="G54" s="1"/>
  <c r="F321"/>
  <c r="G321" s="1"/>
  <c r="L492" i="18"/>
  <c r="L61" i="7941"/>
  <c r="I477" i="18"/>
  <c r="I46" i="7941"/>
  <c r="F108" i="7947"/>
  <c r="G108" s="1"/>
  <c r="I490" i="18"/>
  <c r="I59" i="7941" s="1"/>
  <c r="F290" i="7947"/>
  <c r="G290" s="1"/>
  <c r="F304"/>
  <c r="F167"/>
  <c r="L481" i="18"/>
  <c r="K483"/>
  <c r="K52" i="7941" s="1"/>
  <c r="F194" i="7947"/>
  <c r="G194" s="1"/>
  <c r="H478" i="18"/>
  <c r="F121" i="7947"/>
  <c r="G121" s="1"/>
  <c r="F209"/>
  <c r="G209" s="1"/>
  <c r="L484" i="18"/>
  <c r="L53" i="7941"/>
  <c r="I475" i="18"/>
  <c r="I44" i="7941" s="1"/>
  <c r="F80" i="7947"/>
  <c r="G80" s="1"/>
  <c r="F82"/>
  <c r="G82" s="1"/>
  <c r="K475" i="18"/>
  <c r="K44" i="7941" s="1"/>
  <c r="F107" i="7947"/>
  <c r="H477" i="18"/>
  <c r="J486"/>
  <c r="J55" i="7941" s="1"/>
  <c r="F235" i="7947"/>
  <c r="G235" s="1"/>
  <c r="I487" i="18"/>
  <c r="I56" i="7941" s="1"/>
  <c r="F248" i="7947"/>
  <c r="G248" s="1"/>
  <c r="F66"/>
  <c r="G66" s="1"/>
  <c r="I474" i="18"/>
  <c r="I43" i="7941" s="1"/>
  <c r="G76" i="7942"/>
  <c r="G43"/>
  <c r="F12" i="7947"/>
  <c r="K11" i="18"/>
  <c r="K470"/>
  <c r="F24" i="7947"/>
  <c r="G24" s="1"/>
  <c r="I471" i="18"/>
  <c r="I40" i="7941" s="1"/>
  <c r="K477" i="18"/>
  <c r="K46" i="7941"/>
  <c r="F110" i="7947"/>
  <c r="G110" s="1"/>
  <c r="I486" i="18"/>
  <c r="I55" i="7941" s="1"/>
  <c r="F234" i="7947"/>
  <c r="G234" s="1"/>
  <c r="J488" i="18"/>
  <c r="J57" i="7941" s="1"/>
  <c r="F263" i="7947"/>
  <c r="G263" s="1"/>
  <c r="H62" i="7941"/>
  <c r="F122" i="7947"/>
  <c r="G122" s="1"/>
  <c r="I478" i="18"/>
  <c r="I47" i="7941" s="1"/>
  <c r="J493" i="18"/>
  <c r="J62" i="7941" s="1"/>
  <c r="F333" i="7947"/>
  <c r="G333" s="1"/>
  <c r="F96"/>
  <c r="G96" s="1"/>
  <c r="K476" i="18"/>
  <c r="K45" i="7941" s="1"/>
  <c r="H489" i="18"/>
  <c r="F275" i="7947"/>
  <c r="G275" s="1"/>
  <c r="F111"/>
  <c r="G111" s="1"/>
  <c r="L477" i="18"/>
  <c r="L46" i="7941" s="1"/>
  <c r="L108" i="18"/>
  <c r="L636"/>
  <c r="L160"/>
  <c r="L640" s="1"/>
  <c r="K316"/>
  <c r="K652"/>
  <c r="N267"/>
  <c r="O267" s="1"/>
  <c r="I114" i="7942"/>
  <c r="J114"/>
  <c r="K225" i="18"/>
  <c r="K645"/>
  <c r="O299" i="7944"/>
  <c r="P299" s="1"/>
  <c r="P269" i="18"/>
  <c r="Q269"/>
  <c r="J69"/>
  <c r="K303"/>
  <c r="K651"/>
  <c r="I120" i="7942"/>
  <c r="L142"/>
  <c r="F65" i="7947"/>
  <c r="H474" i="18"/>
  <c r="I483"/>
  <c r="I52" i="7941"/>
  <c r="F192" i="7947"/>
  <c r="G192" s="1"/>
  <c r="F319"/>
  <c r="G319" s="1"/>
  <c r="J492" i="18"/>
  <c r="J61" i="7941"/>
  <c r="H492" i="18"/>
  <c r="F317" i="7947"/>
  <c r="G317" s="1"/>
  <c r="L471" i="18"/>
  <c r="L40" i="7941"/>
  <c r="F27" i="7947"/>
  <c r="G27" s="1"/>
  <c r="H487" i="18"/>
  <c r="F247" i="7947"/>
  <c r="F334"/>
  <c r="G334" s="1"/>
  <c r="K493" i="18"/>
  <c r="K62" i="7941" s="1"/>
  <c r="J472" i="18"/>
  <c r="J41" i="7941"/>
  <c r="F39" i="7947"/>
  <c r="G39" s="1"/>
  <c r="I472" i="18"/>
  <c r="I41" i="7941" s="1"/>
  <c r="F38" i="7947"/>
  <c r="G38" s="1"/>
  <c r="K492" i="18"/>
  <c r="K61" i="7941" s="1"/>
  <c r="F320" i="7947"/>
  <c r="G320" s="1"/>
  <c r="L483" i="18"/>
  <c r="L52" i="7941"/>
  <c r="F195" i="7947"/>
  <c r="G195" s="1"/>
  <c r="F13"/>
  <c r="L470" i="18"/>
  <c r="F292" i="7947"/>
  <c r="G292" s="1"/>
  <c r="F306"/>
  <c r="K490" i="18"/>
  <c r="K59" i="7941"/>
  <c r="J476" i="18"/>
  <c r="J45" i="7941" s="1"/>
  <c r="F95" i="7947"/>
  <c r="G95" s="1"/>
  <c r="J484" i="18"/>
  <c r="J53" i="7941"/>
  <c r="F207" i="7947"/>
  <c r="G207" s="1"/>
  <c r="F249"/>
  <c r="G249" s="1"/>
  <c r="J487" i="18"/>
  <c r="J56" i="7941"/>
  <c r="F26" i="7947"/>
  <c r="G26" s="1"/>
  <c r="K471" i="18"/>
  <c r="K40" i="7941" s="1"/>
  <c r="F125" i="7947"/>
  <c r="G125" s="1"/>
  <c r="L478" i="18"/>
  <c r="L47" i="7941" s="1"/>
  <c r="F40" i="7947"/>
  <c r="G40" s="1"/>
  <c r="K472" i="18"/>
  <c r="K41" i="7941" s="1"/>
  <c r="J147" i="18"/>
  <c r="J639" s="1"/>
  <c r="K147"/>
  <c r="K639" s="1"/>
  <c r="L225"/>
  <c r="L645" s="1"/>
  <c r="F330" i="7947"/>
  <c r="J355" i="18"/>
  <c r="L69"/>
  <c r="K69"/>
  <c r="J303"/>
  <c r="J651"/>
  <c r="L490"/>
  <c r="L59" i="7941"/>
  <c r="F293" i="7947"/>
  <c r="G293" s="1"/>
  <c r="F307"/>
  <c r="H486" i="18"/>
  <c r="F233" i="7947"/>
  <c r="G233" s="1"/>
  <c r="F52"/>
  <c r="G52" s="1"/>
  <c r="I473" i="18"/>
  <c r="I42" i="7941" s="1"/>
  <c r="I8" i="7944"/>
  <c r="F55" i="7947"/>
  <c r="G55" s="1"/>
  <c r="L473" i="18"/>
  <c r="L42" i="7941"/>
  <c r="L486" i="18"/>
  <c r="L55" i="7941" s="1"/>
  <c r="F237" i="7947"/>
  <c r="G237" s="1"/>
  <c r="F83"/>
  <c r="G83" s="1"/>
  <c r="L475" i="18"/>
  <c r="L44" i="7941" s="1"/>
  <c r="F221" i="7947"/>
  <c r="G221" s="1"/>
  <c r="J485" i="18"/>
  <c r="J54" i="7941" s="1"/>
  <c r="F41" i="7947"/>
  <c r="G41" s="1"/>
  <c r="L472" i="18"/>
  <c r="L41" i="7941" s="1"/>
  <c r="I11" i="18"/>
  <c r="I470"/>
  <c r="F10" i="7947"/>
  <c r="F37"/>
  <c r="H472" i="18"/>
  <c r="J471"/>
  <c r="J40" i="7941"/>
  <c r="F25" i="7947"/>
  <c r="G25" s="1"/>
  <c r="H483" i="18"/>
  <c r="F191" i="7947"/>
  <c r="G191" s="1"/>
  <c r="F265"/>
  <c r="G265" s="1"/>
  <c r="L488" i="18"/>
  <c r="L57" i="7941" s="1"/>
  <c r="I492" i="18"/>
  <c r="I61" i="7941"/>
  <c r="F318" i="7947"/>
  <c r="G318" s="1"/>
  <c r="H60" i="7941"/>
  <c r="F335" i="7947"/>
  <c r="G335" s="1"/>
  <c r="L493" i="18"/>
  <c r="L62" i="7941" s="1"/>
  <c r="F264" i="7947"/>
  <c r="G264" s="1"/>
  <c r="K488" i="18"/>
  <c r="K57" i="7941" s="1"/>
  <c r="L485" i="18"/>
  <c r="L54" i="7941"/>
  <c r="F223" i="7947"/>
  <c r="G223" s="1"/>
  <c r="L476" i="18"/>
  <c r="L45" i="7941" s="1"/>
  <c r="F97" i="7947"/>
  <c r="G97" s="1"/>
  <c r="J483" i="18"/>
  <c r="J52" i="7941" s="1"/>
  <c r="F193" i="7947"/>
  <c r="G193" s="1"/>
  <c r="F220"/>
  <c r="G220" s="1"/>
  <c r="I485" i="18"/>
  <c r="I54" i="7941" s="1"/>
  <c r="J473" i="18"/>
  <c r="J42" i="7941" s="1"/>
  <c r="F53" i="7947"/>
  <c r="G53" s="1"/>
  <c r="I476" i="18"/>
  <c r="I45" i="7941" s="1"/>
  <c r="F94" i="7947"/>
  <c r="G94" s="1"/>
  <c r="F261"/>
  <c r="G261" s="1"/>
  <c r="H488" i="18"/>
  <c r="K112" i="7942"/>
  <c r="L112" s="1"/>
  <c r="M112" s="1"/>
  <c r="I140"/>
  <c r="J316" i="18"/>
  <c r="J652" s="1"/>
  <c r="L316"/>
  <c r="L652"/>
  <c r="M142" i="7942"/>
  <c r="L143" s="1"/>
  <c r="L147" i="18"/>
  <c r="L639"/>
  <c r="N295" i="7944"/>
  <c r="I124" i="7942"/>
  <c r="L303" i="18"/>
  <c r="L651"/>
  <c r="M297" i="7944"/>
  <c r="N297" s="1"/>
  <c r="O297" s="1"/>
  <c r="P297" s="1"/>
  <c r="F205" i="7947"/>
  <c r="G205" s="1"/>
  <c r="H484" i="18"/>
  <c r="K478"/>
  <c r="K47" i="7941"/>
  <c r="F124" i="7947"/>
  <c r="G124" s="1"/>
  <c r="F279"/>
  <c r="G279" s="1"/>
  <c r="L489" i="18"/>
  <c r="L58" i="7941"/>
  <c r="H475" i="18"/>
  <c r="F79" i="7947"/>
  <c r="G79" s="1"/>
  <c r="F208"/>
  <c r="G208" s="1"/>
  <c r="K484" i="18"/>
  <c r="K53" i="7941"/>
  <c r="F277" i="7947"/>
  <c r="G277" s="1"/>
  <c r="J489" i="18"/>
  <c r="J58" i="7941"/>
  <c r="H54"/>
  <c r="H476" i="18"/>
  <c r="F93" i="7947"/>
  <c r="G93" s="1"/>
  <c r="I489" i="18"/>
  <c r="I58" i="7941" s="1"/>
  <c r="F276" i="7947"/>
  <c r="G276" s="1"/>
  <c r="F11"/>
  <c r="J11" i="18"/>
  <c r="J470"/>
  <c r="J475"/>
  <c r="J44" i="7941" s="1"/>
  <c r="F81" i="7947"/>
  <c r="G81" s="1"/>
  <c r="H490" i="18"/>
  <c r="F289" i="7947"/>
  <c r="F332"/>
  <c r="G332" s="1"/>
  <c r="I493" i="18"/>
  <c r="I62" i="7941"/>
  <c r="J477" i="18"/>
  <c r="J46" i="7941"/>
  <c r="F109" i="7947"/>
  <c r="G109" s="1"/>
  <c r="F222"/>
  <c r="G222" s="1"/>
  <c r="K485" i="18"/>
  <c r="K54" i="7941" s="1"/>
  <c r="F23" i="7947"/>
  <c r="G23" s="1"/>
  <c r="H471" i="18"/>
  <c r="F9" i="7947"/>
  <c r="H470" i="18"/>
  <c r="H11"/>
  <c r="P254"/>
  <c r="Q254" s="1"/>
  <c r="J225"/>
  <c r="J645"/>
  <c r="M4" i="7941"/>
  <c r="M74" i="1"/>
  <c r="M108"/>
  <c r="M142"/>
  <c r="M4" i="7942"/>
  <c r="M176" i="1"/>
  <c r="L4" i="7944"/>
  <c r="M4" i="18"/>
  <c r="N40" i="1"/>
  <c r="Q289" i="7942"/>
  <c r="P290" s="1"/>
  <c r="J368" i="18"/>
  <c r="J656"/>
  <c r="K356"/>
  <c r="J420"/>
  <c r="J660" s="1"/>
  <c r="K408"/>
  <c r="Q273" i="7942"/>
  <c r="Q274"/>
  <c r="Q329" i="7941" s="1"/>
  <c r="N427" i="18"/>
  <c r="O427"/>
  <c r="P360"/>
  <c r="N298"/>
  <c r="M31"/>
  <c r="P298"/>
  <c r="Q298"/>
  <c r="O298"/>
  <c r="O259"/>
  <c r="Q259"/>
  <c r="P259"/>
  <c r="M28"/>
  <c r="N259"/>
  <c r="M37"/>
  <c r="M495"/>
  <c r="M64" i="7941"/>
  <c r="N376" i="18"/>
  <c r="M41"/>
  <c r="M499"/>
  <c r="M68" i="7941"/>
  <c r="N428" i="18"/>
  <c r="O428" s="1"/>
  <c r="O129"/>
  <c r="N129"/>
  <c r="P129"/>
  <c r="Q129"/>
  <c r="M18"/>
  <c r="P285"/>
  <c r="O285"/>
  <c r="N285"/>
  <c r="Q285"/>
  <c r="M30"/>
  <c r="N362"/>
  <c r="O362" s="1"/>
  <c r="Q290" i="7942"/>
  <c r="Q337" i="7941"/>
  <c r="L479" i="18"/>
  <c r="L48" i="7941" s="1"/>
  <c r="F139" i="7947"/>
  <c r="G139" s="1"/>
  <c r="N415" i="18"/>
  <c r="M40"/>
  <c r="M498" s="1"/>
  <c r="M67" i="7941" s="1"/>
  <c r="P155" i="18"/>
  <c r="N155"/>
  <c r="O155"/>
  <c r="M20"/>
  <c r="Q155"/>
  <c r="M21"/>
  <c r="N168"/>
  <c r="O168"/>
  <c r="Q168"/>
  <c r="P168"/>
  <c r="M36"/>
  <c r="M494" s="1"/>
  <c r="M63" i="7941" s="1"/>
  <c r="N363" i="18"/>
  <c r="O363" s="1"/>
  <c r="P233"/>
  <c r="Q233"/>
  <c r="M26"/>
  <c r="O233"/>
  <c r="N233"/>
  <c r="M15"/>
  <c r="N90"/>
  <c r="P90"/>
  <c r="O90"/>
  <c r="Q90"/>
  <c r="P77"/>
  <c r="O77"/>
  <c r="Q77"/>
  <c r="N77"/>
  <c r="M14"/>
  <c r="O246"/>
  <c r="N246"/>
  <c r="Q246"/>
  <c r="M27"/>
  <c r="P246"/>
  <c r="F153" i="7947"/>
  <c r="G153" s="1"/>
  <c r="L480" i="18"/>
  <c r="L49" i="7941" s="1"/>
  <c r="Q360" i="18"/>
  <c r="O386"/>
  <c r="P386"/>
  <c r="K51" i="7941"/>
  <c r="L482" i="18"/>
  <c r="L51" i="7941"/>
  <c r="F181" i="7947"/>
  <c r="G181" s="1"/>
  <c r="O272" i="7942"/>
  <c r="Q271"/>
  <c r="Q181" i="18"/>
  <c r="P181"/>
  <c r="N181"/>
  <c r="M22"/>
  <c r="O181"/>
  <c r="Q350"/>
  <c r="P350"/>
  <c r="M35"/>
  <c r="O350"/>
  <c r="N350"/>
  <c r="N167" i="1"/>
  <c r="N153"/>
  <c r="N151"/>
  <c r="N152"/>
  <c r="N162"/>
  <c r="N150"/>
  <c r="N144"/>
  <c r="N154"/>
  <c r="N170"/>
  <c r="N163"/>
  <c r="N165"/>
  <c r="N148"/>
  <c r="N168"/>
  <c r="N164"/>
  <c r="N33" i="18"/>
  <c r="N146" i="1"/>
  <c r="N156"/>
  <c r="N7" i="18"/>
  <c r="N172" i="1"/>
  <c r="N145"/>
  <c r="N159"/>
  <c r="N166"/>
  <c r="N171"/>
  <c r="N149"/>
  <c r="N157"/>
  <c r="N160"/>
  <c r="N143"/>
  <c r="N158"/>
  <c r="N161"/>
  <c r="N147"/>
  <c r="N155"/>
  <c r="N169"/>
  <c r="O178"/>
  <c r="M17" i="18"/>
  <c r="N116"/>
  <c r="O116"/>
  <c r="Q116"/>
  <c r="P116"/>
  <c r="Q142"/>
  <c r="P142"/>
  <c r="N142"/>
  <c r="O142"/>
  <c r="M19"/>
  <c r="N402"/>
  <c r="M39"/>
  <c r="M497"/>
  <c r="M66" i="7941"/>
  <c r="Q207" i="18"/>
  <c r="O207"/>
  <c r="N207"/>
  <c r="P207"/>
  <c r="M24"/>
  <c r="O337"/>
  <c r="N337"/>
  <c r="Q337"/>
  <c r="P337"/>
  <c r="M34"/>
  <c r="N412"/>
  <c r="O412" s="1"/>
  <c r="G180" i="7947"/>
  <c r="N311" i="18"/>
  <c r="P311"/>
  <c r="Q311"/>
  <c r="O311"/>
  <c r="M32"/>
  <c r="M38"/>
  <c r="M496"/>
  <c r="M65" i="7941"/>
  <c r="N389" i="18"/>
  <c r="O389" s="1"/>
  <c r="M483"/>
  <c r="M52" i="7941"/>
  <c r="F196" i="7947"/>
  <c r="G196" s="1"/>
  <c r="P194" i="18"/>
  <c r="N194"/>
  <c r="O194"/>
  <c r="M23"/>
  <c r="Q194"/>
  <c r="O272"/>
  <c r="N272"/>
  <c r="P272"/>
  <c r="Q272"/>
  <c r="M29"/>
  <c r="M173" i="1"/>
  <c r="M12" i="18"/>
  <c r="M13"/>
  <c r="Q64"/>
  <c r="O64"/>
  <c r="N64"/>
  <c r="P64"/>
  <c r="N103"/>
  <c r="P103"/>
  <c r="M16"/>
  <c r="Q103"/>
  <c r="O103"/>
  <c r="N361"/>
  <c r="N400"/>
  <c r="P426"/>
  <c r="Q426" s="1"/>
  <c r="O387"/>
  <c r="P387" s="1"/>
  <c r="Q387" s="1"/>
  <c r="L146" i="7942"/>
  <c r="M146" s="1"/>
  <c r="N142"/>
  <c r="M143"/>
  <c r="M127"/>
  <c r="P126"/>
  <c r="O127" s="1"/>
  <c r="O295" i="7944"/>
  <c r="P295" s="1"/>
  <c r="L113" i="7942"/>
  <c r="H40" i="7941"/>
  <c r="H53"/>
  <c r="H52"/>
  <c r="I451" i="18"/>
  <c r="G37" i="7947"/>
  <c r="J8" i="7944"/>
  <c r="L633" i="18"/>
  <c r="J655"/>
  <c r="G65" i="7947"/>
  <c r="P267" i="18"/>
  <c r="Q267" s="1"/>
  <c r="K39" i="7941"/>
  <c r="K469" i="18"/>
  <c r="H108" i="7942"/>
  <c r="G75"/>
  <c r="G107" i="7947"/>
  <c r="H47" i="7941"/>
  <c r="N112" i="7942"/>
  <c r="M113" s="1"/>
  <c r="J120"/>
  <c r="L148"/>
  <c r="H44" i="7941"/>
  <c r="H41"/>
  <c r="K633" i="18"/>
  <c r="H43" i="7941"/>
  <c r="H46"/>
  <c r="H39"/>
  <c r="H469" i="18"/>
  <c r="H59" i="7941"/>
  <c r="J124" i="7942"/>
  <c r="K124"/>
  <c r="I39" i="7941"/>
  <c r="I38" s="1"/>
  <c r="I469" i="18"/>
  <c r="H56" i="7941"/>
  <c r="H61"/>
  <c r="G167" i="7947"/>
  <c r="G289"/>
  <c r="J39" i="7941"/>
  <c r="J38"/>
  <c r="J469" i="18"/>
  <c r="H45" i="7941"/>
  <c r="I444" i="18"/>
  <c r="J140" i="7942"/>
  <c r="K140" s="1"/>
  <c r="H57" i="7941"/>
  <c r="H55"/>
  <c r="I454" i="18"/>
  <c r="L469"/>
  <c r="L39" i="7941"/>
  <c r="G247" i="7947"/>
  <c r="J633" i="18"/>
  <c r="K114" i="7942"/>
  <c r="L114" s="1"/>
  <c r="H58" i="7941"/>
  <c r="L50"/>
  <c r="L356" i="18"/>
  <c r="M356" s="1"/>
  <c r="K368"/>
  <c r="N4" i="7942"/>
  <c r="N176" i="1"/>
  <c r="M4" i="7944"/>
  <c r="N4" i="18"/>
  <c r="O40" i="1"/>
  <c r="N74"/>
  <c r="N108"/>
  <c r="N142"/>
  <c r="N4" i="7941"/>
  <c r="O142" i="7942"/>
  <c r="N143" s="1"/>
  <c r="P274"/>
  <c r="L408" i="18"/>
  <c r="K38" i="7941"/>
  <c r="P362" i="18"/>
  <c r="Q362" s="1"/>
  <c r="O400"/>
  <c r="O402"/>
  <c r="P402"/>
  <c r="Q402" s="1"/>
  <c r="P428"/>
  <c r="Q428"/>
  <c r="M487"/>
  <c r="M56" i="7941"/>
  <c r="F252" i="7947"/>
  <c r="N38" i="18"/>
  <c r="N496"/>
  <c r="N65" i="7941"/>
  <c r="O390" i="18"/>
  <c r="O247"/>
  <c r="N27"/>
  <c r="Q247"/>
  <c r="P247"/>
  <c r="O130"/>
  <c r="P130"/>
  <c r="N18"/>
  <c r="Q130"/>
  <c r="O78"/>
  <c r="Q78"/>
  <c r="N14"/>
  <c r="P78"/>
  <c r="N15"/>
  <c r="O91"/>
  <c r="P91"/>
  <c r="Q91"/>
  <c r="Q338"/>
  <c r="P338"/>
  <c r="O338"/>
  <c r="N34"/>
  <c r="O65"/>
  <c r="P65"/>
  <c r="Q65"/>
  <c r="N13"/>
  <c r="N20"/>
  <c r="P156"/>
  <c r="O156"/>
  <c r="Q156"/>
  <c r="M478"/>
  <c r="M47" i="7941"/>
  <c r="F126" i="7947"/>
  <c r="G126" s="1"/>
  <c r="M488" i="18"/>
  <c r="M57" i="7941" s="1"/>
  <c r="F266" i="7947"/>
  <c r="G266" s="1"/>
  <c r="M489" i="18"/>
  <c r="M58" i="7941" s="1"/>
  <c r="F280" i="7947"/>
  <c r="M227" i="7941"/>
  <c r="M160" i="18"/>
  <c r="M640" s="1"/>
  <c r="M222" i="7941"/>
  <c r="M34"/>
  <c r="M30" i="7944"/>
  <c r="M11" i="7941"/>
  <c r="M329" i="18"/>
  <c r="M653"/>
  <c r="N464"/>
  <c r="N692" s="1"/>
  <c r="M199"/>
  <c r="M643"/>
  <c r="N443"/>
  <c r="N671" s="1"/>
  <c r="M290"/>
  <c r="M650"/>
  <c r="M36" i="7944"/>
  <c r="M134" i="18"/>
  <c r="M638" s="1"/>
  <c r="M22" i="7944"/>
  <c r="M200" i="7941"/>
  <c r="M22"/>
  <c r="M12"/>
  <c r="M216"/>
  <c r="M8"/>
  <c r="M12" i="7944"/>
  <c r="N460" i="18"/>
  <c r="N688"/>
  <c r="M26" i="7944"/>
  <c r="M214" i="7941"/>
  <c r="M24"/>
  <c r="N455" i="18"/>
  <c r="N683"/>
  <c r="M21" i="7941"/>
  <c r="M16" i="7944"/>
  <c r="M35" i="7941"/>
  <c r="M15"/>
  <c r="M205"/>
  <c r="N467" i="18"/>
  <c r="N695"/>
  <c r="M69"/>
  <c r="M633" s="1"/>
  <c r="M31" i="7941"/>
  <c r="N456" i="18"/>
  <c r="N684"/>
  <c r="M147"/>
  <c r="M639" s="1"/>
  <c r="M355"/>
  <c r="M655"/>
  <c r="M20" i="7944"/>
  <c r="M95" i="18"/>
  <c r="M635"/>
  <c r="M11" i="7944"/>
  <c r="M27"/>
  <c r="M9"/>
  <c r="M251" i="18"/>
  <c r="M647"/>
  <c r="M212"/>
  <c r="M644" s="1"/>
  <c r="M407"/>
  <c r="M659"/>
  <c r="M30" i="7941"/>
  <c r="M19" i="7944"/>
  <c r="M199" i="7941"/>
  <c r="N461" i="18"/>
  <c r="N689" s="1"/>
  <c r="M13" i="7941"/>
  <c r="M121" i="18"/>
  <c r="M637"/>
  <c r="N454"/>
  <c r="N682" s="1"/>
  <c r="M82"/>
  <c r="M634"/>
  <c r="M277"/>
  <c r="M649" s="1"/>
  <c r="M394"/>
  <c r="M658"/>
  <c r="N466"/>
  <c r="N694" s="1"/>
  <c r="M32" i="7941"/>
  <c r="M221"/>
  <c r="M420" i="18"/>
  <c r="M660" s="1"/>
  <c r="M23" i="7941"/>
  <c r="M381" i="18"/>
  <c r="M657" s="1"/>
  <c r="M26" i="7941"/>
  <c r="N446" i="18"/>
  <c r="N674"/>
  <c r="N451"/>
  <c r="N679" s="1"/>
  <c r="N449"/>
  <c r="N677"/>
  <c r="M342"/>
  <c r="M654" s="1"/>
  <c r="M18" i="7941"/>
  <c r="M209"/>
  <c r="M204"/>
  <c r="N457" i="18"/>
  <c r="N685"/>
  <c r="M264"/>
  <c r="M648" s="1"/>
  <c r="M108"/>
  <c r="M636"/>
  <c r="M14" i="7941"/>
  <c r="M16"/>
  <c r="M36"/>
  <c r="M186" i="18"/>
  <c r="M642"/>
  <c r="M33" i="7944"/>
  <c r="L470"/>
  <c r="M228" i="7941"/>
  <c r="M225" i="18"/>
  <c r="M645" s="1"/>
  <c r="M17" i="7944"/>
  <c r="M206" i="7941"/>
  <c r="N440" i="18"/>
  <c r="N668" s="1"/>
  <c r="M219" i="7941"/>
  <c r="M223"/>
  <c r="M34" i="7944"/>
  <c r="M29" i="7941"/>
  <c r="M201"/>
  <c r="M25" i="7944"/>
  <c r="M13"/>
  <c r="M218" i="7941"/>
  <c r="M316" i="18"/>
  <c r="M652"/>
  <c r="M207" i="7941"/>
  <c r="M9"/>
  <c r="M33"/>
  <c r="N458" i="18"/>
  <c r="N686"/>
  <c r="M433"/>
  <c r="M661" s="1"/>
  <c r="M211" i="7941"/>
  <c r="N445" i="18"/>
  <c r="N673" s="1"/>
  <c r="N453"/>
  <c r="N681"/>
  <c r="M20" i="7941"/>
  <c r="N463" i="18"/>
  <c r="N691" s="1"/>
  <c r="M225" i="7941"/>
  <c r="M24" i="7944"/>
  <c r="M17" i="7941"/>
  <c r="M28" i="7944"/>
  <c r="N439" i="18"/>
  <c r="N667"/>
  <c r="M238"/>
  <c r="M646" s="1"/>
  <c r="M213" i="7941"/>
  <c r="M37" i="7944"/>
  <c r="M32"/>
  <c r="M18"/>
  <c r="M35"/>
  <c r="M31"/>
  <c r="M226" i="7941"/>
  <c r="M29" i="7944"/>
  <c r="M28" i="7941"/>
  <c r="M203"/>
  <c r="M368" i="18"/>
  <c r="M656" s="1"/>
  <c r="M19" i="7941"/>
  <c r="N462" i="18"/>
  <c r="N690" s="1"/>
  <c r="M208" i="7941"/>
  <c r="N452" i="18"/>
  <c r="N680"/>
  <c r="M224" i="7941"/>
  <c r="M10"/>
  <c r="M173" i="18"/>
  <c r="M641"/>
  <c r="N444"/>
  <c r="N672" s="1"/>
  <c r="M215" i="7941"/>
  <c r="M217"/>
  <c r="M202"/>
  <c r="N442" i="18"/>
  <c r="N670"/>
  <c r="M15" i="7944"/>
  <c r="N438" i="18"/>
  <c r="M303"/>
  <c r="M651"/>
  <c r="M10" i="7944"/>
  <c r="M220" i="7941"/>
  <c r="M212"/>
  <c r="M210"/>
  <c r="M25"/>
  <c r="M23" i="7944"/>
  <c r="N459" i="18"/>
  <c r="N687"/>
  <c r="M14" i="7944"/>
  <c r="N448" i="18"/>
  <c r="N676" s="1"/>
  <c r="N465"/>
  <c r="N693"/>
  <c r="M8" i="7944"/>
  <c r="M7" i="7941"/>
  <c r="N447" i="18"/>
  <c r="N675"/>
  <c r="M27" i="7941"/>
  <c r="M56" i="18"/>
  <c r="N450"/>
  <c r="N678"/>
  <c r="N441"/>
  <c r="N669" s="1"/>
  <c r="M21" i="7944"/>
  <c r="M482" i="18"/>
  <c r="M51" i="7941" s="1"/>
  <c r="F182" i="7947"/>
  <c r="O159" i="1"/>
  <c r="O171"/>
  <c r="O146"/>
  <c r="O149"/>
  <c r="O155"/>
  <c r="O168"/>
  <c r="O170"/>
  <c r="O151"/>
  <c r="O154"/>
  <c r="O165"/>
  <c r="O157"/>
  <c r="O156"/>
  <c r="O147"/>
  <c r="P178"/>
  <c r="O172"/>
  <c r="O166"/>
  <c r="O162"/>
  <c r="O167"/>
  <c r="O160"/>
  <c r="O153"/>
  <c r="O169"/>
  <c r="O145"/>
  <c r="O163"/>
  <c r="O150"/>
  <c r="O144"/>
  <c r="O164"/>
  <c r="O33" i="18"/>
  <c r="O161" i="1"/>
  <c r="O143"/>
  <c r="O148"/>
  <c r="O158"/>
  <c r="O7" i="18"/>
  <c r="O491" s="1"/>
  <c r="O60" i="7941" s="1"/>
  <c r="O152" i="1"/>
  <c r="P286" i="18"/>
  <c r="Q286"/>
  <c r="O286"/>
  <c r="N30"/>
  <c r="Q234"/>
  <c r="N26"/>
  <c r="P234"/>
  <c r="O234"/>
  <c r="P260"/>
  <c r="Q260"/>
  <c r="N28"/>
  <c r="O260"/>
  <c r="Q221"/>
  <c r="O221"/>
  <c r="N25"/>
  <c r="P221"/>
  <c r="Q117"/>
  <c r="P117"/>
  <c r="O117"/>
  <c r="N17"/>
  <c r="O195"/>
  <c r="N23"/>
  <c r="Q195"/>
  <c r="P195"/>
  <c r="P169"/>
  <c r="N21"/>
  <c r="O169"/>
  <c r="Q169"/>
  <c r="M473"/>
  <c r="M42" i="7941"/>
  <c r="F56" i="7947"/>
  <c r="G56" s="1"/>
  <c r="P363" i="18"/>
  <c r="O376"/>
  <c r="P376"/>
  <c r="M474"/>
  <c r="M43" i="7941"/>
  <c r="F70" i="7947"/>
  <c r="G70" s="1"/>
  <c r="F14"/>
  <c r="M11" i="18"/>
  <c r="M470"/>
  <c r="M481"/>
  <c r="M50" i="7941"/>
  <c r="F168" i="7947"/>
  <c r="F322"/>
  <c r="G322" s="1"/>
  <c r="M492" i="18"/>
  <c r="M61" i="7941" s="1"/>
  <c r="F84" i="7947"/>
  <c r="G84" s="1"/>
  <c r="M475" i="18"/>
  <c r="M44" i="7941" s="1"/>
  <c r="O104" i="18"/>
  <c r="Q104"/>
  <c r="N16"/>
  <c r="P104"/>
  <c r="O273"/>
  <c r="N29"/>
  <c r="P273"/>
  <c r="Q273"/>
  <c r="O351"/>
  <c r="Q351"/>
  <c r="N35"/>
  <c r="P351"/>
  <c r="O377"/>
  <c r="N37"/>
  <c r="N495" s="1"/>
  <c r="O403"/>
  <c r="N39"/>
  <c r="N497" s="1"/>
  <c r="N66" i="7941" s="1"/>
  <c r="P299" i="18"/>
  <c r="N31"/>
  <c r="O299"/>
  <c r="Q299"/>
  <c r="N36"/>
  <c r="N494"/>
  <c r="N63" i="7941" s="1"/>
  <c r="O364" i="18"/>
  <c r="P364" s="1"/>
  <c r="Q364" s="1"/>
  <c r="M485"/>
  <c r="M54" i="7941" s="1"/>
  <c r="F224" i="7947"/>
  <c r="F42"/>
  <c r="G42" s="1"/>
  <c r="M472" i="18"/>
  <c r="M41" i="7941" s="1"/>
  <c r="M484" i="18"/>
  <c r="M53" i="7941" s="1"/>
  <c r="F210" i="7947"/>
  <c r="G210" s="1"/>
  <c r="M479" i="18"/>
  <c r="M48" i="7941"/>
  <c r="F140" i="7947"/>
  <c r="G140" s="1"/>
  <c r="O415" i="18"/>
  <c r="M471"/>
  <c r="M40" i="7941"/>
  <c r="F28" i="7947"/>
  <c r="G28" s="1"/>
  <c r="M490" i="18"/>
  <c r="M59" i="7941" s="1"/>
  <c r="F294" i="7947"/>
  <c r="G294" s="1"/>
  <c r="F308"/>
  <c r="F112"/>
  <c r="G112" s="1"/>
  <c r="M477" i="18"/>
  <c r="M46" i="7941"/>
  <c r="N24" i="18"/>
  <c r="P208"/>
  <c r="O208"/>
  <c r="Q208"/>
  <c r="N12"/>
  <c r="N173" i="1"/>
  <c r="N40" i="18"/>
  <c r="N498"/>
  <c r="N67" i="7941"/>
  <c r="O416" i="18"/>
  <c r="N41"/>
  <c r="N499"/>
  <c r="N68" i="7941"/>
  <c r="O429" i="18"/>
  <c r="Q312"/>
  <c r="P312"/>
  <c r="O312"/>
  <c r="N32"/>
  <c r="O143"/>
  <c r="Q143"/>
  <c r="P143"/>
  <c r="N19"/>
  <c r="P182"/>
  <c r="N22"/>
  <c r="Q182"/>
  <c r="O182"/>
  <c r="M493"/>
  <c r="M62" i="7941"/>
  <c r="F336" i="7947"/>
  <c r="G336" s="1"/>
  <c r="M480" i="18"/>
  <c r="M49" i="7941" s="1"/>
  <c r="F154" i="7947"/>
  <c r="G154" s="1"/>
  <c r="Q272" i="7942"/>
  <c r="Q328" i="7941" s="1"/>
  <c r="P272" i="7942"/>
  <c r="M476" i="18"/>
  <c r="M45" i="7941"/>
  <c r="F98" i="7947"/>
  <c r="G98" s="1"/>
  <c r="F238"/>
  <c r="G238" s="1"/>
  <c r="M486" i="18"/>
  <c r="M55" i="7941"/>
  <c r="N491" i="18"/>
  <c r="N60" i="7941" s="1"/>
  <c r="Q386" i="18"/>
  <c r="Q363"/>
  <c r="P142" i="7942"/>
  <c r="O143"/>
  <c r="Q126"/>
  <c r="I682" i="18"/>
  <c r="I518"/>
  <c r="I87" i="7941" s="1"/>
  <c r="I672" i="18"/>
  <c r="I508" s="1"/>
  <c r="L124" i="7942"/>
  <c r="M124" s="1"/>
  <c r="H205" i="7941"/>
  <c r="I13"/>
  <c r="K120" i="7942"/>
  <c r="L120"/>
  <c r="K8" i="7944"/>
  <c r="L38" i="7941"/>
  <c r="I108" i="7942"/>
  <c r="H38" i="7941"/>
  <c r="I679" i="18"/>
  <c r="I515"/>
  <c r="I84" i="7941"/>
  <c r="M148" i="7942"/>
  <c r="O112"/>
  <c r="N113"/>
  <c r="M408" i="18"/>
  <c r="N4" i="7944"/>
  <c r="O4" i="18"/>
  <c r="P40" i="1"/>
  <c r="O4" i="7942"/>
  <c r="O176" i="1"/>
  <c r="O4" i="7941"/>
  <c r="O74" i="1"/>
  <c r="O108"/>
  <c r="O142"/>
  <c r="K656" i="18"/>
  <c r="M7" i="7944"/>
  <c r="N11" i="18"/>
  <c r="F15" i="7947"/>
  <c r="N470" i="18"/>
  <c r="F183" i="7947"/>
  <c r="G183" s="1"/>
  <c r="N482" i="18"/>
  <c r="N51" i="7941"/>
  <c r="F337" i="7947"/>
  <c r="G337" s="1"/>
  <c r="N493" i="18"/>
  <c r="N62" i="7941"/>
  <c r="F71" i="7947"/>
  <c r="G71" s="1"/>
  <c r="N474" i="18"/>
  <c r="N43" i="7941"/>
  <c r="N475" i="18"/>
  <c r="N44" i="7941" s="1"/>
  <c r="F85" i="7947"/>
  <c r="G85" s="1"/>
  <c r="F267"/>
  <c r="G267" s="1"/>
  <c r="N488" i="18"/>
  <c r="N57" i="7941" s="1"/>
  <c r="O21" i="18"/>
  <c r="Q170"/>
  <c r="P170"/>
  <c r="O173" i="1"/>
  <c r="O12" i="18"/>
  <c r="O19"/>
  <c r="Q144"/>
  <c r="P144"/>
  <c r="O22"/>
  <c r="P183"/>
  <c r="Q183"/>
  <c r="O35"/>
  <c r="P352"/>
  <c r="Q352"/>
  <c r="Q222"/>
  <c r="P222"/>
  <c r="O25"/>
  <c r="Q157"/>
  <c r="P157"/>
  <c r="O20"/>
  <c r="P131"/>
  <c r="O18"/>
  <c r="Q131"/>
  <c r="G182" i="7947"/>
  <c r="N485" i="18"/>
  <c r="N54" i="7941"/>
  <c r="F225" i="7947"/>
  <c r="G225" s="1"/>
  <c r="Q376" i="18"/>
  <c r="F113" i="7947"/>
  <c r="G113" s="1"/>
  <c r="N477" i="18"/>
  <c r="N46" i="7941" s="1"/>
  <c r="N490" i="18"/>
  <c r="N59" i="7941"/>
  <c r="F295" i="7947"/>
  <c r="G295" s="1"/>
  <c r="F309"/>
  <c r="N24" i="7941"/>
  <c r="N225" i="18"/>
  <c r="N645"/>
  <c r="N515" s="1"/>
  <c r="N84" i="7941" s="1"/>
  <c r="N56" i="18"/>
  <c r="O463"/>
  <c r="O691" s="1"/>
  <c r="N221" i="7941"/>
  <c r="N14"/>
  <c r="N329" i="18"/>
  <c r="N653" s="1"/>
  <c r="N523" s="1"/>
  <c r="N92" i="7941" s="1"/>
  <c r="N219"/>
  <c r="M175" i="7944"/>
  <c r="M442"/>
  <c r="N368" i="18"/>
  <c r="N656"/>
  <c r="N526" s="1"/>
  <c r="N95" i="7941" s="1"/>
  <c r="N17"/>
  <c r="O464" i="18"/>
  <c r="O692" s="1"/>
  <c r="M253" i="7944"/>
  <c r="N24"/>
  <c r="N10" i="7941"/>
  <c r="O448" i="18"/>
  <c r="O676" s="1"/>
  <c r="N199"/>
  <c r="N643"/>
  <c r="N513" s="1"/>
  <c r="N82" i="7941" s="1"/>
  <c r="N31"/>
  <c r="N11"/>
  <c r="N26"/>
  <c r="N16"/>
  <c r="N20"/>
  <c r="N23"/>
  <c r="O465" i="18"/>
  <c r="O693" s="1"/>
  <c r="N394"/>
  <c r="N658"/>
  <c r="N528" s="1"/>
  <c r="N97" i="7941" s="1"/>
  <c r="N206"/>
  <c r="N27" i="7944"/>
  <c r="M331"/>
  <c r="N224" i="7941"/>
  <c r="N8"/>
  <c r="N407" i="18"/>
  <c r="N659" s="1"/>
  <c r="N529" s="1"/>
  <c r="N98" i="7941" s="1"/>
  <c r="M372" i="7944"/>
  <c r="N9"/>
  <c r="O444" i="18"/>
  <c r="O672"/>
  <c r="N31" i="7944"/>
  <c r="N108" i="18"/>
  <c r="N636" s="1"/>
  <c r="N506" s="1"/>
  <c r="N75" i="7941" s="1"/>
  <c r="N210"/>
  <c r="N36"/>
  <c r="O467" i="18"/>
  <c r="O695"/>
  <c r="N228" i="7941"/>
  <c r="O446" i="18"/>
  <c r="O674"/>
  <c r="M214" i="7944"/>
  <c r="N8"/>
  <c r="N69" i="18"/>
  <c r="N633"/>
  <c r="N503"/>
  <c r="N72" i="7941" s="1"/>
  <c r="O443" i="18"/>
  <c r="O671"/>
  <c r="N17" i="7944"/>
  <c r="N37"/>
  <c r="N34" i="7941"/>
  <c r="O451" i="18"/>
  <c r="O679"/>
  <c r="M84" i="7944"/>
  <c r="N217" i="7941"/>
  <c r="N226"/>
  <c r="N420" i="18"/>
  <c r="N660" s="1"/>
  <c r="N530" s="1"/>
  <c r="N99" i="7941" s="1"/>
  <c r="N207"/>
  <c r="O442" i="18"/>
  <c r="O670" s="1"/>
  <c r="O462"/>
  <c r="O690"/>
  <c r="N27" i="7941"/>
  <c r="N214"/>
  <c r="N225"/>
  <c r="N186" i="18"/>
  <c r="N642" s="1"/>
  <c r="N512" s="1"/>
  <c r="N81" i="7941" s="1"/>
  <c r="M136" i="7944"/>
  <c r="O439" i="18"/>
  <c r="O667" s="1"/>
  <c r="N277"/>
  <c r="N649" s="1"/>
  <c r="N519" s="1"/>
  <c r="N88" i="7941" s="1"/>
  <c r="N13"/>
  <c r="N16" i="7944"/>
  <c r="O466" i="18"/>
  <c r="O694" s="1"/>
  <c r="M456" i="7944"/>
  <c r="N202" i="7941"/>
  <c r="N32"/>
  <c r="N121" i="18"/>
  <c r="N637"/>
  <c r="N29" i="7941"/>
  <c r="N22"/>
  <c r="N20" i="7944"/>
  <c r="N7" i="7941"/>
  <c r="O454" i="18"/>
  <c r="O682"/>
  <c r="O440"/>
  <c r="O668" s="1"/>
  <c r="N218" i="7941"/>
  <c r="N264" i="18"/>
  <c r="N648" s="1"/>
  <c r="N518" s="1"/>
  <c r="N87" i="7941" s="1"/>
  <c r="O441" i="18"/>
  <c r="O669" s="1"/>
  <c r="O459"/>
  <c r="O687" s="1"/>
  <c r="M470" i="7944"/>
  <c r="M110"/>
  <c r="N381" i="18"/>
  <c r="N657" s="1"/>
  <c r="N527" s="1"/>
  <c r="N96" i="7941" s="1"/>
  <c r="N28" i="7944"/>
  <c r="M227"/>
  <c r="N30"/>
  <c r="N36"/>
  <c r="M188"/>
  <c r="O460" i="18"/>
  <c r="O688"/>
  <c r="N35" i="7944"/>
  <c r="O447" i="18"/>
  <c r="O675" s="1"/>
  <c r="O511" s="1"/>
  <c r="O80" i="7941" s="1"/>
  <c r="N33" i="7944"/>
  <c r="N82" i="18"/>
  <c r="N634" s="1"/>
  <c r="N504" s="1"/>
  <c r="N73" i="7941" s="1"/>
  <c r="N21"/>
  <c r="O458" i="18"/>
  <c r="O686" s="1"/>
  <c r="O456"/>
  <c r="O684" s="1"/>
  <c r="N201" i="7941"/>
  <c r="N25"/>
  <c r="N13" i="7944"/>
  <c r="M344"/>
  <c r="O461" i="18"/>
  <c r="O689" s="1"/>
  <c r="N199" i="7941"/>
  <c r="M266" i="7944"/>
  <c r="M149"/>
  <c r="M97"/>
  <c r="N342" i="18"/>
  <c r="N654" s="1"/>
  <c r="N524" s="1"/>
  <c r="N93" i="7941" s="1"/>
  <c r="M318" i="7944"/>
  <c r="O457" i="18"/>
  <c r="O685" s="1"/>
  <c r="N173"/>
  <c r="N641"/>
  <c r="N511" s="1"/>
  <c r="N80" i="7941" s="1"/>
  <c r="N227"/>
  <c r="N34" i="7944"/>
  <c r="N26"/>
  <c r="N32"/>
  <c r="N209" i="7941"/>
  <c r="N9"/>
  <c r="N215"/>
  <c r="O453" i="18"/>
  <c r="O681" s="1"/>
  <c r="O455"/>
  <c r="O683" s="1"/>
  <c r="N33" i="7941"/>
  <c r="N30"/>
  <c r="M386" i="7944"/>
  <c r="N25"/>
  <c r="N211" i="7941"/>
  <c r="N290" i="18"/>
  <c r="N650"/>
  <c r="N520" s="1"/>
  <c r="N89" i="7941" s="1"/>
  <c r="N238" i="18"/>
  <c r="N646"/>
  <c r="N516" s="1"/>
  <c r="N85" i="7941" s="1"/>
  <c r="O450" i="18"/>
  <c r="O678"/>
  <c r="N15" i="7944"/>
  <c r="N10"/>
  <c r="O449" i="18"/>
  <c r="O677"/>
  <c r="N18" i="7944"/>
  <c r="N22"/>
  <c r="N251" i="18"/>
  <c r="N647"/>
  <c r="N517" s="1"/>
  <c r="N86" i="7941" s="1"/>
  <c r="N29" i="7944"/>
  <c r="M279"/>
  <c r="N303" i="18"/>
  <c r="N651" s="1"/>
  <c r="N521" s="1"/>
  <c r="N90" i="7941" s="1"/>
  <c r="N15"/>
  <c r="N23" i="7944"/>
  <c r="N95" i="18"/>
  <c r="N635"/>
  <c r="N505" s="1"/>
  <c r="N74" i="7941" s="1"/>
  <c r="N205"/>
  <c r="N433" i="18"/>
  <c r="N661" s="1"/>
  <c r="N531" s="1"/>
  <c r="N100" i="7941" s="1"/>
  <c r="M162" i="7944"/>
  <c r="N223" i="7941"/>
  <c r="O445" i="18"/>
  <c r="O673" s="1"/>
  <c r="N134"/>
  <c r="N638" s="1"/>
  <c r="N508" s="1"/>
  <c r="N77" i="7941" s="1"/>
  <c r="N19" i="7944"/>
  <c r="N18" i="7941"/>
  <c r="N222"/>
  <c r="N204"/>
  <c r="N213"/>
  <c r="M358" i="7944"/>
  <c r="N316" i="18"/>
  <c r="N652" s="1"/>
  <c r="N522" s="1"/>
  <c r="N91" i="7941" s="1"/>
  <c r="M240" i="7944"/>
  <c r="N203" i="7941"/>
  <c r="N208"/>
  <c r="N21" i="7944"/>
  <c r="N212" i="18"/>
  <c r="N644" s="1"/>
  <c r="N514" s="1"/>
  <c r="N83" i="7941" s="1"/>
  <c r="M400" i="7944"/>
  <c r="N212" i="7941"/>
  <c r="N35"/>
  <c r="N220"/>
  <c r="N147" i="18"/>
  <c r="N639" s="1"/>
  <c r="N509" s="1"/>
  <c r="N78" i="7941" s="1"/>
  <c r="N11" i="7944"/>
  <c r="N355" i="18"/>
  <c r="N655"/>
  <c r="N525" s="1"/>
  <c r="N94" i="7941" s="1"/>
  <c r="N14" i="7944"/>
  <c r="N28" i="7941"/>
  <c r="O452" i="18"/>
  <c r="O680" s="1"/>
  <c r="M292" i="7944"/>
  <c r="N12"/>
  <c r="N12" i="7941"/>
  <c r="N216"/>
  <c r="N200"/>
  <c r="M123" i="7944"/>
  <c r="M201"/>
  <c r="M428"/>
  <c r="N160" i="18"/>
  <c r="N640"/>
  <c r="N510" s="1"/>
  <c r="N79" i="7941" s="1"/>
  <c r="M414" i="7944"/>
  <c r="M305"/>
  <c r="N19" i="7941"/>
  <c r="O438" i="18"/>
  <c r="G224" i="7947"/>
  <c r="M469" i="18"/>
  <c r="M39" i="7941"/>
  <c r="O17" i="18"/>
  <c r="Q118"/>
  <c r="P118"/>
  <c r="O13"/>
  <c r="P66"/>
  <c r="Q66"/>
  <c r="O38"/>
  <c r="O496" s="1"/>
  <c r="O65" i="7941" s="1"/>
  <c r="P391" i="18"/>
  <c r="Q391" s="1"/>
  <c r="P390"/>
  <c r="P300"/>
  <c r="O31"/>
  <c r="Q300"/>
  <c r="O16"/>
  <c r="P105"/>
  <c r="Q105"/>
  <c r="P196"/>
  <c r="Q196"/>
  <c r="O23"/>
  <c r="O24"/>
  <c r="P209"/>
  <c r="Q209"/>
  <c r="Q261"/>
  <c r="O28"/>
  <c r="P261"/>
  <c r="F43" i="7947"/>
  <c r="G43" s="1"/>
  <c r="N472" i="18"/>
  <c r="N41" i="7941" s="1"/>
  <c r="N476" i="18"/>
  <c r="N45" i="7941" s="1"/>
  <c r="F99" i="7947"/>
  <c r="G99" s="1"/>
  <c r="M198" i="7941"/>
  <c r="N479" i="18"/>
  <c r="N48" i="7941" s="1"/>
  <c r="F141" i="7947"/>
  <c r="G141" s="1"/>
  <c r="N481" i="18"/>
  <c r="N50" i="7941"/>
  <c r="F169" i="7947"/>
  <c r="G169" s="1"/>
  <c r="F211"/>
  <c r="G211" s="1"/>
  <c r="N484" i="18"/>
  <c r="N53" i="7941"/>
  <c r="Q248" i="18"/>
  <c r="P248"/>
  <c r="O27"/>
  <c r="P79"/>
  <c r="O14"/>
  <c r="Q79"/>
  <c r="P365"/>
  <c r="Q365"/>
  <c r="O36"/>
  <c r="O494" s="1"/>
  <c r="O63" i="7941" s="1"/>
  <c r="P157" i="1"/>
  <c r="P171"/>
  <c r="P153"/>
  <c r="P151"/>
  <c r="P160"/>
  <c r="P162"/>
  <c r="P149"/>
  <c r="P163"/>
  <c r="P7" i="18"/>
  <c r="P172" i="1"/>
  <c r="P144"/>
  <c r="Q178"/>
  <c r="P169"/>
  <c r="P145"/>
  <c r="P161"/>
  <c r="P154"/>
  <c r="P147"/>
  <c r="P152"/>
  <c r="P158"/>
  <c r="P164"/>
  <c r="P33" i="18"/>
  <c r="P491"/>
  <c r="P60" i="7941" s="1"/>
  <c r="P159" i="1"/>
  <c r="P170"/>
  <c r="P146"/>
  <c r="P156"/>
  <c r="P155"/>
  <c r="P165"/>
  <c r="P148"/>
  <c r="P167"/>
  <c r="P150"/>
  <c r="P143"/>
  <c r="P168"/>
  <c r="P166"/>
  <c r="O34" i="18"/>
  <c r="P339"/>
  <c r="Q339"/>
  <c r="P378"/>
  <c r="Q378" s="1"/>
  <c r="O37"/>
  <c r="O495" s="1"/>
  <c r="O64" i="7941" s="1"/>
  <c r="P377" i="18"/>
  <c r="P416"/>
  <c r="P417"/>
  <c r="Q417" s="1"/>
  <c r="O40"/>
  <c r="O498"/>
  <c r="O67" i="7941" s="1"/>
  <c r="M632" i="18"/>
  <c r="M631" s="1"/>
  <c r="M43"/>
  <c r="N666"/>
  <c r="N665" s="1"/>
  <c r="N437"/>
  <c r="G280" i="7947"/>
  <c r="N471" i="18"/>
  <c r="N40" i="7941" s="1"/>
  <c r="F29" i="7947"/>
  <c r="G29" s="1"/>
  <c r="N492" i="18"/>
  <c r="N61" i="7941" s="1"/>
  <c r="F323" i="7947"/>
  <c r="G252"/>
  <c r="N480" i="18"/>
  <c r="N49" i="7941" s="1"/>
  <c r="F155" i="7947"/>
  <c r="G155" s="1"/>
  <c r="N489" i="18"/>
  <c r="N58" i="7941"/>
  <c r="F281" i="7947"/>
  <c r="G281" s="1"/>
  <c r="N487" i="18"/>
  <c r="N56" i="7941" s="1"/>
  <c r="F253" i="7947"/>
  <c r="G253" s="1"/>
  <c r="F197"/>
  <c r="G197" s="1"/>
  <c r="N483" i="18"/>
  <c r="N52" i="7941"/>
  <c r="N486" i="18"/>
  <c r="N55" i="7941"/>
  <c r="F239" i="7947"/>
  <c r="G239" s="1"/>
  <c r="Q287" i="18"/>
  <c r="O30"/>
  <c r="P287"/>
  <c r="O32"/>
  <c r="P313"/>
  <c r="Q313"/>
  <c r="P274"/>
  <c r="O29"/>
  <c r="Q274"/>
  <c r="P430"/>
  <c r="Q430"/>
  <c r="O41"/>
  <c r="O499"/>
  <c r="O68" i="7941" s="1"/>
  <c r="P429" i="18"/>
  <c r="P235"/>
  <c r="Q235"/>
  <c r="O26"/>
  <c r="P404"/>
  <c r="Q404" s="1"/>
  <c r="O39"/>
  <c r="O497" s="1"/>
  <c r="O66" i="7941" s="1"/>
  <c r="P403" i="18"/>
  <c r="Q92"/>
  <c r="P92"/>
  <c r="O15"/>
  <c r="N478"/>
  <c r="N47" i="7941"/>
  <c r="F127" i="7947"/>
  <c r="G127" s="1"/>
  <c r="F57"/>
  <c r="G57" s="1"/>
  <c r="N473" i="18"/>
  <c r="N42" i="7941" s="1"/>
  <c r="Q142" i="7942"/>
  <c r="Q143" s="1"/>
  <c r="Q280" i="7941" s="1"/>
  <c r="M6"/>
  <c r="P415" i="18"/>
  <c r="Q415" s="1"/>
  <c r="P112" i="7942"/>
  <c r="O113"/>
  <c r="J451" i="18"/>
  <c r="J679" s="1"/>
  <c r="J515" s="1"/>
  <c r="J84" i="7941" s="1"/>
  <c r="P127" i="7942"/>
  <c r="Q127"/>
  <c r="Q272" i="7941"/>
  <c r="L149" i="7942"/>
  <c r="L283" i="7941"/>
  <c r="L8" i="7944"/>
  <c r="M120" i="7942"/>
  <c r="N120" s="1"/>
  <c r="M121" s="1"/>
  <c r="M269" i="7941" s="1"/>
  <c r="J108" i="7942"/>
  <c r="N148"/>
  <c r="J454" i="18"/>
  <c r="O4" i="7944"/>
  <c r="P4" i="7941"/>
  <c r="P74" i="1"/>
  <c r="P108"/>
  <c r="P142"/>
  <c r="Q40"/>
  <c r="P4" i="7942"/>
  <c r="P176" i="1"/>
  <c r="P4" i="18"/>
  <c r="N408"/>
  <c r="P143" i="7942"/>
  <c r="Q112"/>
  <c r="O484" i="18"/>
  <c r="O53" i="7941" s="1"/>
  <c r="F212" i="7947"/>
  <c r="G212" s="1"/>
  <c r="F254"/>
  <c r="G254" s="1"/>
  <c r="O487" i="18"/>
  <c r="O56" i="7941" s="1"/>
  <c r="F296" i="7947"/>
  <c r="G296" s="1"/>
  <c r="F310"/>
  <c r="O490" i="18"/>
  <c r="O59" i="7941" s="1"/>
  <c r="Q353" i="18"/>
  <c r="P35"/>
  <c r="P36"/>
  <c r="P494" s="1"/>
  <c r="P63" i="7941" s="1"/>
  <c r="Q366" i="18"/>
  <c r="Q223"/>
  <c r="P25"/>
  <c r="Q197"/>
  <c r="P23"/>
  <c r="Q153" i="1"/>
  <c r="Q22" i="18"/>
  <c r="Q159" i="1"/>
  <c r="Q28" i="18"/>
  <c r="Q7"/>
  <c r="Q160" i="1"/>
  <c r="Q29" i="18"/>
  <c r="Q148" i="1"/>
  <c r="Q17" i="18"/>
  <c r="Q149" i="1"/>
  <c r="Q18" i="18"/>
  <c r="Q171" i="1"/>
  <c r="Q40" i="18"/>
  <c r="Q498" s="1"/>
  <c r="Q67" i="7941" s="1"/>
  <c r="Q168" i="1"/>
  <c r="Q37" i="18"/>
  <c r="Q164" i="1"/>
  <c r="Q33" i="18"/>
  <c r="Q154" i="1"/>
  <c r="Q23" i="18"/>
  <c r="Q165" i="1"/>
  <c r="Q34" i="18"/>
  <c r="Q169" i="1"/>
  <c r="Q38" i="18"/>
  <c r="Q158" i="1"/>
  <c r="Q27" i="18"/>
  <c r="Q167" i="1"/>
  <c r="Q36" i="18"/>
  <c r="Q146" i="1"/>
  <c r="Q15" i="18"/>
  <c r="Q170" i="1"/>
  <c r="Q39" i="18"/>
  <c r="Q157" i="1"/>
  <c r="Q26" i="18"/>
  <c r="Q143" i="1"/>
  <c r="Q151"/>
  <c r="Q20" i="18"/>
  <c r="Q161" i="1"/>
  <c r="Q30" i="18"/>
  <c r="Q166" i="1"/>
  <c r="Q35" i="18"/>
  <c r="Q145" i="1"/>
  <c r="Q14" i="18"/>
  <c r="Q172" i="1"/>
  <c r="Q41" i="18"/>
  <c r="Q499"/>
  <c r="Q68" i="7941"/>
  <c r="Q147" i="1"/>
  <c r="Q16" i="18"/>
  <c r="Q150" i="1"/>
  <c r="Q19" i="18"/>
  <c r="Q162" i="1"/>
  <c r="Q31" i="18"/>
  <c r="Q163" i="1"/>
  <c r="Q32" i="18"/>
  <c r="Q156" i="1"/>
  <c r="Q25" i="18"/>
  <c r="Q144" i="1"/>
  <c r="Q13" i="18"/>
  <c r="Q152" i="1"/>
  <c r="Q21" i="18"/>
  <c r="Q155" i="1"/>
  <c r="Q24" i="18"/>
  <c r="Q314"/>
  <c r="P32"/>
  <c r="Q158"/>
  <c r="P20"/>
  <c r="F44" i="7947"/>
  <c r="O472" i="18"/>
  <c r="O41" i="7941"/>
  <c r="M249"/>
  <c r="M322"/>
  <c r="M238"/>
  <c r="M231"/>
  <c r="M320"/>
  <c r="M235"/>
  <c r="M258"/>
  <c r="M254"/>
  <c r="M304"/>
  <c r="M316"/>
  <c r="M310"/>
  <c r="M303"/>
  <c r="M252"/>
  <c r="M248"/>
  <c r="M236"/>
  <c r="L328"/>
  <c r="M321"/>
  <c r="M243"/>
  <c r="M257"/>
  <c r="M251"/>
  <c r="M313"/>
  <c r="M315"/>
  <c r="M319"/>
  <c r="M318"/>
  <c r="M299"/>
  <c r="M307"/>
  <c r="M250"/>
  <c r="M259"/>
  <c r="M242"/>
  <c r="M240"/>
  <c r="M245"/>
  <c r="M301"/>
  <c r="M237"/>
  <c r="M295"/>
  <c r="M232"/>
  <c r="M300"/>
  <c r="M323"/>
  <c r="M246"/>
  <c r="M233"/>
  <c r="M309"/>
  <c r="M311"/>
  <c r="M247"/>
  <c r="M256"/>
  <c r="M244"/>
  <c r="M234"/>
  <c r="M239"/>
  <c r="L329"/>
  <c r="L337"/>
  <c r="M314"/>
  <c r="M296"/>
  <c r="M297"/>
  <c r="M298"/>
  <c r="M253"/>
  <c r="M324"/>
  <c r="M241"/>
  <c r="M312"/>
  <c r="M260"/>
  <c r="M255"/>
  <c r="M306"/>
  <c r="M302"/>
  <c r="M305"/>
  <c r="M308"/>
  <c r="M317"/>
  <c r="L272"/>
  <c r="L280"/>
  <c r="L265"/>
  <c r="O475" i="18"/>
  <c r="O44" i="7941" s="1"/>
  <c r="F86" i="7947"/>
  <c r="G86" s="1"/>
  <c r="N632" i="18"/>
  <c r="N43"/>
  <c r="N198" i="7941"/>
  <c r="N6"/>
  <c r="G323" i="7947"/>
  <c r="F324"/>
  <c r="G324" s="1"/>
  <c r="O492" i="18"/>
  <c r="O61" i="7941"/>
  <c r="P19" i="18"/>
  <c r="Q145"/>
  <c r="P24"/>
  <c r="Q210"/>
  <c r="Q262"/>
  <c r="P28"/>
  <c r="P16"/>
  <c r="Q106"/>
  <c r="Q390"/>
  <c r="P38"/>
  <c r="P496" s="1"/>
  <c r="P65" i="7941" s="1"/>
  <c r="Q392" i="18"/>
  <c r="P29"/>
  <c r="Q275"/>
  <c r="Q236"/>
  <c r="P26"/>
  <c r="F72" i="7947"/>
  <c r="O474" i="18"/>
  <c r="O43" i="7941"/>
  <c r="O666" i="18"/>
  <c r="O665" s="1"/>
  <c r="O437"/>
  <c r="O478"/>
  <c r="O47" i="7941"/>
  <c r="F128" i="7947"/>
  <c r="G128" s="1"/>
  <c r="O493" i="18"/>
  <c r="O62" i="7941"/>
  <c r="F338" i="7947"/>
  <c r="G338" s="1"/>
  <c r="N162" i="7944"/>
  <c r="O160" i="18"/>
  <c r="O640"/>
  <c r="O510"/>
  <c r="O79" i="7941" s="1"/>
  <c r="O24" i="7944"/>
  <c r="O95" i="18"/>
  <c r="O635"/>
  <c r="O505" s="1"/>
  <c r="O74" i="7941" s="1"/>
  <c r="O19"/>
  <c r="O35"/>
  <c r="O36" i="7944"/>
  <c r="N214"/>
  <c r="O228" i="7941"/>
  <c r="N279" i="7944"/>
  <c r="P451" i="18"/>
  <c r="P679" s="1"/>
  <c r="O134"/>
  <c r="O638"/>
  <c r="O508" s="1"/>
  <c r="O77" i="7941" s="1"/>
  <c r="P439" i="18"/>
  <c r="P667"/>
  <c r="O204" i="7941"/>
  <c r="O213"/>
  <c r="P449" i="18"/>
  <c r="P677"/>
  <c r="P440"/>
  <c r="P668" s="1"/>
  <c r="O32" i="7941"/>
  <c r="O17" i="7944"/>
  <c r="P442" i="18"/>
  <c r="P670" s="1"/>
  <c r="N400" i="7944"/>
  <c r="O215" i="7941"/>
  <c r="N331" i="7944"/>
  <c r="O173" i="18"/>
  <c r="O641"/>
  <c r="O212" i="7941"/>
  <c r="O381" i="18"/>
  <c r="O657"/>
  <c r="O31" i="7944"/>
  <c r="O20" i="7941"/>
  <c r="O37" i="7944"/>
  <c r="O264" i="18"/>
  <c r="O648"/>
  <c r="O518"/>
  <c r="O87" i="7941" s="1"/>
  <c r="P438" i="18"/>
  <c r="N227" i="7944"/>
  <c r="O29"/>
  <c r="O14"/>
  <c r="N358"/>
  <c r="P447" i="18"/>
  <c r="P675"/>
  <c r="O19" i="7944"/>
  <c r="O18"/>
  <c r="N456"/>
  <c r="O25" i="7941"/>
  <c r="O11" i="7944"/>
  <c r="O26"/>
  <c r="O15" i="7941"/>
  <c r="O238" i="18"/>
  <c r="O646" s="1"/>
  <c r="O516" s="1"/>
  <c r="O85" i="7941" s="1"/>
  <c r="O23"/>
  <c r="O207"/>
  <c r="O31"/>
  <c r="N292" i="7944"/>
  <c r="O16" i="7941"/>
  <c r="O8" i="7944"/>
  <c r="O202" i="7941"/>
  <c r="O20" i="7944"/>
  <c r="O33" i="7941"/>
  <c r="N110" i="7944"/>
  <c r="O420" i="18"/>
  <c r="O660" s="1"/>
  <c r="O210" i="7941"/>
  <c r="O30" i="7944"/>
  <c r="O11" i="7941"/>
  <c r="O199"/>
  <c r="O368" i="18"/>
  <c r="O656" s="1"/>
  <c r="O526" s="1"/>
  <c r="O95" i="7941" s="1"/>
  <c r="O22"/>
  <c r="P443" i="18"/>
  <c r="P671"/>
  <c r="O26" i="7941"/>
  <c r="O355" i="18"/>
  <c r="O655" s="1"/>
  <c r="N266" i="7944"/>
  <c r="O18" i="7941"/>
  <c r="O32" i="7944"/>
  <c r="N305"/>
  <c r="O221" i="7941"/>
  <c r="P460" i="18"/>
  <c r="P688"/>
  <c r="O69"/>
  <c r="O633" s="1"/>
  <c r="O23" i="7944"/>
  <c r="O227" i="7941"/>
  <c r="O121" i="18"/>
  <c r="O637"/>
  <c r="O507" s="1"/>
  <c r="O76" i="7941" s="1"/>
  <c r="O224"/>
  <c r="P450" i="18"/>
  <c r="P678" s="1"/>
  <c r="O13" i="7941"/>
  <c r="P446" i="18"/>
  <c r="P674"/>
  <c r="O199"/>
  <c r="O643" s="1"/>
  <c r="O513" s="1"/>
  <c r="O82" i="7941" s="1"/>
  <c r="N188" i="7944"/>
  <c r="P459" i="18"/>
  <c r="P687" s="1"/>
  <c r="P463"/>
  <c r="P691" s="1"/>
  <c r="O28" i="7941"/>
  <c r="N414" i="7944"/>
  <c r="O56" i="18"/>
  <c r="O16" i="7944"/>
  <c r="P453" i="18"/>
  <c r="P681" s="1"/>
  <c r="O200" i="7941"/>
  <c r="O27" i="7944"/>
  <c r="O208" i="7941"/>
  <c r="N136" i="7944"/>
  <c r="O209" i="7941"/>
  <c r="P455" i="18"/>
  <c r="P683" s="1"/>
  <c r="O12" i="7941"/>
  <c r="O211"/>
  <c r="P466" i="18"/>
  <c r="P694" s="1"/>
  <c r="P452"/>
  <c r="P680"/>
  <c r="P458"/>
  <c r="P686" s="1"/>
  <c r="O34" i="7944"/>
  <c r="O8" i="7941"/>
  <c r="P467" i="18"/>
  <c r="P695" s="1"/>
  <c r="P456"/>
  <c r="P684"/>
  <c r="O203" i="7941"/>
  <c r="O316" i="18"/>
  <c r="O652" s="1"/>
  <c r="O522" s="1"/>
  <c r="O91" i="7941" s="1"/>
  <c r="N84" i="7944"/>
  <c r="O277" i="18"/>
  <c r="O649"/>
  <c r="P464"/>
  <c r="P692"/>
  <c r="O214" i="7941"/>
  <c r="O290" i="18"/>
  <c r="O650" s="1"/>
  <c r="O520" s="1"/>
  <c r="O89" i="7941" s="1"/>
  <c r="N470" i="7944"/>
  <c r="O186" i="18"/>
  <c r="O642"/>
  <c r="O512" s="1"/>
  <c r="O81" i="7941" s="1"/>
  <c r="O329" i="18"/>
  <c r="O653"/>
  <c r="O523" s="1"/>
  <c r="O92" i="7941" s="1"/>
  <c r="N318" i="7944"/>
  <c r="O433" i="18"/>
  <c r="O661" s="1"/>
  <c r="O531" s="1"/>
  <c r="O100" i="7941" s="1"/>
  <c r="P465" i="18"/>
  <c r="P693" s="1"/>
  <c r="N240" i="7944"/>
  <c r="O9" i="7941"/>
  <c r="O219"/>
  <c r="P441" i="18"/>
  <c r="P669" s="1"/>
  <c r="O33" i="7944"/>
  <c r="O394" i="18"/>
  <c r="O658" s="1"/>
  <c r="O12" i="7944"/>
  <c r="O225" i="18"/>
  <c r="O645" s="1"/>
  <c r="O515" s="1"/>
  <c r="O84" i="7941" s="1"/>
  <c r="P448" i="18"/>
  <c r="P676" s="1"/>
  <c r="O218" i="7941"/>
  <c r="O147" i="18"/>
  <c r="O639" s="1"/>
  <c r="O509" s="1"/>
  <c r="O78" i="7941" s="1"/>
  <c r="O222"/>
  <c r="O29"/>
  <c r="O30"/>
  <c r="O15" i="7944"/>
  <c r="O7" i="7941"/>
  <c r="O10" i="7944"/>
  <c r="P444" i="18"/>
  <c r="P672" s="1"/>
  <c r="O217" i="7941"/>
  <c r="O17"/>
  <c r="N149" i="7944"/>
  <c r="O108" i="18"/>
  <c r="O636"/>
  <c r="O506" s="1"/>
  <c r="O75" i="7941" s="1"/>
  <c r="N372" i="7944"/>
  <c r="O220" i="7941"/>
  <c r="P457" i="18"/>
  <c r="P685" s="1"/>
  <c r="O36" i="7941"/>
  <c r="O28" i="7944"/>
  <c r="N344"/>
  <c r="N442"/>
  <c r="O13"/>
  <c r="O24" i="7941"/>
  <c r="N253" i="7944"/>
  <c r="P445" i="18"/>
  <c r="P673" s="1"/>
  <c r="O27" i="7941"/>
  <c r="O21" i="7944"/>
  <c r="N123"/>
  <c r="O342" i="18"/>
  <c r="O654"/>
  <c r="O524" s="1"/>
  <c r="O93" i="7941" s="1"/>
  <c r="N175" i="7944"/>
  <c r="O205" i="7941"/>
  <c r="O35" i="7944"/>
  <c r="O223" i="7941"/>
  <c r="O251" i="18"/>
  <c r="O647"/>
  <c r="O517" s="1"/>
  <c r="O86" i="7941" s="1"/>
  <c r="O216"/>
  <c r="O407" i="18"/>
  <c r="O659" s="1"/>
  <c r="O529" s="1"/>
  <c r="O98" i="7941" s="1"/>
  <c r="O82" i="18"/>
  <c r="O634" s="1"/>
  <c r="O34" i="7941"/>
  <c r="O206"/>
  <c r="O226"/>
  <c r="N201" i="7944"/>
  <c r="O14" i="7941"/>
  <c r="N428" i="7944"/>
  <c r="N386"/>
  <c r="N97"/>
  <c r="O21" i="7941"/>
  <c r="O225"/>
  <c r="O303" i="18"/>
  <c r="O651" s="1"/>
  <c r="O521" s="1"/>
  <c r="O90" i="7941" s="1"/>
  <c r="P454" i="18"/>
  <c r="P682" s="1"/>
  <c r="O22" i="7944"/>
  <c r="O25"/>
  <c r="P462" i="18"/>
  <c r="P690" s="1"/>
  <c r="O10" i="7941"/>
  <c r="P461" i="18"/>
  <c r="P689" s="1"/>
  <c r="O9" i="7944"/>
  <c r="O201" i="7941"/>
  <c r="O212" i="18"/>
  <c r="O644" s="1"/>
  <c r="O514" s="1"/>
  <c r="O83" i="7941" s="1"/>
  <c r="N39"/>
  <c r="N7" i="7944"/>
  <c r="O488" i="18"/>
  <c r="O57" i="7941"/>
  <c r="F268" i="7947"/>
  <c r="G268" s="1"/>
  <c r="P173" i="1"/>
  <c r="P12" i="18"/>
  <c r="P34"/>
  <c r="Q340"/>
  <c r="P39"/>
  <c r="P497"/>
  <c r="P66" i="7941"/>
  <c r="Q405" i="18"/>
  <c r="Q403"/>
  <c r="Q171"/>
  <c r="P21"/>
  <c r="Q80"/>
  <c r="P14"/>
  <c r="Q431"/>
  <c r="P41"/>
  <c r="P499"/>
  <c r="P68" i="7941" s="1"/>
  <c r="Q429" i="18"/>
  <c r="Q301"/>
  <c r="P31"/>
  <c r="P40"/>
  <c r="P498"/>
  <c r="P67" i="7941"/>
  <c r="Q418" i="18"/>
  <c r="Q416"/>
  <c r="O485"/>
  <c r="O54" i="7941"/>
  <c r="F226" i="7947"/>
  <c r="G226" s="1"/>
  <c r="O481" i="18"/>
  <c r="O50" i="7941" s="1"/>
  <c r="F170" i="7947"/>
  <c r="F198"/>
  <c r="G198" s="1"/>
  <c r="O483" i="18"/>
  <c r="O52" i="7941" s="1"/>
  <c r="F156" i="7947"/>
  <c r="G156" s="1"/>
  <c r="O480" i="18"/>
  <c r="O49" i="7941"/>
  <c r="F16" i="7947"/>
  <c r="O11" i="18"/>
  <c r="O470"/>
  <c r="F142" i="7947"/>
  <c r="G142" s="1"/>
  <c r="O479" i="18"/>
  <c r="O48" i="7941"/>
  <c r="O473" i="18"/>
  <c r="O42" i="7941"/>
  <c r="F58" i="7947"/>
  <c r="G58" s="1"/>
  <c r="P37" i="18"/>
  <c r="P495" s="1"/>
  <c r="P64" i="7941" s="1"/>
  <c r="Q379" i="18"/>
  <c r="Q377"/>
  <c r="Q119"/>
  <c r="P17"/>
  <c r="P15"/>
  <c r="Q93"/>
  <c r="Q249"/>
  <c r="P27"/>
  <c r="Q288"/>
  <c r="P30"/>
  <c r="F269" i="7947" s="1"/>
  <c r="G269" s="1"/>
  <c r="Q67" i="18"/>
  <c r="P13"/>
  <c r="Q132"/>
  <c r="P18"/>
  <c r="F101" i="7947" s="1"/>
  <c r="P22" i="18"/>
  <c r="Q184"/>
  <c r="O486"/>
  <c r="O55" i="7941"/>
  <c r="F240" i="7947"/>
  <c r="G240" s="1"/>
  <c r="F184"/>
  <c r="G184" s="1"/>
  <c r="O482" i="18"/>
  <c r="O51" i="7941"/>
  <c r="F282" i="7947"/>
  <c r="G282" s="1"/>
  <c r="O489" i="18"/>
  <c r="O58" i="7941"/>
  <c r="F30" i="7947"/>
  <c r="G30" s="1"/>
  <c r="O471" i="18"/>
  <c r="O40" i="7941" s="1"/>
  <c r="F100" i="7947"/>
  <c r="G100" s="1"/>
  <c r="O476" i="18"/>
  <c r="O45" i="7941" s="1"/>
  <c r="O477" i="18"/>
  <c r="O46" i="7941"/>
  <c r="F114" i="7947"/>
  <c r="G114" s="1"/>
  <c r="J682" i="18"/>
  <c r="J518" s="1"/>
  <c r="Q113" i="7942"/>
  <c r="Q265" i="7941" s="1"/>
  <c r="P113" i="7942"/>
  <c r="M149"/>
  <c r="M283" i="7941" s="1"/>
  <c r="O148" i="7942"/>
  <c r="N149" s="1"/>
  <c r="K108"/>
  <c r="L121"/>
  <c r="L269" i="7941"/>
  <c r="O120" i="7942"/>
  <c r="Q4" i="7941"/>
  <c r="Q74" i="1"/>
  <c r="Q108"/>
  <c r="Q142"/>
  <c r="Q4" i="7942"/>
  <c r="Q176" i="1"/>
  <c r="P4" i="7944"/>
  <c r="Q4" s="1"/>
  <c r="Q4" i="18"/>
  <c r="R4" s="1"/>
  <c r="O408"/>
  <c r="P408" s="1"/>
  <c r="Q408" s="1"/>
  <c r="P476"/>
  <c r="P45" i="7941" s="1"/>
  <c r="Q482" i="18"/>
  <c r="Q51" i="7941" s="1"/>
  <c r="F186" i="7947"/>
  <c r="G186" s="1"/>
  <c r="F157"/>
  <c r="G157" s="1"/>
  <c r="P480" i="18"/>
  <c r="P49" i="7941"/>
  <c r="F17" i="7947"/>
  <c r="P470" i="18"/>
  <c r="O632"/>
  <c r="O43"/>
  <c r="G72" i="7947"/>
  <c r="F241"/>
  <c r="G241" s="1"/>
  <c r="P486" i="18"/>
  <c r="P55" i="7941" s="1"/>
  <c r="G44" i="7947"/>
  <c r="Q483" i="18"/>
  <c r="Q52" i="7941"/>
  <c r="F200" i="7947"/>
  <c r="G200" s="1"/>
  <c r="F74"/>
  <c r="G74" s="1"/>
  <c r="Q474" i="18"/>
  <c r="Q43" i="7941"/>
  <c r="F270" i="7947"/>
  <c r="G270" s="1"/>
  <c r="Q488" i="18"/>
  <c r="Q57" i="7941" s="1"/>
  <c r="Q487" i="18"/>
  <c r="Q56" i="7941" s="1"/>
  <c r="F256" i="7947"/>
  <c r="G256" s="1"/>
  <c r="P481" i="18"/>
  <c r="P50" i="7941"/>
  <c r="F171" i="7947"/>
  <c r="G171" s="1"/>
  <c r="M294" i="7941"/>
  <c r="Q497" i="18"/>
  <c r="Q66" i="7941"/>
  <c r="Q496" i="18"/>
  <c r="Q65" i="7941"/>
  <c r="Q495" i="18"/>
  <c r="Q64" i="7941"/>
  <c r="G170" i="7947"/>
  <c r="P477" i="18"/>
  <c r="P46" i="7941" s="1"/>
  <c r="F115" i="7947"/>
  <c r="G115" s="1"/>
  <c r="Q490" i="18"/>
  <c r="Q59" i="7941"/>
  <c r="F298" i="7947"/>
  <c r="G298" s="1"/>
  <c r="F312"/>
  <c r="F130"/>
  <c r="G130" s="1"/>
  <c r="Q478" i="18"/>
  <c r="Q47" i="7941" s="1"/>
  <c r="F326" i="7947"/>
  <c r="G326" s="1"/>
  <c r="Q492" i="18"/>
  <c r="Q61" i="7941"/>
  <c r="F31" i="7947"/>
  <c r="G31" s="1"/>
  <c r="P471" i="18"/>
  <c r="P40" i="7941"/>
  <c r="P485" i="18"/>
  <c r="P54" i="7941"/>
  <c r="F227" i="7947"/>
  <c r="G227" s="1"/>
  <c r="F87"/>
  <c r="P475" i="18"/>
  <c r="P44" i="7941"/>
  <c r="F45" i="7947"/>
  <c r="G45" s="1"/>
  <c r="P472" i="18"/>
  <c r="P41" i="7941" s="1"/>
  <c r="P492" i="18"/>
  <c r="P61" i="7941" s="1"/>
  <c r="F213" i="7947"/>
  <c r="P484" i="18"/>
  <c r="P53" i="7941" s="1"/>
  <c r="P474" i="18"/>
  <c r="P43" i="7941" s="1"/>
  <c r="F73" i="7947"/>
  <c r="G73" s="1"/>
  <c r="P482" i="18"/>
  <c r="P51" i="7941"/>
  <c r="F185" i="7947"/>
  <c r="G185" s="1"/>
  <c r="F297"/>
  <c r="G297" s="1"/>
  <c r="F311"/>
  <c r="P490" i="18"/>
  <c r="P59" i="7941" s="1"/>
  <c r="Q471" i="18"/>
  <c r="Q40" i="7941" s="1"/>
  <c r="F32" i="7947"/>
  <c r="G32" s="1"/>
  <c r="F116"/>
  <c r="G116" s="1"/>
  <c r="Q477" i="18"/>
  <c r="Q46" i="7941" s="1"/>
  <c r="Q493" i="18"/>
  <c r="Q62" i="7941" s="1"/>
  <c r="F340" i="7947"/>
  <c r="G340" s="1"/>
  <c r="Q484" i="18"/>
  <c r="Q53" i="7941"/>
  <c r="F214" i="7947"/>
  <c r="G214" s="1"/>
  <c r="Q485" i="18"/>
  <c r="Q54" i="7941" s="1"/>
  <c r="F228" i="7947"/>
  <c r="G228" s="1"/>
  <c r="Q475" i="18"/>
  <c r="Q44" i="7941"/>
  <c r="F88" i="7947"/>
  <c r="G88" s="1"/>
  <c r="F158"/>
  <c r="G158" s="1"/>
  <c r="Q480" i="18"/>
  <c r="Q49" i="7941"/>
  <c r="O7" i="7944"/>
  <c r="M230" i="7941"/>
  <c r="Q491" i="18"/>
  <c r="Q60" i="7941"/>
  <c r="P488" i="18"/>
  <c r="P57" i="7941"/>
  <c r="P479" i="18"/>
  <c r="P48" i="7941" s="1"/>
  <c r="F143" i="7947"/>
  <c r="G143" s="1"/>
  <c r="P35" i="7944"/>
  <c r="O253"/>
  <c r="P9"/>
  <c r="P212" i="18"/>
  <c r="P644" s="1"/>
  <c r="P514" s="1"/>
  <c r="P83" i="7941" s="1"/>
  <c r="P147" i="18"/>
  <c r="P639" s="1"/>
  <c r="P509" s="1"/>
  <c r="P78" i="7941" s="1"/>
  <c r="Q453" i="18"/>
  <c r="Q681" s="1"/>
  <c r="P24" i="7941"/>
  <c r="P223"/>
  <c r="Q462" i="18"/>
  <c r="Q690" s="1"/>
  <c r="P28" i="7941"/>
  <c r="P31"/>
  <c r="P208"/>
  <c r="P238" i="18"/>
  <c r="P646"/>
  <c r="P516" s="1"/>
  <c r="P85" i="7941" s="1"/>
  <c r="Q451" i="18"/>
  <c r="Q679"/>
  <c r="O372" i="7944"/>
  <c r="P12"/>
  <c r="P31"/>
  <c r="P215" i="7941"/>
  <c r="P217"/>
  <c r="O149" i="7944"/>
  <c r="O442"/>
  <c r="P17" i="7941"/>
  <c r="Q455" i="18"/>
  <c r="Q683"/>
  <c r="O318" i="7944"/>
  <c r="O227"/>
  <c r="Q444" i="18"/>
  <c r="Q672"/>
  <c r="Q466"/>
  <c r="Q694"/>
  <c r="P290"/>
  <c r="P650"/>
  <c r="P520" s="1"/>
  <c r="P89" i="7941" s="1"/>
  <c r="P8"/>
  <c r="P14"/>
  <c r="P355" i="18"/>
  <c r="P655"/>
  <c r="P525" s="1"/>
  <c r="P94" i="7941" s="1"/>
  <c r="P95" i="18"/>
  <c r="P635"/>
  <c r="P505" s="1"/>
  <c r="P74" i="7941" s="1"/>
  <c r="P25" i="7944"/>
  <c r="Q452" i="18"/>
  <c r="Q680" s="1"/>
  <c r="P222" i="7941"/>
  <c r="P221"/>
  <c r="P23"/>
  <c r="O470" i="7944"/>
  <c r="P15"/>
  <c r="P277" i="18"/>
  <c r="P649"/>
  <c r="P519" s="1"/>
  <c r="P88" i="7941" s="1"/>
  <c r="Q463" i="18"/>
  <c r="Q691"/>
  <c r="Q446"/>
  <c r="Q674"/>
  <c r="P225"/>
  <c r="P645"/>
  <c r="P515" s="1"/>
  <c r="P84" i="7941" s="1"/>
  <c r="Q467" i="18"/>
  <c r="Q695"/>
  <c r="O358" i="7944"/>
  <c r="P32" i="7941"/>
  <c r="P32" i="7944"/>
  <c r="P199" i="18"/>
  <c r="P643" s="1"/>
  <c r="P513" s="1"/>
  <c r="P82" i="7941" s="1"/>
  <c r="P214"/>
  <c r="Q445" i="18"/>
  <c r="Q673"/>
  <c r="P316"/>
  <c r="P652"/>
  <c r="P522" s="1"/>
  <c r="P91" i="7941" s="1"/>
  <c r="O279" i="7944"/>
  <c r="P16" i="7941"/>
  <c r="P134" i="18"/>
  <c r="P638"/>
  <c r="P508" s="1"/>
  <c r="P77" i="7941" s="1"/>
  <c r="O428" i="7944"/>
  <c r="P342" i="18"/>
  <c r="P654" s="1"/>
  <c r="P524" s="1"/>
  <c r="P93" i="7941" s="1"/>
  <c r="P34" i="7944"/>
  <c r="P11" i="7941"/>
  <c r="P27" i="7944"/>
  <c r="P23"/>
  <c r="Q441" i="18"/>
  <c r="Q669" s="1"/>
  <c r="P13" i="7941"/>
  <c r="P329" i="18"/>
  <c r="P653"/>
  <c r="P523" s="1"/>
  <c r="P92" i="7941" s="1"/>
  <c r="Q438" i="18"/>
  <c r="O123" i="7944"/>
  <c r="Q464" i="18"/>
  <c r="Q692"/>
  <c r="P394"/>
  <c r="P658"/>
  <c r="P528" s="1"/>
  <c r="P97" i="7941" s="1"/>
  <c r="Q457" i="18"/>
  <c r="Q685"/>
  <c r="O240" i="7944"/>
  <c r="Q461" i="18"/>
  <c r="Q689" s="1"/>
  <c r="P219" i="7941"/>
  <c r="P20" i="7944"/>
  <c r="P225" i="7941"/>
  <c r="P33" i="7944"/>
  <c r="O97"/>
  <c r="P11"/>
  <c r="P30" i="7941"/>
  <c r="P29" i="7944"/>
  <c r="P202" i="7941"/>
  <c r="P199"/>
  <c r="P264" i="18"/>
  <c r="P648" s="1"/>
  <c r="P518" s="1"/>
  <c r="P87" i="7941" s="1"/>
  <c r="P203"/>
  <c r="P201"/>
  <c r="P82" i="18"/>
  <c r="P634" s="1"/>
  <c r="P504" s="1"/>
  <c r="P73" i="7941" s="1"/>
  <c r="P433" i="18"/>
  <c r="P661" s="1"/>
  <c r="P531" s="1"/>
  <c r="P100" i="7941" s="1"/>
  <c r="P26"/>
  <c r="P368" i="18"/>
  <c r="P656"/>
  <c r="P526" s="1"/>
  <c r="P95" i="7941" s="1"/>
  <c r="P173" i="18"/>
  <c r="P641"/>
  <c r="P511" s="1"/>
  <c r="P80" i="7941" s="1"/>
  <c r="P56" i="18"/>
  <c r="O400" i="7944"/>
  <c r="P12" i="7941"/>
  <c r="P226"/>
  <c r="O110" i="7944"/>
  <c r="P34" i="7941"/>
  <c r="Q442" i="18"/>
  <c r="Q670"/>
  <c r="P13" i="7944"/>
  <c r="P24"/>
  <c r="O414"/>
  <c r="P25" i="7941"/>
  <c r="P10" i="7944"/>
  <c r="P381" i="18"/>
  <c r="P657" s="1"/>
  <c r="P527" s="1"/>
  <c r="P96" i="7941" s="1"/>
  <c r="O305" i="7944"/>
  <c r="O175"/>
  <c r="P14"/>
  <c r="P36"/>
  <c r="Q450" i="18"/>
  <c r="Q678" s="1"/>
  <c r="P213" i="7941"/>
  <c r="P33"/>
  <c r="Q439" i="18"/>
  <c r="Q667" s="1"/>
  <c r="P303"/>
  <c r="P651" s="1"/>
  <c r="P521" s="1"/>
  <c r="P90" i="7941" s="1"/>
  <c r="Q447" i="18"/>
  <c r="Q675" s="1"/>
  <c r="P36" i="7941"/>
  <c r="P15"/>
  <c r="P30" i="7944"/>
  <c r="O386"/>
  <c r="Q449" i="18"/>
  <c r="Q677" s="1"/>
  <c r="O331" i="7944"/>
  <c r="Q456" i="18"/>
  <c r="Q684"/>
  <c r="P211" i="7941"/>
  <c r="Q465" i="18"/>
  <c r="Q693" s="1"/>
  <c r="P121"/>
  <c r="P637" s="1"/>
  <c r="P507" s="1"/>
  <c r="P76" i="7941" s="1"/>
  <c r="P8" i="7944"/>
  <c r="P200" i="7941"/>
  <c r="P108" i="18"/>
  <c r="P636" s="1"/>
  <c r="P506" s="1"/>
  <c r="P75" i="7941" s="1"/>
  <c r="P22"/>
  <c r="Q459" i="18"/>
  <c r="Q687"/>
  <c r="Q458"/>
  <c r="Q686"/>
  <c r="P224" i="7941"/>
  <c r="P17" i="7944"/>
  <c r="P251" i="18"/>
  <c r="P647"/>
  <c r="P517" s="1"/>
  <c r="P86" i="7941" s="1"/>
  <c r="P207"/>
  <c r="P21"/>
  <c r="O266" i="7944"/>
  <c r="P20" i="7941"/>
  <c r="Q460" i="18"/>
  <c r="Q688"/>
  <c r="P7" i="7941"/>
  <c r="Q448" i="18"/>
  <c r="Q676" s="1"/>
  <c r="P29" i="7941"/>
  <c r="P26" i="7944"/>
  <c r="P210" i="7941"/>
  <c r="Q454" i="18"/>
  <c r="Q682"/>
  <c r="P9" i="7941"/>
  <c r="P204"/>
  <c r="O136" i="7944"/>
  <c r="P227" i="7941"/>
  <c r="P420" i="18"/>
  <c r="P660"/>
  <c r="P530" s="1"/>
  <c r="P99" i="7941" s="1"/>
  <c r="P35"/>
  <c r="O84" i="7944"/>
  <c r="P218" i="7941"/>
  <c r="P28" i="7944"/>
  <c r="P228" i="7941"/>
  <c r="Q440" i="18"/>
  <c r="Q668" s="1"/>
  <c r="Q443"/>
  <c r="Q671" s="1"/>
  <c r="O201" i="7944"/>
  <c r="P19" i="7941"/>
  <c r="O292" i="7944"/>
  <c r="P16"/>
  <c r="O214"/>
  <c r="P206" i="7941"/>
  <c r="O456" i="7944"/>
  <c r="P22"/>
  <c r="P69" i="18"/>
  <c r="P633" s="1"/>
  <c r="P503" s="1"/>
  <c r="P72" i="7941" s="1"/>
  <c r="P18" i="7944"/>
  <c r="P216" i="7941"/>
  <c r="P18"/>
  <c r="P37" i="7944"/>
  <c r="P220" i="7941"/>
  <c r="P160" i="18"/>
  <c r="P640"/>
  <c r="P510" s="1"/>
  <c r="P79" i="7941" s="1"/>
  <c r="P212"/>
  <c r="P10"/>
  <c r="P6" s="1"/>
  <c r="P186" i="18"/>
  <c r="P642"/>
  <c r="P512" s="1"/>
  <c r="P81" i="7941" s="1"/>
  <c r="O162" i="7944"/>
  <c r="P27" i="7941"/>
  <c r="P21" i="7944"/>
  <c r="P209" i="7941"/>
  <c r="O188" i="7944"/>
  <c r="O344"/>
  <c r="P205" i="7941"/>
  <c r="P407" i="18"/>
  <c r="P659" s="1"/>
  <c r="P529" s="1"/>
  <c r="P98" i="7941" s="1"/>
  <c r="P19" i="7944"/>
  <c r="P478" i="18"/>
  <c r="P47" i="7941"/>
  <c r="F129" i="7947"/>
  <c r="G129" s="1"/>
  <c r="Q473" i="18"/>
  <c r="Q42" i="7941" s="1"/>
  <c r="F60" i="7947"/>
  <c r="G60" s="1"/>
  <c r="F59"/>
  <c r="G59" s="1"/>
  <c r="P473" i="18"/>
  <c r="P42" i="7941"/>
  <c r="O39"/>
  <c r="O38"/>
  <c r="O469" i="18"/>
  <c r="P489"/>
  <c r="P58" i="7941" s="1"/>
  <c r="F283" i="7947"/>
  <c r="G283" s="1"/>
  <c r="P437" i="18"/>
  <c r="P666"/>
  <c r="P665"/>
  <c r="P487"/>
  <c r="P56" i="7941"/>
  <c r="F255" i="7947"/>
  <c r="G255" s="1"/>
  <c r="N303" i="7941"/>
  <c r="N239"/>
  <c r="N313"/>
  <c r="N253"/>
  <c r="N242"/>
  <c r="N237"/>
  <c r="N297"/>
  <c r="N235"/>
  <c r="N323"/>
  <c r="N305"/>
  <c r="N243"/>
  <c r="N308"/>
  <c r="N300"/>
  <c r="N321"/>
  <c r="N248"/>
  <c r="M328"/>
  <c r="N316"/>
  <c r="N238"/>
  <c r="N257"/>
  <c r="N247"/>
  <c r="N255"/>
  <c r="N254"/>
  <c r="N296"/>
  <c r="N302"/>
  <c r="N310"/>
  <c r="N251"/>
  <c r="N249"/>
  <c r="N236"/>
  <c r="N232"/>
  <c r="N230" s="1"/>
  <c r="N314"/>
  <c r="N309"/>
  <c r="M329"/>
  <c r="N320"/>
  <c r="N298"/>
  <c r="N317"/>
  <c r="N319"/>
  <c r="N315"/>
  <c r="N299"/>
  <c r="N240"/>
  <c r="N234"/>
  <c r="N246"/>
  <c r="N324"/>
  <c r="N231"/>
  <c r="N304"/>
  <c r="N241"/>
  <c r="N258"/>
  <c r="N311"/>
  <c r="N233"/>
  <c r="N256"/>
  <c r="N307"/>
  <c r="N306"/>
  <c r="N260"/>
  <c r="N312"/>
  <c r="N245"/>
  <c r="N301"/>
  <c r="N295"/>
  <c r="N250"/>
  <c r="N318"/>
  <c r="N244"/>
  <c r="N259"/>
  <c r="N252"/>
  <c r="N322"/>
  <c r="M337"/>
  <c r="M280"/>
  <c r="M265"/>
  <c r="M272"/>
  <c r="N502" i="18"/>
  <c r="N631"/>
  <c r="F144" i="7947"/>
  <c r="G144" s="1"/>
  <c r="Q479" i="18"/>
  <c r="Q48" i="7941" s="1"/>
  <c r="F284" i="7947"/>
  <c r="G284" s="1"/>
  <c r="Q489" i="18"/>
  <c r="Q58" i="7941" s="1"/>
  <c r="F46" i="7947"/>
  <c r="G46" s="1"/>
  <c r="Q472" i="18"/>
  <c r="Q41" i="7941"/>
  <c r="Q12" i="18"/>
  <c r="Q173" i="1"/>
  <c r="F172" i="7947"/>
  <c r="G172" s="1"/>
  <c r="Q481" i="18"/>
  <c r="Q50" i="7941" s="1"/>
  <c r="F102" i="7947"/>
  <c r="G102" s="1"/>
  <c r="Q476" i="18"/>
  <c r="Q45" i="7941"/>
  <c r="F242" i="7947"/>
  <c r="G242" s="1"/>
  <c r="Q486" i="18"/>
  <c r="Q55" i="7941" s="1"/>
  <c r="F199" i="7947"/>
  <c r="G199" s="1"/>
  <c r="P483" i="18"/>
  <c r="P52" i="7941"/>
  <c r="F339" i="7947"/>
  <c r="G339" s="1"/>
  <c r="P493" i="18"/>
  <c r="P62" i="7941" s="1"/>
  <c r="O6"/>
  <c r="O198"/>
  <c r="Q494" i="18"/>
  <c r="Q63" i="7941"/>
  <c r="N121" i="7942"/>
  <c r="P120"/>
  <c r="O121" s="1"/>
  <c r="L108"/>
  <c r="P148"/>
  <c r="M361" i="7941"/>
  <c r="Q470" i="18"/>
  <c r="F18" i="7947"/>
  <c r="Q11" i="18"/>
  <c r="N71" i="7941"/>
  <c r="G87" i="7947"/>
  <c r="P39" i="7941"/>
  <c r="N269"/>
  <c r="P414" i="7944"/>
  <c r="Q108" i="18"/>
  <c r="Q636" s="1"/>
  <c r="Q506" s="1"/>
  <c r="Q75" i="7941" s="1"/>
  <c r="Q7"/>
  <c r="P266" i="7944"/>
  <c r="R445" i="18"/>
  <c r="P331" i="7944"/>
  <c r="Q17"/>
  <c r="Q210" i="7941"/>
  <c r="Q56" i="18"/>
  <c r="Q212" i="7941"/>
  <c r="Q13"/>
  <c r="Q11"/>
  <c r="R461" i="18"/>
  <c r="R467"/>
  <c r="Q33" i="7944"/>
  <c r="R440" i="18"/>
  <c r="P305" i="7944"/>
  <c r="Q199" i="18"/>
  <c r="Q643"/>
  <c r="Q513" s="1"/>
  <c r="Q82" i="7941" s="1"/>
  <c r="R460" i="18"/>
  <c r="Q24" i="7941"/>
  <c r="Q35" i="7944"/>
  <c r="Q35" i="7941"/>
  <c r="Q209"/>
  <c r="Q30" i="7944"/>
  <c r="R447" i="18"/>
  <c r="Q34" i="7941"/>
  <c r="R462" i="18"/>
  <c r="R465"/>
  <c r="Q18" i="7944"/>
  <c r="Q11"/>
  <c r="P97"/>
  <c r="R463" i="18"/>
  <c r="Q277"/>
  <c r="Q649"/>
  <c r="Q519" s="1"/>
  <c r="Q88" i="7941" s="1"/>
  <c r="Q22"/>
  <c r="Q368" i="18"/>
  <c r="Q656" s="1"/>
  <c r="Q9" i="7944"/>
  <c r="Q222" i="7941"/>
  <c r="Q95" i="18"/>
  <c r="Q635" s="1"/>
  <c r="Q505" s="1"/>
  <c r="Q20" i="7941"/>
  <c r="Q226"/>
  <c r="Q355" i="18"/>
  <c r="Q655" s="1"/>
  <c r="Q525" s="1"/>
  <c r="Q94" i="7941" s="1"/>
  <c r="P372" i="7944"/>
  <c r="Q37"/>
  <c r="P110"/>
  <c r="P175"/>
  <c r="Q28"/>
  <c r="Q213" i="7941"/>
  <c r="R450" i="18"/>
  <c r="R456"/>
  <c r="R449"/>
  <c r="Q264"/>
  <c r="Q648"/>
  <c r="Q518" s="1"/>
  <c r="Q87" i="7941" s="1"/>
  <c r="P123" i="7944"/>
  <c r="P386"/>
  <c r="Q10"/>
  <c r="Q13"/>
  <c r="R441" i="18"/>
  <c r="Q20" i="7944"/>
  <c r="Q238" i="18"/>
  <c r="Q646"/>
  <c r="Q516" s="1"/>
  <c r="Q85" i="7941"/>
  <c r="Q186" i="18"/>
  <c r="Q642"/>
  <c r="Q512" s="1"/>
  <c r="Q81" i="7941" s="1"/>
  <c r="P358" i="7944"/>
  <c r="P201"/>
  <c r="Q214" i="7941"/>
  <c r="P442" i="7944"/>
  <c r="P188"/>
  <c r="Q201" i="7941"/>
  <c r="Q227"/>
  <c r="P344" i="7944"/>
  <c r="Q303" i="18"/>
  <c r="Q651"/>
  <c r="Q521" s="1"/>
  <c r="Q90" i="7941"/>
  <c r="Q27" i="7944"/>
  <c r="Q394" i="18"/>
  <c r="Q658" s="1"/>
  <c r="Q528" s="1"/>
  <c r="Q97" i="7941" s="1"/>
  <c r="R464" i="18"/>
  <c r="Q200" i="7941"/>
  <c r="R466" i="18"/>
  <c r="Q14" i="7941"/>
  <c r="Q173" i="18"/>
  <c r="Q641" s="1"/>
  <c r="Q511" s="1"/>
  <c r="Q80" i="7941" s="1"/>
  <c r="Q223"/>
  <c r="Q220"/>
  <c r="Q215"/>
  <c r="R454" i="18"/>
  <c r="Q12" i="7941"/>
  <c r="R439" i="18"/>
  <c r="R446"/>
  <c r="Q203" i="7941"/>
  <c r="Q26"/>
  <c r="Q32"/>
  <c r="Q15"/>
  <c r="P470" i="7944"/>
  <c r="Q26"/>
  <c r="Q8" i="7941"/>
  <c r="Q290" i="18"/>
  <c r="Q650" s="1"/>
  <c r="Q520" s="1"/>
  <c r="Q89" i="7941" s="1"/>
  <c r="P136" i="7944"/>
  <c r="R451" i="18"/>
  <c r="R442"/>
  <c r="R437" s="1"/>
  <c r="R459"/>
  <c r="Q23" i="7944"/>
  <c r="P240"/>
  <c r="R452" i="18"/>
  <c r="Q216" i="7941"/>
  <c r="R453" i="18"/>
  <c r="Q16" i="7941"/>
  <c r="Q30"/>
  <c r="R438" i="18"/>
  <c r="Q134"/>
  <c r="Q638" s="1"/>
  <c r="Q508" s="1"/>
  <c r="Q77" i="7941" s="1"/>
  <c r="Q21" i="7944"/>
  <c r="Q211" i="7941"/>
  <c r="P428" i="7944"/>
  <c r="Q19"/>
  <c r="Q217" i="7941"/>
  <c r="Q28"/>
  <c r="Q208"/>
  <c r="R457" i="18"/>
  <c r="Q206" i="7941"/>
  <c r="Q29"/>
  <c r="Q32" i="7944"/>
  <c r="Q329" i="18"/>
  <c r="Q653"/>
  <c r="Q523" s="1"/>
  <c r="Q92" i="7941" s="1"/>
  <c r="Q219"/>
  <c r="Q69" i="18"/>
  <c r="Q633" s="1"/>
  <c r="Q503"/>
  <c r="Q72" i="7941" s="1"/>
  <c r="Q202"/>
  <c r="Q82" i="18"/>
  <c r="Q634"/>
  <c r="Q504" s="1"/>
  <c r="Q73" i="7941"/>
  <c r="R458" i="18"/>
  <c r="Q27" i="7941"/>
  <c r="Q225" i="18"/>
  <c r="Q645"/>
  <c r="Q515" s="1"/>
  <c r="Q84" i="7941" s="1"/>
  <c r="Q17"/>
  <c r="Q21"/>
  <c r="Q316" i="18"/>
  <c r="Q652"/>
  <c r="Q522" s="1"/>
  <c r="Q91" i="7941"/>
  <c r="P162" i="7944"/>
  <c r="Q224" i="7941"/>
  <c r="Q218"/>
  <c r="Q18"/>
  <c r="Q228"/>
  <c r="Q9"/>
  <c r="Q6" s="1"/>
  <c r="Q36" i="7944"/>
  <c r="Q147" i="18"/>
  <c r="Q639" s="1"/>
  <c r="Q509" s="1"/>
  <c r="Q78" i="7941" s="1"/>
  <c r="Q14" i="7944"/>
  <c r="Q16"/>
  <c r="R444" i="18"/>
  <c r="Q221" i="7941"/>
  <c r="P456" i="7944"/>
  <c r="Q433" i="18"/>
  <c r="Q661"/>
  <c r="Q531" s="1"/>
  <c r="Q100" i="7941" s="1"/>
  <c r="Q12" i="7944"/>
  <c r="Q10" i="7941"/>
  <c r="P214" i="7944"/>
  <c r="Q212" i="18"/>
  <c r="Q644" s="1"/>
  <c r="Q514"/>
  <c r="Q83" i="7941" s="1"/>
  <c r="Q25" i="7944"/>
  <c r="P279"/>
  <c r="Q407" i="18"/>
  <c r="Q659" s="1"/>
  <c r="Q529"/>
  <c r="Q98" i="7941" s="1"/>
  <c r="Q23"/>
  <c r="P292" i="7944"/>
  <c r="Q251" i="18"/>
  <c r="Q647" s="1"/>
  <c r="Q517"/>
  <c r="Q86" i="7941" s="1"/>
  <c r="Q121" i="18"/>
  <c r="Q637" s="1"/>
  <c r="Q507"/>
  <c r="Q76" i="7941" s="1"/>
  <c r="P253" i="7944"/>
  <c r="Q31" i="7941"/>
  <c r="P149" i="7944"/>
  <c r="Q199" i="7941"/>
  <c r="Q34" i="7944"/>
  <c r="Q160" i="18"/>
  <c r="Q640"/>
  <c r="Q510" s="1"/>
  <c r="Q79" i="7941"/>
  <c r="Q36"/>
  <c r="Q19"/>
  <c r="R443" i="18"/>
  <c r="Q207" i="7941"/>
  <c r="Q24" i="7944"/>
  <c r="Q420" i="18"/>
  <c r="Q660" s="1"/>
  <c r="Q530" s="1"/>
  <c r="Q99" i="7941" s="1"/>
  <c r="P400" i="7944"/>
  <c r="R448" i="18"/>
  <c r="Q381"/>
  <c r="Q657" s="1"/>
  <c r="Q527" s="1"/>
  <c r="Q96" i="7941" s="1"/>
  <c r="P227" i="7944"/>
  <c r="Q342" i="18"/>
  <c r="Q654"/>
  <c r="Q524" s="1"/>
  <c r="Q93" i="7941" s="1"/>
  <c r="Q204"/>
  <c r="R455" i="18"/>
  <c r="Q25" i="7941"/>
  <c r="Q205"/>
  <c r="Q225"/>
  <c r="Q22" i="7944"/>
  <c r="P84"/>
  <c r="Q15"/>
  <c r="Q8"/>
  <c r="Q31"/>
  <c r="Q33" i="7941"/>
  <c r="Q29" i="7944"/>
  <c r="P318"/>
  <c r="Q666" i="18"/>
  <c r="Q437"/>
  <c r="P198" i="7941"/>
  <c r="O237"/>
  <c r="O236"/>
  <c r="O311"/>
  <c r="O305"/>
  <c r="O308"/>
  <c r="O250"/>
  <c r="O312"/>
  <c r="O260"/>
  <c r="O304"/>
  <c r="O298"/>
  <c r="N337"/>
  <c r="O257"/>
  <c r="O300"/>
  <c r="O314"/>
  <c r="O258"/>
  <c r="O240"/>
  <c r="O296"/>
  <c r="O319"/>
  <c r="O255"/>
  <c r="O241"/>
  <c r="O297"/>
  <c r="O309"/>
  <c r="O234"/>
  <c r="O235"/>
  <c r="O238"/>
  <c r="O316"/>
  <c r="O306"/>
  <c r="O231"/>
  <c r="O253"/>
  <c r="O252"/>
  <c r="O251"/>
  <c r="N272"/>
  <c r="N280"/>
  <c r="P43" i="18"/>
  <c r="P632"/>
  <c r="G213" i="7947"/>
  <c r="O502" i="18"/>
  <c r="O631"/>
  <c r="N294" i="7941"/>
  <c r="R174" i="1"/>
  <c r="P7" i="7944"/>
  <c r="M108" i="7942"/>
  <c r="Q120"/>
  <c r="O149"/>
  <c r="Q148"/>
  <c r="Q149" s="1"/>
  <c r="Q283" i="7941" s="1"/>
  <c r="P502" i="18"/>
  <c r="P631"/>
  <c r="P312" i="7941"/>
  <c r="P297"/>
  <c r="P320"/>
  <c r="P254"/>
  <c r="P322"/>
  <c r="P295"/>
  <c r="P321"/>
  <c r="P302"/>
  <c r="P259"/>
  <c r="P305"/>
  <c r="P241"/>
  <c r="P256"/>
  <c r="P243"/>
  <c r="O328"/>
  <c r="P308"/>
  <c r="P232"/>
  <c r="P246"/>
  <c r="P306"/>
  <c r="P255"/>
  <c r="P249"/>
  <c r="P299"/>
  <c r="P298"/>
  <c r="P307"/>
  <c r="P318"/>
  <c r="P310"/>
  <c r="P238"/>
  <c r="P233"/>
  <c r="P239"/>
  <c r="P319"/>
  <c r="P323"/>
  <c r="P253"/>
  <c r="O272"/>
  <c r="O265"/>
  <c r="Q632" i="18"/>
  <c r="Q631" s="1"/>
  <c r="O269" i="7941"/>
  <c r="Q39"/>
  <c r="Q38"/>
  <c r="Q469" i="18"/>
  <c r="P121" i="7942"/>
  <c r="Q121"/>
  <c r="Q269" i="7941"/>
  <c r="L109" i="7942"/>
  <c r="L263" i="7941" s="1"/>
  <c r="N108" i="7942"/>
  <c r="Q502" i="18"/>
  <c r="P71" i="7941"/>
  <c r="P70"/>
  <c r="P501" i="18"/>
  <c r="M109" i="7942"/>
  <c r="M263" i="7941" s="1"/>
  <c r="O108" i="7942"/>
  <c r="N109" s="1"/>
  <c r="N263" i="7941" s="1"/>
  <c r="Q71"/>
  <c r="F229" i="7947" l="1"/>
  <c r="F187"/>
  <c r="G187" s="1"/>
  <c r="G383" s="1"/>
  <c r="N459" i="7944"/>
  <c r="M461"/>
  <c r="O461" s="1"/>
  <c r="N461"/>
  <c r="P461" s="1"/>
  <c r="N405"/>
  <c r="M71"/>
  <c r="I18"/>
  <c r="J18" s="1"/>
  <c r="K18" s="1"/>
  <c r="L18" s="1"/>
  <c r="H35"/>
  <c r="G71"/>
  <c r="N71"/>
  <c r="H34"/>
  <c r="I71"/>
  <c r="H71"/>
  <c r="P71"/>
  <c r="O71"/>
  <c r="F313" i="7947"/>
  <c r="G313" s="1"/>
  <c r="G392" s="1"/>
  <c r="F173"/>
  <c r="F117"/>
  <c r="F341"/>
  <c r="F285"/>
  <c r="F75"/>
  <c r="F131"/>
  <c r="F19"/>
  <c r="G19" s="1"/>
  <c r="G371" s="1"/>
  <c r="G168"/>
  <c r="F33"/>
  <c r="G33" s="1"/>
  <c r="G372" s="1"/>
  <c r="F201"/>
  <c r="F299"/>
  <c r="G299" s="1"/>
  <c r="G391" s="1"/>
  <c r="F243"/>
  <c r="I14" i="7944"/>
  <c r="I12"/>
  <c r="Q7"/>
  <c r="H33"/>
  <c r="M460"/>
  <c r="N460" s="1"/>
  <c r="K470"/>
  <c r="K446"/>
  <c r="M446" s="1"/>
  <c r="J403"/>
  <c r="K403" s="1"/>
  <c r="I403"/>
  <c r="H414"/>
  <c r="M447"/>
  <c r="N447"/>
  <c r="J415"/>
  <c r="I443"/>
  <c r="J443" s="1"/>
  <c r="I34"/>
  <c r="O282"/>
  <c r="P282" s="1"/>
  <c r="I417"/>
  <c r="I428" s="1"/>
  <c r="H428"/>
  <c r="J31"/>
  <c r="K31" s="1"/>
  <c r="L31" s="1"/>
  <c r="G7"/>
  <c r="J21"/>
  <c r="K21" s="1"/>
  <c r="L21" s="1"/>
  <c r="I17"/>
  <c r="J17" s="1"/>
  <c r="K17" s="1"/>
  <c r="L17" s="1"/>
  <c r="I28"/>
  <c r="J28" s="1"/>
  <c r="K28" s="1"/>
  <c r="L28" s="1"/>
  <c r="I16"/>
  <c r="J16" s="1"/>
  <c r="K16" s="1"/>
  <c r="L16" s="1"/>
  <c r="I23"/>
  <c r="J23" s="1"/>
  <c r="K23" s="1"/>
  <c r="L23" s="1"/>
  <c r="I25"/>
  <c r="J25" s="1"/>
  <c r="I19"/>
  <c r="J19" s="1"/>
  <c r="K19" s="1"/>
  <c r="L19" s="1"/>
  <c r="H32"/>
  <c r="J14"/>
  <c r="K14" s="1"/>
  <c r="L14" s="1"/>
  <c r="I24"/>
  <c r="J24" s="1"/>
  <c r="K24" s="1"/>
  <c r="L24" s="1"/>
  <c r="I30"/>
  <c r="J30" s="1"/>
  <c r="K30" s="1"/>
  <c r="L30" s="1"/>
  <c r="I10"/>
  <c r="J10" s="1"/>
  <c r="K10" s="1"/>
  <c r="L10" s="1"/>
  <c r="J387"/>
  <c r="K387" s="1"/>
  <c r="M387" s="1"/>
  <c r="N387" s="1"/>
  <c r="J12"/>
  <c r="K12" s="1"/>
  <c r="L12" s="1"/>
  <c r="I15"/>
  <c r="J15" s="1"/>
  <c r="K15" s="1"/>
  <c r="L15" s="1"/>
  <c r="K37"/>
  <c r="Q74" i="7941"/>
  <c r="Q70" s="1"/>
  <c r="O71"/>
  <c r="O283"/>
  <c r="P245"/>
  <c r="P300"/>
  <c r="O337"/>
  <c r="P311"/>
  <c r="P250"/>
  <c r="P313"/>
  <c r="P242"/>
  <c r="P244"/>
  <c r="P316"/>
  <c r="P252"/>
  <c r="P314"/>
  <c r="O329"/>
  <c r="P258"/>
  <c r="P304"/>
  <c r="P237"/>
  <c r="P301"/>
  <c r="P251"/>
  <c r="P235"/>
  <c r="P260"/>
  <c r="P303"/>
  <c r="P234"/>
  <c r="P247"/>
  <c r="P317"/>
  <c r="P236"/>
  <c r="P257"/>
  <c r="P240"/>
  <c r="P315"/>
  <c r="P231"/>
  <c r="P309"/>
  <c r="P324"/>
  <c r="P248"/>
  <c r="P296"/>
  <c r="P294" s="1"/>
  <c r="O280"/>
  <c r="P108" i="7942"/>
  <c r="P149"/>
  <c r="Q665" i="18"/>
  <c r="Q198" i="7941"/>
  <c r="Q43" i="18"/>
  <c r="J87" i="7941"/>
  <c r="K454" i="18"/>
  <c r="Q526"/>
  <c r="Q95" i="7941" s="1"/>
  <c r="P38"/>
  <c r="G101" i="7947"/>
  <c r="F103"/>
  <c r="G103" s="1"/>
  <c r="G377" s="1"/>
  <c r="L125" i="7942"/>
  <c r="L271" i="7941" s="1"/>
  <c r="N124" i="7942"/>
  <c r="P389" i="18"/>
  <c r="Q389" s="1"/>
  <c r="O256" i="7941"/>
  <c r="O232"/>
  <c r="O302"/>
  <c r="N329"/>
  <c r="O307"/>
  <c r="O295"/>
  <c r="O246"/>
  <c r="O244"/>
  <c r="O310"/>
  <c r="O320"/>
  <c r="O242"/>
  <c r="O239"/>
  <c r="O303"/>
  <c r="O254"/>
  <c r="O317"/>
  <c r="F47" i="7947"/>
  <c r="G47" s="1"/>
  <c r="G373" s="1"/>
  <c r="P469" i="18"/>
  <c r="P11"/>
  <c r="O504"/>
  <c r="O73" i="7941" s="1"/>
  <c r="O519" i="18"/>
  <c r="O88" i="7941" s="1"/>
  <c r="O503" i="18"/>
  <c r="O72" i="7941" s="1"/>
  <c r="O525" i="18"/>
  <c r="O94" i="7941" s="1"/>
  <c r="M38"/>
  <c r="O114" i="7942"/>
  <c r="N115" s="1"/>
  <c r="N266" i="7941" s="1"/>
  <c r="N114" i="7942"/>
  <c r="M115" s="1"/>
  <c r="M266" i="7941" s="1"/>
  <c r="M114" i="7942"/>
  <c r="L147"/>
  <c r="L282" i="7941" s="1"/>
  <c r="N146" i="7942"/>
  <c r="O146" s="1"/>
  <c r="N147" s="1"/>
  <c r="N282" i="7941" s="1"/>
  <c r="P412" i="18"/>
  <c r="Q412"/>
  <c r="N283" i="7941"/>
  <c r="N265"/>
  <c r="N361" s="1"/>
  <c r="O324"/>
  <c r="O243"/>
  <c r="O247"/>
  <c r="O299"/>
  <c r="N328"/>
  <c r="O301"/>
  <c r="O259"/>
  <c r="O321"/>
  <c r="O318"/>
  <c r="O245"/>
  <c r="O249"/>
  <c r="O313"/>
  <c r="O233"/>
  <c r="O361" s="1"/>
  <c r="O248"/>
  <c r="O322"/>
  <c r="O323"/>
  <c r="O315"/>
  <c r="K451" i="18"/>
  <c r="O528"/>
  <c r="O97" i="7941" s="1"/>
  <c r="O530" i="18"/>
  <c r="O99" i="7941" s="1"/>
  <c r="O527" i="18"/>
  <c r="O96" i="7941" s="1"/>
  <c r="N507" i="18"/>
  <c r="J444"/>
  <c r="I77" i="7941"/>
  <c r="N64"/>
  <c r="N38" s="1"/>
  <c r="N469" i="18"/>
  <c r="I633"/>
  <c r="N413"/>
  <c r="H7" i="7944"/>
  <c r="I9"/>
  <c r="H152" i="7942"/>
  <c r="K296" i="7944"/>
  <c r="J305"/>
  <c r="J71" s="1"/>
  <c r="H138" i="7942"/>
  <c r="I138" s="1"/>
  <c r="N356" i="18"/>
  <c r="L140" i="7942"/>
  <c r="M140" s="1"/>
  <c r="L141" s="1"/>
  <c r="L279" i="7941" s="1"/>
  <c r="O374" i="18"/>
  <c r="P374" s="1"/>
  <c r="O414"/>
  <c r="P414" s="1"/>
  <c r="O369"/>
  <c r="O373"/>
  <c r="N373"/>
  <c r="P373" s="1"/>
  <c r="J134" i="7942"/>
  <c r="K134" s="1"/>
  <c r="J11" i="7944"/>
  <c r="K11" s="1"/>
  <c r="L11" s="1"/>
  <c r="H110" i="7942"/>
  <c r="H144"/>
  <c r="N298" i="7944"/>
  <c r="K25"/>
  <c r="P401" i="18"/>
  <c r="Q401" s="1"/>
  <c r="M304" i="7942"/>
  <c r="M344" i="7941" s="1"/>
  <c r="M376" s="1"/>
  <c r="O303" i="7942"/>
  <c r="L160"/>
  <c r="M160" s="1"/>
  <c r="L161" s="1"/>
  <c r="L289" i="7941" s="1"/>
  <c r="L163" i="7942"/>
  <c r="L290" i="7941" s="1"/>
  <c r="O162" i="7942"/>
  <c r="N163" s="1"/>
  <c r="N290" i="7941" s="1"/>
  <c r="P162" i="7942"/>
  <c r="O163" s="1"/>
  <c r="O290" i="7941" s="1"/>
  <c r="N162" i="7942"/>
  <c r="H122"/>
  <c r="I122"/>
  <c r="P400" i="18"/>
  <c r="Q400" s="1"/>
  <c r="O361"/>
  <c r="I26" i="7944"/>
  <c r="J26" s="1"/>
  <c r="K26" s="1"/>
  <c r="L26" s="1"/>
  <c r="I22"/>
  <c r="J22" s="1"/>
  <c r="K22" s="1"/>
  <c r="L22" s="1"/>
  <c r="L133" i="7942"/>
  <c r="L275" i="7941" s="1"/>
  <c r="N132" i="7942"/>
  <c r="I150"/>
  <c r="J150" s="1"/>
  <c r="H150"/>
  <c r="I116"/>
  <c r="J116" s="1"/>
  <c r="H116"/>
  <c r="M166"/>
  <c r="O166" s="1"/>
  <c r="N167" s="1"/>
  <c r="N292" i="7941" s="1"/>
  <c r="N166" i="7942"/>
  <c r="M167" s="1"/>
  <c r="M292" i="7941" s="1"/>
  <c r="L371" i="18"/>
  <c r="M371" s="1"/>
  <c r="J313" i="7942"/>
  <c r="M390" i="7944"/>
  <c r="N390" s="1"/>
  <c r="F246" i="7947"/>
  <c r="F257" s="1"/>
  <c r="G257" s="1"/>
  <c r="G388" s="1"/>
  <c r="L265" i="18"/>
  <c r="J83"/>
  <c r="J95" s="1"/>
  <c r="N83"/>
  <c r="Q83"/>
  <c r="K83"/>
  <c r="K95" s="1"/>
  <c r="P83"/>
  <c r="H333" i="7942"/>
  <c r="M83" i="18"/>
  <c r="H83"/>
  <c r="I83"/>
  <c r="I95" s="1"/>
  <c r="I635" s="1"/>
  <c r="O83"/>
  <c r="L83"/>
  <c r="L95" s="1"/>
  <c r="G122" i="7941"/>
  <c r="H457" i="18"/>
  <c r="H452"/>
  <c r="G117" i="7941"/>
  <c r="G650" i="18"/>
  <c r="G89" i="7941"/>
  <c r="G501" i="18"/>
  <c r="G71" i="7941"/>
  <c r="H438" i="18"/>
  <c r="G62" i="7941"/>
  <c r="H461" i="18"/>
  <c r="H453"/>
  <c r="G54" i="7941"/>
  <c r="H443" i="18"/>
  <c r="G44" i="7941"/>
  <c r="G42"/>
  <c r="H441" i="18"/>
  <c r="I311" i="7942"/>
  <c r="H311"/>
  <c r="H301"/>
  <c r="I301" s="1"/>
  <c r="H291"/>
  <c r="I431" i="7944"/>
  <c r="H442"/>
  <c r="I35" s="1"/>
  <c r="I389"/>
  <c r="P427" i="18"/>
  <c r="Q427" s="1"/>
  <c r="K156" i="7942"/>
  <c r="L156" s="1"/>
  <c r="M128"/>
  <c r="K130"/>
  <c r="K293"/>
  <c r="L293" s="1"/>
  <c r="J293"/>
  <c r="K325"/>
  <c r="L325" s="1"/>
  <c r="H158"/>
  <c r="I174" i="18"/>
  <c r="I186" s="1"/>
  <c r="I642" s="1"/>
  <c r="K174"/>
  <c r="K186" s="1"/>
  <c r="K642" s="1"/>
  <c r="M174"/>
  <c r="L174"/>
  <c r="L186" s="1"/>
  <c r="L642" s="1"/>
  <c r="N174"/>
  <c r="Q174"/>
  <c r="J174"/>
  <c r="J186" s="1"/>
  <c r="J642" s="1"/>
  <c r="O174"/>
  <c r="H174"/>
  <c r="H186" s="1"/>
  <c r="H642" s="1"/>
  <c r="P174"/>
  <c r="I421"/>
  <c r="H433"/>
  <c r="H661" s="1"/>
  <c r="I414" i="7944"/>
  <c r="J401"/>
  <c r="K401" s="1"/>
  <c r="M433"/>
  <c r="N433" s="1"/>
  <c r="N278" i="18"/>
  <c r="H278"/>
  <c r="J278"/>
  <c r="J290" s="1"/>
  <c r="J650" s="1"/>
  <c r="Q278"/>
  <c r="K278"/>
  <c r="K290" s="1"/>
  <c r="K650" s="1"/>
  <c r="P278"/>
  <c r="I278"/>
  <c r="I290" s="1"/>
  <c r="I650" s="1"/>
  <c r="L278"/>
  <c r="L290" s="1"/>
  <c r="L650" s="1"/>
  <c r="O278"/>
  <c r="M278"/>
  <c r="G215" i="7941"/>
  <c r="H23"/>
  <c r="G132"/>
  <c r="H467" i="18"/>
  <c r="H465"/>
  <c r="G130" i="7941"/>
  <c r="G128"/>
  <c r="H463" i="18"/>
  <c r="G97" i="7941"/>
  <c r="H464" i="18"/>
  <c r="G656"/>
  <c r="H462"/>
  <c r="G95" i="7941"/>
  <c r="G223" s="1"/>
  <c r="H460" i="18"/>
  <c r="G654"/>
  <c r="G93" i="7941"/>
  <c r="G647" i="18"/>
  <c r="G86" i="7941"/>
  <c r="H450" i="18"/>
  <c r="G83" i="7941"/>
  <c r="H19" s="1"/>
  <c r="G644" i="18"/>
  <c r="H447"/>
  <c r="G641"/>
  <c r="G80" i="7941"/>
  <c r="G75"/>
  <c r="G636" i="18"/>
  <c r="G73" i="7941"/>
  <c r="H440" i="18"/>
  <c r="G634"/>
  <c r="G631" s="1"/>
  <c r="H455"/>
  <c r="G56" i="7941"/>
  <c r="H449" i="18"/>
  <c r="G50" i="7941"/>
  <c r="K317" i="7942"/>
  <c r="H315"/>
  <c r="H305"/>
  <c r="H295"/>
  <c r="I295" s="1"/>
  <c r="G236"/>
  <c r="H275"/>
  <c r="I275" s="1"/>
  <c r="J432" i="7944"/>
  <c r="K404"/>
  <c r="M404" s="1"/>
  <c r="N404" s="1"/>
  <c r="L304" i="7942"/>
  <c r="L344" i="7941" s="1"/>
  <c r="P399" i="18"/>
  <c r="Q399" s="1"/>
  <c r="I154" i="7942"/>
  <c r="J154" s="1"/>
  <c r="J118"/>
  <c r="I32" i="7944"/>
  <c r="G658" i="18"/>
  <c r="K281" i="7942"/>
  <c r="L281"/>
  <c r="M358" i="18"/>
  <c r="N358" s="1"/>
  <c r="O358" s="1"/>
  <c r="L398"/>
  <c r="M398" s="1"/>
  <c r="M372"/>
  <c r="N372" s="1"/>
  <c r="L372"/>
  <c r="M384"/>
  <c r="L384"/>
  <c r="N384" s="1"/>
  <c r="K397"/>
  <c r="M397" s="1"/>
  <c r="L397"/>
  <c r="N397" s="1"/>
  <c r="J330"/>
  <c r="J342" s="1"/>
  <c r="J654" s="1"/>
  <c r="H330"/>
  <c r="H342" s="1"/>
  <c r="I330"/>
  <c r="I342" s="1"/>
  <c r="I654" s="1"/>
  <c r="K330"/>
  <c r="K342" s="1"/>
  <c r="K654" s="1"/>
  <c r="M330"/>
  <c r="O330"/>
  <c r="Q330"/>
  <c r="L330"/>
  <c r="L342" s="1"/>
  <c r="L654" s="1"/>
  <c r="P330"/>
  <c r="N330"/>
  <c r="G640"/>
  <c r="G665"/>
  <c r="P109"/>
  <c r="Q109"/>
  <c r="J109"/>
  <c r="J121" s="1"/>
  <c r="J637" s="1"/>
  <c r="K109"/>
  <c r="K121" s="1"/>
  <c r="K637" s="1"/>
  <c r="L109"/>
  <c r="L121" s="1"/>
  <c r="L637" s="1"/>
  <c r="I109"/>
  <c r="I121" s="1"/>
  <c r="I637" s="1"/>
  <c r="N109"/>
  <c r="O109"/>
  <c r="M109"/>
  <c r="H109"/>
  <c r="H121" s="1"/>
  <c r="H637" s="1"/>
  <c r="K391" i="7944"/>
  <c r="M391" s="1"/>
  <c r="G597" i="18"/>
  <c r="G167" i="7941"/>
  <c r="G166" s="1"/>
  <c r="H458" i="18"/>
  <c r="G155" i="7941"/>
  <c r="H448" i="18"/>
  <c r="G113" i="7941"/>
  <c r="H466" i="18"/>
  <c r="G660"/>
  <c r="G99" i="7941"/>
  <c r="H35" s="1"/>
  <c r="H395" i="18"/>
  <c r="I395"/>
  <c r="I407" s="1"/>
  <c r="I659" s="1"/>
  <c r="J395"/>
  <c r="J407" s="1"/>
  <c r="J659" s="1"/>
  <c r="H26" i="7941"/>
  <c r="G218"/>
  <c r="H442" i="18"/>
  <c r="G43" i="7941"/>
  <c r="I319" i="7942"/>
  <c r="J319" s="1"/>
  <c r="H309"/>
  <c r="H283"/>
  <c r="I283" s="1"/>
  <c r="G227" i="7941"/>
  <c r="I445" i="7944"/>
  <c r="J445" s="1"/>
  <c r="H456"/>
  <c r="I36" s="1"/>
  <c r="J226" i="18"/>
  <c r="J238" s="1"/>
  <c r="J646" s="1"/>
  <c r="P226"/>
  <c r="H226"/>
  <c r="H238" s="1"/>
  <c r="H646" s="1"/>
  <c r="Q226"/>
  <c r="I226"/>
  <c r="I238" s="1"/>
  <c r="I646" s="1"/>
  <c r="K226"/>
  <c r="K238" s="1"/>
  <c r="K646" s="1"/>
  <c r="O226"/>
  <c r="L226"/>
  <c r="L238" s="1"/>
  <c r="L646" s="1"/>
  <c r="M226"/>
  <c r="N226"/>
  <c r="P268"/>
  <c r="Q268" s="1"/>
  <c r="N375"/>
  <c r="N388"/>
  <c r="I136" i="7942"/>
  <c r="M429" i="7944"/>
  <c r="K269" i="7942"/>
  <c r="L269" s="1"/>
  <c r="M410" i="18"/>
  <c r="L410"/>
  <c r="O410" s="1"/>
  <c r="N410"/>
  <c r="L359"/>
  <c r="P359" s="1"/>
  <c r="M359"/>
  <c r="N359" s="1"/>
  <c r="O359" s="1"/>
  <c r="L423"/>
  <c r="M423" s="1"/>
  <c r="I277" i="7942"/>
  <c r="H17" i="7941"/>
  <c r="G209"/>
  <c r="J382" i="18"/>
  <c r="J394" s="1"/>
  <c r="J658" s="1"/>
  <c r="I382"/>
  <c r="H394"/>
  <c r="H658" s="1"/>
  <c r="H161"/>
  <c r="H173" s="1"/>
  <c r="H641" s="1"/>
  <c r="N161"/>
  <c r="M161"/>
  <c r="O161"/>
  <c r="Q161"/>
  <c r="L161"/>
  <c r="L173" s="1"/>
  <c r="L641" s="1"/>
  <c r="K161"/>
  <c r="K173" s="1"/>
  <c r="K641" s="1"/>
  <c r="J161"/>
  <c r="J173" s="1"/>
  <c r="J641" s="1"/>
  <c r="P161"/>
  <c r="I161"/>
  <c r="I173" s="1"/>
  <c r="I641" s="1"/>
  <c r="M434" i="7944"/>
  <c r="N434" s="1"/>
  <c r="G143" i="7941"/>
  <c r="H446" i="18"/>
  <c r="G565"/>
  <c r="G135" i="7941"/>
  <c r="G134" s="1"/>
  <c r="G110"/>
  <c r="G206" s="1"/>
  <c r="H445" i="18"/>
  <c r="G533"/>
  <c r="G103" i="7941"/>
  <c r="G102" s="1"/>
  <c r="G655" i="18"/>
  <c r="G94" i="7941"/>
  <c r="H459" i="18"/>
  <c r="G60" i="7941"/>
  <c r="G57"/>
  <c r="G217" s="1"/>
  <c r="H456" i="18"/>
  <c r="G212" i="7941"/>
  <c r="H20"/>
  <c r="H323" i="7942"/>
  <c r="I323"/>
  <c r="J323" s="1"/>
  <c r="H287"/>
  <c r="G219" i="7941"/>
  <c r="H27"/>
  <c r="H503" i="18"/>
  <c r="J307" i="7942"/>
  <c r="J327"/>
  <c r="H164"/>
  <c r="L424" i="18"/>
  <c r="K411"/>
  <c r="M419" i="7944"/>
  <c r="M420"/>
  <c r="J418"/>
  <c r="H297" i="7942"/>
  <c r="I279"/>
  <c r="I164"/>
  <c r="L285"/>
  <c r="L321"/>
  <c r="M321" s="1"/>
  <c r="L322" s="1"/>
  <c r="L353" i="7941" s="1"/>
  <c r="I299" i="7942"/>
  <c r="I307"/>
  <c r="G201" i="7947"/>
  <c r="G384" s="1"/>
  <c r="G117"/>
  <c r="G378" s="1"/>
  <c r="G229"/>
  <c r="G386" s="1"/>
  <c r="G341"/>
  <c r="G394" s="1"/>
  <c r="G285"/>
  <c r="G390" s="1"/>
  <c r="G75"/>
  <c r="G375" s="1"/>
  <c r="G243"/>
  <c r="G387" s="1"/>
  <c r="G131"/>
  <c r="G379" s="1"/>
  <c r="O459" i="7944" l="1"/>
  <c r="P459" s="1"/>
  <c r="O447"/>
  <c r="P447" s="1"/>
  <c r="O405"/>
  <c r="P405" s="1"/>
  <c r="G173" i="7947"/>
  <c r="G382" s="1"/>
  <c r="J456" i="7944"/>
  <c r="M401"/>
  <c r="K415"/>
  <c r="O460"/>
  <c r="P460" s="1"/>
  <c r="I33"/>
  <c r="J33" s="1"/>
  <c r="K33" s="1"/>
  <c r="L33" s="1"/>
  <c r="L37"/>
  <c r="J417"/>
  <c r="J34"/>
  <c r="K443"/>
  <c r="M443" s="1"/>
  <c r="N446"/>
  <c r="O387"/>
  <c r="P387" s="1"/>
  <c r="K445"/>
  <c r="M403"/>
  <c r="N403" s="1"/>
  <c r="O403" s="1"/>
  <c r="P403" s="1"/>
  <c r="N391"/>
  <c r="K456"/>
  <c r="M445"/>
  <c r="O398" i="18"/>
  <c r="Q398" s="1"/>
  <c r="N398"/>
  <c r="P398"/>
  <c r="O372"/>
  <c r="Q372"/>
  <c r="P372"/>
  <c r="K327" i="7942"/>
  <c r="G207" i="7941"/>
  <c r="H15"/>
  <c r="H407" i="18"/>
  <c r="H659" s="1"/>
  <c r="K395"/>
  <c r="K407" s="1"/>
  <c r="K659" s="1"/>
  <c r="H683"/>
  <c r="H519" s="1"/>
  <c r="H88" i="7941" s="1"/>
  <c r="I455" i="18"/>
  <c r="H675"/>
  <c r="H688"/>
  <c r="H692"/>
  <c r="H34" i="7941"/>
  <c r="G226"/>
  <c r="I23"/>
  <c r="H215"/>
  <c r="N293" i="7942"/>
  <c r="M294" s="1"/>
  <c r="M339" i="7941" s="1"/>
  <c r="M293" i="7942"/>
  <c r="L294" s="1"/>
  <c r="L339" i="7941" s="1"/>
  <c r="L129" i="7942"/>
  <c r="L273" i="7941" s="1"/>
  <c r="H10"/>
  <c r="G202"/>
  <c r="G38"/>
  <c r="H30"/>
  <c r="G222"/>
  <c r="G213"/>
  <c r="H21"/>
  <c r="L635" i="18"/>
  <c r="M163" i="7942"/>
  <c r="M290" i="7941" s="1"/>
  <c r="Q162" i="7942"/>
  <c r="M125"/>
  <c r="M271" i="7941" s="1"/>
  <c r="O124" i="7942"/>
  <c r="N125" s="1"/>
  <c r="N271" i="7941" s="1"/>
  <c r="K682" i="18"/>
  <c r="K518" s="1"/>
  <c r="K87" i="7941" s="1"/>
  <c r="O109" i="7942"/>
  <c r="O263" i="7941" s="1"/>
  <c r="Q108" i="7942"/>
  <c r="I287"/>
  <c r="K382" i="18"/>
  <c r="K394" s="1"/>
  <c r="K658" s="1"/>
  <c r="N423"/>
  <c r="P410"/>
  <c r="J283" i="7942"/>
  <c r="I309"/>
  <c r="K319"/>
  <c r="F78" i="7947"/>
  <c r="F89" s="1"/>
  <c r="G89" s="1"/>
  <c r="G376" s="1"/>
  <c r="H25" i="7941"/>
  <c r="O397" i="18"/>
  <c r="J299" i="7942"/>
  <c r="J275"/>
  <c r="I315"/>
  <c r="K315" s="1"/>
  <c r="L317"/>
  <c r="K414" i="7944"/>
  <c r="J389"/>
  <c r="J400" s="1"/>
  <c r="J431"/>
  <c r="J442" s="1"/>
  <c r="J301" i="7942"/>
  <c r="G211" i="7941"/>
  <c r="H14"/>
  <c r="N160" i="7942"/>
  <c r="M161" s="1"/>
  <c r="M289" i="7941" s="1"/>
  <c r="O375" i="18"/>
  <c r="P375" s="1"/>
  <c r="Q375" s="1"/>
  <c r="O298" i="7944"/>
  <c r="P298" s="1"/>
  <c r="I144" i="7942"/>
  <c r="J144" s="1"/>
  <c r="L134"/>
  <c r="Q373" i="18"/>
  <c r="P146" i="7942"/>
  <c r="O147" s="1"/>
  <c r="O282" i="7941" s="1"/>
  <c r="Q501" i="18"/>
  <c r="K307" i="7942"/>
  <c r="H219" i="7941"/>
  <c r="H684" i="18"/>
  <c r="H673"/>
  <c r="H509" s="1"/>
  <c r="H78" i="7941" s="1"/>
  <c r="H674" i="18"/>
  <c r="H510" s="1"/>
  <c r="H79" i="7941" s="1"/>
  <c r="I394" i="18"/>
  <c r="I658" s="1"/>
  <c r="I631" s="1"/>
  <c r="L382"/>
  <c r="L394" s="1"/>
  <c r="L658" s="1"/>
  <c r="M382"/>
  <c r="Q359"/>
  <c r="L368"/>
  <c r="L656" s="1"/>
  <c r="M269" i="7942"/>
  <c r="N269"/>
  <c r="O269" s="1"/>
  <c r="I456" i="7944"/>
  <c r="J36" s="1"/>
  <c r="K36" s="1"/>
  <c r="L36" s="1"/>
  <c r="H670" i="18"/>
  <c r="H506" s="1"/>
  <c r="H75" i="7941" s="1"/>
  <c r="I442" i="18"/>
  <c r="H694"/>
  <c r="H530" s="1"/>
  <c r="H99" i="7941" s="1"/>
  <c r="I35" s="1"/>
  <c r="I466" i="18"/>
  <c r="H686"/>
  <c r="H522" s="1"/>
  <c r="H91" i="7941" s="1"/>
  <c r="I27" s="1"/>
  <c r="I458" i="18"/>
  <c r="O391" i="7944"/>
  <c r="P391" s="1"/>
  <c r="P358" i="18"/>
  <c r="Q358" s="1"/>
  <c r="M281" i="7942"/>
  <c r="L282" s="1"/>
  <c r="L333" i="7941" s="1"/>
  <c r="H24"/>
  <c r="G216"/>
  <c r="G201"/>
  <c r="H9"/>
  <c r="H678" i="18"/>
  <c r="H514" s="1"/>
  <c r="H83" i="7941" s="1"/>
  <c r="H211" s="1"/>
  <c r="H32"/>
  <c r="G224"/>
  <c r="G228"/>
  <c r="H36"/>
  <c r="J414" i="7944"/>
  <c r="L130" i="7942"/>
  <c r="N130" s="1"/>
  <c r="M130"/>
  <c r="L131" s="1"/>
  <c r="L274" i="7941" s="1"/>
  <c r="H669" i="18"/>
  <c r="H689"/>
  <c r="H525" s="1"/>
  <c r="H94" i="7941" s="1"/>
  <c r="I461" i="18"/>
  <c r="H95"/>
  <c r="F50" i="7947"/>
  <c r="F61" s="1"/>
  <c r="G61" s="1"/>
  <c r="G374" s="1"/>
  <c r="K635" i="18"/>
  <c r="L277"/>
  <c r="L649" s="1"/>
  <c r="N265"/>
  <c r="P265"/>
  <c r="M265"/>
  <c r="Q265" s="1"/>
  <c r="O265"/>
  <c r="K150" i="7942"/>
  <c r="J122"/>
  <c r="M122" s="1"/>
  <c r="L123" s="1"/>
  <c r="L270" i="7941" s="1"/>
  <c r="K122" i="7942"/>
  <c r="L122" s="1"/>
  <c r="N304"/>
  <c r="N344" i="7941" s="1"/>
  <c r="N376" s="1"/>
  <c r="P303" i="7942"/>
  <c r="O304" s="1"/>
  <c r="O344" i="7941" s="1"/>
  <c r="L115" i="7942"/>
  <c r="L266" i="7941" s="1"/>
  <c r="P114" i="7942"/>
  <c r="O115" s="1"/>
  <c r="O266" i="7941" s="1"/>
  <c r="K323" i="7942"/>
  <c r="F134" i="7947"/>
  <c r="F145" s="1"/>
  <c r="G145" s="1"/>
  <c r="G380" s="1"/>
  <c r="L327" i="7942"/>
  <c r="M327" s="1"/>
  <c r="L328" s="1"/>
  <c r="L356" i="7941" s="1"/>
  <c r="F316" i="7947"/>
  <c r="P397" i="18"/>
  <c r="O384"/>
  <c r="M424"/>
  <c r="N419" i="7944"/>
  <c r="O419" s="1"/>
  <c r="K432"/>
  <c r="M432" s="1"/>
  <c r="I305" i="7942"/>
  <c r="J315"/>
  <c r="I158"/>
  <c r="M325"/>
  <c r="L326" s="1"/>
  <c r="L355" i="7941" s="1"/>
  <c r="H31"/>
  <c r="L301" i="7942"/>
  <c r="N301" s="1"/>
  <c r="J311"/>
  <c r="K313"/>
  <c r="K116"/>
  <c r="N128"/>
  <c r="M129" s="1"/>
  <c r="M273" i="7941" s="1"/>
  <c r="M369" s="1"/>
  <c r="P369" i="18"/>
  <c r="Q369" s="1"/>
  <c r="M296" i="7944"/>
  <c r="N296" s="1"/>
  <c r="I152" i="7942"/>
  <c r="O413" i="18"/>
  <c r="P413" s="1"/>
  <c r="P361"/>
  <c r="Q361" s="1"/>
  <c r="O356"/>
  <c r="P230" i="7941"/>
  <c r="H72"/>
  <c r="I439" i="18"/>
  <c r="H687"/>
  <c r="H523" s="1"/>
  <c r="H92" i="7941" s="1"/>
  <c r="I459" i="18"/>
  <c r="O434" i="7944"/>
  <c r="P434" s="1"/>
  <c r="K136" i="7942"/>
  <c r="G203" i="7941"/>
  <c r="H11"/>
  <c r="L154" i="7942"/>
  <c r="K154"/>
  <c r="M154"/>
  <c r="L155" s="1"/>
  <c r="L286" i="7941" s="1"/>
  <c r="O404" i="7944"/>
  <c r="P404"/>
  <c r="H677" i="18"/>
  <c r="H513" s="1"/>
  <c r="H82" i="7941" s="1"/>
  <c r="I449" i="18"/>
  <c r="H668"/>
  <c r="H504" s="1"/>
  <c r="H73" i="7941" s="1"/>
  <c r="I440" i="18"/>
  <c r="H16" i="7941"/>
  <c r="G208"/>
  <c r="H29"/>
  <c r="G221"/>
  <c r="H690" i="18"/>
  <c r="H526" s="1"/>
  <c r="H95" i="7941" s="1"/>
  <c r="I462" i="18"/>
  <c r="H691"/>
  <c r="H527" s="1"/>
  <c r="H96" i="7941" s="1"/>
  <c r="H695" i="18"/>
  <c r="H531" s="1"/>
  <c r="H290"/>
  <c r="H650" s="1"/>
  <c r="H520" s="1"/>
  <c r="H89" i="7941" s="1"/>
  <c r="F260" i="7947"/>
  <c r="F271" s="1"/>
  <c r="G271" s="1"/>
  <c r="G389" s="1"/>
  <c r="H671" i="18"/>
  <c r="H681"/>
  <c r="H517" s="1"/>
  <c r="H86" i="7941" s="1"/>
  <c r="I453" i="18"/>
  <c r="H685"/>
  <c r="H521" s="1"/>
  <c r="H90" i="7941" s="1"/>
  <c r="I457" i="18"/>
  <c r="J635"/>
  <c r="L167" i="7942"/>
  <c r="L292" i="7941" s="1"/>
  <c r="Q166" i="7942"/>
  <c r="P166"/>
  <c r="O167" s="1"/>
  <c r="O292" i="7941" s="1"/>
  <c r="M133" i="7942"/>
  <c r="M275" i="7941" s="1"/>
  <c r="M371" s="1"/>
  <c r="P132" i="7942"/>
  <c r="O133" s="1"/>
  <c r="O275" i="7941" s="1"/>
  <c r="O132" i="7942"/>
  <c r="N133" s="1"/>
  <c r="N275" i="7941" s="1"/>
  <c r="H107" i="7942"/>
  <c r="J9" i="7944"/>
  <c r="I7"/>
  <c r="K444" i="18"/>
  <c r="J672"/>
  <c r="J508" s="1"/>
  <c r="J77" i="7941" s="1"/>
  <c r="K418" i="7944"/>
  <c r="H528" i="18"/>
  <c r="H97" i="7941" s="1"/>
  <c r="M285" i="7942"/>
  <c r="L286" s="1"/>
  <c r="L335" i="7941" s="1"/>
  <c r="N420" i="7944"/>
  <c r="G199" i="7941"/>
  <c r="K301" i="7942"/>
  <c r="G70" i="7941"/>
  <c r="O388" i="18"/>
  <c r="P388" s="1"/>
  <c r="J136" i="7942"/>
  <c r="L136" s="1"/>
  <c r="O128"/>
  <c r="N129" s="1"/>
  <c r="N273" i="7941" s="1"/>
  <c r="N369" s="1"/>
  <c r="I110" i="7942"/>
  <c r="Q374" i="18"/>
  <c r="N140" i="7942"/>
  <c r="M141" s="1"/>
  <c r="M279" i="7941" s="1"/>
  <c r="O70"/>
  <c r="O321" i="7942"/>
  <c r="N322" s="1"/>
  <c r="N353" i="7941" s="1"/>
  <c r="N321" i="7942"/>
  <c r="M322" s="1"/>
  <c r="M353" i="7941" s="1"/>
  <c r="I297" i="7942"/>
  <c r="J297" s="1"/>
  <c r="L411" i="18"/>
  <c r="M411" s="1"/>
  <c r="K420"/>
  <c r="K660" s="1"/>
  <c r="I20" i="7941"/>
  <c r="H212"/>
  <c r="G220"/>
  <c r="H28"/>
  <c r="I26"/>
  <c r="H218"/>
  <c r="H676" i="18"/>
  <c r="H512" s="1"/>
  <c r="H654"/>
  <c r="H524" s="1"/>
  <c r="H93" i="7941" s="1"/>
  <c r="F325" i="7947"/>
  <c r="G325" s="1"/>
  <c r="H268" i="7942"/>
  <c r="L275"/>
  <c r="K275"/>
  <c r="J295"/>
  <c r="L295" s="1"/>
  <c r="K295"/>
  <c r="M295" s="1"/>
  <c r="L296" s="1"/>
  <c r="L340" i="7941" s="1"/>
  <c r="H18"/>
  <c r="G210"/>
  <c r="G225"/>
  <c r="H33"/>
  <c r="H693" i="18"/>
  <c r="O433" i="7944"/>
  <c r="P433" s="1"/>
  <c r="I433" i="18"/>
  <c r="I661" s="1"/>
  <c r="N325" i="7942"/>
  <c r="M326" s="1"/>
  <c r="M355" i="7941" s="1"/>
  <c r="O325" i="7942"/>
  <c r="N326" s="1"/>
  <c r="N355" i="7941" s="1"/>
  <c r="M156" i="7942"/>
  <c r="L157" s="1"/>
  <c r="L287" i="7941" s="1"/>
  <c r="N156" i="7942"/>
  <c r="M157" s="1"/>
  <c r="M287" i="7941" s="1"/>
  <c r="O156" i="7942"/>
  <c r="N157" s="1"/>
  <c r="N287" i="7941" s="1"/>
  <c r="I400" i="7944"/>
  <c r="J32" s="1"/>
  <c r="K32" s="1"/>
  <c r="I442"/>
  <c r="J35" s="1"/>
  <c r="M301" i="7942"/>
  <c r="L302" s="1"/>
  <c r="L343" i="7941" s="1"/>
  <c r="H12"/>
  <c r="G204"/>
  <c r="H22"/>
  <c r="G214"/>
  <c r="H666" i="18"/>
  <c r="H437"/>
  <c r="H680"/>
  <c r="H516" s="1"/>
  <c r="O390" i="7944"/>
  <c r="P390" s="1"/>
  <c r="O371" i="18"/>
  <c r="Q371" s="1"/>
  <c r="N371"/>
  <c r="L381"/>
  <c r="L657" s="1"/>
  <c r="P371"/>
  <c r="O160" i="7942"/>
  <c r="N161" s="1"/>
  <c r="N289" i="7941" s="1"/>
  <c r="N385" s="1"/>
  <c r="K138" i="7942"/>
  <c r="J138"/>
  <c r="L138"/>
  <c r="K305" i="7944"/>
  <c r="S293"/>
  <c r="I205" i="7941"/>
  <c r="J13"/>
  <c r="N76"/>
  <c r="N70" s="1"/>
  <c r="N501" i="18"/>
  <c r="K679"/>
  <c r="K515" s="1"/>
  <c r="K84" i="7941" s="1"/>
  <c r="M147" i="7942"/>
  <c r="M282" i="7941" s="1"/>
  <c r="Q146" i="7942"/>
  <c r="O230" i="7941"/>
  <c r="Q320"/>
  <c r="Q298"/>
  <c r="Q250"/>
  <c r="Q305"/>
  <c r="Q259"/>
  <c r="P269"/>
  <c r="Q303"/>
  <c r="Q235"/>
  <c r="Q318"/>
  <c r="Q296"/>
  <c r="Q301"/>
  <c r="Q313"/>
  <c r="P329"/>
  <c r="Q315"/>
  <c r="Q314"/>
  <c r="P337"/>
  <c r="Q317"/>
  <c r="Q257"/>
  <c r="Q306"/>
  <c r="Q234"/>
  <c r="P265"/>
  <c r="P361" s="1"/>
  <c r="Q244"/>
  <c r="Q240"/>
  <c r="Q299"/>
  <c r="Q232"/>
  <c r="Q236"/>
  <c r="Q319"/>
  <c r="Q242"/>
  <c r="Q248"/>
  <c r="Q321"/>
  <c r="Q295"/>
  <c r="Q247"/>
  <c r="Q256"/>
  <c r="Q251"/>
  <c r="Q246"/>
  <c r="Q311"/>
  <c r="Q302"/>
  <c r="Q254"/>
  <c r="Q323"/>
  <c r="P272"/>
  <c r="P283"/>
  <c r="Q309"/>
  <c r="Q253"/>
  <c r="Q237"/>
  <c r="Q260"/>
  <c r="Q324"/>
  <c r="Q241"/>
  <c r="Q233"/>
  <c r="Q361" s="1"/>
  <c r="Q300"/>
  <c r="Q231"/>
  <c r="Q243"/>
  <c r="Q297"/>
  <c r="P280"/>
  <c r="Q316"/>
  <c r="Q252"/>
  <c r="Q312"/>
  <c r="Q245"/>
  <c r="Q307"/>
  <c r="Q249"/>
  <c r="Q238"/>
  <c r="Q258"/>
  <c r="Q255"/>
  <c r="P328"/>
  <c r="Q322"/>
  <c r="Q304"/>
  <c r="Q310"/>
  <c r="Q239"/>
  <c r="Q308"/>
  <c r="H511" i="18"/>
  <c r="H80" i="7941" s="1"/>
  <c r="J277" i="7942"/>
  <c r="K277" s="1"/>
  <c r="Q410" i="18"/>
  <c r="N429" i="7944"/>
  <c r="O429" s="1"/>
  <c r="F204" i="7947"/>
  <c r="F215" s="1"/>
  <c r="G215" s="1"/>
  <c r="G385" s="1"/>
  <c r="K283" i="7942"/>
  <c r="L319"/>
  <c r="H507" i="18"/>
  <c r="H76" i="7941" s="1"/>
  <c r="Q397" i="18"/>
  <c r="J164" i="7942"/>
  <c r="J421" i="18"/>
  <c r="J433" s="1"/>
  <c r="J661" s="1"/>
  <c r="F148" i="7947"/>
  <c r="F159" s="1"/>
  <c r="G159" s="1"/>
  <c r="G381" s="1"/>
  <c r="H7" i="7941"/>
  <c r="J279" i="7942"/>
  <c r="I291"/>
  <c r="I268" s="1"/>
  <c r="J110"/>
  <c r="M134"/>
  <c r="L135" s="1"/>
  <c r="L276" i="7941" s="1"/>
  <c r="Q414" i="18"/>
  <c r="K118" i="7942"/>
  <c r="J152"/>
  <c r="I43" i="18"/>
  <c r="O376" i="7941"/>
  <c r="O294"/>
  <c r="O501" i="18"/>
  <c r="N401" i="7944" l="1"/>
  <c r="O401" s="1"/>
  <c r="P401" s="1"/>
  <c r="K71"/>
  <c r="N445"/>
  <c r="O445" s="1"/>
  <c r="N443"/>
  <c r="K35"/>
  <c r="O296"/>
  <c r="P296" s="1"/>
  <c r="O443"/>
  <c r="P443" s="1"/>
  <c r="K417"/>
  <c r="M415"/>
  <c r="J428"/>
  <c r="K34" s="1"/>
  <c r="K428"/>
  <c r="O446"/>
  <c r="P446" s="1"/>
  <c r="M417"/>
  <c r="M136" i="7942"/>
  <c r="L137" s="1"/>
  <c r="L277" i="7941" s="1"/>
  <c r="H81"/>
  <c r="I448" i="18"/>
  <c r="N270" i="7942"/>
  <c r="N327" i="7941" s="1"/>
  <c r="L315" i="7942"/>
  <c r="M315"/>
  <c r="L316" s="1"/>
  <c r="L350" i="7941" s="1"/>
  <c r="H100"/>
  <c r="I467" i="18"/>
  <c r="M302" i="7942"/>
  <c r="M343" i="7941" s="1"/>
  <c r="H85"/>
  <c r="I452" i="18"/>
  <c r="N136" i="7942"/>
  <c r="M137" s="1"/>
  <c r="M277" i="7941" s="1"/>
  <c r="N122" i="7942"/>
  <c r="M123" s="1"/>
  <c r="M270" i="7941" s="1"/>
  <c r="M131" i="7942"/>
  <c r="M274" i="7941" s="1"/>
  <c r="Q230"/>
  <c r="K13"/>
  <c r="J205"/>
  <c r="H214"/>
  <c r="I22"/>
  <c r="J631" i="18"/>
  <c r="I29" i="7941"/>
  <c r="H221"/>
  <c r="O424" i="18"/>
  <c r="N424"/>
  <c r="I36" i="7941"/>
  <c r="H228"/>
  <c r="Q163" i="7942"/>
  <c r="Q290" i="7941" s="1"/>
  <c r="P163" i="7942"/>
  <c r="P290" i="7941" s="1"/>
  <c r="I21"/>
  <c r="H213"/>
  <c r="L451" i="18"/>
  <c r="M138" i="7942"/>
  <c r="L139" s="1"/>
  <c r="L278" i="7941" s="1"/>
  <c r="P160" i="7942"/>
  <c r="O161" s="1"/>
  <c r="O289" i="7941" s="1"/>
  <c r="O301" i="7942"/>
  <c r="N302" s="1"/>
  <c r="N343" i="7941" s="1"/>
  <c r="P156" i="7942"/>
  <c r="O157" s="1"/>
  <c r="O287" i="7941" s="1"/>
  <c r="M275" i="7942"/>
  <c r="N411" i="18"/>
  <c r="I107" i="7942"/>
  <c r="I463" i="18"/>
  <c r="O136" i="7942"/>
  <c r="N137" s="1"/>
  <c r="N277" i="7941" s="1"/>
  <c r="P429" i="7944"/>
  <c r="J291" i="7942"/>
  <c r="F327" i="7947"/>
  <c r="G327" s="1"/>
  <c r="G393" s="1"/>
  <c r="Q114" i="7942"/>
  <c r="Q303"/>
  <c r="L150"/>
  <c r="M150" s="1"/>
  <c r="I450" i="18"/>
  <c r="P445" i="7944"/>
  <c r="Q388" i="18"/>
  <c r="N382"/>
  <c r="I445"/>
  <c r="K164" i="7942"/>
  <c r="M164" s="1"/>
  <c r="L307"/>
  <c r="P356" i="18"/>
  <c r="Q356" s="1"/>
  <c r="Q413"/>
  <c r="O423"/>
  <c r="P423" s="1"/>
  <c r="L454"/>
  <c r="P124" i="7942"/>
  <c r="L116"/>
  <c r="L313"/>
  <c r="M313" s="1"/>
  <c r="H529" i="18"/>
  <c r="K279" i="7942"/>
  <c r="K299"/>
  <c r="K311"/>
  <c r="M311" s="1"/>
  <c r="H227" i="7941"/>
  <c r="K389" i="7944"/>
  <c r="L277" i="7942"/>
  <c r="I33" i="7941"/>
  <c r="H225"/>
  <c r="H220"/>
  <c r="I28"/>
  <c r="K9" i="7944"/>
  <c r="J7"/>
  <c r="I681" i="18"/>
  <c r="I517" s="1"/>
  <c r="I86" i="7941" s="1"/>
  <c r="J440" i="18"/>
  <c r="I668"/>
  <c r="I504" s="1"/>
  <c r="I73" i="7941" s="1"/>
  <c r="I689" i="18"/>
  <c r="I525" s="1"/>
  <c r="I94" i="7941" s="1"/>
  <c r="I32"/>
  <c r="H224"/>
  <c r="J458" i="18"/>
  <c r="I686"/>
  <c r="I522" s="1"/>
  <c r="I91" i="7941" s="1"/>
  <c r="J27" s="1"/>
  <c r="J442" i="18"/>
  <c r="I670"/>
  <c r="I506" s="1"/>
  <c r="I75" i="7941" s="1"/>
  <c r="M270" i="7942"/>
  <c r="M327" i="7941" s="1"/>
  <c r="H222"/>
  <c r="I30"/>
  <c r="I683" i="18"/>
  <c r="I519" s="1"/>
  <c r="I88" i="7941" s="1"/>
  <c r="J455" i="18"/>
  <c r="I15" i="7941"/>
  <c r="H207"/>
  <c r="Q294"/>
  <c r="L118" i="7942"/>
  <c r="M375" i="7941"/>
  <c r="G198"/>
  <c r="N134" i="7942"/>
  <c r="M135" s="1"/>
  <c r="M276" i="7941" s="1"/>
  <c r="J43" i="18"/>
  <c r="L164" i="7942"/>
  <c r="L420" i="18"/>
  <c r="L660" s="1"/>
  <c r="M385" i="7941"/>
  <c r="K421" i="18"/>
  <c r="L283" i="7942"/>
  <c r="M116"/>
  <c r="L117" s="1"/>
  <c r="L267" i="7941" s="1"/>
  <c r="J158" i="7942"/>
  <c r="I460" i="18"/>
  <c r="L395"/>
  <c r="L323" i="7942"/>
  <c r="M323" s="1"/>
  <c r="N327"/>
  <c r="M328" s="1"/>
  <c r="M356" i="7941" s="1"/>
  <c r="M388" s="1"/>
  <c r="P384" i="18"/>
  <c r="Q384" s="1"/>
  <c r="Q147" i="7942"/>
  <c r="Q282" i="7941" s="1"/>
  <c r="P147" i="7942"/>
  <c r="P282" i="7941" s="1"/>
  <c r="H502" i="18"/>
  <c r="H665"/>
  <c r="H204" i="7941"/>
  <c r="I12"/>
  <c r="I18"/>
  <c r="H210"/>
  <c r="I212"/>
  <c r="J20"/>
  <c r="I16"/>
  <c r="H208"/>
  <c r="I11"/>
  <c r="H203"/>
  <c r="H200"/>
  <c r="I8"/>
  <c r="H635" i="18"/>
  <c r="H43"/>
  <c r="H201" i="7941"/>
  <c r="I9"/>
  <c r="L270" i="7942"/>
  <c r="L327" i="7941" s="1"/>
  <c r="H217"/>
  <c r="I25"/>
  <c r="P109" i="7942"/>
  <c r="P263" i="7941" s="1"/>
  <c r="Q109" i="7942"/>
  <c r="Q263" i="7941" s="1"/>
  <c r="I215"/>
  <c r="J23"/>
  <c r="Q160" i="7942"/>
  <c r="Q156"/>
  <c r="P325"/>
  <c r="O326" s="1"/>
  <c r="O355" i="7941" s="1"/>
  <c r="N295" i="7942"/>
  <c r="M296" s="1"/>
  <c r="M340" i="7941" s="1"/>
  <c r="K297" i="7942"/>
  <c r="L297" s="1"/>
  <c r="P321"/>
  <c r="J305"/>
  <c r="O140"/>
  <c r="N141" s="1"/>
  <c r="N279" i="7941" s="1"/>
  <c r="N375" s="1"/>
  <c r="Q132" i="7942"/>
  <c r="M319"/>
  <c r="L320" s="1"/>
  <c r="L352" i="7941" s="1"/>
  <c r="P136" i="7942"/>
  <c r="O137" s="1"/>
  <c r="O277" i="7941" s="1"/>
  <c r="M418" i="7944"/>
  <c r="N285" i="7942"/>
  <c r="M286" s="1"/>
  <c r="M335" i="7941" s="1"/>
  <c r="L25" i="7944"/>
  <c r="N281" i="7942"/>
  <c r="P269"/>
  <c r="O382" i="18"/>
  <c r="I446"/>
  <c r="I456"/>
  <c r="O420" i="7944"/>
  <c r="P420" s="1"/>
  <c r="L110" i="7942"/>
  <c r="K291"/>
  <c r="N116"/>
  <c r="M117" s="1"/>
  <c r="M267" i="7941" s="1"/>
  <c r="P128" i="7942"/>
  <c r="O129" s="1"/>
  <c r="O273" i="7941" s="1"/>
  <c r="O369" s="1"/>
  <c r="O293" i="7942"/>
  <c r="M395" i="18"/>
  <c r="O327" i="7942"/>
  <c r="N328" s="1"/>
  <c r="N356" i="7941" s="1"/>
  <c r="N388" s="1"/>
  <c r="P419" i="7944"/>
  <c r="M317" i="7942"/>
  <c r="K110"/>
  <c r="N432" i="7944"/>
  <c r="I19" i="7941"/>
  <c r="K152" i="7942"/>
  <c r="H6" i="7941"/>
  <c r="K672" i="18"/>
  <c r="K508" s="1"/>
  <c r="K77" i="7941" s="1"/>
  <c r="Q167" i="7942"/>
  <c r="Q292" i="7941" s="1"/>
  <c r="P167" i="7942"/>
  <c r="P292" i="7941" s="1"/>
  <c r="I685" i="18"/>
  <c r="I521" s="1"/>
  <c r="I90" i="7941" s="1"/>
  <c r="I218" s="1"/>
  <c r="I690" i="18"/>
  <c r="I526" s="1"/>
  <c r="I95" i="7941" s="1"/>
  <c r="I677" i="18"/>
  <c r="I513" s="1"/>
  <c r="I82" i="7941" s="1"/>
  <c r="I687" i="18"/>
  <c r="I523" s="1"/>
  <c r="I92" i="7941" s="1"/>
  <c r="J459" i="18"/>
  <c r="I667"/>
  <c r="I503" s="1"/>
  <c r="I72" i="7941" s="1"/>
  <c r="L311" i="7942"/>
  <c r="H223" i="7941"/>
  <c r="I31"/>
  <c r="I24"/>
  <c r="H216"/>
  <c r="J466" i="18"/>
  <c r="I694"/>
  <c r="I530" s="1"/>
  <c r="I99" i="7941" s="1"/>
  <c r="J35" s="1"/>
  <c r="I14"/>
  <c r="H206"/>
  <c r="J309" i="7942"/>
  <c r="J107"/>
  <c r="Q325"/>
  <c r="O295"/>
  <c r="N296" s="1"/>
  <c r="N340" i="7941" s="1"/>
  <c r="P140" i="7942"/>
  <c r="O141" s="1"/>
  <c r="O279" i="7941" s="1"/>
  <c r="O134" i="7942"/>
  <c r="N135" s="1"/>
  <c r="N276" i="7941" s="1"/>
  <c r="N372" s="1"/>
  <c r="I443" i="18"/>
  <c r="N154" i="7942"/>
  <c r="M277"/>
  <c r="L278" s="1"/>
  <c r="L331" i="7941" s="1"/>
  <c r="N418" i="7944"/>
  <c r="O122" i="7942"/>
  <c r="N123" s="1"/>
  <c r="N270" i="7941" s="1"/>
  <c r="O130" i="7942"/>
  <c r="N131" s="1"/>
  <c r="N274" i="7941" s="1"/>
  <c r="Q269" i="7942"/>
  <c r="M367" i="7941"/>
  <c r="I464" i="18"/>
  <c r="I447"/>
  <c r="K144" i="7942"/>
  <c r="K431" i="7944"/>
  <c r="P424" i="18"/>
  <c r="Q424" s="1"/>
  <c r="K305" i="7942"/>
  <c r="L305" s="1"/>
  <c r="J287"/>
  <c r="N417" i="7944" l="1"/>
  <c r="L34"/>
  <c r="O417"/>
  <c r="P417" s="1"/>
  <c r="N415"/>
  <c r="O415" s="1"/>
  <c r="L165" i="7942"/>
  <c r="L291" i="7941" s="1"/>
  <c r="N164" i="7942"/>
  <c r="M165" s="1"/>
  <c r="M291" i="7941" s="1"/>
  <c r="M387" s="1"/>
  <c r="M297" i="7942"/>
  <c r="L298" s="1"/>
  <c r="L341" i="7941" s="1"/>
  <c r="N297" i="7942"/>
  <c r="M298" s="1"/>
  <c r="M341" i="7941" s="1"/>
  <c r="M152" i="7942"/>
  <c r="L153" s="1"/>
  <c r="L285" i="7941" s="1"/>
  <c r="P411" i="18"/>
  <c r="L312" i="7942"/>
  <c r="L348" i="7941" s="1"/>
  <c r="N311" i="7942"/>
  <c r="M312" s="1"/>
  <c r="M348" i="7941" s="1"/>
  <c r="L314" i="7942"/>
  <c r="L349" i="7941" s="1"/>
  <c r="N313" i="7942"/>
  <c r="M314" s="1"/>
  <c r="M349" i="7941" s="1"/>
  <c r="L324" i="7942"/>
  <c r="L354" i="7941" s="1"/>
  <c r="L151" i="7942"/>
  <c r="L284" i="7941" s="1"/>
  <c r="O150" i="7942"/>
  <c r="N151" s="1"/>
  <c r="N284" i="7941" s="1"/>
  <c r="N150" i="7942"/>
  <c r="M151" s="1"/>
  <c r="M284" i="7941" s="1"/>
  <c r="M380" s="1"/>
  <c r="I675" i="18"/>
  <c r="I511" s="1"/>
  <c r="I80" i="7941" s="1"/>
  <c r="J16" s="1"/>
  <c r="I223"/>
  <c r="J31"/>
  <c r="N294" i="7942"/>
  <c r="N339" i="7941" s="1"/>
  <c r="N371" s="1"/>
  <c r="I674" i="18"/>
  <c r="I510" s="1"/>
  <c r="I79" i="7941" s="1"/>
  <c r="J446" i="18"/>
  <c r="O322" i="7942"/>
  <c r="O353" i="7941" s="1"/>
  <c r="Q321" i="7942"/>
  <c r="K23" i="7941"/>
  <c r="J215"/>
  <c r="I208"/>
  <c r="K433" i="18"/>
  <c r="M359" i="7941"/>
  <c r="J686" i="18"/>
  <c r="J522" s="1"/>
  <c r="J91" i="7941" s="1"/>
  <c r="K27" s="1"/>
  <c r="L299" i="7942"/>
  <c r="L682" i="18"/>
  <c r="L518" s="1"/>
  <c r="L87" i="7941" s="1"/>
  <c r="P304" i="7942"/>
  <c r="P344" i="7941" s="1"/>
  <c r="P376" s="1"/>
  <c r="Q304" i="7942"/>
  <c r="Q344" i="7941" s="1"/>
  <c r="Q376" s="1"/>
  <c r="L276" i="7942"/>
  <c r="L330" i="7941" s="1"/>
  <c r="N275" i="7942"/>
  <c r="I695" i="18"/>
  <c r="I531" s="1"/>
  <c r="I100" i="7941" s="1"/>
  <c r="J467" i="18"/>
  <c r="J439"/>
  <c r="J449"/>
  <c r="J457"/>
  <c r="L444"/>
  <c r="N395"/>
  <c r="J26" i="7941"/>
  <c r="L291" i="7942"/>
  <c r="N277"/>
  <c r="M278" s="1"/>
  <c r="M331" i="7941" s="1"/>
  <c r="M363" s="1"/>
  <c r="Q327" i="7942"/>
  <c r="P382" i="18"/>
  <c r="Q382" s="1"/>
  <c r="P130" i="7942"/>
  <c r="O131" s="1"/>
  <c r="O274" i="7941" s="1"/>
  <c r="L421" i="18"/>
  <c r="O418" i="7944"/>
  <c r="P418" s="1"/>
  <c r="O411" i="18"/>
  <c r="N323" i="7942"/>
  <c r="M324" s="1"/>
  <c r="M354" i="7941" s="1"/>
  <c r="M386" s="1"/>
  <c r="M373"/>
  <c r="I227"/>
  <c r="L152" i="7942"/>
  <c r="N315"/>
  <c r="M316" s="1"/>
  <c r="M350" i="7941" s="1"/>
  <c r="Q136" i="7942"/>
  <c r="K442" i="7944"/>
  <c r="L35" s="1"/>
  <c r="M431"/>
  <c r="N431" s="1"/>
  <c r="I671" i="18"/>
  <c r="I507" s="1"/>
  <c r="I76" i="7941" s="1"/>
  <c r="J12" s="1"/>
  <c r="P326" i="7942"/>
  <c r="P355" i="7941" s="1"/>
  <c r="Q326" i="7942"/>
  <c r="Q355" i="7941" s="1"/>
  <c r="I216"/>
  <c r="J24"/>
  <c r="J456" i="18"/>
  <c r="I684"/>
  <c r="I520" s="1"/>
  <c r="I89" i="7941" s="1"/>
  <c r="M282" i="7942"/>
  <c r="M333" i="7941" s="1"/>
  <c r="M365" s="1"/>
  <c r="O281" i="7942"/>
  <c r="N282" s="1"/>
  <c r="N333" i="7941" s="1"/>
  <c r="N365" s="1"/>
  <c r="P281" i="7942"/>
  <c r="O282" s="1"/>
  <c r="O333" i="7941" s="1"/>
  <c r="O365" s="1"/>
  <c r="Q133" i="7942"/>
  <c r="Q275" i="7941" s="1"/>
  <c r="P133" i="7942"/>
  <c r="P275" i="7941" s="1"/>
  <c r="Q161" i="7942"/>
  <c r="Q289" i="7941" s="1"/>
  <c r="P161" i="7942"/>
  <c r="P289" i="7941" s="1"/>
  <c r="I217"/>
  <c r="J25"/>
  <c r="J9"/>
  <c r="I201"/>
  <c r="J8"/>
  <c r="I200"/>
  <c r="L407" i="18"/>
  <c r="O395"/>
  <c r="J683"/>
  <c r="J519" s="1"/>
  <c r="J88" i="7941" s="1"/>
  <c r="K455" i="18"/>
  <c r="I220" i="7941"/>
  <c r="J28"/>
  <c r="O125" i="7942"/>
  <c r="O271" i="7941" s="1"/>
  <c r="Q124" i="7942"/>
  <c r="I678" i="18"/>
  <c r="I514" s="1"/>
  <c r="I83" i="7941" s="1"/>
  <c r="J450" i="18"/>
  <c r="I221" i="7941"/>
  <c r="I680" i="18"/>
  <c r="I516" s="1"/>
  <c r="I85" i="7941" s="1"/>
  <c r="J452" i="18"/>
  <c r="N359" i="7941"/>
  <c r="Q128" i="7942"/>
  <c r="K309"/>
  <c r="L309" s="1"/>
  <c r="J462" i="18"/>
  <c r="Q122" i="7942"/>
  <c r="O277"/>
  <c r="N278" s="1"/>
  <c r="N331" i="7941" s="1"/>
  <c r="O116" i="7942"/>
  <c r="N317"/>
  <c r="M318" s="1"/>
  <c r="M351" i="7941" s="1"/>
  <c r="M383" s="1"/>
  <c r="M144" i="7942"/>
  <c r="L145" s="1"/>
  <c r="L281" i="7941" s="1"/>
  <c r="M372"/>
  <c r="J461" i="18"/>
  <c r="J453"/>
  <c r="J268" i="7942"/>
  <c r="N307"/>
  <c r="M308" s="1"/>
  <c r="M346" i="7941" s="1"/>
  <c r="M378" s="1"/>
  <c r="P122" i="7942"/>
  <c r="O123" s="1"/>
  <c r="O270" i="7941" s="1"/>
  <c r="M305" i="7942"/>
  <c r="L306" s="1"/>
  <c r="L345" i="7941" s="1"/>
  <c r="O285" i="7942"/>
  <c r="N373" i="7941"/>
  <c r="Q140" i="7942"/>
  <c r="O385" i="7941"/>
  <c r="Q130" i="7942"/>
  <c r="P295"/>
  <c r="O296" s="1"/>
  <c r="O340" i="7941" s="1"/>
  <c r="N138" i="7942"/>
  <c r="M155"/>
  <c r="M286" i="7941" s="1"/>
  <c r="M382" s="1"/>
  <c r="J687" i="18"/>
  <c r="J523" s="1"/>
  <c r="J92" i="7941" s="1"/>
  <c r="K459" i="18"/>
  <c r="J19" i="7941"/>
  <c r="I211"/>
  <c r="O270" i="7942"/>
  <c r="O327" i="7941" s="1"/>
  <c r="P359"/>
  <c r="H505" i="18"/>
  <c r="H631"/>
  <c r="J11" i="7941"/>
  <c r="I203"/>
  <c r="J18"/>
  <c r="I210"/>
  <c r="H71"/>
  <c r="H501" i="18"/>
  <c r="I438"/>
  <c r="I207" i="7941"/>
  <c r="J15"/>
  <c r="K442" i="18"/>
  <c r="J670"/>
  <c r="J506" s="1"/>
  <c r="J75" i="7941" s="1"/>
  <c r="I224"/>
  <c r="J668" i="18"/>
  <c r="J504" s="1"/>
  <c r="J73" i="7941" s="1"/>
  <c r="L9" i="7944"/>
  <c r="K7"/>
  <c r="H98" i="7941"/>
  <c r="I465" i="18"/>
  <c r="M307" i="7942"/>
  <c r="L308" s="1"/>
  <c r="L346" i="7941" s="1"/>
  <c r="I673" i="18"/>
  <c r="I509" s="1"/>
  <c r="I78" i="7941" s="1"/>
  <c r="I206" s="1"/>
  <c r="I691" i="18"/>
  <c r="I527" s="1"/>
  <c r="I96" i="7941" s="1"/>
  <c r="J32" s="1"/>
  <c r="J463" i="18"/>
  <c r="L679"/>
  <c r="L515" s="1"/>
  <c r="L84" i="7941" s="1"/>
  <c r="M451" i="18"/>
  <c r="M679" s="1"/>
  <c r="M515" s="1"/>
  <c r="M84" i="7941" s="1"/>
  <c r="I214"/>
  <c r="J22"/>
  <c r="I17"/>
  <c r="H209"/>
  <c r="P293" i="7942"/>
  <c r="O294" s="1"/>
  <c r="O339" i="7941" s="1"/>
  <c r="O371" s="1"/>
  <c r="Q423" i="18"/>
  <c r="L144" i="7942"/>
  <c r="N144" s="1"/>
  <c r="Q134"/>
  <c r="O297"/>
  <c r="N298" s="1"/>
  <c r="N341" i="7941" s="1"/>
  <c r="M118" i="7942"/>
  <c r="I219" i="7941"/>
  <c r="O432" i="7944"/>
  <c r="P432" s="1"/>
  <c r="K158" i="7942"/>
  <c r="L158" s="1"/>
  <c r="L107" s="1"/>
  <c r="P301"/>
  <c r="M283"/>
  <c r="L284" s="1"/>
  <c r="L334" i="7941" s="1"/>
  <c r="N305" i="7942"/>
  <c r="M306" s="1"/>
  <c r="M345" i="7941" s="1"/>
  <c r="O275" i="7942"/>
  <c r="L279"/>
  <c r="I692" i="18"/>
  <c r="I528" s="1"/>
  <c r="I97" i="7941" s="1"/>
  <c r="J33" s="1"/>
  <c r="Q270" i="7942"/>
  <c r="Q327" i="7941" s="1"/>
  <c r="Q359" s="1"/>
  <c r="P270" i="7942"/>
  <c r="P327" i="7941" s="1"/>
  <c r="J694" i="18"/>
  <c r="J530" s="1"/>
  <c r="J99" i="7941" s="1"/>
  <c r="J227" s="1"/>
  <c r="K466" i="18"/>
  <c r="L318" i="7942"/>
  <c r="L351" i="7941" s="1"/>
  <c r="P157" i="7942"/>
  <c r="P287" i="7941" s="1"/>
  <c r="Q157" i="7942"/>
  <c r="Q287" i="7941" s="1"/>
  <c r="K20"/>
  <c r="J212"/>
  <c r="J460" i="18"/>
  <c r="I688"/>
  <c r="I524" s="1"/>
  <c r="I93" i="7941" s="1"/>
  <c r="J29" s="1"/>
  <c r="I222"/>
  <c r="J30"/>
  <c r="K400" i="7944"/>
  <c r="L32" s="1"/>
  <c r="M389"/>
  <c r="P115" i="7942"/>
  <c r="P266" i="7941" s="1"/>
  <c r="Q115" i="7942"/>
  <c r="Q266" i="7941" s="1"/>
  <c r="J21"/>
  <c r="I213"/>
  <c r="J36"/>
  <c r="I228"/>
  <c r="L13"/>
  <c r="K205"/>
  <c r="I676" i="18"/>
  <c r="I512" s="1"/>
  <c r="I81" i="7941" s="1"/>
  <c r="P134" i="7942"/>
  <c r="O135" s="1"/>
  <c r="O276" i="7941" s="1"/>
  <c r="N152" i="7942"/>
  <c r="M153" s="1"/>
  <c r="M285" i="7941" s="1"/>
  <c r="M381" s="1"/>
  <c r="P327" i="7942"/>
  <c r="O328" s="1"/>
  <c r="O356" i="7941" s="1"/>
  <c r="O388" s="1"/>
  <c r="M421" i="18"/>
  <c r="N319" i="7942"/>
  <c r="M320" s="1"/>
  <c r="M352" i="7941" s="1"/>
  <c r="K287" i="7942"/>
  <c r="P150"/>
  <c r="O151" s="1"/>
  <c r="O284" i="7941" s="1"/>
  <c r="N283" i="7942"/>
  <c r="M284" s="1"/>
  <c r="M334" i="7941" s="1"/>
  <c r="M366" s="1"/>
  <c r="M110" i="7942"/>
  <c r="O154"/>
  <c r="N155" s="1"/>
  <c r="N286" i="7941" s="1"/>
  <c r="N382" s="1"/>
  <c r="O315" i="7942"/>
  <c r="N316" s="1"/>
  <c r="N350" i="7941" s="1"/>
  <c r="P415" i="7944" l="1"/>
  <c r="J221" i="7941"/>
  <c r="M145" i="7942"/>
  <c r="M281" i="7941" s="1"/>
  <c r="M377" s="1"/>
  <c r="O144" i="7942"/>
  <c r="N145" s="1"/>
  <c r="N281" i="7941" s="1"/>
  <c r="N309" i="7942"/>
  <c r="K30" i="7941"/>
  <c r="J17"/>
  <c r="I209"/>
  <c r="I693" i="18"/>
  <c r="I529" s="1"/>
  <c r="I98" i="7941" s="1"/>
  <c r="J465" i="18"/>
  <c r="J207" i="7941"/>
  <c r="I7"/>
  <c r="H199"/>
  <c r="K11"/>
  <c r="J203"/>
  <c r="K19"/>
  <c r="Q141" i="7942"/>
  <c r="Q279" i="7941" s="1"/>
  <c r="P141" i="7942"/>
  <c r="P279" i="7941" s="1"/>
  <c r="K462" i="18"/>
  <c r="J690"/>
  <c r="J526" s="1"/>
  <c r="J95" i="7941" s="1"/>
  <c r="J201"/>
  <c r="K9"/>
  <c r="J685" i="18"/>
  <c r="J521" s="1"/>
  <c r="J90" i="7941" s="1"/>
  <c r="J218" s="1"/>
  <c r="K215"/>
  <c r="L23"/>
  <c r="L215" s="1"/>
  <c r="Q295" i="7942"/>
  <c r="O372" i="7941"/>
  <c r="L205"/>
  <c r="O152" i="7942"/>
  <c r="N153" s="1"/>
  <c r="N285" i="7941" s="1"/>
  <c r="Q315" i="7942"/>
  <c r="O305"/>
  <c r="N306" s="1"/>
  <c r="N345" i="7941" s="1"/>
  <c r="J445" i="18"/>
  <c r="P297" i="7942"/>
  <c r="P395" i="18"/>
  <c r="Q395" s="1"/>
  <c r="I204" i="7941"/>
  <c r="Q385"/>
  <c r="J14"/>
  <c r="J443" i="18"/>
  <c r="O431" i="7944"/>
  <c r="P431" s="1"/>
  <c r="M454" i="18"/>
  <c r="M682" s="1"/>
  <c r="M518" s="1"/>
  <c r="M87" i="7941" s="1"/>
  <c r="K458" i="18"/>
  <c r="O283" i="7942"/>
  <c r="N284" s="1"/>
  <c r="N334" i="7941" s="1"/>
  <c r="N366" s="1"/>
  <c r="K35"/>
  <c r="P315" i="7942"/>
  <c r="O316" s="1"/>
  <c r="O350" i="7941" s="1"/>
  <c r="O317" i="7942"/>
  <c r="Q281"/>
  <c r="L111"/>
  <c r="L264" i="7941" s="1"/>
  <c r="J688" i="18"/>
  <c r="J524" s="1"/>
  <c r="J93" i="7941" s="1"/>
  <c r="K29" s="1"/>
  <c r="K460" i="18"/>
  <c r="P135" i="7942"/>
  <c r="P276" i="7941" s="1"/>
  <c r="Q135" i="7942"/>
  <c r="Q276" i="7941" s="1"/>
  <c r="K670" i="18"/>
  <c r="K506" s="1"/>
  <c r="K75" i="7941" s="1"/>
  <c r="L442" i="18"/>
  <c r="J689"/>
  <c r="J525" s="1"/>
  <c r="J94" i="7941" s="1"/>
  <c r="J222" s="1"/>
  <c r="K461" i="18"/>
  <c r="N117" i="7942"/>
  <c r="N267" i="7941" s="1"/>
  <c r="N363" s="1"/>
  <c r="Q123" i="7942"/>
  <c r="Q270" i="7941" s="1"/>
  <c r="P123" i="7942"/>
  <c r="P270" i="7941" s="1"/>
  <c r="P125" i="7942"/>
  <c r="P271" i="7941" s="1"/>
  <c r="Q125" i="7942"/>
  <c r="Q271" i="7941" s="1"/>
  <c r="K683" i="18"/>
  <c r="K519" s="1"/>
  <c r="K88" i="7941" s="1"/>
  <c r="L455" i="18"/>
  <c r="Q137" i="7942"/>
  <c r="Q277" i="7941" s="1"/>
  <c r="P137" i="7942"/>
  <c r="P277" i="7941" s="1"/>
  <c r="M291" i="7942"/>
  <c r="N291" s="1"/>
  <c r="L672" i="18"/>
  <c r="L508" s="1"/>
  <c r="L77" i="7941" s="1"/>
  <c r="M444" i="18"/>
  <c r="M672" s="1"/>
  <c r="M508" s="1"/>
  <c r="M77" i="7941" s="1"/>
  <c r="M276" i="7942"/>
  <c r="M330" i="7941" s="1"/>
  <c r="Q275" i="7942"/>
  <c r="P275"/>
  <c r="J674" i="18"/>
  <c r="J510" s="1"/>
  <c r="J79" i="7941" s="1"/>
  <c r="K15" s="1"/>
  <c r="K446" i="18"/>
  <c r="K31" i="7941"/>
  <c r="J223"/>
  <c r="N389" i="7944"/>
  <c r="O389" s="1"/>
  <c r="I225" i="7941"/>
  <c r="Q154" i="7942"/>
  <c r="P144"/>
  <c r="O145" s="1"/>
  <c r="O281" i="7941" s="1"/>
  <c r="O319" i="7942"/>
  <c r="M309"/>
  <c r="L310" s="1"/>
  <c r="L347" i="7941" s="1"/>
  <c r="P283" i="7942"/>
  <c r="O284" s="1"/>
  <c r="O334" i="7941" s="1"/>
  <c r="O366" s="1"/>
  <c r="L287" i="7942"/>
  <c r="Q150"/>
  <c r="O323"/>
  <c r="N324" s="1"/>
  <c r="N354" i="7941" s="1"/>
  <c r="N386" s="1"/>
  <c r="P154" i="7942"/>
  <c r="O155" s="1"/>
  <c r="O286" i="7941" s="1"/>
  <c r="O382" s="1"/>
  <c r="K36"/>
  <c r="N276" i="7942"/>
  <c r="N330" i="7941" s="1"/>
  <c r="M158" i="7942"/>
  <c r="L159" s="1"/>
  <c r="L288" i="7941" s="1"/>
  <c r="I666" i="18"/>
  <c r="H74" i="7941"/>
  <c r="I441" i="18"/>
  <c r="I437" s="1"/>
  <c r="O359" i="7941"/>
  <c r="P131" i="7942"/>
  <c r="P274" i="7941" s="1"/>
  <c r="Q131" i="7942"/>
  <c r="Q274" i="7941" s="1"/>
  <c r="N286" i="7942"/>
  <c r="N335" i="7941" s="1"/>
  <c r="N367" s="1"/>
  <c r="P285" i="7942"/>
  <c r="J681" i="18"/>
  <c r="J517" s="1"/>
  <c r="J86" i="7941" s="1"/>
  <c r="K22" s="1"/>
  <c r="Q129" i="7942"/>
  <c r="Q273" i="7941" s="1"/>
  <c r="Q369" s="1"/>
  <c r="P129" i="7942"/>
  <c r="P273" i="7941" s="1"/>
  <c r="P369" s="1"/>
  <c r="L659" i="18"/>
  <c r="J200" i="7941"/>
  <c r="J216"/>
  <c r="K24"/>
  <c r="K439" i="18"/>
  <c r="J667"/>
  <c r="J503" s="1"/>
  <c r="J72" i="7941" s="1"/>
  <c r="K8" s="1"/>
  <c r="M299" i="7942"/>
  <c r="K661" i="18"/>
  <c r="K43"/>
  <c r="N110" i="7942"/>
  <c r="J448" i="18"/>
  <c r="J464"/>
  <c r="K440"/>
  <c r="P305" i="7942"/>
  <c r="O306" s="1"/>
  <c r="O345" i="7941" s="1"/>
  <c r="Q411" i="18"/>
  <c r="K107" i="7942"/>
  <c r="J447" i="18"/>
  <c r="P277" i="7942"/>
  <c r="K268"/>
  <c r="O313"/>
  <c r="O307"/>
  <c r="O311"/>
  <c r="J219" i="7941"/>
  <c r="O164" i="7942"/>
  <c r="L20" i="7941"/>
  <c r="L212" s="1"/>
  <c r="K212"/>
  <c r="K694" i="18"/>
  <c r="K530" s="1"/>
  <c r="K99" i="7941" s="1"/>
  <c r="L466" i="18"/>
  <c r="N279" i="7942"/>
  <c r="M280" s="1"/>
  <c r="M332" i="7941" s="1"/>
  <c r="O302" i="7942"/>
  <c r="O343" i="7941" s="1"/>
  <c r="O375" s="1"/>
  <c r="Q301" i="7942"/>
  <c r="L119"/>
  <c r="L268" i="7941" s="1"/>
  <c r="N118" i="7942"/>
  <c r="J214" i="7941"/>
  <c r="J691" i="18"/>
  <c r="J527" s="1"/>
  <c r="J96" i="7941" s="1"/>
  <c r="J224" s="1"/>
  <c r="K463" i="18"/>
  <c r="I34" i="7941"/>
  <c r="H226"/>
  <c r="K687" i="18"/>
  <c r="K523" s="1"/>
  <c r="K92" i="7941" s="1"/>
  <c r="L459" i="18"/>
  <c r="M139" i="7942"/>
  <c r="M278" i="7941" s="1"/>
  <c r="P138" i="7942"/>
  <c r="O139" s="1"/>
  <c r="O278" i="7941" s="1"/>
  <c r="O138" i="7942"/>
  <c r="N139" s="1"/>
  <c r="N278" i="7941" s="1"/>
  <c r="J680" i="18"/>
  <c r="J516" s="1"/>
  <c r="J85" i="7941" s="1"/>
  <c r="J213" s="1"/>
  <c r="K450" i="18"/>
  <c r="J678"/>
  <c r="J514" s="1"/>
  <c r="J83" i="7941" s="1"/>
  <c r="J211" s="1"/>
  <c r="K28"/>
  <c r="J220"/>
  <c r="K25"/>
  <c r="J684" i="18"/>
  <c r="J520" s="1"/>
  <c r="J89" i="7941" s="1"/>
  <c r="J217" s="1"/>
  <c r="L433" i="18"/>
  <c r="L661" s="1"/>
  <c r="N421"/>
  <c r="P328" i="7942"/>
  <c r="P356" i="7941" s="1"/>
  <c r="P388" s="1"/>
  <c r="Q328" i="7942"/>
  <c r="Q356" i="7941" s="1"/>
  <c r="Q388" s="1"/>
  <c r="J677" i="18"/>
  <c r="J513" s="1"/>
  <c r="J82" i="7941" s="1"/>
  <c r="K18" s="1"/>
  <c r="K467" i="18"/>
  <c r="J695"/>
  <c r="J531" s="1"/>
  <c r="J100" i="7941" s="1"/>
  <c r="J228" s="1"/>
  <c r="P322" i="7942"/>
  <c r="P353" i="7941" s="1"/>
  <c r="P385" s="1"/>
  <c r="Q322" i="7942"/>
  <c r="Q353" i="7941" s="1"/>
  <c r="L7" i="7944"/>
  <c r="M279" i="7942"/>
  <c r="Q305"/>
  <c r="Q293"/>
  <c r="P116"/>
  <c r="O117" s="1"/>
  <c r="O267" i="7941" s="1"/>
  <c r="P164" i="7942"/>
  <c r="O165" s="1"/>
  <c r="O291" i="7941" s="1"/>
  <c r="O387" s="1"/>
  <c r="P389" i="7944" l="1"/>
  <c r="M292" i="7942"/>
  <c r="M338" i="7941" s="1"/>
  <c r="M370" s="1"/>
  <c r="O291" i="7942"/>
  <c r="K678" i="18"/>
  <c r="K514" s="1"/>
  <c r="K83" i="7941" s="1"/>
  <c r="L450" i="18"/>
  <c r="O278" i="7942"/>
  <c r="O331" i="7941" s="1"/>
  <c r="Q277" i="7942"/>
  <c r="Q294"/>
  <c r="Q339" i="7941" s="1"/>
  <c r="Q371" s="1"/>
  <c r="P294" i="7942"/>
  <c r="P339" i="7941" s="1"/>
  <c r="P371" s="1"/>
  <c r="L280" i="7942"/>
  <c r="L332" i="7941" s="1"/>
  <c r="O286" i="7942"/>
  <c r="O335" i="7941" s="1"/>
  <c r="O367" s="1"/>
  <c r="Q285" i="7942"/>
  <c r="O276"/>
  <c r="O330" i="7941" s="1"/>
  <c r="Q282" i="7942"/>
  <c r="Q333" i="7941" s="1"/>
  <c r="Q365" s="1"/>
  <c r="P282" i="7942"/>
  <c r="P333" i="7941" s="1"/>
  <c r="P365" s="1"/>
  <c r="K227"/>
  <c r="L35"/>
  <c r="J673" i="18"/>
  <c r="J509" s="1"/>
  <c r="J78" i="7941" s="1"/>
  <c r="P323" i="7942"/>
  <c r="O324" s="1"/>
  <c r="O354" i="7941" s="1"/>
  <c r="O386" s="1"/>
  <c r="K449" i="18"/>
  <c r="O279" i="7942"/>
  <c r="J210" i="7941"/>
  <c r="O377"/>
  <c r="Q144" i="7942"/>
  <c r="K26" i="7941"/>
  <c r="K21"/>
  <c r="Q138" i="7942"/>
  <c r="N377" i="7941"/>
  <c r="O421" i="18"/>
  <c r="K32" i="7941"/>
  <c r="Q306" i="7942"/>
  <c r="Q345" i="7941" s="1"/>
  <c r="P306" i="7942"/>
  <c r="P345" i="7941" s="1"/>
  <c r="L28"/>
  <c r="K220"/>
  <c r="L687" i="18"/>
  <c r="L523" s="1"/>
  <c r="L92" i="7941" s="1"/>
  <c r="K691" i="18"/>
  <c r="K527" s="1"/>
  <c r="K96" i="7941" s="1"/>
  <c r="M466" i="18"/>
  <c r="M694" s="1"/>
  <c r="M530" s="1"/>
  <c r="M99" i="7941" s="1"/>
  <c r="L694" i="18"/>
  <c r="L530" s="1"/>
  <c r="L99" i="7941" s="1"/>
  <c r="N165" i="7942"/>
  <c r="N291" i="7941" s="1"/>
  <c r="N387" s="1"/>
  <c r="Q164" i="7942"/>
  <c r="N314"/>
  <c r="N349" i="7941" s="1"/>
  <c r="P313" i="7942"/>
  <c r="O314" s="1"/>
  <c r="O349" i="7941" s="1"/>
  <c r="J675" i="18"/>
  <c r="J511" s="1"/>
  <c r="J80" i="7941" s="1"/>
  <c r="K464" i="18"/>
  <c r="J692"/>
  <c r="J528" s="1"/>
  <c r="J97" i="7941" s="1"/>
  <c r="M111" i="7942"/>
  <c r="M264" i="7941" s="1"/>
  <c r="L300" i="7942"/>
  <c r="L342" i="7941" s="1"/>
  <c r="N299" i="7942"/>
  <c r="M300" s="1"/>
  <c r="M342" i="7941" s="1"/>
  <c r="O299" i="7942"/>
  <c r="N300" s="1"/>
  <c r="N342" i="7941" s="1"/>
  <c r="N374" s="1"/>
  <c r="L631" i="18"/>
  <c r="I10" i="7941"/>
  <c r="H202"/>
  <c r="H198" s="1"/>
  <c r="I502" i="18"/>
  <c r="N320" i="7942"/>
  <c r="N352" i="7941" s="1"/>
  <c r="P319" i="7942"/>
  <c r="O320" s="1"/>
  <c r="O352" i="7941" s="1"/>
  <c r="L670" i="18"/>
  <c r="L506" s="1"/>
  <c r="L75" i="7941" s="1"/>
  <c r="M442" i="18"/>
  <c r="M670" s="1"/>
  <c r="M506" s="1"/>
  <c r="M75" i="7941" s="1"/>
  <c r="K688" i="18"/>
  <c r="K524" s="1"/>
  <c r="K93" i="7941" s="1"/>
  <c r="K221" s="1"/>
  <c r="K14"/>
  <c r="J206"/>
  <c r="O298" i="7942"/>
  <c r="O341" i="7941" s="1"/>
  <c r="O373" s="1"/>
  <c r="Q297" i="7942"/>
  <c r="Q316"/>
  <c r="Q350" i="7941" s="1"/>
  <c r="P316" i="7942"/>
  <c r="P350" i="7941" s="1"/>
  <c r="Q296" i="7942"/>
  <c r="Q340" i="7941" s="1"/>
  <c r="P296" i="7942"/>
  <c r="P340" i="7941" s="1"/>
  <c r="L11"/>
  <c r="L203" s="1"/>
  <c r="K203"/>
  <c r="M310" i="7942"/>
  <c r="M347" i="7941" s="1"/>
  <c r="M379" s="1"/>
  <c r="O309" i="7942"/>
  <c r="Q116"/>
  <c r="L262" i="7941"/>
  <c r="Q313" i="7942"/>
  <c r="N158"/>
  <c r="O158" s="1"/>
  <c r="P152"/>
  <c r="O153" s="1"/>
  <c r="O285" i="7941" s="1"/>
  <c r="O381" s="1"/>
  <c r="K695" i="18"/>
  <c r="M119" i="7942"/>
  <c r="M268" i="7941" s="1"/>
  <c r="M364" s="1"/>
  <c r="O118" i="7942"/>
  <c r="N119" s="1"/>
  <c r="N268" i="7941" s="1"/>
  <c r="I226"/>
  <c r="J34"/>
  <c r="N308" i="7942"/>
  <c r="N346" i="7941" s="1"/>
  <c r="N378" s="1"/>
  <c r="P307" i="7942"/>
  <c r="O308" s="1"/>
  <c r="O346" i="7941" s="1"/>
  <c r="O378" s="1"/>
  <c r="K668" i="18"/>
  <c r="K504" s="1"/>
  <c r="K73" i="7941" s="1"/>
  <c r="K201" s="1"/>
  <c r="J676" i="18"/>
  <c r="J512" s="1"/>
  <c r="J81" i="7941" s="1"/>
  <c r="J209" s="1"/>
  <c r="K216"/>
  <c r="L24"/>
  <c r="I669" i="18"/>
  <c r="I505" s="1"/>
  <c r="I74" i="7941" s="1"/>
  <c r="Q151" i="7942"/>
  <c r="Q284" i="7941" s="1"/>
  <c r="P151" i="7942"/>
  <c r="P284" i="7941" s="1"/>
  <c r="M362"/>
  <c r="J671" i="18"/>
  <c r="J507" s="1"/>
  <c r="J76" i="7941" s="1"/>
  <c r="O363"/>
  <c r="Q283" i="7942"/>
  <c r="K456" i="18"/>
  <c r="K452"/>
  <c r="M374" i="7941"/>
  <c r="P279" i="7942"/>
  <c r="O280" s="1"/>
  <c r="O332" i="7941" s="1"/>
  <c r="O110" i="7942"/>
  <c r="P299"/>
  <c r="O300" s="1"/>
  <c r="O342" i="7941" s="1"/>
  <c r="L43" i="18"/>
  <c r="K453"/>
  <c r="P372" i="7941"/>
  <c r="M107" i="7942"/>
  <c r="L168" s="1"/>
  <c r="M287"/>
  <c r="L288" s="1"/>
  <c r="L336" i="7941" s="1"/>
  <c r="K457" i="18"/>
  <c r="H70" i="7941"/>
  <c r="L268" i="7942"/>
  <c r="Q302"/>
  <c r="Q343" i="7941" s="1"/>
  <c r="Q375" s="1"/>
  <c r="P302" i="7942"/>
  <c r="P343" i="7941" s="1"/>
  <c r="P375" s="1"/>
  <c r="N312" i="7942"/>
  <c r="N348" i="7941" s="1"/>
  <c r="N380" s="1"/>
  <c r="Q311" i="7942"/>
  <c r="P311"/>
  <c r="O312" s="1"/>
  <c r="O348" i="7941" s="1"/>
  <c r="O380" s="1"/>
  <c r="K531" i="18"/>
  <c r="K100" i="7941" s="1"/>
  <c r="L36" s="1"/>
  <c r="K631" i="18"/>
  <c r="K667"/>
  <c r="K503" s="1"/>
  <c r="K72" i="7941" s="1"/>
  <c r="K200" s="1"/>
  <c r="N362"/>
  <c r="Q155" i="7942"/>
  <c r="Q286" i="7941" s="1"/>
  <c r="Q382" s="1"/>
  <c r="P155" i="7942"/>
  <c r="P286" i="7941" s="1"/>
  <c r="P382" s="1"/>
  <c r="K674" i="18"/>
  <c r="K510" s="1"/>
  <c r="K79" i="7941" s="1"/>
  <c r="L15" s="1"/>
  <c r="L446" i="18"/>
  <c r="P276" i="7942"/>
  <c r="P330" i="7941" s="1"/>
  <c r="Q276" i="7942"/>
  <c r="Q330" i="7941" s="1"/>
  <c r="L292" i="7942"/>
  <c r="L338" i="7941" s="1"/>
  <c r="L683" i="18"/>
  <c r="L519" s="1"/>
  <c r="L88" i="7941" s="1"/>
  <c r="K689" i="18"/>
  <c r="K525" s="1"/>
  <c r="K94" i="7941" s="1"/>
  <c r="L30" s="1"/>
  <c r="N318" i="7942"/>
  <c r="N351" i="7941" s="1"/>
  <c r="N383" s="1"/>
  <c r="P317" i="7942"/>
  <c r="O318" s="1"/>
  <c r="O351" i="7941" s="1"/>
  <c r="O383" s="1"/>
  <c r="Q317" i="7942"/>
  <c r="K686" i="18"/>
  <c r="K522" s="1"/>
  <c r="K91" i="7941" s="1"/>
  <c r="K690" i="18"/>
  <c r="K526" s="1"/>
  <c r="K95" i="7941" s="1"/>
  <c r="L31" s="1"/>
  <c r="L462" i="18"/>
  <c r="L19" i="7941"/>
  <c r="K211"/>
  <c r="I6"/>
  <c r="K465" i="18"/>
  <c r="J693"/>
  <c r="J529" s="1"/>
  <c r="J98" i="7941" s="1"/>
  <c r="K222"/>
  <c r="O374"/>
  <c r="Q372"/>
  <c r="Q323" i="7942"/>
  <c r="N381" i="7941"/>
  <c r="N159" i="7942" l="1"/>
  <c r="N288" i="7941" s="1"/>
  <c r="N384" s="1"/>
  <c r="P158" i="7942"/>
  <c r="O159" s="1"/>
  <c r="O288" i="7941" s="1"/>
  <c r="O384" s="1"/>
  <c r="L223"/>
  <c r="Q324" i="7942"/>
  <c r="Q354" i="7941" s="1"/>
  <c r="Q386" s="1"/>
  <c r="P324" i="7942"/>
  <c r="P354" i="7941" s="1"/>
  <c r="P386" s="1"/>
  <c r="K693" i="18"/>
  <c r="K529" s="1"/>
  <c r="K98" i="7941" s="1"/>
  <c r="L465" i="18"/>
  <c r="Q362" i="7941"/>
  <c r="K685" i="18"/>
  <c r="K521" s="1"/>
  <c r="K90" i="7941" s="1"/>
  <c r="L456" i="18"/>
  <c r="K684"/>
  <c r="K520" s="1"/>
  <c r="K89" i="7941" s="1"/>
  <c r="N310" i="7942"/>
  <c r="N347" i="7941" s="1"/>
  <c r="N379" s="1"/>
  <c r="P309" i="7942"/>
  <c r="Q298"/>
  <c r="Q341" i="7941" s="1"/>
  <c r="Q373" s="1"/>
  <c r="P298" i="7942"/>
  <c r="P341" i="7941" s="1"/>
  <c r="P373" s="1"/>
  <c r="J10"/>
  <c r="I202"/>
  <c r="M360"/>
  <c r="M262"/>
  <c r="J208"/>
  <c r="K16"/>
  <c r="Q278" i="7942"/>
  <c r="Q331" i="7941" s="1"/>
  <c r="P278" i="7942"/>
  <c r="P331" i="7941" s="1"/>
  <c r="L458" i="18"/>
  <c r="L439"/>
  <c r="L9" i="7941"/>
  <c r="L460" i="18"/>
  <c r="Q319" i="7942"/>
  <c r="K228" i="7941"/>
  <c r="L220"/>
  <c r="Q152" i="7942"/>
  <c r="K445" i="18"/>
  <c r="K223" i="7941"/>
  <c r="M268" i="7942"/>
  <c r="L329" s="1"/>
  <c r="L8" i="7941"/>
  <c r="K207"/>
  <c r="K681" i="18"/>
  <c r="K517" s="1"/>
  <c r="K86" i="7941" s="1"/>
  <c r="L453" i="18"/>
  <c r="K680"/>
  <c r="K516" s="1"/>
  <c r="K85" i="7941" s="1"/>
  <c r="M159" i="7942"/>
  <c r="M288" i="7941" s="1"/>
  <c r="M384" s="1"/>
  <c r="Q158" i="7942"/>
  <c r="Q117"/>
  <c r="Q267" i="7941" s="1"/>
  <c r="Q363" s="1"/>
  <c r="P117" i="7942"/>
  <c r="P267" i="7941" s="1"/>
  <c r="P363" s="1"/>
  <c r="Q165" i="7942"/>
  <c r="Q291" i="7941" s="1"/>
  <c r="Q387" s="1"/>
  <c r="P165" i="7942"/>
  <c r="P291" i="7941" s="1"/>
  <c r="P387" s="1"/>
  <c r="L32"/>
  <c r="K224"/>
  <c r="L21"/>
  <c r="K213"/>
  <c r="K677" i="18"/>
  <c r="K513" s="1"/>
  <c r="K82" i="7941" s="1"/>
  <c r="O362"/>
  <c r="N292" i="7942"/>
  <c r="N338" i="7941" s="1"/>
  <c r="N370" s="1"/>
  <c r="P291" i="7942"/>
  <c r="M455" i="18"/>
  <c r="M683" s="1"/>
  <c r="M519" s="1"/>
  <c r="M88" i="7941" s="1"/>
  <c r="N287" i="7942"/>
  <c r="O287" s="1"/>
  <c r="J441" i="18"/>
  <c r="K448"/>
  <c r="Q307" i="7942"/>
  <c r="N107"/>
  <c r="M168" s="1"/>
  <c r="K447" i="18"/>
  <c r="L463"/>
  <c r="K17" i="7941"/>
  <c r="P421" i="18"/>
  <c r="Q421" s="1"/>
  <c r="L690"/>
  <c r="L526" s="1"/>
  <c r="L95" i="7941" s="1"/>
  <c r="M462" i="18"/>
  <c r="M690" s="1"/>
  <c r="M526" s="1"/>
  <c r="M95" i="7941" s="1"/>
  <c r="P318" i="7942"/>
  <c r="P351" i="7941" s="1"/>
  <c r="P383" s="1"/>
  <c r="Q318" i="7942"/>
  <c r="Q351" i="7941" s="1"/>
  <c r="Q383" s="1"/>
  <c r="L674" i="18"/>
  <c r="L510" s="1"/>
  <c r="L79" i="7941" s="1"/>
  <c r="L207" s="1"/>
  <c r="M446" i="18"/>
  <c r="M674" s="1"/>
  <c r="M510" s="1"/>
  <c r="M79" i="7941" s="1"/>
  <c r="N111" i="7942"/>
  <c r="N264" i="7941" s="1"/>
  <c r="O107" i="7942"/>
  <c r="N168" s="1"/>
  <c r="P110"/>
  <c r="K34" i="7941"/>
  <c r="J226"/>
  <c r="I71"/>
  <c r="I501" i="18"/>
  <c r="J438"/>
  <c r="L464"/>
  <c r="K692"/>
  <c r="K528" s="1"/>
  <c r="K97" i="7941" s="1"/>
  <c r="P139" i="7942"/>
  <c r="P278" i="7941" s="1"/>
  <c r="Q139" i="7942"/>
  <c r="Q278" i="7941" s="1"/>
  <c r="Q286" i="7942"/>
  <c r="Q335" i="7941" s="1"/>
  <c r="Q367" s="1"/>
  <c r="P286" i="7942"/>
  <c r="P335" i="7941" s="1"/>
  <c r="P367" s="1"/>
  <c r="L678" i="18"/>
  <c r="L514" s="1"/>
  <c r="L83" i="7941" s="1"/>
  <c r="L461" i="18"/>
  <c r="K443"/>
  <c r="L440"/>
  <c r="L467"/>
  <c r="L227" i="7941"/>
  <c r="P118" i="7942"/>
  <c r="L29" i="7941"/>
  <c r="L27"/>
  <c r="K219"/>
  <c r="P362"/>
  <c r="P312" i="7942"/>
  <c r="P348" i="7941" s="1"/>
  <c r="Q312" i="7942"/>
  <c r="Q348" i="7941" s="1"/>
  <c r="Q380" s="1"/>
  <c r="Q284" i="7942"/>
  <c r="Q334" i="7941" s="1"/>
  <c r="Q366" s="1"/>
  <c r="P284" i="7942"/>
  <c r="P334" i="7941" s="1"/>
  <c r="P366" s="1"/>
  <c r="J204"/>
  <c r="K12"/>
  <c r="Q314" i="7942"/>
  <c r="Q349" i="7941" s="1"/>
  <c r="P314" i="7942"/>
  <c r="P349" i="7941" s="1"/>
  <c r="J225"/>
  <c r="K33"/>
  <c r="K218"/>
  <c r="L26"/>
  <c r="P145" i="7942"/>
  <c r="P281" i="7941" s="1"/>
  <c r="P377" s="1"/>
  <c r="Q145" i="7942"/>
  <c r="Q281" i="7941" s="1"/>
  <c r="Q377" s="1"/>
  <c r="N280" i="7942"/>
  <c r="N332" i="7941" s="1"/>
  <c r="Q279" i="7942"/>
  <c r="L211" i="7941"/>
  <c r="P380"/>
  <c r="L216"/>
  <c r="I665" i="18"/>
  <c r="Q299" i="7942"/>
  <c r="M459" i="18"/>
  <c r="M687" s="1"/>
  <c r="M523" s="1"/>
  <c r="M92" i="7941" s="1"/>
  <c r="L326"/>
  <c r="N288" i="7942" l="1"/>
  <c r="N336" i="7941" s="1"/>
  <c r="N368" s="1"/>
  <c r="O268" i="7942"/>
  <c r="N329" s="1"/>
  <c r="P287"/>
  <c r="O119"/>
  <c r="O268" i="7941" s="1"/>
  <c r="O364" s="1"/>
  <c r="Q118" i="7942"/>
  <c r="L689" i="18"/>
  <c r="L525" s="1"/>
  <c r="L94" i="7941" s="1"/>
  <c r="L222" s="1"/>
  <c r="L692" i="18"/>
  <c r="L528" s="1"/>
  <c r="L97" i="7941" s="1"/>
  <c r="Q280" i="7942"/>
  <c r="Q332" i="7941" s="1"/>
  <c r="P280" i="7942"/>
  <c r="P332" i="7941" s="1"/>
  <c r="K671" i="18"/>
  <c r="K507" s="1"/>
  <c r="K76" i="7941" s="1"/>
  <c r="L12" s="1"/>
  <c r="I70"/>
  <c r="I199"/>
  <c r="I198" s="1"/>
  <c r="J7"/>
  <c r="J669" i="18"/>
  <c r="J505" s="1"/>
  <c r="J74" i="7941" s="1"/>
  <c r="K441" i="18"/>
  <c r="K214" i="7941"/>
  <c r="L22"/>
  <c r="L214" s="1"/>
  <c r="L686" i="18"/>
  <c r="L522" s="1"/>
  <c r="L91" i="7941" s="1"/>
  <c r="M458" i="18"/>
  <c r="M686" s="1"/>
  <c r="M522" s="1"/>
  <c r="M91" i="7941" s="1"/>
  <c r="J202"/>
  <c r="K10"/>
  <c r="L449" i="18"/>
  <c r="L457"/>
  <c r="K225" i="7941"/>
  <c r="L33"/>
  <c r="L17"/>
  <c r="O111" i="7942"/>
  <c r="O264" i="7941" s="1"/>
  <c r="P107" i="7942"/>
  <c r="O168" s="1"/>
  <c r="Q110"/>
  <c r="L447" i="18"/>
  <c r="K675"/>
  <c r="K511" s="1"/>
  <c r="K80" i="7941" s="1"/>
  <c r="K676" i="18"/>
  <c r="K512" s="1"/>
  <c r="K81" i="7941" s="1"/>
  <c r="K209" s="1"/>
  <c r="O292" i="7942"/>
  <c r="O338" i="7941" s="1"/>
  <c r="O370" s="1"/>
  <c r="Q291" i="7942"/>
  <c r="L18" i="7941"/>
  <c r="K210"/>
  <c r="Q159" i="7942"/>
  <c r="Q288" i="7941" s="1"/>
  <c r="P159" i="7942"/>
  <c r="P288" i="7941" s="1"/>
  <c r="L681" i="18"/>
  <c r="L517" s="1"/>
  <c r="L86" i="7941" s="1"/>
  <c r="L688" i="18"/>
  <c r="L524" s="1"/>
  <c r="L93" i="7941" s="1"/>
  <c r="L221" s="1"/>
  <c r="L667" i="18"/>
  <c r="L503" s="1"/>
  <c r="L72" i="7941" s="1"/>
  <c r="K208"/>
  <c r="L16"/>
  <c r="O310" i="7942"/>
  <c r="O347" i="7941" s="1"/>
  <c r="O379" s="1"/>
  <c r="Q309" i="7942"/>
  <c r="M465" i="18"/>
  <c r="M693" s="1"/>
  <c r="M529" s="1"/>
  <c r="M98" i="7941" s="1"/>
  <c r="L693" i="18"/>
  <c r="L529" s="1"/>
  <c r="L98" i="7941" s="1"/>
  <c r="L219"/>
  <c r="M450" i="18"/>
  <c r="M678" s="1"/>
  <c r="M514" s="1"/>
  <c r="M83" i="7941" s="1"/>
  <c r="Q300" i="7942"/>
  <c r="Q342" i="7941" s="1"/>
  <c r="P300" i="7942"/>
  <c r="P342" i="7941" s="1"/>
  <c r="P374" s="1"/>
  <c r="K204"/>
  <c r="L668" i="18"/>
  <c r="L504" s="1"/>
  <c r="L73" i="7941" s="1"/>
  <c r="M440" i="18"/>
  <c r="M668" s="1"/>
  <c r="M504" s="1"/>
  <c r="M73" i="7941" s="1"/>
  <c r="J437" i="18"/>
  <c r="J666"/>
  <c r="L34" i="7941"/>
  <c r="L226" s="1"/>
  <c r="K226"/>
  <c r="L691" i="18"/>
  <c r="L527" s="1"/>
  <c r="L96" i="7941" s="1"/>
  <c r="L224" s="1"/>
  <c r="P308" i="7942"/>
  <c r="P346" i="7941" s="1"/>
  <c r="P378" s="1"/>
  <c r="Q308" i="7942"/>
  <c r="Q346" i="7941" s="1"/>
  <c r="Q378" s="1"/>
  <c r="P153" i="7942"/>
  <c r="P285" i="7941" s="1"/>
  <c r="P381" s="1"/>
  <c r="Q153" i="7942"/>
  <c r="Q285" i="7941" s="1"/>
  <c r="Q381" s="1"/>
  <c r="P320" i="7942"/>
  <c r="P352" i="7941" s="1"/>
  <c r="Q320" i="7942"/>
  <c r="Q352" i="7941" s="1"/>
  <c r="M456" i="18"/>
  <c r="M684" s="1"/>
  <c r="M520" s="1"/>
  <c r="M89" i="7941" s="1"/>
  <c r="L684" i="18"/>
  <c r="L520" s="1"/>
  <c r="L89" i="7941" s="1"/>
  <c r="Q374"/>
  <c r="L200"/>
  <c r="L201"/>
  <c r="L695" i="18"/>
  <c r="L531" s="1"/>
  <c r="L100" i="7941" s="1"/>
  <c r="L228" s="1"/>
  <c r="N360"/>
  <c r="N358" s="1"/>
  <c r="N262"/>
  <c r="M288" i="7942"/>
  <c r="M336" i="7941" s="1"/>
  <c r="N268" i="7942"/>
  <c r="M329" s="1"/>
  <c r="K673" i="18"/>
  <c r="K509" s="1"/>
  <c r="K78" i="7941" s="1"/>
  <c r="L25"/>
  <c r="L217" s="1"/>
  <c r="K217"/>
  <c r="L452" i="18"/>
  <c r="N364" i="7941"/>
  <c r="L14" l="1"/>
  <c r="K206"/>
  <c r="M368"/>
  <c r="M358" s="1"/>
  <c r="M326"/>
  <c r="J665" i="18"/>
  <c r="J502"/>
  <c r="O288" i="7942"/>
  <c r="O336" i="7941" s="1"/>
  <c r="Q287" i="7942"/>
  <c r="P268"/>
  <c r="O329" s="1"/>
  <c r="L445" i="18"/>
  <c r="P384" i="7941"/>
  <c r="N326"/>
  <c r="L225"/>
  <c r="L443" i="18"/>
  <c r="M461"/>
  <c r="M689" s="1"/>
  <c r="M525" s="1"/>
  <c r="M94" i="7941" s="1"/>
  <c r="P292" i="7942"/>
  <c r="P338" i="7941" s="1"/>
  <c r="P370" s="1"/>
  <c r="Q292" i="7942"/>
  <c r="Q338" i="7941" s="1"/>
  <c r="Q370" s="1"/>
  <c r="Q310" i="7942"/>
  <c r="Q347" i="7941" s="1"/>
  <c r="Q379" s="1"/>
  <c r="P310" i="7942"/>
  <c r="P347" i="7941" s="1"/>
  <c r="P379" s="1"/>
  <c r="P111" i="7942"/>
  <c r="P264" i="7941" s="1"/>
  <c r="Q111" i="7942"/>
  <c r="Q264" i="7941" s="1"/>
  <c r="Q107" i="7942"/>
  <c r="K669" i="18"/>
  <c r="K505" s="1"/>
  <c r="K74" i="7941" s="1"/>
  <c r="L10" s="1"/>
  <c r="M467" i="18"/>
  <c r="M695" s="1"/>
  <c r="M531" s="1"/>
  <c r="M100" i="7941" s="1"/>
  <c r="M463" i="18"/>
  <c r="M691" s="1"/>
  <c r="M527" s="1"/>
  <c r="M96" i="7941" s="1"/>
  <c r="M439" i="18"/>
  <c r="M667" s="1"/>
  <c r="M503" s="1"/>
  <c r="M72" i="7941" s="1"/>
  <c r="M453" i="18"/>
  <c r="M681" s="1"/>
  <c r="M517" s="1"/>
  <c r="M86" i="7941" s="1"/>
  <c r="L448" i="18"/>
  <c r="L675"/>
  <c r="L511" s="1"/>
  <c r="L80" i="7941" s="1"/>
  <c r="L685" i="18"/>
  <c r="L521" s="1"/>
  <c r="L90" i="7941" s="1"/>
  <c r="L218" s="1"/>
  <c r="Q384"/>
  <c r="M464" i="18"/>
  <c r="M692" s="1"/>
  <c r="M528" s="1"/>
  <c r="M97" i="7941" s="1"/>
  <c r="L680" i="18"/>
  <c r="L516" s="1"/>
  <c r="L85" i="7941" s="1"/>
  <c r="L213" s="1"/>
  <c r="O360"/>
  <c r="O262"/>
  <c r="L677" i="18"/>
  <c r="L513" s="1"/>
  <c r="L82" i="7941" s="1"/>
  <c r="L210" s="1"/>
  <c r="K202"/>
  <c r="J6"/>
  <c r="Q119" i="7942"/>
  <c r="Q268" i="7941" s="1"/>
  <c r="Q364" s="1"/>
  <c r="P119" i="7942"/>
  <c r="P268" i="7941" s="1"/>
  <c r="P364" s="1"/>
  <c r="L208"/>
  <c r="M460" i="18"/>
  <c r="M688" s="1"/>
  <c r="M524" s="1"/>
  <c r="M93" i="7941" s="1"/>
  <c r="Q360" l="1"/>
  <c r="Q262"/>
  <c r="Q288" i="7942"/>
  <c r="Q336" i="7941" s="1"/>
  <c r="P288" i="7942"/>
  <c r="P336" i="7941" s="1"/>
  <c r="Q268" i="7942"/>
  <c r="M447" i="18"/>
  <c r="M675" s="1"/>
  <c r="M511" s="1"/>
  <c r="M80" i="7941" s="1"/>
  <c r="Q168" i="7942"/>
  <c r="P168"/>
  <c r="L671" i="18"/>
  <c r="L507" s="1"/>
  <c r="L76" i="7941" s="1"/>
  <c r="L204" s="1"/>
  <c r="M443" i="18"/>
  <c r="M671" s="1"/>
  <c r="M507" s="1"/>
  <c r="M76" i="7941" s="1"/>
  <c r="M449" i="18"/>
  <c r="M677" s="1"/>
  <c r="M513" s="1"/>
  <c r="M82" i="7941" s="1"/>
  <c r="M452" i="18"/>
  <c r="M680" s="1"/>
  <c r="M516" s="1"/>
  <c r="M85" i="7941" s="1"/>
  <c r="L676" i="18"/>
  <c r="L512" s="1"/>
  <c r="L81" i="7941" s="1"/>
  <c r="L209" s="1"/>
  <c r="M448" i="18"/>
  <c r="M676" s="1"/>
  <c r="M512" s="1"/>
  <c r="M81" i="7941" s="1"/>
  <c r="L673" i="18"/>
  <c r="L509" s="1"/>
  <c r="L78" i="7941" s="1"/>
  <c r="L206" s="1"/>
  <c r="J71"/>
  <c r="J501" i="18"/>
  <c r="K438"/>
  <c r="M457"/>
  <c r="M685" s="1"/>
  <c r="M521" s="1"/>
  <c r="M90" i="7941" s="1"/>
  <c r="L441" i="18"/>
  <c r="P360" i="7941"/>
  <c r="P262"/>
  <c r="O368"/>
  <c r="O358" s="1"/>
  <c r="O326"/>
  <c r="Q368" l="1"/>
  <c r="Q326"/>
  <c r="M445" i="18"/>
  <c r="M673" s="1"/>
  <c r="M509" s="1"/>
  <c r="M78" i="7941" s="1"/>
  <c r="P329" i="7942"/>
  <c r="Q329"/>
  <c r="L669" i="18"/>
  <c r="L505" s="1"/>
  <c r="L74" i="7941" s="1"/>
  <c r="L202" s="1"/>
  <c r="M441" i="18"/>
  <c r="M669" s="1"/>
  <c r="M505" s="1"/>
  <c r="M74" i="7941" s="1"/>
  <c r="J70"/>
  <c r="J199"/>
  <c r="J198" s="1"/>
  <c r="K7"/>
  <c r="P368"/>
  <c r="P358" s="1"/>
  <c r="P326"/>
  <c r="Q358"/>
  <c r="K666" i="18"/>
  <c r="K437"/>
  <c r="K6" i="7941" l="1"/>
  <c r="K502" i="18"/>
  <c r="K665"/>
  <c r="K501" l="1"/>
  <c r="K71" i="7941"/>
  <c r="L438" i="18"/>
  <c r="K70" i="7941" l="1"/>
  <c r="L7"/>
  <c r="K199"/>
  <c r="K198" s="1"/>
  <c r="L666" i="18"/>
  <c r="L437"/>
  <c r="L665" l="1"/>
  <c r="L502"/>
  <c r="L6" i="7941"/>
  <c r="L71" l="1"/>
  <c r="L501" i="18"/>
  <c r="M438"/>
  <c r="M437" l="1"/>
  <c r="M666"/>
  <c r="L70" i="7941"/>
  <c r="L199"/>
  <c r="M502" i="18" l="1"/>
  <c r="M665"/>
  <c r="L198" i="7941"/>
  <c r="L247" l="1"/>
  <c r="L311"/>
  <c r="L319"/>
  <c r="F345" i="7947"/>
  <c r="L236" i="7941"/>
  <c r="L246"/>
  <c r="L318"/>
  <c r="L320"/>
  <c r="L238"/>
  <c r="L240"/>
  <c r="L248"/>
  <c r="L245"/>
  <c r="L300"/>
  <c r="L260"/>
  <c r="L250"/>
  <c r="L378" s="1"/>
  <c r="L463" s="1"/>
  <c r="L296"/>
  <c r="L253"/>
  <c r="L242"/>
  <c r="L243"/>
  <c r="L231"/>
  <c r="L259"/>
  <c r="L251"/>
  <c r="L255"/>
  <c r="L383" s="1"/>
  <c r="L314"/>
  <c r="L310"/>
  <c r="L324"/>
  <c r="L252"/>
  <c r="L309"/>
  <c r="L241"/>
  <c r="L258"/>
  <c r="L235"/>
  <c r="L321"/>
  <c r="L304"/>
  <c r="L257"/>
  <c r="L385" s="1"/>
  <c r="L295"/>
  <c r="L323"/>
  <c r="L298"/>
  <c r="L254"/>
  <c r="L382" s="1"/>
  <c r="L467" s="1"/>
  <c r="L317"/>
  <c r="L234"/>
  <c r="L362" s="1"/>
  <c r="L447" s="1"/>
  <c r="L303"/>
  <c r="L299"/>
  <c r="L316"/>
  <c r="L233"/>
  <c r="L361" s="1"/>
  <c r="L446" s="1"/>
  <c r="L302"/>
  <c r="L244"/>
  <c r="L372" s="1"/>
  <c r="L457" s="1"/>
  <c r="L312"/>
  <c r="L239"/>
  <c r="L367" s="1"/>
  <c r="L452" s="1"/>
  <c r="L232"/>
  <c r="L360" s="1"/>
  <c r="L445" s="1"/>
  <c r="L249"/>
  <c r="L377" s="1"/>
  <c r="L462" s="1"/>
  <c r="L306"/>
  <c r="L301"/>
  <c r="L297"/>
  <c r="L305"/>
  <c r="L322"/>
  <c r="L237"/>
  <c r="L365" s="1"/>
  <c r="L450" s="1"/>
  <c r="L308"/>
  <c r="L315"/>
  <c r="L307"/>
  <c r="L313"/>
  <c r="L256"/>
  <c r="L384" s="1"/>
  <c r="M71"/>
  <c r="M70" s="1"/>
  <c r="M501" i="18"/>
  <c r="L369" i="7941" l="1"/>
  <c r="L454" s="1"/>
  <c r="L387"/>
  <c r="L381"/>
  <c r="L466" s="1"/>
  <c r="L366"/>
  <c r="L451" s="1"/>
  <c r="L364"/>
  <c r="L449" s="1"/>
  <c r="L375"/>
  <c r="L460" s="1"/>
  <c r="L386"/>
  <c r="L379"/>
  <c r="L464" s="1"/>
  <c r="L370"/>
  <c r="L455" s="1"/>
  <c r="L388"/>
  <c r="L368"/>
  <c r="L453" s="1"/>
  <c r="L374"/>
  <c r="L459" s="1"/>
  <c r="L294"/>
  <c r="L363"/>
  <c r="L448" s="1"/>
  <c r="L380"/>
  <c r="L465" s="1"/>
  <c r="L371"/>
  <c r="L456" s="1"/>
  <c r="L376"/>
  <c r="L461" s="1"/>
  <c r="L230"/>
  <c r="L359"/>
  <c r="L373"/>
  <c r="L458" s="1"/>
  <c r="L444" l="1"/>
  <c r="L443" s="1"/>
  <c r="L358"/>
</calcChain>
</file>

<file path=xl/comments1.xml><?xml version="1.0" encoding="utf-8"?>
<comments xmlns="http://schemas.openxmlformats.org/spreadsheetml/2006/main">
  <authors>
    <author>Rick Miles</author>
    <author>kyap</author>
    <author>OfficeXP</author>
    <author>Iftekhar Omar</author>
    <author>Nam Le</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K7" authorId="3">
      <text>
        <r>
          <rPr>
            <b/>
            <sz val="8"/>
            <color indexed="81"/>
            <rFont val="Tahoma"/>
            <family val="2"/>
          </rPr>
          <t>Iftekhar Omar:</t>
        </r>
        <r>
          <rPr>
            <sz val="8"/>
            <color indexed="81"/>
            <rFont val="Tahoma"/>
            <family val="2"/>
          </rPr>
          <t xml:space="preserve">
From 2009-14 approved PTRM (Tribunal amended)</t>
        </r>
      </text>
    </comment>
    <comment ref="L7" authorId="3">
      <text>
        <r>
          <rPr>
            <b/>
            <sz val="8"/>
            <color indexed="81"/>
            <rFont val="Tahoma"/>
            <family val="2"/>
          </rPr>
          <t>Iftekhar Omar:</t>
        </r>
        <r>
          <rPr>
            <sz val="8"/>
            <color indexed="81"/>
            <rFont val="Tahoma"/>
            <family val="2"/>
          </rPr>
          <t xml:space="preserve">
From 2009-14 approved PTRM (Tribunal amended)</t>
        </r>
      </text>
    </comment>
    <comment ref="M7" authorId="4">
      <text>
        <r>
          <rPr>
            <b/>
            <sz val="8"/>
            <color indexed="81"/>
            <rFont val="Tahoma"/>
            <family val="2"/>
          </rPr>
          <t>Nam Le:</t>
        </r>
        <r>
          <rPr>
            <sz val="8"/>
            <color indexed="81"/>
            <rFont val="Tahoma"/>
            <family val="2"/>
          </rPr>
          <t xml:space="preserve">
As at 1 July 2008
Source - Ausgrid 2009-14 RFM Dx
Calculated based on opening RAB in 2008-09, adjusted for:
* difference between actual and forecast capex / depn in 2003-04 
* foregone return on this 2003-04 difference
* asset transfer from Dx to Tx
* asset transfer from Tx to Dx
* allocation of work in progress (based on pro-rata interim RAB values)</t>
        </r>
      </text>
    </comment>
    <comment ref="N7" authorId="3">
      <text>
        <r>
          <rPr>
            <b/>
            <sz val="8"/>
            <color indexed="81"/>
            <rFont val="Tahoma"/>
            <family val="2"/>
          </rPr>
          <t>Iftekhar Omar:</t>
        </r>
        <r>
          <rPr>
            <sz val="8"/>
            <color indexed="81"/>
            <rFont val="Tahoma"/>
            <family val="2"/>
          </rPr>
          <t xml:space="preserve">
Regulatory depreciation in 2008-09 in 2009-14 RFM, in nominal terms
Source - Ausgrid 2009-14 RFM Dx</t>
        </r>
      </text>
    </comment>
    <comment ref="S7" authorId="3">
      <text>
        <r>
          <rPr>
            <b/>
            <sz val="8"/>
            <color indexed="81"/>
            <rFont val="Tahoma"/>
            <family val="2"/>
          </rPr>
          <t>Iftekhar Omar:</t>
        </r>
        <r>
          <rPr>
            <sz val="8"/>
            <color indexed="81"/>
            <rFont val="Tahoma"/>
            <family val="2"/>
          </rPr>
          <t xml:space="preserve">
Value as at 30 June 2009.</t>
        </r>
      </text>
    </comment>
    <comment ref="U7" authorId="3">
      <text>
        <r>
          <rPr>
            <b/>
            <sz val="8"/>
            <color indexed="81"/>
            <rFont val="Tahoma"/>
            <family val="2"/>
          </rPr>
          <t>Iftekhar Omar:</t>
        </r>
        <r>
          <rPr>
            <sz val="8"/>
            <color indexed="81"/>
            <rFont val="Tahoma"/>
            <family val="2"/>
          </rPr>
          <t xml:space="preserve">
From 2009-14 approved PTRM (Tribunal amended)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3">
      <text>
        <r>
          <rPr>
            <b/>
            <sz val="8"/>
            <color indexed="81"/>
            <rFont val="Tahoma"/>
            <family val="2"/>
          </rPr>
          <t>Iftekhar Omar:</t>
        </r>
        <r>
          <rPr>
            <sz val="8"/>
            <color indexed="81"/>
            <rFont val="Tahoma"/>
            <family val="2"/>
          </rPr>
          <t xml:space="preserve">
Based on sum of four quarters CPI change from Dec 2007 to Dec 2008.</t>
        </r>
      </text>
    </comment>
    <comment ref="H177" authorId="3">
      <text>
        <r>
          <rPr>
            <b/>
            <sz val="8"/>
            <color indexed="81"/>
            <rFont val="Tahoma"/>
            <family val="2"/>
          </rPr>
          <t>Iftekhar Omar:</t>
        </r>
        <r>
          <rPr>
            <sz val="8"/>
            <color indexed="81"/>
            <rFont val="Tahoma"/>
            <family val="2"/>
          </rPr>
          <t xml:space="preserve">
Consistent with CPI applied for pricing - change in sum of four quarters CPI from Dec 2008 to Dec 2009.</t>
        </r>
      </text>
    </comment>
    <comment ref="I177" authorId="3">
      <text>
        <r>
          <rPr>
            <b/>
            <sz val="8"/>
            <color indexed="81"/>
            <rFont val="Tahoma"/>
            <family val="2"/>
          </rPr>
          <t>Iftekhar Omar:</t>
        </r>
        <r>
          <rPr>
            <sz val="8"/>
            <color indexed="81"/>
            <rFont val="Tahoma"/>
            <family val="2"/>
          </rPr>
          <t xml:space="preserve">
Consistent with CPI applied for pricing - change in sum of four quarters CPI from Dec 2009 to Dec 2010.</t>
        </r>
      </text>
    </comment>
    <comment ref="J177" authorId="3">
      <text>
        <r>
          <rPr>
            <b/>
            <sz val="8"/>
            <color indexed="81"/>
            <rFont val="Tahoma"/>
            <family val="2"/>
          </rPr>
          <t>Iftekhar Omar:</t>
        </r>
        <r>
          <rPr>
            <sz val="8"/>
            <color indexed="81"/>
            <rFont val="Tahoma"/>
            <family val="2"/>
          </rPr>
          <t xml:space="preserve">
Consistent with CPI applied for pricing - change in sum of four quarters CPI from Dec 2010 to Dec 2011.</t>
        </r>
      </text>
    </comment>
    <comment ref="K177" authorId="3">
      <text>
        <r>
          <rPr>
            <b/>
            <sz val="8"/>
            <color indexed="81"/>
            <rFont val="Tahoma"/>
            <family val="2"/>
          </rPr>
          <t>Iftekhar Omar:</t>
        </r>
        <r>
          <rPr>
            <sz val="8"/>
            <color indexed="81"/>
            <rFont val="Tahoma"/>
            <family val="2"/>
          </rPr>
          <t xml:space="preserve">
Consistent with CPI applied for pricing - change in sum of four quarters CPI from Dec 2011 to Dec 2012.</t>
        </r>
      </text>
    </comment>
    <comment ref="L177" authorId="3">
      <text>
        <r>
          <rPr>
            <b/>
            <sz val="8"/>
            <color indexed="81"/>
            <rFont val="Tahoma"/>
            <family val="2"/>
          </rPr>
          <t>Iftekhar Omar:</t>
        </r>
        <r>
          <rPr>
            <sz val="8"/>
            <color indexed="81"/>
            <rFont val="Tahoma"/>
            <family val="2"/>
          </rPr>
          <t xml:space="preserve">
High level assumption consistent with SCI/business plan</t>
        </r>
      </text>
    </comment>
    <comment ref="F179" authorId="1">
      <text>
        <r>
          <rPr>
            <sz val="8"/>
            <color indexed="81"/>
            <rFont val="Tahoma"/>
            <family val="2"/>
          </rPr>
          <t>Forecast inflation rate used in the decisions covering the previous and current regulatory control periods.</t>
        </r>
      </text>
    </comment>
    <comment ref="G179" authorId="4">
      <text>
        <r>
          <rPr>
            <b/>
            <sz val="8"/>
            <color indexed="81"/>
            <rFont val="Tahoma"/>
            <family val="2"/>
          </rPr>
          <t>Nam Le:</t>
        </r>
        <r>
          <rPr>
            <sz val="8"/>
            <color indexed="81"/>
            <rFont val="Tahoma"/>
            <family val="2"/>
          </rPr>
          <t xml:space="preserve">
Sourced from Ausgrid 2009-14 RFM, 'Forecast inflation rate'</t>
        </r>
      </text>
    </comment>
    <comment ref="H179" authorId="4">
      <text>
        <r>
          <rPr>
            <b/>
            <sz val="8"/>
            <color indexed="81"/>
            <rFont val="Tahoma"/>
            <family val="2"/>
          </rPr>
          <t>Nam Le:</t>
        </r>
        <r>
          <rPr>
            <sz val="8"/>
            <color indexed="81"/>
            <rFont val="Tahoma"/>
            <family val="2"/>
          </rPr>
          <t xml:space="preserve">
Sourced from Ausgrid 2009-14 PTRM, 'Forecast inflation rate'</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Nam Le</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List>
</comments>
</file>

<file path=xl/comments6.xml><?xml version="1.0" encoding="utf-8"?>
<comments xmlns="http://schemas.openxmlformats.org/spreadsheetml/2006/main">
  <authors>
    <author>Nam Le</author>
  </authors>
  <commentList>
    <comment ref="B7" authorId="0">
      <text>
        <r>
          <rPr>
            <b/>
            <sz val="8"/>
            <color indexed="81"/>
            <rFont val="Tahoma"/>
            <family val="2"/>
          </rPr>
          <t>Nam Le:</t>
        </r>
        <r>
          <rPr>
            <sz val="8"/>
            <color indexed="81"/>
            <rFont val="Tahoma"/>
            <family val="2"/>
          </rPr>
          <t xml:space="preserve">
Note that model's tax asset value calculations are not required - overridden by hard coded tax depreciation</t>
        </r>
      </text>
    </commen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List>
</comments>
</file>

<file path=xl/sharedStrings.xml><?xml version="1.0" encoding="utf-8"?>
<sst xmlns="http://schemas.openxmlformats.org/spreadsheetml/2006/main" count="481" uniqueCount="167">
  <si>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</si>
  <si>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</si>
  <si>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</si>
  <si>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</si>
  <si>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</si>
  <si>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</si>
  <si>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</si>
  <si>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</si>
  <si>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</si>
  <si>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</si>
  <si>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</si>
  <si>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</si>
  <si>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</si>
  <si>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</si>
  <si>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</si>
  <si>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</si>
  <si>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</si>
  <si>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</si>
  <si>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</si>
  <si>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</si>
  <si>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</si>
  <si>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</si>
  <si>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</si>
  <si>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</si>
  <si>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</si>
  <si>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</si>
  <si>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</si>
  <si>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</si>
  <si>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</si>
  <si>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</si>
  <si>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</si>
  <si>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</si>
  <si>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</si>
  <si>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</si>
  <si>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</si>
  <si>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</si>
  <si>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</si>
  <si>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</si>
  <si>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</si>
  <si>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</si>
  <si>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</si>
  <si>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</si>
  <si>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</si>
  <si>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</si>
  <si>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</si>
  <si>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</si>
  <si>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</si>
  <si>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</si>
  <si>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</si>
  <si>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</si>
  <si>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</si>
  <si>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</si>
  <si>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</si>
  <si>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</si>
  <si>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</si>
  <si>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</si>
  <si>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</si>
  <si>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</si>
  <si>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</si>
  <si>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</si>
  <si>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</si>
  <si>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</si>
  <si>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</si>
  <si>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</si>
  <si>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</si>
  <si>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</si>
  <si>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</si>
  <si>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</si>
  <si>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</si>
  <si>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</si>
  <si>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</si>
  <si>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</si>
  <si>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</si>
  <si>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</si>
  <si>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</si>
  <si>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</si>
  <si>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</si>
  <si>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</si>
  <si>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</si>
  <si>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</si>
  <si>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</si>
  <si>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</si>
  <si>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</si>
  <si>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</si>
  <si>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</si>
  <si>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</si>
  <si>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</si>
  <si>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</si>
  <si>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</si>
  <si>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</si>
  <si>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</si>
  <si>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</si>
  <si>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</si>
  <si>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</si>
  <si>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</si>
  <si>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</si>
  <si>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</si>
  <si>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</si>
  <si>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</si>
  <si>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</si>
  <si>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</si>
  <si>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</si>
  <si>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</si>
  <si>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</si>
  <si>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</si>
  <si>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</si>
  <si>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</si>
  <si>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</si>
  <si>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</si>
  <si>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</si>
  <si>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</si>
  <si>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</si>
  <si>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</si>
  <si>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</si>
  <si>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</si>
  <si>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System IT (dx)</t>
  </si>
  <si>
    <t>Ancillary substation equipment (dx)</t>
  </si>
  <si>
    <t>Communications (digital) - dx</t>
  </si>
  <si>
    <t>Substations</t>
  </si>
  <si>
    <t>Transformers</t>
  </si>
  <si>
    <t>Low Voltage Lines and Cables</t>
  </si>
  <si>
    <t>Customer Metering and Load Control</t>
  </si>
  <si>
    <t>Customer Metering (digital)</t>
  </si>
  <si>
    <t>Land and Easements</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</si>
  <si>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</si>
  <si>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</si>
  <si>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</si>
  <si>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</si>
  <si>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</si>
  <si>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</si>
  <si>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</si>
  <si>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</si>
  <si>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</si>
  <si>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</si>
  <si>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</si>
  <si>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</si>
  <si>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</si>
  <si>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</si>
  <si>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</si>
  <si>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</si>
  <si>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</si>
  <si>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</si>
  <si>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</si>
  <si>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Transmission &amp; Zone land &amp; easements</t>
  </si>
  <si>
    <t>Transmission buildings 132/66kV</t>
  </si>
  <si>
    <t>Zone buildings 132/66kV</t>
  </si>
  <si>
    <t>Transmission transformers 132/66kV</t>
  </si>
  <si>
    <t>Zone transformers 132/66kV</t>
  </si>
  <si>
    <t>Transmission substation equip 132/66kV</t>
  </si>
  <si>
    <t>Zone substation equip 132/66kV</t>
  </si>
  <si>
    <t>Transmission &amp; Zone emergency spares</t>
  </si>
  <si>
    <t>Ancillary substation equipment (tx)</t>
  </si>
  <si>
    <t>132kV tower lines</t>
  </si>
  <si>
    <t>132kV concrete &amp; steel pole lines</t>
  </si>
  <si>
    <t>132kV wood pole lines</t>
  </si>
  <si>
    <t>132kV feeders underground</t>
  </si>
  <si>
    <t>Cable tunnel (tx)</t>
  </si>
  <si>
    <t>Network control &amp; com systems</t>
  </si>
  <si>
    <t>Communications (digital) - tx</t>
  </si>
  <si>
    <t>System IT (tx)</t>
  </si>
  <si>
    <t>Average Tax Remaining Life</t>
  </si>
  <si>
    <t>Average Tax Standard Life</t>
  </si>
  <si>
    <t xml:space="preserve">Closing Regulated Asset Base (After System T to D transfer) </t>
  </si>
  <si>
    <t>System Assets transferred into Transmission (from Distribution)</t>
  </si>
  <si>
    <t>System Assets transferred from Transmission (to Distribution)</t>
  </si>
  <si>
    <t>Interim Closing Regulated Asset Base FY14</t>
  </si>
  <si>
    <t>Average Remaining Asset Lives Roll Forward - RFM</t>
  </si>
</sst>
</file>

<file path=xl/styles.xml><?xml version="1.0" encoding="utf-8"?>
<styleSheet xmlns="http://schemas.openxmlformats.org/spreadsheetml/2006/main">
  <numFmts count="14">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s>
  <fonts count="6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sz val="24"/>
      <color rgb="FFFF0000"/>
      <name val="Arial"/>
      <family val="2"/>
    </font>
  </fonts>
  <fills count="4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dotted">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theme="0" tint="-0.499984740745262"/>
      </bottom>
      <diagonal/>
    </border>
    <border>
      <left/>
      <right/>
      <top style="thin">
        <color theme="1" tint="0.499984740745262"/>
      </top>
      <bottom/>
      <diagonal/>
    </border>
    <border>
      <left style="thin">
        <color indexed="23"/>
      </left>
      <right style="dashed">
        <color indexed="23"/>
      </right>
      <top style="thin">
        <color theme="1" tint="0.499984740745262"/>
      </top>
      <bottom/>
      <diagonal/>
    </border>
  </borders>
  <cellStyleXfs count="104">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cellStyleXfs>
  <cellXfs count="386">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10" fontId="4" fillId="33" borderId="12" xfId="95" applyNumberFormat="1" applyFont="1" applyFill="1" applyBorder="1" applyAlignment="1" applyProtection="1">
      <alignment horizontal="center"/>
    </xf>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43" fontId="10" fillId="33" borderId="23" xfId="29" applyNumberFormat="1" applyFont="1" applyFill="1" applyBorder="1" applyAlignment="1">
      <alignment horizontal="right"/>
    </xf>
    <xf numFmtId="43" fontId="10" fillId="33" borderId="22" xfId="29" applyNumberFormat="1" applyFont="1" applyFill="1" applyBorder="1" applyAlignment="1">
      <alignment horizontal="right"/>
    </xf>
    <xf numFmtId="43" fontId="10" fillId="25" borderId="24" xfId="29" applyNumberFormat="1" applyFont="1" applyFill="1" applyBorder="1" applyAlignment="1">
      <alignment horizontal="right"/>
    </xf>
    <xf numFmtId="43" fontId="10" fillId="25" borderId="25" xfId="29" applyNumberFormat="1" applyFont="1" applyFill="1" applyBorder="1" applyAlignment="1">
      <alignment horizontal="right"/>
    </xf>
    <xf numFmtId="43" fontId="10" fillId="33" borderId="22" xfId="29"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6"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0" fillId="34" borderId="27" xfId="95" applyNumberFormat="1" applyFont="1" applyFill="1" applyBorder="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8" xfId="0" applyNumberFormat="1" applyFill="1" applyBorder="1"/>
    <xf numFmtId="169" fontId="0" fillId="33" borderId="0" xfId="0" applyNumberFormat="1" applyFill="1" applyBorder="1"/>
    <xf numFmtId="169" fontId="1" fillId="33" borderId="22" xfId="29" applyNumberFormat="1" applyFill="1" applyBorder="1"/>
    <xf numFmtId="0" fontId="2" fillId="33" borderId="29"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44" fontId="15" fillId="33" borderId="0" xfId="33" applyFont="1" applyFill="1" applyBorder="1" applyAlignment="1">
      <alignment horizontal="center" vertic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30" xfId="0" applyNumberFormat="1" applyFont="1" applyFill="1" applyBorder="1"/>
    <xf numFmtId="43" fontId="4" fillId="33" borderId="30" xfId="29" applyFont="1" applyFill="1" applyBorder="1"/>
    <xf numFmtId="10" fontId="2" fillId="33" borderId="36" xfId="95" applyNumberFormat="1" applyFont="1" applyFill="1" applyBorder="1" applyAlignment="1">
      <alignment horizontal="center" wrapText="1"/>
    </xf>
    <xf numFmtId="0" fontId="2" fillId="33" borderId="12" xfId="0" applyFont="1" applyFill="1" applyBorder="1" applyAlignment="1" applyProtection="1">
      <alignment horizontal="center"/>
    </xf>
    <xf numFmtId="43" fontId="4" fillId="34" borderId="0" xfId="29" applyNumberFormat="1" applyFont="1" applyFill="1" applyBorder="1" applyAlignment="1">
      <alignment vertical="center"/>
    </xf>
    <xf numFmtId="43" fontId="58" fillId="34" borderId="0" xfId="29" applyNumberFormat="1" applyFont="1" applyFill="1" applyBorder="1" applyAlignment="1">
      <alignment vertical="center"/>
    </xf>
    <xf numFmtId="43" fontId="58" fillId="34" borderId="0" xfId="29" applyFont="1" applyFill="1" applyBorder="1" applyAlignment="1">
      <alignment horizontal="center" vertical="center"/>
    </xf>
    <xf numFmtId="0" fontId="58" fillId="33" borderId="0" xfId="0" applyFont="1" applyFill="1" applyBorder="1" applyAlignment="1"/>
    <xf numFmtId="0" fontId="15" fillId="33" borderId="0" xfId="0" applyNumberFormat="1" applyFont="1" applyFill="1"/>
    <xf numFmtId="0" fontId="0" fillId="37" borderId="0" xfId="0" applyFill="1"/>
    <xf numFmtId="43" fontId="15" fillId="37" borderId="0" xfId="0" applyNumberFormat="1" applyFont="1" applyFill="1"/>
    <xf numFmtId="43" fontId="15" fillId="37" borderId="0" xfId="0" applyNumberFormat="1" applyFont="1" applyFill="1" applyAlignment="1">
      <alignment horizontal="right"/>
    </xf>
    <xf numFmtId="43" fontId="0" fillId="36" borderId="0" xfId="0" applyNumberFormat="1" applyFill="1"/>
    <xf numFmtId="0" fontId="58" fillId="33" borderId="0" xfId="0" applyFont="1" applyFill="1"/>
    <xf numFmtId="168" fontId="53" fillId="33" borderId="0" xfId="29" applyNumberFormat="1" applyFont="1" applyFill="1" applyBorder="1"/>
    <xf numFmtId="43" fontId="4" fillId="39" borderId="0" xfId="29" applyFont="1" applyFill="1" applyBorder="1" applyAlignment="1">
      <alignment horizontal="center" vertical="center"/>
    </xf>
    <xf numFmtId="43" fontId="4" fillId="39" borderId="14" xfId="29" applyNumberFormat="1" applyFont="1" applyFill="1" applyBorder="1" applyAlignment="1">
      <alignment horizontal="right" vertical="center"/>
    </xf>
    <xf numFmtId="43" fontId="4" fillId="39" borderId="0" xfId="29" applyNumberFormat="1" applyFont="1" applyFill="1" applyBorder="1" applyAlignment="1">
      <alignment horizontal="right" vertical="center"/>
    </xf>
    <xf numFmtId="43" fontId="4" fillId="39" borderId="0" xfId="29" applyFont="1" applyFill="1" applyBorder="1" applyAlignment="1">
      <alignment horizontal="right" vertical="center"/>
    </xf>
    <xf numFmtId="0" fontId="4" fillId="39" borderId="27"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4" borderId="37" xfId="29" applyNumberFormat="1" applyFont="1" applyFill="1" applyBorder="1" applyAlignment="1">
      <alignment horizontal="right" vertical="center"/>
    </xf>
    <xf numFmtId="43" fontId="4" fillId="39" borderId="38" xfId="29" applyNumberFormat="1" applyFont="1" applyFill="1" applyBorder="1" applyAlignment="1">
      <alignment horizontal="right" vertical="center"/>
    </xf>
    <xf numFmtId="43" fontId="4" fillId="39" borderId="37"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9" borderId="0" xfId="30" applyFont="1" applyFill="1" applyBorder="1" applyAlignment="1">
      <alignment horizontal="center" vertical="center"/>
    </xf>
    <xf numFmtId="43" fontId="4" fillId="37" borderId="0" xfId="29" applyNumberFormat="1" applyFont="1" applyFill="1" applyBorder="1" applyAlignment="1">
      <alignment horizontal="center" vertical="center"/>
    </xf>
    <xf numFmtId="10" fontId="1" fillId="39" borderId="21" xfId="95" applyNumberFormat="1" applyFill="1" applyBorder="1"/>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10" fontId="1" fillId="39" borderId="27" xfId="95" applyNumberFormat="1" applyFill="1" applyBorder="1"/>
    <xf numFmtId="10" fontId="1" fillId="39" borderId="37" xfId="95" applyNumberFormat="1" applyFill="1" applyBorder="1"/>
    <xf numFmtId="0" fontId="0" fillId="39" borderId="0" xfId="0" applyFill="1"/>
    <xf numFmtId="0" fontId="10" fillId="39" borderId="0" xfId="0" quotePrefix="1" applyFont="1" applyFill="1" applyBorder="1" applyAlignment="1">
      <alignment horizontal="right"/>
    </xf>
    <xf numFmtId="43" fontId="0" fillId="39" borderId="0" xfId="0" applyNumberFormat="1" applyFill="1"/>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43" fontId="10" fillId="37" borderId="19" xfId="29" applyNumberFormat="1" applyFont="1" applyFill="1" applyBorder="1" applyAlignment="1">
      <alignment horizontal="right"/>
    </xf>
    <xf numFmtId="43" fontId="10" fillId="37" borderId="25" xfId="29" applyNumberFormat="1" applyFont="1" applyFill="1" applyBorder="1" applyAlignment="1">
      <alignment horizontal="right"/>
    </xf>
    <xf numFmtId="0" fontId="8" fillId="33" borderId="0" xfId="0" applyFont="1" applyFill="1" applyBorder="1" applyAlignment="1"/>
    <xf numFmtId="0" fontId="8" fillId="33" borderId="0" xfId="0" applyFont="1" applyFill="1" applyBorder="1"/>
    <xf numFmtId="43" fontId="59" fillId="37" borderId="0" xfId="29" applyNumberFormat="1" applyFont="1" applyFill="1" applyBorder="1" applyAlignment="1">
      <alignment vertical="center" textRotation="90"/>
    </xf>
    <xf numFmtId="43" fontId="4" fillId="37" borderId="0" xfId="29" applyNumberFormat="1" applyFont="1" applyFill="1"/>
    <xf numFmtId="43" fontId="10" fillId="37" borderId="12" xfId="29" applyNumberFormat="1" applyFont="1" applyFill="1" applyBorder="1" applyAlignment="1">
      <alignment horizontal="right"/>
    </xf>
    <xf numFmtId="43" fontId="10" fillId="37" borderId="0" xfId="29" applyNumberFormat="1" applyFont="1" applyFill="1"/>
    <xf numFmtId="43" fontId="10" fillId="37" borderId="22" xfId="29" applyNumberFormat="1" applyFont="1" applyFill="1" applyBorder="1"/>
    <xf numFmtId="43" fontId="10" fillId="37" borderId="23" xfId="29" applyNumberFormat="1" applyFont="1" applyFill="1" applyBorder="1" applyAlignment="1">
      <alignment horizontal="right"/>
    </xf>
    <xf numFmtId="43" fontId="10" fillId="37" borderId="0" xfId="29" applyNumberFormat="1" applyFont="1" applyFill="1" applyAlignment="1">
      <alignment horizontal="right"/>
    </xf>
    <xf numFmtId="167" fontId="10" fillId="37" borderId="0" xfId="29" applyNumberFormat="1" applyFont="1" applyFill="1"/>
    <xf numFmtId="43" fontId="4" fillId="37" borderId="0" xfId="29" applyFont="1" applyFill="1" applyBorder="1"/>
    <xf numFmtId="169" fontId="0" fillId="33" borderId="0" xfId="0" applyNumberFormat="1" applyFill="1"/>
    <xf numFmtId="0" fontId="4" fillId="39" borderId="31" xfId="0" applyFont="1" applyFill="1" applyBorder="1" applyAlignment="1">
      <alignment horizontal="left"/>
    </xf>
    <xf numFmtId="0" fontId="0" fillId="39" borderId="0" xfId="0" applyFill="1" applyBorder="1" applyAlignment="1">
      <alignment horizontal="left"/>
    </xf>
    <xf numFmtId="0" fontId="0" fillId="34" borderId="31" xfId="0" applyFill="1" applyBorder="1" applyAlignment="1">
      <alignment horizontal="left"/>
    </xf>
    <xf numFmtId="0" fontId="0" fillId="34" borderId="0" xfId="0" applyFill="1" applyBorder="1" applyAlignment="1">
      <alignment horizontal="left"/>
    </xf>
    <xf numFmtId="0" fontId="0" fillId="39" borderId="31" xfId="0" applyFill="1" applyBorder="1" applyAlignment="1">
      <alignment horizontal="left"/>
    </xf>
    <xf numFmtId="0" fontId="2" fillId="33" borderId="0" xfId="0" applyFont="1" applyFill="1" applyBorder="1" applyAlignment="1">
      <alignment horizontal="left" wrapText="1"/>
    </xf>
    <xf numFmtId="0" fontId="4" fillId="34" borderId="27"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9" xfId="0" applyFont="1" applyFill="1" applyBorder="1" applyAlignment="1">
      <alignment horizontal="center" wrapText="1"/>
    </xf>
    <xf numFmtId="0" fontId="4" fillId="39" borderId="27" xfId="0" applyFont="1" applyFill="1" applyBorder="1" applyAlignment="1">
      <alignment horizontal="left"/>
    </xf>
    <xf numFmtId="0" fontId="0" fillId="39" borderId="14" xfId="0" applyFill="1" applyBorder="1" applyAlignment="1">
      <alignment horizontal="left"/>
    </xf>
    <xf numFmtId="0" fontId="23" fillId="33" borderId="32"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3" xfId="0" applyFont="1" applyFill="1" applyBorder="1" applyAlignment="1">
      <alignment horizontal="center"/>
    </xf>
    <xf numFmtId="0" fontId="23" fillId="33" borderId="34" xfId="0" applyFont="1" applyFill="1" applyBorder="1" applyAlignment="1">
      <alignment horizontal="center"/>
    </xf>
    <xf numFmtId="0" fontId="23" fillId="33" borderId="35"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3" xfId="0" applyFont="1" applyFill="1" applyBorder="1" applyAlignment="1">
      <alignment horizontal="center"/>
    </xf>
    <xf numFmtId="0" fontId="30" fillId="33" borderId="34" xfId="0" applyFont="1" applyFill="1" applyBorder="1" applyAlignment="1">
      <alignment horizontal="center"/>
    </xf>
    <xf numFmtId="0" fontId="13" fillId="33" borderId="32" xfId="0" applyFont="1" applyFill="1" applyBorder="1" applyAlignment="1">
      <alignment horizontal="center" vertical="center" textRotation="255"/>
    </xf>
    <xf numFmtId="0" fontId="13" fillId="33" borderId="7" xfId="0" applyFont="1" applyFill="1" applyBorder="1" applyAlignment="1">
      <alignment horizontal="center" vertical="center" textRotation="255"/>
    </xf>
  </cellXfs>
  <cellStyles count="10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219075</xdr:colOff>
      <xdr:row>56</xdr:row>
      <xdr:rowOff>152400</xdr:rowOff>
    </xdr:to>
    <xdr:pic>
      <xdr:nvPicPr>
        <xdr:cNvPr id="14540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5705475" cy="8086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747" name="Group 1"/>
        <xdr:cNvGrpSpPr>
          <a:grpSpLocks/>
        </xdr:cNvGrpSpPr>
      </xdr:nvGrpSpPr>
      <xdr:grpSpPr bwMode="auto">
        <a:xfrm>
          <a:off x="28575" y="2936421"/>
          <a:ext cx="1990725" cy="349704"/>
          <a:chOff x="2" y="144"/>
          <a:chExt cx="209" cy="37"/>
        </a:xfrm>
      </xdr:grpSpPr>
      <xdr:grpSp>
        <xdr:nvGrpSpPr>
          <xdr:cNvPr id="143755" name="Group 2"/>
          <xdr:cNvGrpSpPr>
            <a:grpSpLocks/>
          </xdr:cNvGrpSpPr>
        </xdr:nvGrpSpPr>
        <xdr:grpSpPr bwMode="auto">
          <a:xfrm>
            <a:off x="2" y="152"/>
            <a:ext cx="203" cy="29"/>
            <a:chOff x="2" y="159"/>
            <a:chExt cx="200" cy="27"/>
          </a:xfrm>
        </xdr:grpSpPr>
        <xdr:sp macro="" textlink="">
          <xdr:nvSpPr>
            <xdr:cNvPr id="143758"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756"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757"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748"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749"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751"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
  <sheetViews>
    <sheetView tabSelected="1" topLeftCell="A19" workbookViewId="0">
      <selection activeCell="B8" sqref="B8"/>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4"/>
      <c r="E1" s="129"/>
      <c r="F1" s="245" t="s">
        <v>92</v>
      </c>
      <c r="R1" s="9"/>
      <c r="S1" s="9"/>
      <c r="T1" s="9"/>
      <c r="U1" s="9"/>
      <c r="V1" s="9"/>
      <c r="W1" s="9"/>
    </row>
    <row r="2" spans="1:23" ht="44.25" customHeight="1">
      <c r="A2" s="9"/>
      <c r="B2" s="9"/>
      <c r="D2" s="44"/>
      <c r="F2" s="245"/>
      <c r="K2" s="245" t="s">
        <v>94</v>
      </c>
      <c r="R2" s="9"/>
      <c r="S2" s="9"/>
      <c r="T2" s="9"/>
      <c r="U2" s="9"/>
      <c r="V2" s="9"/>
      <c r="W2" s="9"/>
    </row>
    <row r="3" spans="1:23" ht="54.95" customHeight="1">
      <c r="A3" s="9"/>
      <c r="B3" s="9"/>
      <c r="D3" s="44"/>
      <c r="G3" s="245"/>
      <c r="K3" s="183" t="s">
        <v>87</v>
      </c>
      <c r="R3" s="9"/>
      <c r="S3" s="9"/>
      <c r="T3" s="9"/>
      <c r="U3" s="9"/>
      <c r="V3" s="9"/>
      <c r="W3" s="9"/>
    </row>
    <row r="4" spans="1:23" ht="36" customHeight="1">
      <c r="A4" s="9"/>
      <c r="B4" s="9"/>
      <c r="D4" s="44"/>
      <c r="G4" s="245"/>
      <c r="J4" s="185"/>
      <c r="K4" s="246" t="s">
        <v>113</v>
      </c>
      <c r="R4" s="9"/>
      <c r="S4" s="9"/>
      <c r="T4" s="9"/>
      <c r="U4" s="9"/>
      <c r="V4" s="9"/>
      <c r="W4" s="9"/>
    </row>
    <row r="5" spans="1:23" ht="36" customHeight="1">
      <c r="A5" s="9"/>
      <c r="B5" s="9"/>
      <c r="D5" s="44"/>
      <c r="L5" s="185"/>
      <c r="M5" s="185"/>
      <c r="N5" s="185"/>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
      <c r="A7" s="120"/>
      <c r="B7" s="131" t="s">
        <v>32</v>
      </c>
      <c r="C7" s="120"/>
      <c r="D7" s="120"/>
      <c r="E7" s="120"/>
      <c r="F7" s="120"/>
      <c r="G7" s="120"/>
      <c r="H7" s="169"/>
      <c r="I7" s="120"/>
      <c r="J7" s="184"/>
      <c r="K7" s="169"/>
      <c r="L7" s="120"/>
      <c r="M7" s="120"/>
      <c r="N7" s="169"/>
      <c r="O7" s="169"/>
      <c r="P7" s="120"/>
      <c r="Q7" s="120"/>
      <c r="R7" s="120"/>
      <c r="S7" s="120"/>
      <c r="T7" s="120"/>
      <c r="U7" s="120"/>
      <c r="V7" s="120"/>
      <c r="W7" s="120"/>
    </row>
    <row r="8" spans="1:23" ht="15.75">
      <c r="A8" s="120"/>
      <c r="B8" s="120"/>
      <c r="C8" s="120"/>
      <c r="D8" s="120"/>
      <c r="E8" s="120"/>
      <c r="F8" s="120"/>
      <c r="G8" s="120"/>
      <c r="H8" s="169"/>
      <c r="I8" s="120"/>
      <c r="J8" s="170"/>
      <c r="K8" s="169"/>
      <c r="L8" s="120"/>
      <c r="M8" s="120"/>
      <c r="N8" s="120"/>
      <c r="O8" s="120"/>
      <c r="P8" s="120"/>
      <c r="Q8" s="120"/>
      <c r="R8" s="120"/>
      <c r="S8" s="120"/>
      <c r="T8" s="120"/>
      <c r="U8" s="120"/>
      <c r="V8" s="120"/>
      <c r="W8" s="120"/>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7" t="s">
        <v>95</v>
      </c>
      <c r="D13" s="41"/>
      <c r="E13" s="41"/>
      <c r="F13" s="41"/>
      <c r="G13" s="41"/>
      <c r="H13" s="41"/>
      <c r="I13" s="41"/>
      <c r="J13" s="41"/>
      <c r="K13" s="41"/>
      <c r="L13" s="41"/>
      <c r="M13" s="9"/>
      <c r="N13" s="9"/>
      <c r="O13" s="9"/>
      <c r="P13" s="9"/>
      <c r="Q13" s="9"/>
      <c r="R13" s="9"/>
      <c r="S13" s="9"/>
      <c r="T13" s="9"/>
      <c r="U13" s="9"/>
      <c r="V13" s="9"/>
      <c r="W13" s="9"/>
    </row>
    <row r="14" spans="1:23" ht="15">
      <c r="A14" s="9"/>
      <c r="B14" s="9"/>
      <c r="C14" s="167" t="s">
        <v>93</v>
      </c>
      <c r="D14" s="41"/>
      <c r="E14" s="41"/>
      <c r="F14" s="41"/>
      <c r="G14" s="41"/>
      <c r="H14" s="41"/>
      <c r="I14" s="41"/>
      <c r="J14" s="41"/>
      <c r="K14" s="41"/>
      <c r="L14" s="41"/>
      <c r="M14" s="9"/>
      <c r="N14" s="9"/>
      <c r="O14" s="9"/>
      <c r="P14" s="9"/>
      <c r="Q14" s="9"/>
      <c r="R14" s="9"/>
      <c r="S14" s="9"/>
      <c r="T14" s="9"/>
      <c r="U14" s="9"/>
      <c r="V14" s="9"/>
      <c r="W14" s="9"/>
    </row>
    <row r="15" spans="1:23" ht="15">
      <c r="A15" s="9"/>
      <c r="B15" s="9"/>
      <c r="C15" s="167"/>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7" t="s">
        <v>106</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8" t="s">
        <v>107</v>
      </c>
      <c r="E21" s="249" t="s">
        <v>108</v>
      </c>
      <c r="F21" s="249"/>
      <c r="G21" s="249" t="s">
        <v>109</v>
      </c>
      <c r="H21" s="249"/>
      <c r="I21" s="41"/>
      <c r="J21" s="41"/>
      <c r="K21" s="41"/>
      <c r="L21" s="41"/>
      <c r="M21" s="9"/>
      <c r="N21" s="9"/>
      <c r="O21" s="9"/>
      <c r="P21" s="9"/>
      <c r="Q21" s="9"/>
      <c r="R21" s="9"/>
      <c r="S21" s="9"/>
      <c r="T21" s="9"/>
      <c r="U21" s="9"/>
      <c r="V21" s="9"/>
      <c r="W21" s="9"/>
    </row>
    <row r="22" spans="1:23" ht="15">
      <c r="A22" s="9"/>
      <c r="B22" s="9"/>
      <c r="C22" s="41"/>
      <c r="D22" s="250" t="s">
        <v>110</v>
      </c>
      <c r="E22" s="251">
        <v>39625</v>
      </c>
      <c r="F22" s="167"/>
      <c r="G22" s="167"/>
      <c r="H22" s="167"/>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43"/>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5"/>
      <c r="E40" s="233"/>
      <c r="F40" s="185"/>
      <c r="G40" s="185"/>
      <c r="H40" s="9"/>
      <c r="I40" s="9"/>
      <c r="J40" s="9"/>
      <c r="K40" s="9"/>
      <c r="L40" s="9"/>
      <c r="M40" s="9"/>
      <c r="N40" s="9"/>
      <c r="O40" s="9"/>
      <c r="P40" s="9"/>
      <c r="Q40" s="9"/>
      <c r="R40" s="9"/>
      <c r="S40" s="9"/>
      <c r="T40" s="9"/>
      <c r="U40" s="9"/>
      <c r="V40" s="9"/>
      <c r="W40" s="9"/>
    </row>
    <row r="41" spans="1:23" ht="15">
      <c r="A41" s="9"/>
      <c r="B41" s="9"/>
      <c r="C41" s="9"/>
      <c r="D41" s="244"/>
      <c r="E41" s="185"/>
      <c r="F41" s="185"/>
      <c r="G41" s="185"/>
      <c r="H41" s="9"/>
      <c r="I41" s="9"/>
      <c r="J41" s="9"/>
      <c r="K41" s="9"/>
      <c r="L41" s="9"/>
      <c r="M41" s="9"/>
      <c r="N41" s="9"/>
      <c r="O41" s="9"/>
      <c r="P41" s="9"/>
      <c r="Q41" s="9"/>
      <c r="R41" s="9"/>
      <c r="S41" s="9"/>
      <c r="T41" s="9"/>
      <c r="U41" s="9"/>
      <c r="V41" s="9"/>
      <c r="W41" s="9"/>
    </row>
    <row r="42" spans="1:23" ht="15">
      <c r="A42" s="9"/>
      <c r="B42" s="9"/>
      <c r="C42" s="9"/>
      <c r="D42" s="185"/>
      <c r="E42" s="6"/>
      <c r="F42" s="6"/>
      <c r="G42" s="185"/>
      <c r="H42" s="9"/>
      <c r="I42" s="9"/>
      <c r="J42" s="9"/>
      <c r="K42" s="9"/>
      <c r="L42" s="9"/>
      <c r="M42" s="9"/>
      <c r="N42" s="9"/>
      <c r="O42" s="9"/>
      <c r="P42" s="9"/>
      <c r="Q42" s="9"/>
      <c r="R42" s="9"/>
      <c r="S42" s="9"/>
      <c r="T42" s="9"/>
      <c r="U42" s="9"/>
      <c r="V42" s="9"/>
      <c r="W42" s="9"/>
    </row>
    <row r="43" spans="1:23" ht="15">
      <c r="A43" s="9"/>
      <c r="B43" s="9"/>
      <c r="C43" s="9"/>
      <c r="D43" s="185"/>
      <c r="E43" s="6"/>
      <c r="F43" s="6"/>
      <c r="G43" s="185"/>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8"/>
  <dimension ref="A1:AV187"/>
  <sheetViews>
    <sheetView topLeftCell="A106" zoomScale="90" zoomScaleNormal="90" workbookViewId="0">
      <selection activeCell="H181" sqref="H181"/>
    </sheetView>
  </sheetViews>
  <sheetFormatPr defaultRowHeight="12.75" outlineLevelRow="1"/>
  <cols>
    <col min="1" max="4" width="1" customWidth="1"/>
    <col min="5" max="5" width="0.85546875" style="3" customWidth="1"/>
    <col min="6" max="6" width="39"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1.85546875" style="318"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9.7109375" bestFit="1" customWidth="1"/>
  </cols>
  <sheetData>
    <row r="1" spans="1:48">
      <c r="A1" s="11"/>
      <c r="B1" s="11"/>
      <c r="C1" s="11"/>
      <c r="D1" s="11"/>
      <c r="E1" s="11"/>
      <c r="F1" s="49"/>
      <c r="G1" s="49"/>
      <c r="H1" s="49"/>
      <c r="I1" s="49"/>
      <c r="J1" s="49"/>
      <c r="K1" s="49"/>
      <c r="L1" s="49"/>
      <c r="M1" s="49"/>
      <c r="N1" s="49"/>
      <c r="O1" s="49"/>
      <c r="P1" s="49"/>
      <c r="Q1" s="49"/>
      <c r="R1" s="49"/>
      <c r="S1" s="49"/>
      <c r="T1" s="49"/>
      <c r="U1" s="49"/>
      <c r="V1" s="49"/>
      <c r="W1" s="49"/>
      <c r="Y1" s="49"/>
      <c r="Z1" s="9"/>
      <c r="AA1" s="9"/>
      <c r="AB1" s="18"/>
      <c r="AC1" s="9"/>
      <c r="AD1" s="9"/>
      <c r="AE1" s="9"/>
      <c r="AF1" s="185"/>
      <c r="AG1" s="185"/>
      <c r="AH1" s="185"/>
      <c r="AI1" s="185"/>
      <c r="AJ1" s="185"/>
      <c r="AK1" s="185"/>
      <c r="AL1" s="185"/>
      <c r="AM1" s="185"/>
      <c r="AN1" s="185"/>
      <c r="AO1" s="185"/>
      <c r="AP1" s="185"/>
      <c r="AQ1" s="185"/>
      <c r="AR1" s="185"/>
      <c r="AS1" s="185"/>
      <c r="AT1" s="185"/>
      <c r="AU1" s="185"/>
      <c r="AV1" s="185"/>
    </row>
    <row r="2" spans="1:48" ht="16.5" customHeight="1">
      <c r="A2" s="11"/>
      <c r="B2" s="11"/>
      <c r="C2" s="11"/>
      <c r="D2" s="11"/>
      <c r="E2" s="11"/>
      <c r="F2" s="51" t="s">
        <v>21</v>
      </c>
      <c r="G2" s="370" t="s">
        <v>76</v>
      </c>
      <c r="H2" s="371"/>
      <c r="I2" s="49"/>
      <c r="J2" s="49"/>
      <c r="K2" s="49"/>
      <c r="L2" s="49"/>
      <c r="M2" s="49"/>
      <c r="N2" s="49"/>
      <c r="O2" s="49"/>
      <c r="P2" s="49"/>
      <c r="Q2" s="49"/>
      <c r="R2" s="49"/>
      <c r="S2" s="49"/>
      <c r="T2" s="49"/>
      <c r="U2" s="49"/>
      <c r="V2" s="49"/>
      <c r="W2" s="49"/>
      <c r="Y2" s="18"/>
      <c r="Z2" s="18"/>
      <c r="AA2" s="18"/>
      <c r="AB2" s="18"/>
      <c r="AC2" s="9"/>
      <c r="AD2" s="9"/>
      <c r="AE2" s="9"/>
      <c r="AF2" s="185"/>
      <c r="AG2" s="185"/>
      <c r="AH2" s="185"/>
      <c r="AI2" s="185"/>
      <c r="AJ2" s="185"/>
      <c r="AK2" s="185"/>
      <c r="AL2" s="185"/>
      <c r="AM2" s="185"/>
      <c r="AN2" s="185"/>
      <c r="AO2" s="185"/>
      <c r="AP2" s="185"/>
      <c r="AQ2" s="185"/>
      <c r="AR2" s="185"/>
      <c r="AS2" s="185"/>
      <c r="AT2" s="185"/>
      <c r="AU2" s="185"/>
      <c r="AV2" s="185"/>
    </row>
    <row r="3" spans="1:48" s="47" customFormat="1">
      <c r="A3" s="53"/>
      <c r="B3" s="53"/>
      <c r="C3" s="53"/>
      <c r="D3" s="53"/>
      <c r="E3" s="53"/>
      <c r="F3" s="54"/>
      <c r="G3" s="54"/>
      <c r="H3" s="53"/>
      <c r="I3" s="53"/>
      <c r="J3" s="53"/>
      <c r="K3" s="53"/>
      <c r="L3" s="53"/>
      <c r="M3" s="53"/>
      <c r="N3" s="53"/>
      <c r="O3" s="53"/>
      <c r="P3" s="53"/>
      <c r="Q3" s="53"/>
      <c r="R3" s="53"/>
      <c r="S3" s="53"/>
      <c r="T3" s="53"/>
      <c r="U3" s="53"/>
      <c r="V3" s="53"/>
      <c r="W3" s="53"/>
      <c r="X3" s="318"/>
      <c r="Y3" s="52"/>
      <c r="Z3" s="52"/>
      <c r="AA3" s="52"/>
      <c r="AB3" s="52"/>
      <c r="AC3" s="44"/>
      <c r="AD3" s="44"/>
      <c r="AE3" s="44"/>
      <c r="AF3" s="210"/>
      <c r="AG3" s="210"/>
      <c r="AH3" s="210"/>
      <c r="AI3" s="210"/>
      <c r="AJ3" s="210"/>
      <c r="AK3" s="210"/>
      <c r="AL3" s="210"/>
      <c r="AM3" s="210"/>
      <c r="AN3" s="210"/>
      <c r="AO3" s="210"/>
      <c r="AP3" s="210"/>
      <c r="AQ3" s="210"/>
      <c r="AR3" s="210"/>
      <c r="AS3" s="210"/>
      <c r="AT3" s="210"/>
      <c r="AU3" s="210"/>
      <c r="AV3" s="210"/>
    </row>
    <row r="4" spans="1:48" s="6" customFormat="1" ht="15.75">
      <c r="A4" s="68"/>
      <c r="B4" s="68"/>
      <c r="C4" s="68"/>
      <c r="D4" s="68"/>
      <c r="E4" s="68"/>
      <c r="F4" s="69"/>
      <c r="G4" s="69"/>
      <c r="H4" s="70"/>
      <c r="I4" s="71"/>
      <c r="J4" s="69"/>
      <c r="K4" s="68"/>
      <c r="L4" s="68"/>
      <c r="M4" s="68"/>
      <c r="N4" s="68"/>
      <c r="O4" s="68"/>
      <c r="P4" s="68"/>
      <c r="Q4" s="68"/>
      <c r="R4" s="68"/>
      <c r="S4" s="68"/>
      <c r="T4" s="68"/>
      <c r="U4" s="68"/>
      <c r="V4" s="68"/>
      <c r="W4" s="68"/>
      <c r="X4" s="318"/>
      <c r="Y4" s="352"/>
      <c r="Z4" s="352"/>
      <c r="AA4" s="352"/>
      <c r="AB4" s="352"/>
      <c r="AC4" s="353"/>
      <c r="AD4" s="353"/>
      <c r="AE4" s="41"/>
      <c r="AF4" s="233"/>
      <c r="AG4" s="233"/>
      <c r="AH4" s="233"/>
      <c r="AI4" s="233"/>
      <c r="AJ4" s="233"/>
      <c r="AK4" s="233"/>
      <c r="AL4" s="233"/>
      <c r="AM4" s="233"/>
      <c r="AN4" s="233"/>
      <c r="AO4" s="233"/>
      <c r="AP4" s="233"/>
      <c r="AQ4" s="233"/>
      <c r="AR4" s="233"/>
      <c r="AS4" s="233"/>
      <c r="AT4" s="233"/>
      <c r="AU4" s="233"/>
      <c r="AV4" s="233"/>
    </row>
    <row r="5" spans="1:48" ht="12.75" customHeight="1">
      <c r="A5" s="72"/>
      <c r="B5" s="72"/>
      <c r="C5" s="72"/>
      <c r="D5" s="72"/>
      <c r="E5" s="72"/>
      <c r="F5" s="159" t="str">
        <f>"Opening Regulated Asset Base for "&amp;CONCATENATE(LEFT(V7, 4)-1 &amp;"-" &amp;IF(V7&gt;"2009-10",,"0") &amp;RIGHT(V7,2)-1) &amp;" ($m Nominal)"</f>
        <v>Opening Regulated Asset Base for 2008-09 ($m Nominal)</v>
      </c>
      <c r="G5" s="159"/>
      <c r="H5" s="159"/>
      <c r="I5" s="159"/>
      <c r="J5" s="73"/>
      <c r="K5" s="74"/>
      <c r="L5" s="73"/>
      <c r="M5" s="74"/>
      <c r="N5" s="73"/>
      <c r="O5" s="73"/>
      <c r="P5" s="73"/>
      <c r="Q5" s="73"/>
      <c r="R5" s="73"/>
      <c r="S5" s="73"/>
      <c r="T5" s="73"/>
      <c r="U5" s="73"/>
      <c r="V5" s="74"/>
      <c r="W5" s="74"/>
      <c r="Y5" s="8"/>
      <c r="Z5" s="8"/>
      <c r="AA5" s="8"/>
      <c r="AB5" s="8"/>
      <c r="AC5" s="369"/>
      <c r="AD5" s="11"/>
      <c r="AE5" s="9"/>
      <c r="AF5" s="185"/>
      <c r="AG5" s="185"/>
      <c r="AH5" s="185"/>
      <c r="AI5" s="185"/>
      <c r="AJ5" s="185"/>
      <c r="AK5" s="185"/>
      <c r="AL5" s="185"/>
      <c r="AM5" s="185"/>
      <c r="AN5" s="185"/>
      <c r="AO5" s="185"/>
      <c r="AP5" s="185"/>
      <c r="AQ5" s="185"/>
      <c r="AR5" s="185"/>
      <c r="AS5" s="185"/>
      <c r="AT5" s="185"/>
      <c r="AU5" s="185"/>
      <c r="AV5" s="185"/>
    </row>
    <row r="6" spans="1:48" ht="45" customHeight="1">
      <c r="A6" s="11"/>
      <c r="B6" s="11"/>
      <c r="C6" s="11"/>
      <c r="D6" s="11"/>
      <c r="E6" s="11"/>
      <c r="F6" s="38"/>
      <c r="G6" s="372" t="s">
        <v>86</v>
      </c>
      <c r="H6" s="372"/>
      <c r="I6" s="372"/>
      <c r="J6" s="311" t="s">
        <v>2</v>
      </c>
      <c r="K6" s="10" t="s">
        <v>3</v>
      </c>
      <c r="L6" s="10" t="s">
        <v>4</v>
      </c>
      <c r="M6" s="10" t="s">
        <v>79</v>
      </c>
      <c r="N6" s="10" t="s">
        <v>73</v>
      </c>
      <c r="O6" s="10" t="s">
        <v>50</v>
      </c>
      <c r="P6" s="10" t="s">
        <v>64</v>
      </c>
      <c r="Q6" s="10" t="s">
        <v>51</v>
      </c>
      <c r="R6" s="10" t="s">
        <v>52</v>
      </c>
      <c r="S6" s="10" t="s">
        <v>66</v>
      </c>
      <c r="T6" s="10" t="s">
        <v>160</v>
      </c>
      <c r="U6" s="10" t="s">
        <v>161</v>
      </c>
      <c r="V6" s="10" t="s">
        <v>23</v>
      </c>
      <c r="W6" s="10" t="s">
        <v>135</v>
      </c>
      <c r="Y6" s="280"/>
      <c r="Z6" s="280"/>
      <c r="AA6" s="280"/>
      <c r="AB6" s="11"/>
      <c r="AC6" s="369"/>
      <c r="AD6" s="280"/>
      <c r="AI6" s="185"/>
      <c r="AJ6" s="185"/>
      <c r="AK6" s="185"/>
      <c r="AL6" s="185"/>
      <c r="AM6" s="185"/>
      <c r="AN6" s="185"/>
      <c r="AO6" s="185"/>
      <c r="AP6" s="185"/>
      <c r="AQ6" s="185"/>
      <c r="AR6" s="185"/>
      <c r="AS6" s="185"/>
      <c r="AT6" s="185"/>
      <c r="AU6" s="185"/>
      <c r="AV6" s="185"/>
    </row>
    <row r="7" spans="1:48">
      <c r="A7" s="307" t="s">
        <v>138</v>
      </c>
      <c r="B7" s="11"/>
      <c r="C7" s="11"/>
      <c r="D7" s="11"/>
      <c r="E7" s="11"/>
      <c r="F7" s="39" t="s">
        <v>0</v>
      </c>
      <c r="G7" s="373" t="s">
        <v>143</v>
      </c>
      <c r="H7" s="374"/>
      <c r="I7" s="374"/>
      <c r="J7" s="324">
        <v>274.67802212915171</v>
      </c>
      <c r="K7" s="325" t="s">
        <v>111</v>
      </c>
      <c r="L7" s="325" t="s">
        <v>111</v>
      </c>
      <c r="M7" s="325">
        <v>52.005735832400816</v>
      </c>
      <c r="N7" s="325">
        <v>-5.4672861733410851</v>
      </c>
      <c r="O7" s="60"/>
      <c r="P7" s="60"/>
      <c r="Q7" s="60"/>
      <c r="R7" s="60"/>
      <c r="S7" s="325">
        <v>231.50052526227867</v>
      </c>
      <c r="T7" s="325" t="s">
        <v>111</v>
      </c>
      <c r="U7" s="325" t="s">
        <v>111</v>
      </c>
      <c r="V7" s="328" t="s">
        <v>114</v>
      </c>
      <c r="W7" s="8">
        <v>5</v>
      </c>
      <c r="Y7" s="281"/>
      <c r="Z7" s="281"/>
      <c r="AA7" s="283"/>
      <c r="AB7" s="283"/>
      <c r="AC7" s="141"/>
      <c r="AD7" s="141"/>
      <c r="AI7" s="185"/>
      <c r="AJ7" s="185"/>
      <c r="AK7" s="185"/>
      <c r="AL7" s="185"/>
      <c r="AM7" s="185"/>
      <c r="AN7" s="185"/>
      <c r="AO7" s="185"/>
      <c r="AP7" s="185"/>
      <c r="AQ7" s="185"/>
      <c r="AR7" s="185"/>
      <c r="AS7" s="185"/>
      <c r="AT7" s="185"/>
      <c r="AU7" s="185"/>
      <c r="AV7" s="185"/>
    </row>
    <row r="8" spans="1:48">
      <c r="A8" s="307" t="s">
        <v>139</v>
      </c>
      <c r="B8" s="11"/>
      <c r="C8" s="11"/>
      <c r="D8" s="11"/>
      <c r="E8" s="11"/>
      <c r="F8" s="39" t="s">
        <v>1</v>
      </c>
      <c r="G8" s="368" t="s">
        <v>144</v>
      </c>
      <c r="H8" s="365"/>
      <c r="I8" s="365"/>
      <c r="J8" s="324">
        <v>25.232324415022465</v>
      </c>
      <c r="K8" s="326">
        <v>40.442183712349753</v>
      </c>
      <c r="L8" s="326">
        <v>60</v>
      </c>
      <c r="M8" s="324">
        <v>14.828944755423525</v>
      </c>
      <c r="N8" s="326">
        <v>0.30509501915637138</v>
      </c>
      <c r="O8" s="61"/>
      <c r="P8" s="61"/>
      <c r="Q8" s="61"/>
      <c r="R8" s="61"/>
      <c r="S8" s="324">
        <v>16.466837269762816</v>
      </c>
      <c r="T8" s="327" t="s">
        <v>111</v>
      </c>
      <c r="U8" s="326">
        <v>40</v>
      </c>
      <c r="V8" s="8"/>
      <c r="W8" s="8"/>
      <c r="Y8" s="281"/>
      <c r="Z8" s="281"/>
      <c r="AA8" s="283"/>
      <c r="AB8" s="283"/>
      <c r="AC8" s="141"/>
      <c r="AD8" s="141"/>
      <c r="AI8" s="185"/>
      <c r="AJ8" s="185"/>
      <c r="AK8" s="185"/>
      <c r="AL8" s="185"/>
      <c r="AM8" s="185"/>
      <c r="AN8" s="185"/>
      <c r="AO8" s="185"/>
      <c r="AP8" s="185"/>
      <c r="AQ8" s="185"/>
      <c r="AR8" s="185"/>
      <c r="AS8" s="185"/>
      <c r="AT8" s="185"/>
      <c r="AU8" s="185"/>
      <c r="AV8" s="185"/>
    </row>
    <row r="9" spans="1:48">
      <c r="A9" s="307" t="s">
        <v>140</v>
      </c>
      <c r="B9" s="11"/>
      <c r="C9" s="11"/>
      <c r="D9" s="11"/>
      <c r="E9" s="11"/>
      <c r="F9" s="39" t="s">
        <v>6</v>
      </c>
      <c r="G9" s="364" t="s">
        <v>145</v>
      </c>
      <c r="H9" s="365"/>
      <c r="I9" s="365"/>
      <c r="J9" s="324">
        <v>57.644270750185285</v>
      </c>
      <c r="K9" s="326">
        <v>45.923031714866831</v>
      </c>
      <c r="L9" s="326">
        <v>60</v>
      </c>
      <c r="M9" s="324">
        <v>0</v>
      </c>
      <c r="N9" s="326">
        <v>-0.1613304727981788</v>
      </c>
      <c r="O9" s="61"/>
      <c r="P9" s="61"/>
      <c r="Q9" s="61"/>
      <c r="R9" s="61"/>
      <c r="S9" s="324">
        <v>15.922275566260293</v>
      </c>
      <c r="T9" s="327" t="s">
        <v>111</v>
      </c>
      <c r="U9" s="326">
        <v>40</v>
      </c>
      <c r="V9" s="8"/>
      <c r="W9" s="8"/>
      <c r="Y9" s="281"/>
      <c r="Z9" s="281"/>
      <c r="AA9" s="283"/>
      <c r="AB9" s="283"/>
      <c r="AC9" s="141"/>
      <c r="AD9" s="141"/>
      <c r="AE9" s="9"/>
      <c r="AI9" s="185"/>
      <c r="AJ9" s="185"/>
      <c r="AK9" s="185"/>
      <c r="AL9" s="185"/>
      <c r="AM9" s="185"/>
      <c r="AN9" s="185"/>
      <c r="AO9" s="185"/>
      <c r="AP9" s="185"/>
      <c r="AQ9" s="185"/>
      <c r="AR9" s="185"/>
      <c r="AS9" s="185"/>
      <c r="AT9" s="185"/>
      <c r="AU9" s="185"/>
      <c r="AV9" s="185"/>
    </row>
    <row r="10" spans="1:48">
      <c r="A10" s="307" t="s">
        <v>118</v>
      </c>
      <c r="B10" s="11"/>
      <c r="C10" s="11"/>
      <c r="D10" s="11"/>
      <c r="E10" s="11"/>
      <c r="F10" s="39" t="s">
        <v>7</v>
      </c>
      <c r="G10" s="364" t="s">
        <v>146</v>
      </c>
      <c r="H10" s="365"/>
      <c r="I10" s="365"/>
      <c r="J10" s="324">
        <v>20.605069136113649</v>
      </c>
      <c r="K10" s="326">
        <v>34.213211685846105</v>
      </c>
      <c r="L10" s="326">
        <v>50</v>
      </c>
      <c r="M10" s="324">
        <v>2.6107297104618885</v>
      </c>
      <c r="N10" s="326">
        <v>0.478556443670617</v>
      </c>
      <c r="O10" s="61"/>
      <c r="P10" s="61"/>
      <c r="Q10" s="61"/>
      <c r="R10" s="61"/>
      <c r="S10" s="324">
        <v>13.817848234040349</v>
      </c>
      <c r="T10" s="327" t="s">
        <v>111</v>
      </c>
      <c r="U10" s="326">
        <v>40</v>
      </c>
      <c r="V10" s="8"/>
      <c r="W10" s="8"/>
      <c r="Y10" s="281"/>
      <c r="Z10" s="281"/>
      <c r="AA10" s="283"/>
      <c r="AB10" s="283"/>
      <c r="AC10" s="141"/>
      <c r="AD10" s="141"/>
      <c r="AE10" s="9"/>
      <c r="AI10" s="185"/>
      <c r="AJ10" s="185"/>
      <c r="AK10" s="185"/>
      <c r="AL10" s="185"/>
      <c r="AM10" s="185"/>
      <c r="AN10" s="185"/>
      <c r="AO10" s="185"/>
      <c r="AP10" s="185"/>
      <c r="AQ10" s="185"/>
      <c r="AR10" s="185"/>
      <c r="AS10" s="185"/>
      <c r="AT10" s="185"/>
      <c r="AU10" s="185"/>
      <c r="AV10" s="185"/>
    </row>
    <row r="11" spans="1:48">
      <c r="A11" s="307" t="s">
        <v>119</v>
      </c>
      <c r="B11" s="11"/>
      <c r="C11" s="11"/>
      <c r="D11" s="11"/>
      <c r="E11" s="11"/>
      <c r="F11" s="39" t="s">
        <v>8</v>
      </c>
      <c r="G11" s="364" t="s">
        <v>147</v>
      </c>
      <c r="H11" s="365"/>
      <c r="I11" s="365"/>
      <c r="J11" s="324">
        <v>20.429674712181942</v>
      </c>
      <c r="K11" s="326">
        <v>32.92295995121367</v>
      </c>
      <c r="L11" s="326">
        <v>50</v>
      </c>
      <c r="M11" s="324">
        <v>0.41771675367390215</v>
      </c>
      <c r="N11" s="326">
        <v>0.13603890748107211</v>
      </c>
      <c r="O11" s="61"/>
      <c r="P11" s="61"/>
      <c r="Q11" s="61"/>
      <c r="R11" s="61"/>
      <c r="S11" s="324">
        <v>4.7181017762620723</v>
      </c>
      <c r="T11" s="327" t="s">
        <v>111</v>
      </c>
      <c r="U11" s="326">
        <v>45</v>
      </c>
      <c r="V11" s="8"/>
      <c r="W11" s="8"/>
      <c r="Y11" s="281"/>
      <c r="Z11" s="281"/>
      <c r="AA11" s="283"/>
      <c r="AB11" s="283"/>
      <c r="AC11" s="141"/>
      <c r="AD11" s="141"/>
      <c r="AE11" s="9"/>
      <c r="AI11" s="185"/>
      <c r="AJ11" s="185"/>
      <c r="AK11" s="185"/>
      <c r="AL11" s="185"/>
      <c r="AM11" s="185"/>
      <c r="AN11" s="185"/>
      <c r="AO11" s="185"/>
      <c r="AP11" s="185"/>
      <c r="AQ11" s="185"/>
      <c r="AR11" s="185"/>
      <c r="AS11" s="185"/>
      <c r="AT11" s="185"/>
      <c r="AU11" s="185"/>
      <c r="AV11" s="185"/>
    </row>
    <row r="12" spans="1:48">
      <c r="A12" s="307" t="s">
        <v>120</v>
      </c>
      <c r="B12" s="11"/>
      <c r="C12" s="11"/>
      <c r="D12" s="11"/>
      <c r="E12" s="11"/>
      <c r="F12" s="39" t="s">
        <v>9</v>
      </c>
      <c r="G12" s="364" t="s">
        <v>148</v>
      </c>
      <c r="H12" s="365"/>
      <c r="I12" s="365"/>
      <c r="J12" s="324">
        <v>87.787549352319516</v>
      </c>
      <c r="K12" s="326">
        <v>28.522611127507453</v>
      </c>
      <c r="L12" s="326">
        <v>45</v>
      </c>
      <c r="M12" s="324">
        <v>13.784652871238768</v>
      </c>
      <c r="N12" s="326">
        <v>2.3823654530317628</v>
      </c>
      <c r="O12" s="61"/>
      <c r="P12" s="61"/>
      <c r="Q12" s="61"/>
      <c r="R12" s="61"/>
      <c r="S12" s="324">
        <v>79.908301058638386</v>
      </c>
      <c r="T12" s="327" t="s">
        <v>111</v>
      </c>
      <c r="U12" s="326">
        <v>40</v>
      </c>
      <c r="V12" s="8"/>
      <c r="W12" s="8"/>
      <c r="Y12" s="281"/>
      <c r="Z12" s="281"/>
      <c r="AA12" s="283"/>
      <c r="AB12" s="283"/>
      <c r="AC12" s="141"/>
      <c r="AD12" s="141"/>
      <c r="AE12" s="9"/>
      <c r="AI12" s="185"/>
      <c r="AJ12" s="185"/>
      <c r="AK12" s="185"/>
      <c r="AL12" s="185"/>
      <c r="AM12" s="185"/>
      <c r="AN12" s="185"/>
      <c r="AO12" s="185"/>
      <c r="AP12" s="185"/>
      <c r="AQ12" s="185"/>
      <c r="AR12" s="185"/>
      <c r="AS12" s="185"/>
      <c r="AT12" s="185"/>
      <c r="AU12" s="185"/>
      <c r="AV12" s="185"/>
    </row>
    <row r="13" spans="1:48">
      <c r="A13" s="307" t="s">
        <v>121</v>
      </c>
      <c r="B13" s="11"/>
      <c r="C13" s="11"/>
      <c r="D13" s="11"/>
      <c r="E13" s="11"/>
      <c r="F13" s="39" t="s">
        <v>10</v>
      </c>
      <c r="G13" s="364" t="s">
        <v>149</v>
      </c>
      <c r="H13" s="365"/>
      <c r="I13" s="365"/>
      <c r="J13" s="324">
        <v>113.14708349005643</v>
      </c>
      <c r="K13" s="326">
        <v>31.449640308445662</v>
      </c>
      <c r="L13" s="326">
        <v>45</v>
      </c>
      <c r="M13" s="324">
        <v>7.4144723777117623</v>
      </c>
      <c r="N13" s="326">
        <v>1.0028035229233665</v>
      </c>
      <c r="O13" s="61"/>
      <c r="P13" s="61"/>
      <c r="Q13" s="61"/>
      <c r="R13" s="61"/>
      <c r="S13" s="324">
        <v>50.802125914217264</v>
      </c>
      <c r="T13" s="327" t="s">
        <v>111</v>
      </c>
      <c r="U13" s="326">
        <v>40</v>
      </c>
      <c r="V13" s="8"/>
      <c r="W13" s="316"/>
      <c r="Y13" s="281"/>
      <c r="Z13" s="281"/>
      <c r="AA13" s="283"/>
      <c r="AB13" s="283"/>
      <c r="AC13" s="141"/>
      <c r="AD13" s="141"/>
      <c r="AE13" s="9"/>
      <c r="AI13" s="185"/>
      <c r="AJ13" s="185"/>
      <c r="AK13" s="185"/>
      <c r="AL13" s="185"/>
      <c r="AM13" s="185"/>
      <c r="AN13" s="185"/>
      <c r="AO13" s="185"/>
      <c r="AP13" s="185"/>
      <c r="AQ13" s="185"/>
      <c r="AR13" s="185"/>
      <c r="AS13" s="185"/>
      <c r="AT13" s="185"/>
      <c r="AU13" s="185"/>
      <c r="AV13" s="185"/>
    </row>
    <row r="14" spans="1:48" ht="12.75" customHeight="1">
      <c r="A14" s="307" t="s">
        <v>122</v>
      </c>
      <c r="B14" s="11"/>
      <c r="C14" s="11"/>
      <c r="D14" s="11"/>
      <c r="E14" s="11"/>
      <c r="F14" s="39" t="s">
        <v>11</v>
      </c>
      <c r="G14" s="364" t="s">
        <v>150</v>
      </c>
      <c r="H14" s="365"/>
      <c r="I14" s="365"/>
      <c r="J14" s="324">
        <v>2.1165569581876809</v>
      </c>
      <c r="K14" s="326">
        <v>40</v>
      </c>
      <c r="L14" s="326">
        <v>45</v>
      </c>
      <c r="M14" s="324">
        <v>0</v>
      </c>
      <c r="N14" s="326">
        <v>3.9937125400649198E-4</v>
      </c>
      <c r="O14" s="61"/>
      <c r="P14" s="61"/>
      <c r="Q14" s="61"/>
      <c r="R14" s="61"/>
      <c r="S14" s="324">
        <v>1.0440326764070269</v>
      </c>
      <c r="T14" s="327" t="s">
        <v>111</v>
      </c>
      <c r="U14" s="326">
        <v>47.6</v>
      </c>
      <c r="V14" s="8"/>
      <c r="W14" s="8"/>
      <c r="Y14" s="281"/>
      <c r="Z14" s="281"/>
      <c r="AA14" s="283"/>
      <c r="AB14" s="283"/>
      <c r="AC14" s="141"/>
      <c r="AD14" s="141"/>
      <c r="AE14" s="9"/>
      <c r="AI14" s="185"/>
      <c r="AJ14" s="185"/>
      <c r="AK14" s="185"/>
      <c r="AL14" s="185"/>
      <c r="AM14" s="185"/>
      <c r="AN14" s="185"/>
      <c r="AO14" s="185"/>
      <c r="AP14" s="185"/>
      <c r="AQ14" s="185"/>
      <c r="AR14" s="185"/>
      <c r="AS14" s="185"/>
      <c r="AT14" s="185"/>
      <c r="AU14" s="185"/>
      <c r="AV14" s="185"/>
    </row>
    <row r="15" spans="1:48" ht="12.75" customHeight="1">
      <c r="A15" s="307" t="s">
        <v>117</v>
      </c>
      <c r="B15" s="11"/>
      <c r="C15" s="11"/>
      <c r="D15" s="11"/>
      <c r="E15" s="11"/>
      <c r="F15" s="39" t="s">
        <v>12</v>
      </c>
      <c r="G15" s="364" t="s">
        <v>151</v>
      </c>
      <c r="H15" s="365"/>
      <c r="I15" s="365"/>
      <c r="J15" s="324">
        <v>0</v>
      </c>
      <c r="K15" s="326" t="s">
        <v>111</v>
      </c>
      <c r="L15" s="326">
        <v>15</v>
      </c>
      <c r="M15" s="324">
        <v>0</v>
      </c>
      <c r="N15" s="326">
        <v>0</v>
      </c>
      <c r="O15" s="61"/>
      <c r="P15" s="61"/>
      <c r="Q15" s="61"/>
      <c r="R15" s="61"/>
      <c r="S15" s="324">
        <v>0</v>
      </c>
      <c r="T15" s="327" t="s">
        <v>111</v>
      </c>
      <c r="U15" s="326">
        <v>15</v>
      </c>
      <c r="V15" s="8"/>
      <c r="W15" s="8"/>
      <c r="Y15" s="281"/>
      <c r="Z15" s="281"/>
      <c r="AA15" s="283"/>
      <c r="AB15" s="283"/>
      <c r="AC15" s="141"/>
      <c r="AD15" s="141"/>
      <c r="AE15" s="9"/>
      <c r="AI15" s="185"/>
      <c r="AJ15" s="185"/>
      <c r="AK15" s="185"/>
      <c r="AL15" s="185"/>
      <c r="AM15" s="185"/>
      <c r="AN15" s="185"/>
      <c r="AO15" s="185"/>
      <c r="AP15" s="185"/>
      <c r="AQ15" s="185"/>
      <c r="AR15" s="185"/>
      <c r="AS15" s="185"/>
      <c r="AT15" s="185"/>
      <c r="AU15" s="185"/>
      <c r="AV15" s="185"/>
    </row>
    <row r="16" spans="1:48" ht="12.75" customHeight="1">
      <c r="A16" s="307" t="s">
        <v>141</v>
      </c>
      <c r="B16" s="11"/>
      <c r="C16" s="11"/>
      <c r="D16" s="11"/>
      <c r="E16" s="11"/>
      <c r="F16" s="39" t="s">
        <v>13</v>
      </c>
      <c r="G16" s="364" t="s">
        <v>152</v>
      </c>
      <c r="H16" s="365"/>
      <c r="I16" s="365"/>
      <c r="J16" s="324">
        <v>16.165889623498565</v>
      </c>
      <c r="K16" s="326">
        <v>24.066980821113567</v>
      </c>
      <c r="L16" s="326">
        <v>60</v>
      </c>
      <c r="M16" s="324">
        <v>0</v>
      </c>
      <c r="N16" s="326">
        <v>0.38198469324474921</v>
      </c>
      <c r="O16" s="61"/>
      <c r="P16" s="61"/>
      <c r="Q16" s="61"/>
      <c r="R16" s="61"/>
      <c r="S16" s="324">
        <v>10.576957570649979</v>
      </c>
      <c r="T16" s="327" t="s">
        <v>111</v>
      </c>
      <c r="U16" s="326">
        <v>47.6</v>
      </c>
      <c r="V16" s="8"/>
      <c r="W16" s="8"/>
      <c r="Y16" s="281"/>
      <c r="Z16" s="281"/>
      <c r="AA16" s="283"/>
      <c r="AB16" s="283"/>
      <c r="AC16" s="141"/>
      <c r="AD16" s="141"/>
      <c r="AE16" s="9"/>
      <c r="AI16" s="185"/>
      <c r="AJ16" s="185"/>
      <c r="AK16" s="185"/>
      <c r="AL16" s="185"/>
      <c r="AM16" s="185"/>
      <c r="AN16" s="185"/>
      <c r="AO16" s="185"/>
      <c r="AP16" s="185"/>
      <c r="AQ16" s="185"/>
      <c r="AR16" s="185"/>
      <c r="AS16" s="185"/>
      <c r="AT16" s="185"/>
      <c r="AU16" s="185"/>
      <c r="AV16" s="185"/>
    </row>
    <row r="17" spans="1:48" ht="12.75" customHeight="1">
      <c r="A17" s="307" t="s">
        <v>115</v>
      </c>
      <c r="B17" s="11"/>
      <c r="C17" s="11"/>
      <c r="D17" s="11"/>
      <c r="E17" s="11"/>
      <c r="F17" s="39" t="s">
        <v>14</v>
      </c>
      <c r="G17" s="364" t="s">
        <v>153</v>
      </c>
      <c r="H17" s="365"/>
      <c r="I17" s="365"/>
      <c r="J17" s="324">
        <v>10.46856795269731</v>
      </c>
      <c r="K17" s="326">
        <v>43.563538623395829</v>
      </c>
      <c r="L17" s="326">
        <v>55</v>
      </c>
      <c r="M17" s="324">
        <v>0.52214594209237764</v>
      </c>
      <c r="N17" s="326">
        <v>-7.7769921878411419E-3</v>
      </c>
      <c r="O17" s="61"/>
      <c r="P17" s="61"/>
      <c r="Q17" s="61"/>
      <c r="R17" s="61"/>
      <c r="S17" s="324">
        <v>3.6320613521957328</v>
      </c>
      <c r="T17" s="327" t="s">
        <v>111</v>
      </c>
      <c r="U17" s="326">
        <v>47.6</v>
      </c>
      <c r="V17" s="8"/>
      <c r="W17" s="8"/>
      <c r="Y17" s="281"/>
      <c r="Z17" s="281"/>
      <c r="AA17" s="283"/>
      <c r="AB17" s="283"/>
      <c r="AC17" s="141"/>
      <c r="AD17" s="141"/>
      <c r="AE17" s="9"/>
      <c r="AI17" s="185"/>
      <c r="AJ17" s="185"/>
      <c r="AK17" s="185"/>
      <c r="AL17" s="185"/>
      <c r="AM17" s="185"/>
      <c r="AN17" s="185"/>
      <c r="AO17" s="185"/>
      <c r="AP17" s="185"/>
      <c r="AQ17" s="185"/>
      <c r="AR17" s="185"/>
      <c r="AS17" s="185"/>
      <c r="AT17" s="185"/>
      <c r="AU17" s="185"/>
      <c r="AV17" s="185"/>
    </row>
    <row r="18" spans="1:48" ht="12.75" customHeight="1">
      <c r="A18" s="307" t="s">
        <v>116</v>
      </c>
      <c r="B18" s="11"/>
      <c r="C18" s="11"/>
      <c r="D18" s="11"/>
      <c r="E18" s="11"/>
      <c r="F18" s="39" t="s">
        <v>15</v>
      </c>
      <c r="G18" s="364" t="s">
        <v>154</v>
      </c>
      <c r="H18" s="365"/>
      <c r="I18" s="365"/>
      <c r="J18" s="324">
        <v>24.007811967899354</v>
      </c>
      <c r="K18" s="326">
        <v>28.890276076699578</v>
      </c>
      <c r="L18" s="326">
        <v>45</v>
      </c>
      <c r="M18" s="324">
        <v>0.41771675367390215</v>
      </c>
      <c r="N18" s="326">
        <v>0.80312515595831624</v>
      </c>
      <c r="O18" s="61"/>
      <c r="P18" s="61"/>
      <c r="Q18" s="61"/>
      <c r="R18" s="61"/>
      <c r="S18" s="324">
        <v>15.864281954056768</v>
      </c>
      <c r="T18" s="327" t="s">
        <v>111</v>
      </c>
      <c r="U18" s="326">
        <v>47.6</v>
      </c>
      <c r="V18" s="8"/>
      <c r="W18" s="8"/>
      <c r="Y18" s="281"/>
      <c r="Z18" s="281"/>
      <c r="AA18" s="283"/>
      <c r="AB18" s="283"/>
      <c r="AC18" s="141"/>
      <c r="AD18" s="141"/>
      <c r="AE18" s="9"/>
      <c r="AI18" s="185"/>
      <c r="AJ18" s="185"/>
      <c r="AK18" s="185"/>
      <c r="AL18" s="185"/>
      <c r="AM18" s="185"/>
      <c r="AN18" s="185"/>
      <c r="AO18" s="185"/>
      <c r="AP18" s="185"/>
      <c r="AQ18" s="185"/>
      <c r="AR18" s="185"/>
      <c r="AS18" s="185"/>
      <c r="AT18" s="185"/>
      <c r="AU18" s="185"/>
      <c r="AV18" s="185"/>
    </row>
    <row r="19" spans="1:48" ht="12.75" customHeight="1">
      <c r="A19" s="307" t="s">
        <v>123</v>
      </c>
      <c r="B19" s="11"/>
      <c r="C19" s="11"/>
      <c r="D19" s="11"/>
      <c r="E19" s="11"/>
      <c r="F19" s="39" t="s">
        <v>16</v>
      </c>
      <c r="G19" s="364" t="s">
        <v>155</v>
      </c>
      <c r="H19" s="365"/>
      <c r="I19" s="365"/>
      <c r="J19" s="324">
        <v>134.85935197535869</v>
      </c>
      <c r="K19" s="326">
        <v>24.364220178857856</v>
      </c>
      <c r="L19" s="326">
        <v>45</v>
      </c>
      <c r="M19" s="324">
        <v>51.379160701889965</v>
      </c>
      <c r="N19" s="326">
        <v>7.7749547670939325</v>
      </c>
      <c r="O19" s="61"/>
      <c r="P19" s="61"/>
      <c r="Q19" s="61"/>
      <c r="R19" s="61"/>
      <c r="S19" s="324">
        <v>125.1969418945696</v>
      </c>
      <c r="T19" s="327" t="s">
        <v>111</v>
      </c>
      <c r="U19" s="326">
        <v>47</v>
      </c>
      <c r="V19" s="8"/>
      <c r="W19" s="8"/>
      <c r="Y19" s="281"/>
      <c r="Z19" s="281"/>
      <c r="AA19" s="283"/>
      <c r="AB19" s="283"/>
      <c r="AC19" s="141"/>
      <c r="AD19" s="141"/>
      <c r="AE19" s="9"/>
      <c r="AI19" s="185"/>
      <c r="AJ19" s="185"/>
      <c r="AK19" s="185"/>
      <c r="AL19" s="185"/>
      <c r="AM19" s="185"/>
      <c r="AN19" s="185"/>
      <c r="AO19" s="185"/>
      <c r="AP19" s="185"/>
      <c r="AQ19" s="185"/>
      <c r="AR19" s="185"/>
      <c r="AS19" s="185"/>
      <c r="AT19" s="185"/>
      <c r="AU19" s="185"/>
      <c r="AV19" s="185"/>
    </row>
    <row r="20" spans="1:48" ht="12.75" customHeight="1">
      <c r="A20" s="307" t="s">
        <v>142</v>
      </c>
      <c r="B20" s="11"/>
      <c r="C20" s="11"/>
      <c r="D20" s="11"/>
      <c r="E20" s="11"/>
      <c r="F20" s="39" t="s">
        <v>17</v>
      </c>
      <c r="G20" s="364" t="s">
        <v>156</v>
      </c>
      <c r="H20" s="365"/>
      <c r="I20" s="365"/>
      <c r="J20" s="324">
        <v>10.711449207362918</v>
      </c>
      <c r="K20" s="326">
        <v>64.589322381930188</v>
      </c>
      <c r="L20" s="326">
        <v>70</v>
      </c>
      <c r="M20" s="324">
        <v>0</v>
      </c>
      <c r="N20" s="326">
        <v>-9.7707393625144773E-2</v>
      </c>
      <c r="O20" s="61"/>
      <c r="P20" s="61"/>
      <c r="Q20" s="61"/>
      <c r="R20" s="61"/>
      <c r="S20" s="324">
        <v>0</v>
      </c>
      <c r="T20" s="327" t="s">
        <v>111</v>
      </c>
      <c r="U20" s="326">
        <v>47.6</v>
      </c>
      <c r="V20" s="8"/>
      <c r="W20" s="8"/>
      <c r="Y20" s="281"/>
      <c r="Z20" s="281"/>
      <c r="AA20" s="283"/>
      <c r="AB20" s="283"/>
      <c r="AC20" s="141"/>
      <c r="AD20" s="141"/>
      <c r="AE20" s="9"/>
      <c r="AI20" s="185"/>
      <c r="AJ20" s="185"/>
      <c r="AK20" s="185"/>
      <c r="AL20" s="185"/>
      <c r="AM20" s="185"/>
      <c r="AN20" s="185"/>
      <c r="AO20" s="185"/>
      <c r="AP20" s="185"/>
      <c r="AQ20" s="185"/>
      <c r="AR20" s="185"/>
      <c r="AS20" s="185"/>
      <c r="AT20" s="185"/>
      <c r="AU20" s="185"/>
      <c r="AV20" s="185"/>
    </row>
    <row r="21" spans="1:48" ht="12.75" customHeight="1">
      <c r="A21" s="307" t="s">
        <v>124</v>
      </c>
      <c r="B21" s="11"/>
      <c r="C21" s="11"/>
      <c r="D21" s="11"/>
      <c r="E21" s="11"/>
      <c r="F21" s="39" t="s">
        <v>18</v>
      </c>
      <c r="G21" s="364" t="s">
        <v>157</v>
      </c>
      <c r="H21" s="365"/>
      <c r="I21" s="365"/>
      <c r="J21" s="324">
        <v>22.827986828751065</v>
      </c>
      <c r="K21" s="326">
        <v>21.177417520883335</v>
      </c>
      <c r="L21" s="326">
        <v>37.197489184627251</v>
      </c>
      <c r="M21" s="324">
        <v>0.20885837683695108</v>
      </c>
      <c r="N21" s="326">
        <v>1.0058418220254572</v>
      </c>
      <c r="O21" s="61"/>
      <c r="P21" s="61"/>
      <c r="Q21" s="61"/>
      <c r="R21" s="61"/>
      <c r="S21" s="324">
        <v>9.0350446583686619</v>
      </c>
      <c r="T21" s="327" t="s">
        <v>111</v>
      </c>
      <c r="U21" s="326">
        <v>37.197489184627251</v>
      </c>
      <c r="V21" s="8"/>
      <c r="W21" s="8"/>
      <c r="Y21" s="281"/>
      <c r="Z21" s="281"/>
      <c r="AA21" s="283"/>
      <c r="AB21" s="283"/>
      <c r="AC21" s="141"/>
      <c r="AD21" s="141"/>
      <c r="AE21" s="9"/>
      <c r="AI21" s="185"/>
      <c r="AJ21" s="185"/>
      <c r="AK21" s="185"/>
      <c r="AL21" s="185"/>
      <c r="AM21" s="185"/>
      <c r="AN21" s="185"/>
      <c r="AO21" s="185"/>
      <c r="AP21" s="185"/>
      <c r="AQ21" s="185"/>
      <c r="AR21" s="185"/>
      <c r="AS21" s="185"/>
      <c r="AT21" s="185"/>
      <c r="AU21" s="185"/>
      <c r="AV21" s="185"/>
    </row>
    <row r="22" spans="1:48" ht="12.75" customHeight="1">
      <c r="A22" s="307" t="s">
        <v>125</v>
      </c>
      <c r="B22" s="11"/>
      <c r="C22" s="11"/>
      <c r="D22" s="11"/>
      <c r="E22" s="11"/>
      <c r="F22" s="39" t="s">
        <v>19</v>
      </c>
      <c r="G22" s="364" t="s">
        <v>158</v>
      </c>
      <c r="H22" s="365"/>
      <c r="I22" s="365"/>
      <c r="J22" s="324">
        <v>0</v>
      </c>
      <c r="K22" s="326" t="s">
        <v>111</v>
      </c>
      <c r="L22" s="326">
        <v>10</v>
      </c>
      <c r="M22" s="324">
        <v>0</v>
      </c>
      <c r="N22" s="326">
        <v>0</v>
      </c>
      <c r="O22" s="61"/>
      <c r="P22" s="61"/>
      <c r="Q22" s="61"/>
      <c r="R22" s="61"/>
      <c r="S22" s="324">
        <v>0</v>
      </c>
      <c r="T22" s="327" t="s">
        <v>111</v>
      </c>
      <c r="U22" s="326">
        <v>10</v>
      </c>
      <c r="V22" s="8"/>
      <c r="W22" s="8"/>
      <c r="Y22" s="281"/>
      <c r="Z22" s="281"/>
      <c r="AA22" s="283"/>
      <c r="AB22" s="283"/>
      <c r="AC22" s="141"/>
      <c r="AD22" s="141"/>
      <c r="AE22" s="9"/>
      <c r="AI22" s="185"/>
      <c r="AJ22" s="185"/>
      <c r="AK22" s="185"/>
      <c r="AL22" s="185"/>
      <c r="AM22" s="185"/>
      <c r="AN22" s="185"/>
      <c r="AO22" s="185"/>
      <c r="AP22" s="185"/>
      <c r="AQ22" s="185"/>
      <c r="AR22" s="185"/>
      <c r="AS22" s="185"/>
      <c r="AT22" s="185"/>
      <c r="AU22" s="185"/>
      <c r="AV22" s="185"/>
    </row>
    <row r="23" spans="1:48" ht="12.75" customHeight="1">
      <c r="A23" s="307" t="s">
        <v>126</v>
      </c>
      <c r="B23" s="11"/>
      <c r="C23" s="11"/>
      <c r="D23" s="11"/>
      <c r="E23" s="11"/>
      <c r="F23" s="39" t="s">
        <v>20</v>
      </c>
      <c r="G23" s="364" t="s">
        <v>159</v>
      </c>
      <c r="H23" s="365"/>
      <c r="I23" s="365"/>
      <c r="J23" s="324">
        <v>0</v>
      </c>
      <c r="K23" s="326" t="s">
        <v>111</v>
      </c>
      <c r="L23" s="326">
        <v>7</v>
      </c>
      <c r="M23" s="324">
        <v>0</v>
      </c>
      <c r="N23" s="326">
        <v>0</v>
      </c>
      <c r="O23" s="61"/>
      <c r="P23" s="61"/>
      <c r="Q23" s="61"/>
      <c r="R23" s="61"/>
      <c r="S23" s="324">
        <v>0</v>
      </c>
      <c r="T23" s="327" t="s">
        <v>111</v>
      </c>
      <c r="U23" s="326">
        <v>7</v>
      </c>
      <c r="V23" s="8"/>
      <c r="W23" s="8"/>
      <c r="Y23" s="281"/>
      <c r="Z23" s="281"/>
      <c r="AA23" s="283"/>
      <c r="AB23" s="283"/>
      <c r="AC23" s="141"/>
      <c r="AD23" s="141"/>
      <c r="AE23" s="9"/>
      <c r="AI23" s="185"/>
      <c r="AJ23" s="185"/>
      <c r="AK23" s="185"/>
      <c r="AL23" s="185"/>
      <c r="AM23" s="185"/>
      <c r="AN23" s="185"/>
      <c r="AO23" s="185"/>
      <c r="AP23" s="185"/>
      <c r="AQ23" s="185"/>
      <c r="AR23" s="185"/>
      <c r="AS23" s="185"/>
      <c r="AT23" s="185"/>
      <c r="AU23" s="185"/>
      <c r="AV23" s="185"/>
    </row>
    <row r="24" spans="1:48" ht="12.75" customHeight="1">
      <c r="A24" s="307" t="s">
        <v>127</v>
      </c>
      <c r="B24" s="11"/>
      <c r="C24" s="11"/>
      <c r="D24" s="11"/>
      <c r="E24" s="11"/>
      <c r="F24" s="39" t="s">
        <v>24</v>
      </c>
      <c r="G24" s="364" t="s">
        <v>127</v>
      </c>
      <c r="H24" s="365"/>
      <c r="I24" s="365"/>
      <c r="J24" s="324">
        <v>12.911219228158838</v>
      </c>
      <c r="K24" s="326">
        <v>4.1543349805632577</v>
      </c>
      <c r="L24" s="326">
        <v>5</v>
      </c>
      <c r="M24" s="324">
        <v>5.4886479583516072</v>
      </c>
      <c r="N24" s="326">
        <v>1.7153405741005863</v>
      </c>
      <c r="O24" s="61"/>
      <c r="P24" s="61"/>
      <c r="Q24" s="61"/>
      <c r="R24" s="61"/>
      <c r="S24" s="324">
        <v>21.427164666045112</v>
      </c>
      <c r="T24" s="327" t="s">
        <v>111</v>
      </c>
      <c r="U24" s="326">
        <v>4</v>
      </c>
      <c r="V24" s="8"/>
      <c r="W24" s="8"/>
      <c r="Y24" s="281"/>
      <c r="Z24" s="281"/>
      <c r="AA24" s="283"/>
      <c r="AB24" s="283"/>
      <c r="AC24" s="141"/>
      <c r="AD24" s="141"/>
      <c r="AE24" s="9"/>
      <c r="AI24" s="185"/>
      <c r="AJ24" s="185"/>
      <c r="AK24" s="185"/>
      <c r="AL24" s="185"/>
      <c r="AM24" s="185"/>
      <c r="AN24" s="185"/>
      <c r="AO24" s="185"/>
      <c r="AP24" s="185"/>
      <c r="AQ24" s="185"/>
      <c r="AR24" s="185"/>
      <c r="AS24" s="185"/>
      <c r="AT24" s="185"/>
      <c r="AU24" s="185"/>
      <c r="AV24" s="185"/>
    </row>
    <row r="25" spans="1:48" ht="12.75" customHeight="1">
      <c r="A25" s="307" t="s">
        <v>128</v>
      </c>
      <c r="B25" s="11"/>
      <c r="C25" s="11"/>
      <c r="D25" s="11"/>
      <c r="E25" s="11"/>
      <c r="F25" s="39" t="s">
        <v>25</v>
      </c>
      <c r="G25" s="364" t="s">
        <v>124</v>
      </c>
      <c r="H25" s="365"/>
      <c r="I25" s="365"/>
      <c r="J25" s="324">
        <v>3.0430407121232892</v>
      </c>
      <c r="K25" s="326">
        <v>13.901920987227765</v>
      </c>
      <c r="L25" s="326">
        <v>17.439221952066688</v>
      </c>
      <c r="M25" s="324">
        <v>1.2936175040192597</v>
      </c>
      <c r="N25" s="326">
        <v>0.40428801570968126</v>
      </c>
      <c r="O25" s="61"/>
      <c r="P25" s="61"/>
      <c r="Q25" s="61"/>
      <c r="R25" s="61"/>
      <c r="S25" s="324">
        <v>3.1254161840169101</v>
      </c>
      <c r="T25" s="327" t="s">
        <v>111</v>
      </c>
      <c r="U25" s="326">
        <v>10.6</v>
      </c>
      <c r="V25" s="8"/>
      <c r="W25" s="8"/>
      <c r="Y25" s="281"/>
      <c r="Z25" s="281"/>
      <c r="AA25" s="283"/>
      <c r="AB25" s="283"/>
      <c r="AC25" s="141"/>
      <c r="AD25" s="141"/>
      <c r="AE25" s="9"/>
      <c r="AI25" s="185"/>
      <c r="AJ25" s="185"/>
      <c r="AK25" s="185"/>
      <c r="AL25" s="185"/>
      <c r="AM25" s="185"/>
      <c r="AN25" s="185"/>
      <c r="AO25" s="185"/>
      <c r="AP25" s="185"/>
      <c r="AQ25" s="185"/>
      <c r="AR25" s="185"/>
      <c r="AS25" s="185"/>
      <c r="AT25" s="185"/>
      <c r="AU25" s="185"/>
      <c r="AV25" s="185"/>
    </row>
    <row r="26" spans="1:48" ht="12.75" customHeight="1">
      <c r="A26" s="307" t="s">
        <v>129</v>
      </c>
      <c r="B26" s="11"/>
      <c r="C26" s="11"/>
      <c r="D26" s="11"/>
      <c r="E26" s="11"/>
      <c r="F26" s="39" t="s">
        <v>26</v>
      </c>
      <c r="G26" s="364" t="s">
        <v>128</v>
      </c>
      <c r="H26" s="365"/>
      <c r="I26" s="365"/>
      <c r="J26" s="324">
        <v>9.9306139183716944</v>
      </c>
      <c r="K26" s="327">
        <v>8.3660039727683593</v>
      </c>
      <c r="L26" s="327">
        <v>10.244186762015632</v>
      </c>
      <c r="M26" s="324">
        <v>4.2215721726244322</v>
      </c>
      <c r="N26" s="324">
        <v>1.3193475131116728</v>
      </c>
      <c r="O26" s="62"/>
      <c r="P26" s="62"/>
      <c r="Q26" s="62"/>
      <c r="R26" s="62"/>
      <c r="S26" s="324">
        <v>10.732206592744841</v>
      </c>
      <c r="T26" s="327" t="s">
        <v>111</v>
      </c>
      <c r="U26" s="324">
        <v>20</v>
      </c>
      <c r="V26" s="8"/>
      <c r="W26" s="8"/>
      <c r="Y26" s="281"/>
      <c r="Z26" s="281"/>
      <c r="AA26" s="283"/>
      <c r="AB26" s="283"/>
      <c r="AC26" s="141"/>
      <c r="AD26" s="141"/>
      <c r="AE26" s="9"/>
      <c r="AI26" s="185"/>
      <c r="AJ26" s="185"/>
      <c r="AK26" s="185"/>
      <c r="AL26" s="185"/>
      <c r="AM26" s="185"/>
      <c r="AN26" s="185"/>
      <c r="AO26" s="185"/>
      <c r="AP26" s="185"/>
      <c r="AQ26" s="185"/>
      <c r="AR26" s="185"/>
      <c r="AS26" s="185"/>
      <c r="AT26" s="185"/>
      <c r="AU26" s="185"/>
      <c r="AV26" s="185"/>
    </row>
    <row r="27" spans="1:48" ht="12.75" customHeight="1">
      <c r="A27" s="11"/>
      <c r="B27" s="11"/>
      <c r="C27" s="11"/>
      <c r="D27" s="11"/>
      <c r="E27" s="11"/>
      <c r="F27" s="39" t="s">
        <v>96</v>
      </c>
      <c r="G27" s="364" t="s">
        <v>129</v>
      </c>
      <c r="H27" s="365"/>
      <c r="I27" s="365"/>
      <c r="J27" s="324">
        <v>13.556619049020277</v>
      </c>
      <c r="K27" s="327">
        <v>33.031846639808428</v>
      </c>
      <c r="L27" s="327">
        <v>35.916896031439698</v>
      </c>
      <c r="M27" s="324">
        <v>5.7630118543162778</v>
      </c>
      <c r="N27" s="324">
        <v>1.801086194221913</v>
      </c>
      <c r="O27" s="62"/>
      <c r="P27" s="62"/>
      <c r="Q27" s="62"/>
      <c r="R27" s="62"/>
      <c r="S27" s="324">
        <v>20.322813333220054</v>
      </c>
      <c r="T27" s="327" t="s">
        <v>111</v>
      </c>
      <c r="U27" s="324">
        <v>40</v>
      </c>
      <c r="V27" s="8"/>
      <c r="W27" s="8"/>
      <c r="Y27" s="8"/>
      <c r="Z27" s="8"/>
      <c r="AA27" s="11"/>
      <c r="AB27" s="11"/>
      <c r="AC27" s="11"/>
      <c r="AD27" s="11"/>
      <c r="AE27" s="9"/>
      <c r="AI27" s="185"/>
      <c r="AJ27" s="185"/>
      <c r="AK27" s="185"/>
      <c r="AL27" s="185"/>
      <c r="AM27" s="185"/>
      <c r="AN27" s="185"/>
      <c r="AO27" s="185"/>
      <c r="AP27" s="185"/>
      <c r="AQ27" s="185"/>
      <c r="AR27" s="185"/>
      <c r="AS27" s="185"/>
      <c r="AT27" s="185"/>
      <c r="AU27" s="185"/>
      <c r="AV27" s="185"/>
    </row>
    <row r="28" spans="1:48" ht="12.75" customHeight="1">
      <c r="A28" s="11"/>
      <c r="B28" s="11"/>
      <c r="C28" s="11"/>
      <c r="D28" s="11"/>
      <c r="E28" s="11"/>
      <c r="F28" s="39" t="s">
        <v>97</v>
      </c>
      <c r="G28" s="368" t="s">
        <v>125</v>
      </c>
      <c r="H28" s="365"/>
      <c r="I28" s="365"/>
      <c r="J28" s="324">
        <v>5.1286823682198373</v>
      </c>
      <c r="K28" s="327" t="s">
        <v>111</v>
      </c>
      <c r="L28" s="327" t="s">
        <v>111</v>
      </c>
      <c r="M28" s="324">
        <v>2.1802380946309641</v>
      </c>
      <c r="N28" s="324">
        <v>0.6813792564760206</v>
      </c>
      <c r="O28" s="62"/>
      <c r="P28" s="62"/>
      <c r="Q28" s="62"/>
      <c r="R28" s="62"/>
      <c r="S28" s="324">
        <v>11.153806075646319</v>
      </c>
      <c r="T28" s="327" t="s">
        <v>111</v>
      </c>
      <c r="U28" s="324" t="s">
        <v>111</v>
      </c>
      <c r="V28" s="8"/>
      <c r="W28" s="8"/>
      <c r="Y28" s="8"/>
      <c r="Z28" s="8"/>
      <c r="AA28" s="11"/>
      <c r="AB28" s="11"/>
      <c r="AC28" s="11"/>
      <c r="AD28" s="11"/>
      <c r="AE28" s="9"/>
      <c r="AI28" s="185"/>
      <c r="AJ28" s="185"/>
      <c r="AK28" s="185"/>
      <c r="AL28" s="185"/>
      <c r="AM28" s="185"/>
      <c r="AN28" s="185"/>
      <c r="AO28" s="185"/>
      <c r="AP28" s="185"/>
      <c r="AQ28" s="185"/>
      <c r="AR28" s="185"/>
      <c r="AS28" s="185"/>
      <c r="AT28" s="185"/>
      <c r="AU28" s="185"/>
      <c r="AV28" s="185"/>
    </row>
    <row r="29" spans="1:48" ht="12.75" customHeight="1">
      <c r="A29" s="11"/>
      <c r="B29" s="11"/>
      <c r="C29" s="11"/>
      <c r="D29" s="11"/>
      <c r="E29" s="11"/>
      <c r="F29" s="39" t="s">
        <v>98</v>
      </c>
      <c r="G29" s="368" t="s">
        <v>126</v>
      </c>
      <c r="H29" s="365"/>
      <c r="I29" s="365"/>
      <c r="J29" s="324">
        <v>11.717872165013027</v>
      </c>
      <c r="K29" s="327">
        <v>12.021608591831892</v>
      </c>
      <c r="L29" s="327">
        <v>29.444039815489198</v>
      </c>
      <c r="M29" s="324">
        <v>4.9813479268057739</v>
      </c>
      <c r="N29" s="324">
        <v>1.5567965512453807</v>
      </c>
      <c r="O29" s="62"/>
      <c r="P29" s="62"/>
      <c r="Q29" s="62"/>
      <c r="R29" s="62"/>
      <c r="S29" s="324">
        <v>0.24451335320656728</v>
      </c>
      <c r="T29" s="327" t="s">
        <v>111</v>
      </c>
      <c r="U29" s="324">
        <v>10.5</v>
      </c>
      <c r="V29" s="8"/>
      <c r="W29" s="8"/>
      <c r="Y29" s="8"/>
      <c r="Z29" s="8"/>
      <c r="AA29" s="11"/>
      <c r="AB29" s="11"/>
      <c r="AC29" s="11"/>
      <c r="AD29" s="11"/>
      <c r="AE29" s="9"/>
      <c r="AI29" s="185"/>
      <c r="AJ29" s="185"/>
      <c r="AK29" s="185"/>
      <c r="AL29" s="185"/>
      <c r="AM29" s="185"/>
      <c r="AN29" s="185"/>
      <c r="AO29" s="185"/>
      <c r="AP29" s="185"/>
      <c r="AQ29" s="185"/>
      <c r="AR29" s="185"/>
      <c r="AS29" s="185"/>
      <c r="AT29" s="185"/>
      <c r="AU29" s="185"/>
      <c r="AV29" s="185"/>
    </row>
    <row r="30" spans="1:48" ht="12.75" customHeight="1">
      <c r="A30" s="11"/>
      <c r="B30" s="11"/>
      <c r="C30" s="11"/>
      <c r="D30" s="11"/>
      <c r="E30" s="11"/>
      <c r="F30" s="39" t="s">
        <v>99</v>
      </c>
      <c r="G30" s="368" t="s">
        <v>137</v>
      </c>
      <c r="H30" s="365"/>
      <c r="I30" s="365"/>
      <c r="J30" s="324">
        <v>0</v>
      </c>
      <c r="K30" s="327" t="s">
        <v>111</v>
      </c>
      <c r="L30" s="327">
        <v>45.738430264949827</v>
      </c>
      <c r="M30" s="324"/>
      <c r="N30" s="324"/>
      <c r="O30" s="62"/>
      <c r="P30" s="62"/>
      <c r="Q30" s="62"/>
      <c r="R30" s="62"/>
      <c r="S30" s="324">
        <v>0</v>
      </c>
      <c r="T30" s="327" t="s">
        <v>111</v>
      </c>
      <c r="U30" s="324">
        <v>45.738430264949827</v>
      </c>
      <c r="V30" s="8"/>
      <c r="W30" s="8"/>
      <c r="Y30" s="8"/>
      <c r="Z30" s="8"/>
      <c r="AA30" s="11"/>
      <c r="AB30" s="11"/>
      <c r="AC30" s="11"/>
      <c r="AD30" s="11"/>
      <c r="AE30" s="9"/>
      <c r="AI30" s="185"/>
      <c r="AJ30" s="185"/>
      <c r="AK30" s="185"/>
      <c r="AL30" s="185"/>
      <c r="AM30" s="185"/>
      <c r="AN30" s="185"/>
      <c r="AO30" s="185"/>
      <c r="AP30" s="185"/>
      <c r="AQ30" s="185"/>
      <c r="AR30" s="185"/>
      <c r="AS30" s="185"/>
      <c r="AT30" s="185"/>
      <c r="AU30" s="185"/>
      <c r="AV30" s="185"/>
    </row>
    <row r="31" spans="1:48" ht="12.75" customHeight="1">
      <c r="A31" s="11"/>
      <c r="B31" s="11"/>
      <c r="C31" s="11"/>
      <c r="D31" s="11"/>
      <c r="E31" s="11"/>
      <c r="F31" s="39" t="s">
        <v>100</v>
      </c>
      <c r="G31" s="366"/>
      <c r="H31" s="367"/>
      <c r="I31" s="367"/>
      <c r="J31" s="62"/>
      <c r="K31" s="62"/>
      <c r="L31" s="62"/>
      <c r="M31" s="62"/>
      <c r="N31" s="62"/>
      <c r="O31" s="62"/>
      <c r="P31" s="62"/>
      <c r="Q31" s="62"/>
      <c r="R31" s="62"/>
      <c r="S31" s="62"/>
      <c r="T31" s="62"/>
      <c r="U31" s="62"/>
      <c r="V31" s="8"/>
      <c r="W31" s="8"/>
      <c r="Y31" s="8"/>
      <c r="Z31" s="8"/>
      <c r="AA31" s="11"/>
      <c r="AB31" s="11"/>
      <c r="AC31" s="11"/>
      <c r="AD31" s="11"/>
      <c r="AE31" s="9"/>
      <c r="AF31" s="185"/>
      <c r="AG31" s="185"/>
      <c r="AH31" s="185"/>
      <c r="AI31" s="185"/>
      <c r="AJ31" s="185"/>
      <c r="AK31" s="185"/>
      <c r="AL31" s="185"/>
      <c r="AM31" s="185"/>
      <c r="AN31" s="185"/>
      <c r="AO31" s="185"/>
      <c r="AP31" s="185"/>
      <c r="AQ31" s="185"/>
      <c r="AR31" s="185"/>
      <c r="AS31" s="185"/>
      <c r="AT31" s="185"/>
      <c r="AU31" s="185"/>
      <c r="AV31" s="185"/>
    </row>
    <row r="32" spans="1:48" ht="12.75" customHeight="1">
      <c r="A32" s="11"/>
      <c r="B32" s="11"/>
      <c r="C32" s="11"/>
      <c r="D32" s="11"/>
      <c r="E32" s="11"/>
      <c r="F32" s="39" t="s">
        <v>101</v>
      </c>
      <c r="G32" s="366"/>
      <c r="H32" s="367"/>
      <c r="I32" s="367"/>
      <c r="J32" s="62"/>
      <c r="K32" s="62"/>
      <c r="L32" s="62"/>
      <c r="M32" s="62"/>
      <c r="N32" s="62"/>
      <c r="O32" s="62"/>
      <c r="P32" s="62"/>
      <c r="Q32" s="62"/>
      <c r="R32" s="62"/>
      <c r="S32" s="62"/>
      <c r="T32" s="62"/>
      <c r="U32" s="62"/>
      <c r="V32" s="8"/>
      <c r="W32" s="8"/>
      <c r="Y32" s="8"/>
      <c r="Z32" s="8"/>
      <c r="AA32" s="11"/>
      <c r="AB32" s="11"/>
      <c r="AC32" s="11"/>
      <c r="AD32" s="11"/>
      <c r="AE32" s="9"/>
      <c r="AF32" s="185"/>
      <c r="AG32" s="185"/>
      <c r="AH32" s="185"/>
      <c r="AI32" s="185"/>
      <c r="AJ32" s="185"/>
      <c r="AK32" s="185"/>
      <c r="AL32" s="185"/>
      <c r="AM32" s="185"/>
      <c r="AN32" s="185"/>
      <c r="AO32" s="185"/>
      <c r="AP32" s="185"/>
      <c r="AQ32" s="185"/>
      <c r="AR32" s="185"/>
      <c r="AS32" s="185"/>
      <c r="AT32" s="185"/>
      <c r="AU32" s="185"/>
      <c r="AV32" s="185"/>
    </row>
    <row r="33" spans="1:48" ht="12.75" customHeight="1">
      <c r="A33" s="11"/>
      <c r="B33" s="11"/>
      <c r="C33" s="11"/>
      <c r="D33" s="11"/>
      <c r="E33" s="11"/>
      <c r="F33" s="39" t="s">
        <v>102</v>
      </c>
      <c r="G33" s="366"/>
      <c r="H33" s="367"/>
      <c r="I33" s="367"/>
      <c r="J33" s="62"/>
      <c r="K33" s="62"/>
      <c r="L33" s="62"/>
      <c r="M33" s="62"/>
      <c r="N33" s="62"/>
      <c r="O33" s="62"/>
      <c r="P33" s="315"/>
      <c r="Q33" s="62"/>
      <c r="R33" s="62"/>
      <c r="S33" s="62"/>
      <c r="T33" s="62"/>
      <c r="U33" s="62"/>
      <c r="V33" s="8"/>
      <c r="W33" s="8"/>
      <c r="Y33" s="8"/>
      <c r="Z33" s="8"/>
      <c r="AA33" s="11"/>
      <c r="AB33" s="11"/>
      <c r="AC33" s="11"/>
      <c r="AD33" s="11"/>
      <c r="AE33" s="9"/>
      <c r="AF33" s="185"/>
      <c r="AG33" s="185"/>
      <c r="AH33" s="185"/>
      <c r="AI33" s="185"/>
      <c r="AJ33" s="185"/>
      <c r="AK33" s="185"/>
      <c r="AL33" s="185"/>
      <c r="AM33" s="185"/>
      <c r="AN33" s="185"/>
      <c r="AO33" s="185"/>
      <c r="AP33" s="185"/>
      <c r="AQ33" s="185"/>
      <c r="AR33" s="185"/>
      <c r="AS33" s="185"/>
      <c r="AT33" s="185"/>
      <c r="AU33" s="185"/>
      <c r="AV33" s="185"/>
    </row>
    <row r="34" spans="1:48" ht="12.75" customHeight="1">
      <c r="A34" s="11"/>
      <c r="B34" s="11"/>
      <c r="C34" s="11"/>
      <c r="D34" s="11"/>
      <c r="E34" s="11"/>
      <c r="F34" s="39" t="s">
        <v>103</v>
      </c>
      <c r="G34" s="366"/>
      <c r="H34" s="367"/>
      <c r="I34" s="367"/>
      <c r="J34" s="62"/>
      <c r="K34" s="62"/>
      <c r="L34" s="62"/>
      <c r="M34" s="62"/>
      <c r="N34" s="62"/>
      <c r="O34" s="62"/>
      <c r="P34" s="62"/>
      <c r="Q34" s="62"/>
      <c r="R34" s="62"/>
      <c r="S34" s="62"/>
      <c r="T34" s="62"/>
      <c r="U34" s="62"/>
      <c r="V34" s="8"/>
      <c r="W34" s="8"/>
      <c r="Y34" s="8"/>
      <c r="Z34" s="8"/>
      <c r="AA34" s="11"/>
      <c r="AB34" s="11"/>
      <c r="AC34" s="11"/>
      <c r="AD34" s="11"/>
      <c r="AE34" s="9"/>
      <c r="AF34" s="185"/>
      <c r="AG34" s="185"/>
      <c r="AH34" s="185"/>
      <c r="AI34" s="185"/>
      <c r="AJ34" s="185"/>
      <c r="AK34" s="185"/>
      <c r="AL34" s="185"/>
      <c r="AM34" s="185"/>
      <c r="AN34" s="185"/>
      <c r="AO34" s="185"/>
      <c r="AP34" s="185"/>
      <c r="AQ34" s="185"/>
      <c r="AR34" s="185"/>
      <c r="AS34" s="185"/>
      <c r="AT34" s="185"/>
      <c r="AU34" s="185"/>
      <c r="AV34" s="185"/>
    </row>
    <row r="35" spans="1:48" ht="12.75" customHeight="1">
      <c r="A35" s="11"/>
      <c r="B35" s="11"/>
      <c r="C35" s="11"/>
      <c r="D35" s="11"/>
      <c r="E35" s="11"/>
      <c r="F35" s="39" t="s">
        <v>104</v>
      </c>
      <c r="G35" s="366"/>
      <c r="H35" s="367"/>
      <c r="I35" s="367"/>
      <c r="J35" s="62"/>
      <c r="K35" s="62"/>
      <c r="L35" s="62"/>
      <c r="M35" s="62"/>
      <c r="N35" s="62"/>
      <c r="O35" s="62"/>
      <c r="P35" s="62"/>
      <c r="Q35" s="62"/>
      <c r="R35" s="62"/>
      <c r="S35" s="62"/>
      <c r="T35" s="62"/>
      <c r="U35" s="62"/>
      <c r="V35" s="8"/>
      <c r="W35" s="8"/>
      <c r="Y35" s="8"/>
      <c r="Z35" s="8"/>
      <c r="AA35" s="11"/>
      <c r="AB35" s="11"/>
      <c r="AC35" s="11"/>
      <c r="AD35" s="11"/>
      <c r="AE35" s="9"/>
      <c r="AF35" s="185"/>
      <c r="AG35" s="185"/>
      <c r="AH35" s="185"/>
      <c r="AI35" s="185"/>
      <c r="AJ35" s="185"/>
      <c r="AK35" s="185"/>
      <c r="AL35" s="185"/>
      <c r="AM35" s="185"/>
      <c r="AN35" s="185"/>
      <c r="AO35" s="185"/>
      <c r="AP35" s="185"/>
      <c r="AQ35" s="185"/>
      <c r="AR35" s="185"/>
      <c r="AS35" s="185"/>
      <c r="AT35" s="185"/>
      <c r="AU35" s="185"/>
      <c r="AV35" s="185"/>
    </row>
    <row r="36" spans="1:48" ht="12.75" customHeight="1">
      <c r="A36" s="11"/>
      <c r="B36" s="11"/>
      <c r="C36" s="11"/>
      <c r="D36" s="11"/>
      <c r="E36" s="11"/>
      <c r="F36" s="39" t="s">
        <v>105</v>
      </c>
      <c r="G36" s="366"/>
      <c r="H36" s="367"/>
      <c r="I36" s="367"/>
      <c r="J36" s="62"/>
      <c r="K36" s="62"/>
      <c r="L36" s="62"/>
      <c r="M36" s="62"/>
      <c r="N36" s="62"/>
      <c r="O36" s="62"/>
      <c r="P36" s="62"/>
      <c r="Q36" s="62"/>
      <c r="R36" s="62"/>
      <c r="S36" s="62"/>
      <c r="T36" s="62"/>
      <c r="U36" s="62"/>
      <c r="V36" s="8"/>
      <c r="W36" s="8"/>
      <c r="Y36" s="8"/>
      <c r="Z36" s="8"/>
      <c r="AA36" s="11"/>
      <c r="AB36" s="11"/>
      <c r="AC36" s="11"/>
      <c r="AD36" s="11"/>
      <c r="AE36" s="9"/>
      <c r="AF36" s="185"/>
      <c r="AG36" s="185"/>
      <c r="AH36" s="185"/>
      <c r="AI36" s="185"/>
      <c r="AJ36" s="185"/>
      <c r="AK36" s="185"/>
      <c r="AL36" s="185"/>
      <c r="AM36" s="185"/>
      <c r="AN36" s="185"/>
      <c r="AO36" s="185"/>
      <c r="AP36" s="185"/>
      <c r="AQ36" s="185"/>
      <c r="AR36" s="185"/>
      <c r="AS36" s="185"/>
      <c r="AT36" s="185"/>
      <c r="AU36" s="185"/>
      <c r="AV36" s="185"/>
    </row>
    <row r="37" spans="1:48">
      <c r="A37" s="11"/>
      <c r="B37" s="11"/>
      <c r="C37" s="11"/>
      <c r="D37" s="11"/>
      <c r="E37" s="11"/>
      <c r="F37" s="39" t="s">
        <v>22</v>
      </c>
      <c r="G37" s="157"/>
      <c r="H37" s="157"/>
      <c r="I37" s="157"/>
      <c r="J37" s="282">
        <f>SUM(J7:J36)</f>
        <v>876.96965593969333</v>
      </c>
      <c r="K37" s="59"/>
      <c r="L37" s="37"/>
      <c r="M37" s="282">
        <f t="shared" ref="M37:R37" si="0">SUM(M7:M36)</f>
        <v>167.51856958615218</v>
      </c>
      <c r="N37" s="282">
        <f>SUM(N7:N36)</f>
        <v>16.015302228752656</v>
      </c>
      <c r="O37" s="242">
        <f t="shared" si="0"/>
        <v>0</v>
      </c>
      <c r="P37" s="242">
        <f t="shared" si="0"/>
        <v>0</v>
      </c>
      <c r="Q37" s="242">
        <f t="shared" si="0"/>
        <v>0</v>
      </c>
      <c r="R37" s="242">
        <f t="shared" si="0"/>
        <v>0</v>
      </c>
      <c r="S37" s="282">
        <f>SUM(S7:S36)</f>
        <v>645.49125539258739</v>
      </c>
      <c r="T37" s="282"/>
      <c r="U37" s="282"/>
      <c r="V37" s="59"/>
      <c r="Y37" s="282"/>
      <c r="Z37" s="282"/>
      <c r="AA37" s="282"/>
      <c r="AB37" s="8"/>
      <c r="AC37" s="8"/>
      <c r="AD37" s="8"/>
      <c r="AE37" s="8"/>
      <c r="AF37" s="185"/>
      <c r="AG37" s="185"/>
      <c r="AH37" s="185"/>
      <c r="AI37" s="185"/>
      <c r="AJ37" s="185"/>
      <c r="AK37" s="185"/>
      <c r="AL37" s="185"/>
      <c r="AM37" s="185"/>
      <c r="AN37" s="185"/>
      <c r="AO37" s="185"/>
      <c r="AP37" s="185"/>
      <c r="AQ37" s="185"/>
      <c r="AR37" s="185"/>
      <c r="AS37" s="185"/>
      <c r="AT37" s="185"/>
      <c r="AU37" s="185"/>
      <c r="AV37" s="185"/>
    </row>
    <row r="38" spans="1:48" ht="21" customHeight="1">
      <c r="A38" s="11"/>
      <c r="B38" s="11"/>
      <c r="C38" s="11"/>
      <c r="D38" s="11"/>
      <c r="E38" s="11"/>
      <c r="F38" s="89"/>
      <c r="G38" s="160"/>
      <c r="H38" s="49"/>
      <c r="I38" s="49"/>
      <c r="J38" s="49"/>
      <c r="K38" s="49"/>
      <c r="L38" s="49"/>
      <c r="M38" s="279"/>
      <c r="N38" s="279"/>
      <c r="O38" s="175"/>
      <c r="P38" s="175"/>
      <c r="Q38" s="175"/>
      <c r="R38" s="175"/>
      <c r="S38" s="175"/>
      <c r="T38" s="175"/>
      <c r="U38" s="175"/>
      <c r="V38" s="49"/>
      <c r="W38" s="49"/>
      <c r="Y38" s="49"/>
      <c r="Z38" s="8"/>
      <c r="AA38" s="8"/>
      <c r="AB38" s="8"/>
      <c r="AC38" s="42"/>
      <c r="AD38" s="9"/>
      <c r="AE38" s="9"/>
      <c r="AF38" s="185"/>
      <c r="AG38" s="185"/>
      <c r="AH38" s="185"/>
      <c r="AI38" s="185"/>
      <c r="AJ38" s="185"/>
      <c r="AK38" s="185"/>
      <c r="AL38" s="185"/>
      <c r="AM38" s="185"/>
      <c r="AN38" s="185"/>
      <c r="AO38" s="185"/>
      <c r="AP38" s="185"/>
      <c r="AQ38" s="185"/>
      <c r="AR38" s="185"/>
      <c r="AS38" s="185"/>
      <c r="AT38" s="185"/>
      <c r="AU38" s="185"/>
      <c r="AV38" s="185"/>
    </row>
    <row r="39" spans="1:48" ht="13.5" customHeight="1">
      <c r="A39" s="72"/>
      <c r="B39" s="72"/>
      <c r="C39" s="72"/>
      <c r="D39" s="72"/>
      <c r="E39" s="72"/>
      <c r="F39" s="159" t="s">
        <v>82</v>
      </c>
      <c r="G39" s="159"/>
      <c r="H39" s="159"/>
      <c r="I39" s="159"/>
      <c r="J39" s="286">
        <v>2</v>
      </c>
      <c r="K39" s="286">
        <v>3</v>
      </c>
      <c r="L39" s="286">
        <v>4</v>
      </c>
      <c r="M39" s="73"/>
      <c r="N39" s="73"/>
      <c r="O39" s="73"/>
      <c r="P39" s="73"/>
      <c r="Q39" s="73"/>
      <c r="R39" s="73"/>
      <c r="S39" s="73"/>
      <c r="T39" s="73"/>
      <c r="U39" s="73"/>
      <c r="V39" s="73"/>
      <c r="W39" s="73"/>
      <c r="Y39" s="8"/>
      <c r="Z39" s="8"/>
      <c r="AA39" s="8"/>
      <c r="AB39" s="8"/>
      <c r="AC39" s="42"/>
      <c r="AD39" s="9"/>
      <c r="AE39" s="9"/>
      <c r="AF39" s="185"/>
      <c r="AG39" s="185"/>
      <c r="AH39" s="185"/>
      <c r="AI39" s="185"/>
      <c r="AJ39" s="185"/>
      <c r="AK39" s="185"/>
      <c r="AL39" s="185"/>
      <c r="AM39" s="185"/>
      <c r="AN39" s="185"/>
      <c r="AO39" s="185"/>
      <c r="AP39" s="185"/>
      <c r="AQ39" s="185"/>
      <c r="AR39" s="185"/>
      <c r="AS39" s="185"/>
      <c r="AT39" s="185"/>
      <c r="AU39" s="185"/>
      <c r="AV39" s="185"/>
    </row>
    <row r="40" spans="1:48">
      <c r="A40" s="11"/>
      <c r="B40" s="11"/>
      <c r="C40" s="11"/>
      <c r="D40" s="11"/>
      <c r="E40" s="11"/>
      <c r="F40" s="38" t="s">
        <v>5</v>
      </c>
      <c r="G40" s="329" t="str">
        <f>CONCATENATE(LEFT(H40, 4)-1 &amp;"-" &amp;IF(H40&gt;"2009-10",,"0") &amp;RIGHT(H40,2)-1)</f>
        <v>2008-09</v>
      </c>
      <c r="H40" s="329" t="str">
        <f>V7</f>
        <v>2009-10</v>
      </c>
      <c r="I40" s="329" t="str">
        <f>CONCATENATE(LEFT(H40, 4)+1 &amp;"-" &amp;IF(H40&gt;"2007-08",,"0") &amp;RIGHT(H40,2)+1)</f>
        <v>2010-11</v>
      </c>
      <c r="J40" s="329" t="str">
        <f t="shared" ref="J40:P40" si="1">CONCATENATE(LEFT(I40, 4)+1 &amp;"-" &amp;IF(I40&gt;"2007-08",,"0") &amp;RIGHT(I40,2)+1)</f>
        <v>2011-12</v>
      </c>
      <c r="K40" s="329" t="str">
        <f t="shared" si="1"/>
        <v>2012-13</v>
      </c>
      <c r="L40" s="329" t="str">
        <f t="shared" si="1"/>
        <v>2013-14</v>
      </c>
      <c r="M40" s="329" t="str">
        <f t="shared" si="1"/>
        <v>2014-15</v>
      </c>
      <c r="N40" s="240" t="str">
        <f t="shared" si="1"/>
        <v>2015-16</v>
      </c>
      <c r="O40" s="240" t="str">
        <f t="shared" si="1"/>
        <v>2016-17</v>
      </c>
      <c r="P40" s="240" t="str">
        <f t="shared" si="1"/>
        <v>2017-18</v>
      </c>
      <c r="Q40" s="240" t="str">
        <f>CONCATENATE(LEFT(P40, 4)+1 &amp;"-" &amp;IF(P40&gt;"2007-08",,"0") &amp;RIGHT(P40,2)+1)</f>
        <v>2018-19</v>
      </c>
      <c r="R40" s="143"/>
      <c r="S40" s="8"/>
      <c r="T40" s="8"/>
      <c r="U40" s="8"/>
      <c r="V40" s="8"/>
      <c r="W40" s="42"/>
      <c r="Y40" s="9"/>
      <c r="Z40" s="9"/>
      <c r="AA40" s="9"/>
      <c r="AB40" s="9"/>
      <c r="AC40" s="9"/>
      <c r="AD40" s="9"/>
      <c r="AE40" s="9"/>
      <c r="AF40" s="185"/>
      <c r="AG40" s="185"/>
      <c r="AH40" s="185"/>
      <c r="AI40" s="185"/>
      <c r="AJ40" s="185"/>
      <c r="AK40" s="185"/>
      <c r="AL40" s="185"/>
      <c r="AM40" s="185"/>
      <c r="AN40" s="185"/>
      <c r="AO40" s="185"/>
      <c r="AP40" s="185"/>
      <c r="AQ40" s="185"/>
      <c r="AR40" s="185"/>
      <c r="AS40" s="185"/>
      <c r="AT40" s="185"/>
      <c r="AU40" s="185"/>
      <c r="AV40" s="185"/>
    </row>
    <row r="41" spans="1:48" outlineLevel="1">
      <c r="A41" s="11"/>
      <c r="B41" s="11"/>
      <c r="C41" s="11"/>
      <c r="D41" s="11"/>
      <c r="E41" s="11"/>
      <c r="F41" s="39" t="str">
        <f>Asset1</f>
        <v>Transmission &amp; Zone land &amp; easements</v>
      </c>
      <c r="G41" s="331">
        <v>3.1936782899999998</v>
      </c>
      <c r="H41" s="332">
        <v>0</v>
      </c>
      <c r="I41" s="332">
        <v>13.844070369999999</v>
      </c>
      <c r="J41" s="332">
        <v>2.7643542400000003</v>
      </c>
      <c r="K41" s="332">
        <v>1.8300522228000002</v>
      </c>
      <c r="L41" s="332">
        <v>1.4068469756816055</v>
      </c>
      <c r="M41" s="330"/>
      <c r="N41" s="60"/>
      <c r="O41" s="60"/>
      <c r="P41" s="60"/>
      <c r="Q41" s="60"/>
      <c r="R41" s="281"/>
      <c r="S41" s="8"/>
      <c r="T41" s="8"/>
      <c r="U41" s="8"/>
      <c r="V41" s="8"/>
      <c r="W41" s="42"/>
      <c r="Y41" s="9"/>
      <c r="Z41" s="9"/>
      <c r="AA41" s="9"/>
      <c r="AB41" s="9"/>
      <c r="AC41" s="9"/>
      <c r="AD41" s="9"/>
      <c r="AE41" s="9"/>
      <c r="AF41" s="185"/>
      <c r="AG41" s="185"/>
      <c r="AH41" s="185"/>
      <c r="AI41" s="185"/>
      <c r="AJ41" s="185"/>
      <c r="AK41" s="185"/>
      <c r="AL41" s="185"/>
      <c r="AM41" s="185"/>
      <c r="AN41" s="185"/>
      <c r="AO41" s="185"/>
      <c r="AP41" s="185"/>
      <c r="AQ41" s="185"/>
      <c r="AR41" s="185"/>
      <c r="AS41" s="185"/>
      <c r="AT41" s="185"/>
      <c r="AU41" s="185"/>
      <c r="AV41" s="185"/>
    </row>
    <row r="42" spans="1:48" outlineLevel="1">
      <c r="A42" s="11"/>
      <c r="B42" s="11"/>
      <c r="C42" s="11"/>
      <c r="D42" s="11"/>
      <c r="E42" s="11"/>
      <c r="F42" s="39" t="str">
        <f>Asset2</f>
        <v>Transmission buildings 132/66kV</v>
      </c>
      <c r="G42" s="333">
        <v>2.6210329553999991</v>
      </c>
      <c r="H42" s="334">
        <v>18.521588441109998</v>
      </c>
      <c r="I42" s="334">
        <v>4.5127631175283707</v>
      </c>
      <c r="J42" s="334">
        <v>3.0420285899999997</v>
      </c>
      <c r="K42" s="334">
        <v>6.237506672800019</v>
      </c>
      <c r="L42" s="334">
        <v>4.7950639271902089</v>
      </c>
      <c r="M42" s="61"/>
      <c r="N42" s="313"/>
      <c r="O42" s="313"/>
      <c r="P42" s="61"/>
      <c r="Q42" s="61"/>
      <c r="R42" s="281"/>
      <c r="S42" s="8"/>
      <c r="T42" s="8"/>
      <c r="U42" s="8"/>
      <c r="V42" s="8"/>
      <c r="W42" s="42"/>
      <c r="Y42" s="9"/>
      <c r="Z42" s="9"/>
      <c r="AA42" s="9"/>
      <c r="AB42" s="9"/>
      <c r="AC42" s="9"/>
      <c r="AD42" s="9"/>
      <c r="AE42" s="9"/>
      <c r="AF42" s="185"/>
      <c r="AG42" s="185"/>
      <c r="AH42" s="185"/>
      <c r="AI42" s="185"/>
      <c r="AJ42" s="185"/>
      <c r="AK42" s="185"/>
      <c r="AL42" s="185"/>
      <c r="AM42" s="185"/>
      <c r="AN42" s="185"/>
      <c r="AO42" s="185"/>
      <c r="AP42" s="185"/>
      <c r="AQ42" s="185"/>
      <c r="AR42" s="185"/>
      <c r="AS42" s="185"/>
      <c r="AT42" s="185"/>
      <c r="AU42" s="185"/>
      <c r="AV42" s="185"/>
    </row>
    <row r="43" spans="1:48" outlineLevel="1">
      <c r="A43" s="11"/>
      <c r="B43" s="11"/>
      <c r="C43" s="11"/>
      <c r="D43" s="11"/>
      <c r="E43" s="11"/>
      <c r="F43" s="39" t="str">
        <f>Asset3</f>
        <v>Zone buildings 132/66kV</v>
      </c>
      <c r="G43" s="333">
        <v>5.8950714599999988E-2</v>
      </c>
      <c r="H43" s="334">
        <v>0.39870269864999996</v>
      </c>
      <c r="I43" s="334">
        <v>6.4959906392126134</v>
      </c>
      <c r="J43" s="334">
        <v>4.7805255510499984</v>
      </c>
      <c r="K43" s="334">
        <v>33.734027763600018</v>
      </c>
      <c r="L43" s="334">
        <v>25.932929315081399</v>
      </c>
      <c r="M43" s="61"/>
      <c r="N43" s="313"/>
      <c r="O43" s="313"/>
      <c r="P43" s="61"/>
      <c r="Q43" s="61"/>
      <c r="R43" s="281"/>
      <c r="S43" s="8"/>
      <c r="T43" s="8"/>
      <c r="U43" s="8"/>
      <c r="V43" s="8"/>
      <c r="W43" s="42"/>
      <c r="Y43" s="9"/>
      <c r="Z43" s="9"/>
      <c r="AA43" s="9"/>
      <c r="AB43" s="9"/>
      <c r="AC43" s="9"/>
      <c r="AD43" s="9"/>
      <c r="AE43" s="9"/>
      <c r="AF43" s="185"/>
      <c r="AG43" s="185"/>
      <c r="AH43" s="185"/>
      <c r="AI43" s="185"/>
      <c r="AJ43" s="185"/>
      <c r="AK43" s="185"/>
      <c r="AL43" s="185"/>
      <c r="AM43" s="185"/>
      <c r="AN43" s="185"/>
      <c r="AO43" s="185"/>
      <c r="AP43" s="185"/>
      <c r="AQ43" s="185"/>
      <c r="AR43" s="185"/>
      <c r="AS43" s="185"/>
      <c r="AT43" s="185"/>
      <c r="AU43" s="185"/>
      <c r="AV43" s="185"/>
    </row>
    <row r="44" spans="1:48" outlineLevel="1">
      <c r="A44" s="11"/>
      <c r="B44" s="11"/>
      <c r="C44" s="11"/>
      <c r="D44" s="11"/>
      <c r="E44" s="11"/>
      <c r="F44" s="39" t="str">
        <f>Asset4</f>
        <v>Transmission transformers 132/66kV</v>
      </c>
      <c r="G44" s="333">
        <v>3.4975694700000002</v>
      </c>
      <c r="H44" s="334">
        <v>3.306917799999999</v>
      </c>
      <c r="I44" s="334">
        <v>1.2766836800000001</v>
      </c>
      <c r="J44" s="334">
        <v>2.8911826399999994</v>
      </c>
      <c r="K44" s="334">
        <v>6.4238707824000008</v>
      </c>
      <c r="L44" s="334">
        <v>4.938330758977763</v>
      </c>
      <c r="M44" s="61"/>
      <c r="N44" s="313"/>
      <c r="O44" s="313"/>
      <c r="P44" s="61"/>
      <c r="Q44" s="61"/>
      <c r="R44" s="281"/>
      <c r="S44" s="8"/>
      <c r="T44" s="8"/>
      <c r="U44" s="8"/>
      <c r="V44" s="8"/>
      <c r="W44" s="42"/>
      <c r="Y44" s="9"/>
      <c r="Z44" s="9"/>
      <c r="AA44" s="9"/>
      <c r="AB44" s="9"/>
      <c r="AC44" s="9"/>
      <c r="AD44" s="9"/>
      <c r="AE44" s="9"/>
      <c r="AF44" s="185"/>
      <c r="AG44" s="185"/>
      <c r="AH44" s="185"/>
      <c r="AI44" s="185"/>
      <c r="AJ44" s="185"/>
      <c r="AK44" s="185"/>
      <c r="AL44" s="185"/>
      <c r="AM44" s="185"/>
      <c r="AN44" s="185"/>
      <c r="AO44" s="185"/>
      <c r="AP44" s="185"/>
      <c r="AQ44" s="185"/>
      <c r="AR44" s="185"/>
      <c r="AS44" s="185"/>
      <c r="AT44" s="185"/>
      <c r="AU44" s="185"/>
      <c r="AV44" s="185"/>
    </row>
    <row r="45" spans="1:48" outlineLevel="1">
      <c r="A45" s="11"/>
      <c r="B45" s="11"/>
      <c r="C45" s="11"/>
      <c r="D45" s="11"/>
      <c r="E45" s="11"/>
      <c r="F45" s="39" t="str">
        <f>Asset5</f>
        <v>Zone transformers 132/66kV</v>
      </c>
      <c r="G45" s="333">
        <v>0.6518770934</v>
      </c>
      <c r="H45" s="334">
        <v>2.9879372024049999</v>
      </c>
      <c r="I45" s="334">
        <v>2.9039288090433075</v>
      </c>
      <c r="J45" s="334">
        <v>2.9913460188399998</v>
      </c>
      <c r="K45" s="334">
        <v>0</v>
      </c>
      <c r="L45" s="334">
        <v>0</v>
      </c>
      <c r="M45" s="61"/>
      <c r="N45" s="313"/>
      <c r="O45" s="313"/>
      <c r="P45" s="61"/>
      <c r="Q45" s="61"/>
      <c r="R45" s="281"/>
      <c r="S45" s="8"/>
      <c r="T45" s="8"/>
      <c r="U45" s="8"/>
      <c r="V45" s="8"/>
      <c r="W45" s="42"/>
      <c r="Y45" s="9"/>
      <c r="Z45" s="9"/>
      <c r="AA45" s="9"/>
      <c r="AB45" s="9"/>
      <c r="AC45" s="9"/>
      <c r="AD45" s="9"/>
      <c r="AE45" s="9"/>
      <c r="AF45" s="185"/>
      <c r="AG45" s="185"/>
      <c r="AH45" s="185"/>
      <c r="AI45" s="185"/>
      <c r="AJ45" s="185"/>
      <c r="AK45" s="185"/>
      <c r="AL45" s="185"/>
      <c r="AM45" s="185"/>
      <c r="AN45" s="185"/>
      <c r="AO45" s="185"/>
      <c r="AP45" s="185"/>
      <c r="AQ45" s="185"/>
      <c r="AR45" s="185"/>
      <c r="AS45" s="185"/>
      <c r="AT45" s="185"/>
      <c r="AU45" s="185"/>
      <c r="AV45" s="185"/>
    </row>
    <row r="46" spans="1:48" outlineLevel="1">
      <c r="A46" s="11"/>
      <c r="B46" s="11"/>
      <c r="C46" s="11"/>
      <c r="D46" s="11"/>
      <c r="E46" s="11"/>
      <c r="F46" s="39" t="str">
        <f>Asset6</f>
        <v>Transmission substation equip 132/66kV</v>
      </c>
      <c r="G46" s="333">
        <v>9.2617589845000037</v>
      </c>
      <c r="H46" s="334">
        <v>24.855414878560001</v>
      </c>
      <c r="I46" s="334">
        <v>19.923518647907581</v>
      </c>
      <c r="J46" s="334">
        <v>27.15159332722774</v>
      </c>
      <c r="K46" s="334">
        <v>18.351637902217252</v>
      </c>
      <c r="L46" s="334">
        <v>14.107764772983645</v>
      </c>
      <c r="M46" s="61"/>
      <c r="N46" s="313"/>
      <c r="O46" s="313"/>
      <c r="P46" s="61"/>
      <c r="Q46" s="61"/>
      <c r="R46" s="281"/>
      <c r="S46" s="316"/>
      <c r="T46" s="8"/>
      <c r="U46" s="8"/>
      <c r="V46" s="8"/>
      <c r="W46" s="42"/>
      <c r="Y46" s="9"/>
      <c r="Z46" s="9"/>
      <c r="AA46" s="9"/>
      <c r="AB46" s="9"/>
      <c r="AC46" s="9"/>
      <c r="AD46" s="9"/>
      <c r="AE46" s="9"/>
      <c r="AF46" s="185"/>
      <c r="AG46" s="185"/>
      <c r="AH46" s="185"/>
      <c r="AI46" s="185"/>
      <c r="AJ46" s="185"/>
      <c r="AK46" s="185"/>
      <c r="AL46" s="185"/>
      <c r="AM46" s="185"/>
      <c r="AN46" s="185"/>
      <c r="AO46" s="185"/>
      <c r="AP46" s="185"/>
      <c r="AQ46" s="185"/>
      <c r="AR46" s="185"/>
      <c r="AS46" s="185"/>
      <c r="AT46" s="185"/>
      <c r="AU46" s="185"/>
      <c r="AV46" s="185"/>
    </row>
    <row r="47" spans="1:48" outlineLevel="1">
      <c r="A47" s="11"/>
      <c r="B47" s="11"/>
      <c r="C47" s="11"/>
      <c r="D47" s="11"/>
      <c r="E47" s="11"/>
      <c r="F47" s="39" t="str">
        <f>Asset7</f>
        <v>Zone substation equip 132/66kV</v>
      </c>
      <c r="G47" s="333">
        <v>3.2443303245999995</v>
      </c>
      <c r="H47" s="334">
        <v>35.431366792295009</v>
      </c>
      <c r="I47" s="334">
        <v>84.499475315017648</v>
      </c>
      <c r="J47" s="334">
        <v>81.119999016443558</v>
      </c>
      <c r="K47" s="334">
        <v>33.105755528236919</v>
      </c>
      <c r="L47" s="334">
        <v>25.449946980909012</v>
      </c>
      <c r="M47" s="61"/>
      <c r="N47" s="313"/>
      <c r="O47" s="313"/>
      <c r="P47" s="61"/>
      <c r="Q47" s="61"/>
      <c r="R47" s="281"/>
      <c r="S47" s="8"/>
      <c r="T47" s="8"/>
      <c r="U47" s="8"/>
      <c r="V47" s="8"/>
      <c r="W47" s="42"/>
      <c r="Y47" s="9"/>
      <c r="Z47" s="9"/>
      <c r="AA47" s="9"/>
      <c r="AB47" s="9"/>
      <c r="AC47" s="9"/>
      <c r="AD47" s="9"/>
      <c r="AE47" s="9"/>
      <c r="AF47" s="185"/>
      <c r="AG47" s="185"/>
      <c r="AH47" s="185"/>
      <c r="AI47" s="185"/>
      <c r="AJ47" s="185"/>
      <c r="AK47" s="185"/>
      <c r="AL47" s="185"/>
      <c r="AM47" s="185"/>
      <c r="AN47" s="185"/>
      <c r="AO47" s="185"/>
      <c r="AP47" s="185"/>
      <c r="AQ47" s="185"/>
      <c r="AR47" s="185"/>
      <c r="AS47" s="185"/>
      <c r="AT47" s="185"/>
      <c r="AU47" s="185"/>
      <c r="AV47" s="185"/>
    </row>
    <row r="48" spans="1:48" outlineLevel="1">
      <c r="A48" s="11"/>
      <c r="B48" s="11"/>
      <c r="C48" s="11"/>
      <c r="D48" s="11"/>
      <c r="E48" s="11"/>
      <c r="F48" s="39" t="str">
        <f>Asset8</f>
        <v>Transmission &amp; Zone emergency spares</v>
      </c>
      <c r="G48" s="333">
        <v>0</v>
      </c>
      <c r="H48" s="334">
        <v>0</v>
      </c>
      <c r="I48" s="334">
        <v>0</v>
      </c>
      <c r="J48" s="334">
        <v>0</v>
      </c>
      <c r="K48" s="334">
        <v>0</v>
      </c>
      <c r="L48" s="334">
        <v>0</v>
      </c>
      <c r="M48" s="61"/>
      <c r="N48" s="313"/>
      <c r="O48" s="313"/>
      <c r="P48" s="61"/>
      <c r="Q48" s="61"/>
      <c r="R48" s="281"/>
      <c r="S48" s="8"/>
      <c r="T48" s="8"/>
      <c r="U48" s="8"/>
      <c r="V48" s="8"/>
      <c r="W48" s="42"/>
      <c r="Y48" s="9"/>
      <c r="Z48" s="9"/>
      <c r="AA48" s="9"/>
      <c r="AB48" s="9"/>
      <c r="AC48" s="9"/>
      <c r="AD48" s="9"/>
      <c r="AE48" s="9"/>
      <c r="AF48" s="185"/>
      <c r="AG48" s="185"/>
      <c r="AH48" s="185"/>
      <c r="AI48" s="185"/>
      <c r="AJ48" s="185"/>
      <c r="AK48" s="185"/>
      <c r="AL48" s="185"/>
      <c r="AM48" s="185"/>
      <c r="AN48" s="185"/>
      <c r="AO48" s="185"/>
      <c r="AP48" s="185"/>
      <c r="AQ48" s="185"/>
      <c r="AR48" s="185"/>
      <c r="AS48" s="185"/>
      <c r="AT48" s="185"/>
      <c r="AU48" s="185"/>
      <c r="AV48" s="185"/>
    </row>
    <row r="49" spans="1:48" outlineLevel="1">
      <c r="A49" s="11"/>
      <c r="B49" s="11"/>
      <c r="C49" s="11"/>
      <c r="D49" s="11"/>
      <c r="E49" s="11"/>
      <c r="F49" s="39" t="str">
        <f>Asset9</f>
        <v>Ancillary substation equipment (tx)</v>
      </c>
      <c r="G49" s="333">
        <v>0.8616979856000001</v>
      </c>
      <c r="H49" s="334">
        <v>1.1234827461900003</v>
      </c>
      <c r="I49" s="334">
        <v>3.1031059435249997</v>
      </c>
      <c r="J49" s="334">
        <v>6.5472680858949985</v>
      </c>
      <c r="K49" s="334">
        <v>21.783325525499631</v>
      </c>
      <c r="L49" s="334">
        <v>16.745863999962058</v>
      </c>
      <c r="M49" s="61"/>
      <c r="N49" s="313"/>
      <c r="O49" s="313"/>
      <c r="P49" s="61"/>
      <c r="Q49" s="61"/>
      <c r="R49" s="281"/>
      <c r="S49" s="8"/>
      <c r="T49" s="8"/>
      <c r="U49" s="8"/>
      <c r="V49" s="8"/>
      <c r="W49" s="42"/>
      <c r="Y49" s="9"/>
      <c r="Z49" s="9"/>
      <c r="AA49" s="9"/>
      <c r="AB49" s="9"/>
      <c r="AC49" s="9"/>
      <c r="AD49" s="9"/>
      <c r="AE49" s="9"/>
      <c r="AF49" s="185"/>
      <c r="AG49" s="185"/>
      <c r="AH49" s="185"/>
      <c r="AI49" s="185"/>
      <c r="AJ49" s="185"/>
      <c r="AK49" s="185"/>
      <c r="AL49" s="185"/>
      <c r="AM49" s="185"/>
      <c r="AN49" s="185"/>
      <c r="AO49" s="185"/>
      <c r="AP49" s="185"/>
      <c r="AQ49" s="185"/>
      <c r="AR49" s="185"/>
      <c r="AS49" s="185"/>
      <c r="AT49" s="185"/>
      <c r="AU49" s="185"/>
      <c r="AV49" s="185"/>
    </row>
    <row r="50" spans="1:48" outlineLevel="1">
      <c r="A50" s="11"/>
      <c r="B50" s="11"/>
      <c r="C50" s="11"/>
      <c r="D50" s="11"/>
      <c r="E50" s="11"/>
      <c r="F50" s="39" t="str">
        <f>Asset10</f>
        <v>132kV tower lines</v>
      </c>
      <c r="G50" s="333">
        <v>1.1440740049999998</v>
      </c>
      <c r="H50" s="334">
        <v>4.1560114769999998</v>
      </c>
      <c r="I50" s="334">
        <v>8.6769793940684501</v>
      </c>
      <c r="J50" s="334">
        <v>5.8736540802264781</v>
      </c>
      <c r="K50" s="334">
        <v>0.49304815033377025</v>
      </c>
      <c r="L50" s="334">
        <v>0.37902923781114406</v>
      </c>
      <c r="M50" s="61"/>
      <c r="N50" s="314"/>
      <c r="O50" s="313"/>
      <c r="P50" s="61"/>
      <c r="Q50" s="61"/>
      <c r="R50" s="281"/>
      <c r="S50" s="8"/>
      <c r="T50" s="8"/>
      <c r="U50" s="8"/>
      <c r="V50" s="8"/>
      <c r="W50" s="42"/>
      <c r="Y50" s="9"/>
      <c r="Z50" s="9"/>
      <c r="AA50" s="9"/>
      <c r="AB50" s="9"/>
      <c r="AC50" s="9"/>
      <c r="AD50" s="9"/>
      <c r="AE50" s="9"/>
      <c r="AF50" s="185"/>
      <c r="AG50" s="185"/>
      <c r="AH50" s="185"/>
      <c r="AI50" s="185"/>
      <c r="AJ50" s="185"/>
      <c r="AK50" s="185"/>
      <c r="AL50" s="185"/>
      <c r="AM50" s="185"/>
      <c r="AN50" s="185"/>
      <c r="AO50" s="185"/>
      <c r="AP50" s="185"/>
      <c r="AQ50" s="185"/>
      <c r="AR50" s="185"/>
      <c r="AS50" s="185"/>
      <c r="AT50" s="185"/>
      <c r="AU50" s="185"/>
      <c r="AV50" s="185"/>
    </row>
    <row r="51" spans="1:48" outlineLevel="1">
      <c r="A51" s="11"/>
      <c r="B51" s="11"/>
      <c r="C51" s="11"/>
      <c r="D51" s="11"/>
      <c r="E51" s="11"/>
      <c r="F51" s="39" t="str">
        <f>Asset11</f>
        <v>132kV concrete &amp; steel pole lines</v>
      </c>
      <c r="G51" s="333">
        <v>3.4843981100000003</v>
      </c>
      <c r="H51" s="334">
        <v>14.105720720000001</v>
      </c>
      <c r="I51" s="334">
        <v>3.9081145562778601</v>
      </c>
      <c r="J51" s="334">
        <v>0.78684454000000004</v>
      </c>
      <c r="K51" s="334">
        <v>-0.31671136</v>
      </c>
      <c r="L51" s="334">
        <v>-0.24347087663885877</v>
      </c>
      <c r="M51" s="61"/>
      <c r="N51" s="313"/>
      <c r="O51" s="313"/>
      <c r="P51" s="61"/>
      <c r="Q51" s="61"/>
      <c r="R51" s="281"/>
      <c r="S51" s="8"/>
      <c r="T51" s="8"/>
      <c r="U51" s="8"/>
      <c r="V51" s="8"/>
      <c r="W51" s="42"/>
      <c r="Y51" s="9"/>
      <c r="Z51" s="9"/>
      <c r="AA51" s="9"/>
      <c r="AB51" s="9"/>
      <c r="AC51" s="9"/>
      <c r="AD51" s="9"/>
      <c r="AE51" s="9"/>
      <c r="AF51" s="185"/>
      <c r="AG51" s="185"/>
      <c r="AH51" s="185"/>
      <c r="AI51" s="185"/>
      <c r="AJ51" s="185"/>
      <c r="AK51" s="185"/>
      <c r="AL51" s="185"/>
      <c r="AM51" s="185"/>
      <c r="AN51" s="185"/>
      <c r="AO51" s="185"/>
      <c r="AP51" s="185"/>
      <c r="AQ51" s="185"/>
      <c r="AR51" s="185"/>
      <c r="AS51" s="185"/>
      <c r="AT51" s="185"/>
      <c r="AU51" s="185"/>
      <c r="AV51" s="185"/>
    </row>
    <row r="52" spans="1:48" outlineLevel="1">
      <c r="A52" s="11"/>
      <c r="B52" s="11"/>
      <c r="C52" s="11"/>
      <c r="D52" s="11"/>
      <c r="E52" s="11"/>
      <c r="F52" s="39" t="str">
        <f>Asset12</f>
        <v>132kV wood pole lines</v>
      </c>
      <c r="G52" s="333">
        <v>0.80931336099999984</v>
      </c>
      <c r="H52" s="334">
        <v>10.043537627579997</v>
      </c>
      <c r="I52" s="334">
        <v>0.42041962000000005</v>
      </c>
      <c r="J52" s="334">
        <v>0.35147753999999998</v>
      </c>
      <c r="K52" s="334">
        <v>0.58556644999999996</v>
      </c>
      <c r="L52" s="334">
        <v>0.45015239400255314</v>
      </c>
      <c r="M52" s="61"/>
      <c r="N52" s="313"/>
      <c r="O52" s="313"/>
      <c r="P52" s="61"/>
      <c r="Q52" s="61"/>
      <c r="R52" s="281"/>
      <c r="S52" s="8"/>
      <c r="T52" s="8"/>
      <c r="U52" s="8"/>
      <c r="V52" s="8"/>
      <c r="W52" s="42"/>
      <c r="Y52" s="9"/>
      <c r="Z52" s="9"/>
      <c r="AA52" s="9"/>
      <c r="AB52" s="9"/>
      <c r="AC52" s="9"/>
      <c r="AD52" s="9"/>
      <c r="AE52" s="9"/>
      <c r="AF52" s="185"/>
      <c r="AG52" s="185"/>
      <c r="AH52" s="185"/>
      <c r="AI52" s="185"/>
      <c r="AJ52" s="185"/>
      <c r="AK52" s="185"/>
      <c r="AL52" s="185"/>
      <c r="AM52" s="185"/>
      <c r="AN52" s="185"/>
      <c r="AO52" s="185"/>
      <c r="AP52" s="185"/>
      <c r="AQ52" s="185"/>
      <c r="AR52" s="185"/>
      <c r="AS52" s="185"/>
      <c r="AT52" s="185"/>
      <c r="AU52" s="185"/>
      <c r="AV52" s="185"/>
    </row>
    <row r="53" spans="1:48" outlineLevel="1">
      <c r="A53" s="11"/>
      <c r="B53" s="11"/>
      <c r="C53" s="11"/>
      <c r="D53" s="11"/>
      <c r="E53" s="11"/>
      <c r="F53" s="39" t="str">
        <f>Asset13</f>
        <v>132kV feeders underground</v>
      </c>
      <c r="G53" s="333">
        <v>42.396132476100014</v>
      </c>
      <c r="H53" s="334">
        <v>75.912440244034997</v>
      </c>
      <c r="I53" s="334">
        <v>86.239340537843262</v>
      </c>
      <c r="J53" s="334">
        <v>162.67096751199216</v>
      </c>
      <c r="K53" s="334">
        <v>70.528656774477014</v>
      </c>
      <c r="L53" s="334">
        <v>54.2186863554345</v>
      </c>
      <c r="M53" s="61"/>
      <c r="N53" s="313"/>
      <c r="O53" s="313"/>
      <c r="P53" s="61"/>
      <c r="Q53" s="61"/>
      <c r="R53" s="281"/>
      <c r="S53" s="8"/>
      <c r="T53" s="8"/>
      <c r="U53" s="8"/>
      <c r="V53" s="8"/>
      <c r="W53" s="42"/>
      <c r="Y53" s="9"/>
      <c r="Z53" s="9"/>
      <c r="AA53" s="9"/>
      <c r="AB53" s="9"/>
      <c r="AC53" s="9"/>
      <c r="AD53" s="9"/>
      <c r="AE53" s="9"/>
      <c r="AF53" s="185"/>
      <c r="AG53" s="185"/>
      <c r="AH53" s="185"/>
      <c r="AI53" s="185"/>
      <c r="AJ53" s="185"/>
      <c r="AK53" s="185"/>
      <c r="AL53" s="185"/>
      <c r="AM53" s="185"/>
      <c r="AN53" s="185"/>
      <c r="AO53" s="185"/>
      <c r="AP53" s="185"/>
      <c r="AQ53" s="185"/>
      <c r="AR53" s="185"/>
      <c r="AS53" s="185"/>
      <c r="AT53" s="185"/>
      <c r="AU53" s="185"/>
      <c r="AV53" s="185"/>
    </row>
    <row r="54" spans="1:48" outlineLevel="1">
      <c r="A54" s="11"/>
      <c r="B54" s="11"/>
      <c r="C54" s="11"/>
      <c r="D54" s="11"/>
      <c r="E54" s="11"/>
      <c r="F54" s="39" t="str">
        <f>Asset14</f>
        <v>Cable tunnel (tx)</v>
      </c>
      <c r="G54" s="333">
        <v>3.1983049999999998E-3</v>
      </c>
      <c r="H54" s="334">
        <v>0</v>
      </c>
      <c r="I54" s="334">
        <v>0</v>
      </c>
      <c r="J54" s="334">
        <v>0.50669688999999996</v>
      </c>
      <c r="K54" s="334">
        <v>0.17222615999999999</v>
      </c>
      <c r="L54" s="334">
        <v>0.1323983268403898</v>
      </c>
      <c r="M54" s="61"/>
      <c r="N54" s="313"/>
      <c r="O54" s="313"/>
      <c r="P54" s="61"/>
      <c r="Q54" s="61"/>
      <c r="R54" s="281"/>
      <c r="S54" s="8"/>
      <c r="T54" s="8"/>
      <c r="U54" s="8"/>
      <c r="V54" s="8"/>
      <c r="W54" s="42"/>
      <c r="Y54" s="9"/>
      <c r="Z54" s="9"/>
      <c r="AA54" s="9"/>
      <c r="AB54" s="9"/>
      <c r="AC54" s="9"/>
      <c r="AD54" s="9"/>
      <c r="AE54" s="9"/>
      <c r="AF54" s="185"/>
      <c r="AG54" s="185"/>
      <c r="AH54" s="185"/>
      <c r="AI54" s="185"/>
      <c r="AJ54" s="185"/>
      <c r="AK54" s="185"/>
      <c r="AL54" s="185"/>
      <c r="AM54" s="185"/>
      <c r="AN54" s="185"/>
      <c r="AO54" s="185"/>
      <c r="AP54" s="185"/>
      <c r="AQ54" s="185"/>
      <c r="AR54" s="185"/>
      <c r="AS54" s="185"/>
      <c r="AT54" s="185"/>
      <c r="AU54" s="185"/>
      <c r="AV54" s="185"/>
    </row>
    <row r="55" spans="1:48" outlineLevel="1">
      <c r="A55" s="11"/>
      <c r="B55" s="11"/>
      <c r="C55" s="11"/>
      <c r="D55" s="11"/>
      <c r="E55" s="11"/>
      <c r="F55" s="39" t="str">
        <f>Asset15</f>
        <v>Network control &amp; com systems</v>
      </c>
      <c r="G55" s="333">
        <v>0</v>
      </c>
      <c r="H55" s="334">
        <v>1.4944379257499996</v>
      </c>
      <c r="I55" s="334">
        <v>0</v>
      </c>
      <c r="J55" s="334">
        <v>2.472436130036965E-2</v>
      </c>
      <c r="K55" s="334">
        <v>0</v>
      </c>
      <c r="L55" s="334">
        <v>0</v>
      </c>
      <c r="M55" s="61"/>
      <c r="N55" s="313"/>
      <c r="O55" s="313"/>
      <c r="P55" s="61"/>
      <c r="Q55" s="61"/>
      <c r="R55" s="281"/>
      <c r="S55" s="8"/>
      <c r="T55" s="8"/>
      <c r="U55" s="8"/>
      <c r="V55" s="8"/>
      <c r="W55" s="42"/>
      <c r="Y55" s="9"/>
      <c r="Z55" s="9"/>
      <c r="AA55" s="9"/>
      <c r="AB55" s="9"/>
      <c r="AC55" s="9"/>
      <c r="AD55" s="9"/>
      <c r="AE55" s="9"/>
      <c r="AF55" s="185"/>
      <c r="AG55" s="185"/>
      <c r="AH55" s="185"/>
      <c r="AI55" s="185"/>
      <c r="AJ55" s="185"/>
      <c r="AK55" s="185"/>
      <c r="AL55" s="185"/>
      <c r="AM55" s="185"/>
      <c r="AN55" s="185"/>
      <c r="AO55" s="185"/>
      <c r="AP55" s="185"/>
      <c r="AQ55" s="185"/>
      <c r="AR55" s="185"/>
      <c r="AS55" s="185"/>
      <c r="AT55" s="185"/>
      <c r="AU55" s="185"/>
      <c r="AV55" s="185"/>
    </row>
    <row r="56" spans="1:48" outlineLevel="1">
      <c r="A56" s="11"/>
      <c r="B56" s="11"/>
      <c r="C56" s="11"/>
      <c r="D56" s="11"/>
      <c r="E56" s="11"/>
      <c r="F56" s="39" t="str">
        <f>Asset16</f>
        <v>Communications (digital) - tx</v>
      </c>
      <c r="G56" s="333">
        <v>0</v>
      </c>
      <c r="H56" s="334">
        <v>0</v>
      </c>
      <c r="I56" s="334">
        <v>0.32362712999999999</v>
      </c>
      <c r="J56" s="334">
        <v>0.48453745799999998</v>
      </c>
      <c r="K56" s="334">
        <v>0.17379104000000001</v>
      </c>
      <c r="L56" s="334">
        <v>0.13360132349145598</v>
      </c>
      <c r="M56" s="61"/>
      <c r="N56" s="313"/>
      <c r="O56" s="313"/>
      <c r="P56" s="61"/>
      <c r="Q56" s="61"/>
      <c r="R56" s="281"/>
      <c r="S56" s="8"/>
      <c r="T56" s="8"/>
      <c r="U56" s="8"/>
      <c r="V56" s="8"/>
      <c r="W56" s="42"/>
      <c r="Y56" s="9"/>
      <c r="Z56" s="9"/>
      <c r="AA56" s="9"/>
      <c r="AB56" s="9"/>
      <c r="AC56" s="9"/>
      <c r="AD56" s="9"/>
      <c r="AE56" s="9"/>
      <c r="AF56" s="185"/>
      <c r="AG56" s="185"/>
      <c r="AH56" s="185"/>
      <c r="AI56" s="185"/>
      <c r="AJ56" s="185"/>
      <c r="AK56" s="185"/>
      <c r="AL56" s="185"/>
      <c r="AM56" s="185"/>
      <c r="AN56" s="185"/>
      <c r="AO56" s="185"/>
      <c r="AP56" s="185"/>
      <c r="AQ56" s="185"/>
      <c r="AR56" s="185"/>
      <c r="AS56" s="185"/>
      <c r="AT56" s="185"/>
      <c r="AU56" s="185"/>
      <c r="AV56" s="185"/>
    </row>
    <row r="57" spans="1:48" outlineLevel="1">
      <c r="A57" s="11"/>
      <c r="B57" s="11"/>
      <c r="C57" s="11"/>
      <c r="D57" s="11"/>
      <c r="E57" s="11"/>
      <c r="F57" s="39" t="str">
        <f>Asset17</f>
        <v>System IT (tx)</v>
      </c>
      <c r="G57" s="333">
        <v>0</v>
      </c>
      <c r="H57" s="334">
        <v>3.5523082593050002</v>
      </c>
      <c r="I57" s="334">
        <v>8.0218477390250005</v>
      </c>
      <c r="J57" s="334">
        <v>9.3759907181000006</v>
      </c>
      <c r="K57" s="334">
        <v>4.9723914348000005</v>
      </c>
      <c r="L57" s="334">
        <v>3.8225105080610593</v>
      </c>
      <c r="M57" s="61"/>
      <c r="N57" s="61"/>
      <c r="O57" s="61"/>
      <c r="P57" s="61"/>
      <c r="Q57" s="61"/>
      <c r="R57" s="281"/>
      <c r="S57" s="8"/>
      <c r="T57" s="8"/>
      <c r="U57" s="8"/>
      <c r="V57" s="8"/>
      <c r="W57" s="42"/>
      <c r="Y57" s="9"/>
      <c r="Z57" s="9"/>
      <c r="AA57" s="9"/>
      <c r="AB57" s="9"/>
      <c r="AC57" s="9"/>
      <c r="AD57" s="9"/>
      <c r="AE57" s="9"/>
      <c r="AF57" s="185"/>
      <c r="AG57" s="185"/>
      <c r="AH57" s="185"/>
      <c r="AI57" s="185"/>
      <c r="AJ57" s="185"/>
      <c r="AK57" s="185"/>
      <c r="AL57" s="185"/>
      <c r="AM57" s="185"/>
      <c r="AN57" s="185"/>
      <c r="AO57" s="185"/>
      <c r="AP57" s="185"/>
      <c r="AQ57" s="185"/>
      <c r="AR57" s="185"/>
      <c r="AS57" s="185"/>
      <c r="AT57" s="185"/>
      <c r="AU57" s="185"/>
      <c r="AV57" s="185"/>
    </row>
    <row r="58" spans="1:48" outlineLevel="1">
      <c r="A58" s="11"/>
      <c r="B58" s="11"/>
      <c r="C58" s="11"/>
      <c r="D58" s="11"/>
      <c r="E58" s="11"/>
      <c r="F58" s="39" t="str">
        <f>Asset18</f>
        <v>IT systems</v>
      </c>
      <c r="G58" s="333">
        <v>12.15352498670512</v>
      </c>
      <c r="H58" s="334">
        <v>6.2451121317159419</v>
      </c>
      <c r="I58" s="334">
        <v>7.0433319679936233</v>
      </c>
      <c r="J58" s="334">
        <v>4.5424091146179597</v>
      </c>
      <c r="K58" s="334">
        <v>3.5092425133577483</v>
      </c>
      <c r="L58" s="334">
        <v>2.6977193084124389</v>
      </c>
      <c r="M58" s="61"/>
      <c r="N58" s="61"/>
      <c r="O58" s="61"/>
      <c r="P58" s="61"/>
      <c r="Q58" s="61"/>
      <c r="R58" s="281"/>
      <c r="S58" s="8"/>
      <c r="T58" s="8"/>
      <c r="U58" s="8"/>
      <c r="V58" s="8"/>
      <c r="W58" s="42"/>
      <c r="Y58" s="9"/>
      <c r="Z58" s="9"/>
      <c r="AA58" s="9"/>
      <c r="AB58" s="9"/>
      <c r="AC58" s="9"/>
      <c r="AD58" s="9"/>
      <c r="AE58" s="9"/>
      <c r="AF58" s="185"/>
      <c r="AG58" s="185"/>
      <c r="AH58" s="185"/>
      <c r="AI58" s="185"/>
      <c r="AJ58" s="185"/>
      <c r="AK58" s="185"/>
      <c r="AL58" s="185"/>
      <c r="AM58" s="185"/>
      <c r="AN58" s="185"/>
      <c r="AO58" s="185"/>
      <c r="AP58" s="185"/>
      <c r="AQ58" s="185"/>
      <c r="AR58" s="185"/>
      <c r="AS58" s="185"/>
      <c r="AT58" s="185"/>
      <c r="AU58" s="185"/>
      <c r="AV58" s="185"/>
    </row>
    <row r="59" spans="1:48" outlineLevel="1">
      <c r="A59" s="11"/>
      <c r="B59" s="11"/>
      <c r="C59" s="11"/>
      <c r="D59" s="11"/>
      <c r="E59" s="11"/>
      <c r="F59" s="39" t="str">
        <f>Asset19</f>
        <v>Furniture, fittings, plant and equipment</v>
      </c>
      <c r="G59" s="333">
        <v>0.83477901190059989</v>
      </c>
      <c r="H59" s="334">
        <v>0.99610458849220773</v>
      </c>
      <c r="I59" s="334">
        <v>0.93283832813027567</v>
      </c>
      <c r="J59" s="334">
        <v>0.97402290055859353</v>
      </c>
      <c r="K59" s="334">
        <v>0.59388356479364179</v>
      </c>
      <c r="L59" s="334">
        <v>0.45654615022877126</v>
      </c>
      <c r="M59" s="61"/>
      <c r="N59" s="61"/>
      <c r="O59" s="61"/>
      <c r="P59" s="61"/>
      <c r="Q59" s="61"/>
      <c r="R59" s="281"/>
      <c r="S59" s="8"/>
      <c r="T59" s="8"/>
      <c r="U59" s="8"/>
      <c r="V59" s="8"/>
      <c r="W59" s="42"/>
      <c r="Y59" s="9"/>
      <c r="Z59" s="9"/>
      <c r="AA59" s="9"/>
      <c r="AB59" s="9"/>
      <c r="AC59" s="9"/>
      <c r="AD59" s="9"/>
      <c r="AE59" s="9"/>
      <c r="AF59" s="185"/>
      <c r="AG59" s="185"/>
      <c r="AH59" s="185"/>
      <c r="AI59" s="185"/>
      <c r="AJ59" s="185"/>
      <c r="AK59" s="185"/>
      <c r="AL59" s="185"/>
      <c r="AM59" s="185"/>
      <c r="AN59" s="185"/>
      <c r="AO59" s="185"/>
      <c r="AP59" s="185"/>
      <c r="AQ59" s="185"/>
      <c r="AR59" s="185"/>
      <c r="AS59" s="185"/>
      <c r="AT59" s="185"/>
      <c r="AU59" s="185"/>
      <c r="AV59" s="185"/>
    </row>
    <row r="60" spans="1:48" outlineLevel="1">
      <c r="A60" s="11"/>
      <c r="B60" s="11"/>
      <c r="C60" s="11"/>
      <c r="D60" s="11"/>
      <c r="E60" s="11"/>
      <c r="F60" s="39" t="str">
        <f>Asset20</f>
        <v>Motor vehicles</v>
      </c>
      <c r="G60" s="333">
        <v>3.6476551276189193</v>
      </c>
      <c r="H60" s="334">
        <v>3.5930765994793017</v>
      </c>
      <c r="I60" s="334">
        <v>3.9131906632117652</v>
      </c>
      <c r="J60" s="334">
        <v>4.1711575102183343</v>
      </c>
      <c r="K60" s="334">
        <v>1.9945260905423214</v>
      </c>
      <c r="L60" s="334">
        <v>1.5332857518701408</v>
      </c>
      <c r="M60" s="61"/>
      <c r="N60" s="61"/>
      <c r="O60" s="61"/>
      <c r="P60" s="61"/>
      <c r="Q60" s="61"/>
      <c r="R60" s="281"/>
      <c r="S60" s="8"/>
      <c r="T60" s="8"/>
      <c r="U60" s="8"/>
      <c r="V60" s="8"/>
      <c r="W60" s="42"/>
      <c r="Y60" s="9"/>
      <c r="Z60" s="9"/>
      <c r="AA60" s="9"/>
      <c r="AB60" s="9"/>
      <c r="AC60" s="9"/>
      <c r="AD60" s="9"/>
      <c r="AE60" s="9"/>
      <c r="AF60" s="185"/>
      <c r="AG60" s="185"/>
      <c r="AH60" s="185"/>
      <c r="AI60" s="185"/>
      <c r="AJ60" s="185"/>
      <c r="AK60" s="185"/>
      <c r="AL60" s="185"/>
      <c r="AM60" s="185"/>
      <c r="AN60" s="185"/>
      <c r="AO60" s="185"/>
      <c r="AP60" s="185"/>
      <c r="AQ60" s="185"/>
      <c r="AR60" s="185"/>
      <c r="AS60" s="185"/>
      <c r="AT60" s="185"/>
      <c r="AU60" s="185"/>
      <c r="AV60" s="185"/>
    </row>
    <row r="61" spans="1:48" outlineLevel="1">
      <c r="A61" s="11"/>
      <c r="B61" s="11"/>
      <c r="C61" s="11"/>
      <c r="D61" s="11"/>
      <c r="E61" s="11"/>
      <c r="F61" s="39" t="str">
        <f>Asset21</f>
        <v>Buildings</v>
      </c>
      <c r="G61" s="333">
        <v>7.7873646922368005</v>
      </c>
      <c r="H61" s="334">
        <v>8.8453901268734185</v>
      </c>
      <c r="I61" s="334">
        <v>8.3133163977562408</v>
      </c>
      <c r="J61" s="334">
        <v>4.1599021930827913</v>
      </c>
      <c r="K61" s="334">
        <v>3.3407130854520739</v>
      </c>
      <c r="L61" s="334">
        <v>2.5528606579773321</v>
      </c>
      <c r="M61" s="61"/>
      <c r="N61" s="61"/>
      <c r="O61" s="61"/>
      <c r="P61" s="61"/>
      <c r="Q61" s="61"/>
      <c r="R61" s="8"/>
      <c r="S61" s="8"/>
      <c r="T61" s="8"/>
      <c r="U61" s="8"/>
      <c r="V61" s="8"/>
      <c r="W61" s="42"/>
      <c r="Y61" s="9"/>
      <c r="Z61" s="9"/>
      <c r="AA61" s="9"/>
      <c r="AB61" s="9"/>
      <c r="AC61" s="9"/>
      <c r="AD61" s="9"/>
      <c r="AE61" s="9"/>
      <c r="AF61" s="185"/>
      <c r="AG61" s="185"/>
      <c r="AH61" s="185"/>
      <c r="AI61" s="185"/>
      <c r="AJ61" s="185"/>
      <c r="AK61" s="185"/>
      <c r="AL61" s="185"/>
      <c r="AM61" s="185"/>
      <c r="AN61" s="185"/>
      <c r="AO61" s="185"/>
      <c r="AP61" s="185"/>
      <c r="AQ61" s="185"/>
      <c r="AR61" s="185"/>
      <c r="AS61" s="185"/>
      <c r="AT61" s="185"/>
      <c r="AU61" s="185"/>
      <c r="AV61" s="185"/>
    </row>
    <row r="62" spans="1:48" outlineLevel="1">
      <c r="A62" s="11"/>
      <c r="B62" s="11"/>
      <c r="C62" s="11"/>
      <c r="D62" s="11"/>
      <c r="E62" s="11"/>
      <c r="F62" s="39" t="str">
        <f>Asset22</f>
        <v>Land (non-system)</v>
      </c>
      <c r="G62" s="333">
        <v>1.58850472320864</v>
      </c>
      <c r="H62" s="334">
        <v>2.6244985000000001</v>
      </c>
      <c r="I62" s="334">
        <v>0.87166299999999997</v>
      </c>
      <c r="J62" s="334">
        <v>1.1371226277449999</v>
      </c>
      <c r="K62" s="334">
        <v>0</v>
      </c>
      <c r="L62" s="334">
        <v>0</v>
      </c>
      <c r="M62" s="61"/>
      <c r="N62" s="61"/>
      <c r="O62" s="61"/>
      <c r="P62" s="61"/>
      <c r="Q62" s="61"/>
      <c r="R62" s="8"/>
      <c r="S62" s="8"/>
      <c r="T62" s="8"/>
      <c r="U62" s="8"/>
      <c r="V62" s="8"/>
      <c r="W62" s="42"/>
      <c r="Y62" s="9"/>
      <c r="Z62" s="9"/>
      <c r="AA62" s="9"/>
      <c r="AB62" s="9"/>
      <c r="AC62" s="9"/>
      <c r="AD62" s="9"/>
      <c r="AE62" s="9"/>
      <c r="AF62" s="185"/>
      <c r="AG62" s="185"/>
      <c r="AH62" s="185"/>
      <c r="AI62" s="185"/>
      <c r="AJ62" s="185"/>
      <c r="AK62" s="185"/>
      <c r="AL62" s="185"/>
      <c r="AM62" s="185"/>
      <c r="AN62" s="185"/>
      <c r="AO62" s="185"/>
      <c r="AP62" s="185"/>
      <c r="AQ62" s="185"/>
      <c r="AR62" s="185"/>
      <c r="AS62" s="185"/>
      <c r="AT62" s="185"/>
      <c r="AU62" s="185"/>
      <c r="AV62" s="185"/>
    </row>
    <row r="63" spans="1:48" outlineLevel="1">
      <c r="A63" s="11"/>
      <c r="B63" s="11"/>
      <c r="C63" s="11"/>
      <c r="D63" s="11"/>
      <c r="E63" s="11"/>
      <c r="F63" s="39" t="str">
        <f>Asset23</f>
        <v>Other non system assets</v>
      </c>
      <c r="G63" s="333">
        <v>0</v>
      </c>
      <c r="H63" s="334">
        <v>0</v>
      </c>
      <c r="I63" s="334">
        <v>1.1961886676999996E-2</v>
      </c>
      <c r="J63" s="334">
        <v>0.16272584731798201</v>
      </c>
      <c r="K63" s="334">
        <v>1.3324023909050315E-2</v>
      </c>
      <c r="L63" s="334">
        <v>1.0242802094290505E-2</v>
      </c>
      <c r="M63" s="61"/>
      <c r="N63" s="61"/>
      <c r="O63" s="61"/>
      <c r="P63" s="61"/>
      <c r="Q63" s="61"/>
      <c r="R63" s="8"/>
      <c r="S63" s="8"/>
      <c r="T63" s="8"/>
      <c r="U63" s="8"/>
      <c r="V63" s="8"/>
      <c r="W63" s="42"/>
      <c r="Y63" s="9"/>
      <c r="Z63" s="9"/>
      <c r="AA63" s="9"/>
      <c r="AB63" s="9"/>
      <c r="AC63" s="9"/>
      <c r="AD63" s="9"/>
      <c r="AE63" s="9"/>
      <c r="AF63" s="185"/>
      <c r="AG63" s="185"/>
      <c r="AH63" s="185"/>
      <c r="AI63" s="185"/>
      <c r="AJ63" s="185"/>
      <c r="AK63" s="185"/>
      <c r="AL63" s="185"/>
      <c r="AM63" s="185"/>
      <c r="AN63" s="185"/>
      <c r="AO63" s="185"/>
      <c r="AP63" s="185"/>
      <c r="AQ63" s="185"/>
      <c r="AR63" s="185"/>
      <c r="AS63" s="185"/>
      <c r="AT63" s="185"/>
      <c r="AU63" s="185"/>
      <c r="AV63" s="185"/>
    </row>
    <row r="64" spans="1:48" outlineLevel="1">
      <c r="A64" s="11"/>
      <c r="B64" s="11"/>
      <c r="C64" s="11"/>
      <c r="D64" s="11"/>
      <c r="E64" s="11"/>
      <c r="F64" s="39" t="str">
        <f>Asset24</f>
        <v>Equity raising costs</v>
      </c>
      <c r="G64" s="333">
        <v>0</v>
      </c>
      <c r="H64" s="334">
        <v>6.2756261047438846</v>
      </c>
      <c r="I64" s="334">
        <v>0</v>
      </c>
      <c r="J64" s="334">
        <v>0</v>
      </c>
      <c r="K64" s="334">
        <v>0</v>
      </c>
      <c r="L64" s="334">
        <v>0</v>
      </c>
      <c r="M64" s="61"/>
      <c r="N64" s="61"/>
      <c r="O64" s="61"/>
      <c r="P64" s="61"/>
      <c r="Q64" s="61"/>
      <c r="R64" s="8"/>
      <c r="S64" s="8"/>
      <c r="T64" s="8"/>
      <c r="U64" s="8"/>
      <c r="V64" s="8"/>
      <c r="W64" s="42"/>
      <c r="Y64" s="9"/>
      <c r="Z64" s="9"/>
      <c r="AA64" s="9"/>
      <c r="AB64" s="9"/>
      <c r="AC64" s="9"/>
      <c r="AD64" s="9"/>
      <c r="AE64" s="9"/>
      <c r="AF64" s="185"/>
      <c r="AG64" s="185"/>
      <c r="AH64" s="185"/>
      <c r="AI64" s="185"/>
      <c r="AJ64" s="185"/>
      <c r="AK64" s="185"/>
      <c r="AL64" s="185"/>
      <c r="AM64" s="185"/>
      <c r="AN64" s="185"/>
      <c r="AO64" s="185"/>
      <c r="AP64" s="185"/>
      <c r="AQ64" s="185"/>
      <c r="AR64" s="185"/>
      <c r="AS64" s="185"/>
      <c r="AT64" s="185"/>
      <c r="AU64" s="185"/>
      <c r="AV64" s="185"/>
    </row>
    <row r="65" spans="1:48" outlineLevel="1">
      <c r="A65" s="11"/>
      <c r="B65" s="11"/>
      <c r="C65" s="11"/>
      <c r="D65" s="11"/>
      <c r="E65" s="11"/>
      <c r="F65" s="39">
        <f>Asset25</f>
        <v>0</v>
      </c>
      <c r="G65" s="166"/>
      <c r="H65" s="61"/>
      <c r="I65" s="61"/>
      <c r="J65" s="61"/>
      <c r="K65" s="61"/>
      <c r="L65" s="61"/>
      <c r="M65" s="61"/>
      <c r="N65" s="61"/>
      <c r="O65" s="61"/>
      <c r="P65" s="61"/>
      <c r="Q65" s="61"/>
      <c r="R65" s="8"/>
      <c r="S65" s="8"/>
      <c r="T65" s="8"/>
      <c r="U65" s="8"/>
      <c r="V65" s="8"/>
      <c r="W65" s="42"/>
      <c r="Y65" s="9"/>
      <c r="Z65" s="9"/>
      <c r="AA65" s="9"/>
      <c r="AB65" s="9"/>
      <c r="AC65" s="9"/>
      <c r="AD65" s="9"/>
      <c r="AE65" s="9"/>
      <c r="AF65" s="185"/>
      <c r="AG65" s="185"/>
      <c r="AH65" s="185"/>
      <c r="AI65" s="185"/>
      <c r="AJ65" s="185"/>
      <c r="AK65" s="185"/>
      <c r="AL65" s="185"/>
      <c r="AM65" s="185"/>
      <c r="AN65" s="185"/>
      <c r="AO65" s="185"/>
      <c r="AP65" s="185"/>
      <c r="AQ65" s="185"/>
      <c r="AR65" s="185"/>
      <c r="AS65" s="185"/>
      <c r="AT65" s="185"/>
      <c r="AU65" s="185"/>
      <c r="AV65" s="185"/>
    </row>
    <row r="66" spans="1:48" outlineLevel="1">
      <c r="A66" s="11"/>
      <c r="B66" s="11"/>
      <c r="C66" s="11"/>
      <c r="D66" s="11"/>
      <c r="E66" s="11"/>
      <c r="F66" s="39">
        <f>Asset26</f>
        <v>0</v>
      </c>
      <c r="G66" s="166"/>
      <c r="H66" s="61"/>
      <c r="I66" s="61"/>
      <c r="J66" s="61"/>
      <c r="K66" s="61"/>
      <c r="L66" s="61"/>
      <c r="M66" s="61"/>
      <c r="N66" s="61"/>
      <c r="O66" s="61"/>
      <c r="P66" s="61"/>
      <c r="Q66" s="61"/>
      <c r="R66" s="8"/>
      <c r="S66" s="8"/>
      <c r="T66" s="8"/>
      <c r="U66" s="8"/>
      <c r="V66" s="8"/>
      <c r="W66" s="42"/>
      <c r="Y66" s="9"/>
      <c r="Z66" s="9"/>
      <c r="AA66" s="9"/>
      <c r="AB66" s="9"/>
      <c r="AC66" s="9"/>
      <c r="AD66" s="9"/>
      <c r="AE66" s="9"/>
      <c r="AF66" s="185"/>
      <c r="AG66" s="185"/>
      <c r="AH66" s="185"/>
      <c r="AI66" s="185"/>
      <c r="AJ66" s="185"/>
      <c r="AK66" s="185"/>
      <c r="AL66" s="185"/>
      <c r="AM66" s="185"/>
      <c r="AN66" s="185"/>
      <c r="AO66" s="185"/>
      <c r="AP66" s="185"/>
      <c r="AQ66" s="185"/>
      <c r="AR66" s="185"/>
      <c r="AS66" s="185"/>
      <c r="AT66" s="185"/>
      <c r="AU66" s="185"/>
      <c r="AV66" s="185"/>
    </row>
    <row r="67" spans="1:48" outlineLevel="1">
      <c r="A67" s="11"/>
      <c r="B67" s="11"/>
      <c r="C67" s="11"/>
      <c r="D67" s="11"/>
      <c r="E67" s="11"/>
      <c r="F67" s="39">
        <f>Asset27</f>
        <v>0</v>
      </c>
      <c r="G67" s="166"/>
      <c r="H67" s="61"/>
      <c r="I67" s="61"/>
      <c r="J67" s="61"/>
      <c r="K67" s="61"/>
      <c r="L67" s="61"/>
      <c r="M67" s="61"/>
      <c r="N67" s="61"/>
      <c r="O67" s="61"/>
      <c r="P67" s="61"/>
      <c r="Q67" s="61"/>
      <c r="R67" s="8"/>
      <c r="S67" s="8"/>
      <c r="T67" s="8"/>
      <c r="U67" s="8"/>
      <c r="V67" s="8"/>
      <c r="W67" s="42"/>
      <c r="Y67" s="9"/>
      <c r="Z67" s="9"/>
      <c r="AA67" s="9"/>
      <c r="AB67" s="9"/>
      <c r="AC67" s="9"/>
      <c r="AD67" s="9"/>
      <c r="AE67" s="9"/>
      <c r="AF67" s="185"/>
      <c r="AG67" s="185"/>
      <c r="AH67" s="185"/>
      <c r="AI67" s="185"/>
      <c r="AJ67" s="185"/>
      <c r="AK67" s="185"/>
      <c r="AL67" s="185"/>
      <c r="AM67" s="185"/>
      <c r="AN67" s="185"/>
      <c r="AO67" s="185"/>
      <c r="AP67" s="185"/>
      <c r="AQ67" s="185"/>
      <c r="AR67" s="185"/>
      <c r="AS67" s="185"/>
      <c r="AT67" s="185"/>
      <c r="AU67" s="185"/>
      <c r="AV67" s="185"/>
    </row>
    <row r="68" spans="1:48" outlineLevel="1">
      <c r="A68" s="11"/>
      <c r="B68" s="11"/>
      <c r="C68" s="11"/>
      <c r="D68" s="11"/>
      <c r="E68" s="11"/>
      <c r="F68" s="39">
        <f>Asset28</f>
        <v>0</v>
      </c>
      <c r="G68" s="166"/>
      <c r="H68" s="61"/>
      <c r="I68" s="61"/>
      <c r="J68" s="61"/>
      <c r="K68" s="61"/>
      <c r="L68" s="61"/>
      <c r="M68" s="61"/>
      <c r="N68" s="61"/>
      <c r="O68" s="61"/>
      <c r="P68" s="61"/>
      <c r="Q68" s="61"/>
      <c r="R68" s="8"/>
      <c r="S68" s="8"/>
      <c r="T68" s="8"/>
      <c r="U68" s="8"/>
      <c r="V68" s="8"/>
      <c r="W68" s="42"/>
      <c r="Y68" s="9"/>
      <c r="Z68" s="9"/>
      <c r="AA68" s="9"/>
      <c r="AB68" s="9"/>
      <c r="AC68" s="9"/>
      <c r="AD68" s="9"/>
      <c r="AE68" s="9"/>
      <c r="AF68" s="185"/>
      <c r="AG68" s="185"/>
      <c r="AH68" s="185"/>
      <c r="AI68" s="185"/>
      <c r="AJ68" s="185"/>
      <c r="AK68" s="185"/>
      <c r="AL68" s="185"/>
      <c r="AM68" s="185"/>
      <c r="AN68" s="185"/>
      <c r="AO68" s="185"/>
      <c r="AP68" s="185"/>
      <c r="AQ68" s="185"/>
      <c r="AR68" s="185"/>
      <c r="AS68" s="185"/>
      <c r="AT68" s="185"/>
      <c r="AU68" s="185"/>
      <c r="AV68" s="185"/>
    </row>
    <row r="69" spans="1:48" outlineLevel="1">
      <c r="A69" s="11"/>
      <c r="B69" s="11"/>
      <c r="C69" s="11"/>
      <c r="D69" s="11"/>
      <c r="E69" s="11"/>
      <c r="F69" s="39">
        <f>Asset29</f>
        <v>0</v>
      </c>
      <c r="G69" s="166"/>
      <c r="H69" s="61"/>
      <c r="I69" s="61"/>
      <c r="J69" s="61"/>
      <c r="K69" s="61"/>
      <c r="L69" s="61"/>
      <c r="M69" s="61"/>
      <c r="N69" s="61"/>
      <c r="O69" s="61"/>
      <c r="P69" s="61"/>
      <c r="Q69" s="61"/>
      <c r="R69" s="8"/>
      <c r="S69" s="8"/>
      <c r="T69" s="8"/>
      <c r="U69" s="8"/>
      <c r="V69" s="8"/>
      <c r="W69" s="42"/>
      <c r="Y69" s="9"/>
      <c r="Z69" s="9"/>
      <c r="AA69" s="9"/>
      <c r="AB69" s="9"/>
      <c r="AC69" s="9"/>
      <c r="AD69" s="9"/>
      <c r="AE69" s="9"/>
      <c r="AF69" s="185"/>
      <c r="AG69" s="185"/>
      <c r="AH69" s="185"/>
      <c r="AI69" s="185"/>
      <c r="AJ69" s="185"/>
      <c r="AK69" s="185"/>
      <c r="AL69" s="185"/>
      <c r="AM69" s="185"/>
      <c r="AN69" s="185"/>
      <c r="AO69" s="185"/>
      <c r="AP69" s="185"/>
      <c r="AQ69" s="185"/>
      <c r="AR69" s="185"/>
      <c r="AS69" s="185"/>
      <c r="AT69" s="185"/>
      <c r="AU69" s="185"/>
      <c r="AV69" s="185"/>
    </row>
    <row r="70" spans="1:48" outlineLevel="1">
      <c r="A70" s="11"/>
      <c r="B70" s="11"/>
      <c r="C70" s="11"/>
      <c r="D70" s="11"/>
      <c r="E70" s="11"/>
      <c r="F70" s="39">
        <f>Asset30</f>
        <v>0</v>
      </c>
      <c r="G70" s="166"/>
      <c r="H70" s="61"/>
      <c r="I70" s="61"/>
      <c r="J70" s="61"/>
      <c r="K70" s="61"/>
      <c r="L70" s="61"/>
      <c r="M70" s="61"/>
      <c r="N70" s="61"/>
      <c r="O70" s="61"/>
      <c r="P70" s="61"/>
      <c r="Q70" s="61"/>
      <c r="R70" s="8"/>
      <c r="S70" s="8"/>
      <c r="T70" s="8"/>
      <c r="U70" s="8"/>
      <c r="V70" s="8"/>
      <c r="W70" s="42"/>
      <c r="Y70" s="9"/>
      <c r="Z70" s="9"/>
      <c r="AA70" s="9"/>
      <c r="AB70" s="9"/>
      <c r="AC70" s="9"/>
      <c r="AD70" s="9"/>
      <c r="AE70" s="9"/>
      <c r="AF70" s="185"/>
      <c r="AG70" s="185"/>
      <c r="AH70" s="185"/>
      <c r="AI70" s="185"/>
      <c r="AJ70" s="185"/>
      <c r="AK70" s="185"/>
      <c r="AL70" s="185"/>
      <c r="AM70" s="185"/>
      <c r="AN70" s="185"/>
      <c r="AO70" s="185"/>
      <c r="AP70" s="185"/>
      <c r="AQ70" s="185"/>
      <c r="AR70" s="185"/>
      <c r="AS70" s="185"/>
      <c r="AT70" s="185"/>
      <c r="AU70" s="185"/>
      <c r="AV70" s="185"/>
    </row>
    <row r="71" spans="1:48">
      <c r="A71" s="11"/>
      <c r="B71" s="11"/>
      <c r="C71" s="11"/>
      <c r="D71" s="11"/>
      <c r="E71" s="11"/>
      <c r="F71" s="39" t="s">
        <v>22</v>
      </c>
      <c r="G71" s="282">
        <f>SUM(G41:G70)</f>
        <v>97.239840616870097</v>
      </c>
      <c r="H71" s="282">
        <f>SUM(H41:H70)</f>
        <v>224.4696748641847</v>
      </c>
      <c r="I71" s="335">
        <f>SUM(I41:I70)</f>
        <v>265.23616774321806</v>
      </c>
      <c r="J71" s="282">
        <f>SUM(J41:J70)</f>
        <v>326.51053076261587</v>
      </c>
      <c r="K71" s="282">
        <f t="shared" ref="K71:Q71" si="2">SUM(K41:K70)</f>
        <v>207.52683432521948</v>
      </c>
      <c r="L71" s="282">
        <f t="shared" si="2"/>
        <v>159.52030867037095</v>
      </c>
      <c r="M71" s="242">
        <f t="shared" si="2"/>
        <v>0</v>
      </c>
      <c r="N71" s="242">
        <f t="shared" si="2"/>
        <v>0</v>
      </c>
      <c r="O71" s="242">
        <f t="shared" si="2"/>
        <v>0</v>
      </c>
      <c r="P71" s="242">
        <f t="shared" si="2"/>
        <v>0</v>
      </c>
      <c r="Q71" s="242">
        <f t="shared" si="2"/>
        <v>0</v>
      </c>
      <c r="R71" s="37"/>
      <c r="S71" s="37"/>
      <c r="T71" s="37"/>
      <c r="U71" s="37"/>
      <c r="V71" s="37"/>
      <c r="W71" s="37"/>
      <c r="Y71" s="46"/>
      <c r="Z71" s="8"/>
      <c r="AA71" s="8"/>
      <c r="AB71" s="42"/>
      <c r="AC71" s="9"/>
      <c r="AD71" s="9"/>
      <c r="AE71" s="9"/>
      <c r="AF71" s="185"/>
      <c r="AG71" s="185"/>
      <c r="AH71" s="185"/>
      <c r="AI71" s="185"/>
      <c r="AJ71" s="185"/>
      <c r="AK71" s="185"/>
      <c r="AL71" s="185"/>
      <c r="AM71" s="185"/>
      <c r="AN71" s="185"/>
      <c r="AO71" s="185"/>
      <c r="AP71" s="185"/>
      <c r="AQ71" s="185"/>
      <c r="AR71" s="185"/>
      <c r="AS71" s="185"/>
      <c r="AT71" s="185"/>
      <c r="AU71" s="185"/>
      <c r="AV71" s="185"/>
    </row>
    <row r="72" spans="1:48" ht="21" customHeight="1">
      <c r="A72" s="9"/>
      <c r="B72" s="9"/>
      <c r="C72" s="9"/>
      <c r="D72" s="9"/>
      <c r="E72" s="9"/>
      <c r="F72" s="9"/>
      <c r="G72" s="36"/>
      <c r="H72" s="36"/>
      <c r="I72" s="36"/>
      <c r="J72" s="36"/>
      <c r="K72" s="36"/>
      <c r="L72" s="36"/>
      <c r="M72" s="36"/>
      <c r="N72" s="9"/>
      <c r="O72" s="9"/>
      <c r="P72" s="9"/>
      <c r="Q72" s="9"/>
      <c r="R72" s="241">
        <f>SUM(G71:Q71)</f>
        <v>1280.5033569824791</v>
      </c>
      <c r="S72" s="9"/>
      <c r="T72" s="9"/>
      <c r="U72" s="9"/>
      <c r="V72" s="9"/>
      <c r="W72" s="9"/>
      <c r="Y72" s="9"/>
      <c r="Z72" s="9"/>
      <c r="AA72" s="9"/>
      <c r="AB72" s="18"/>
      <c r="AC72" s="9"/>
      <c r="AD72" s="9"/>
      <c r="AE72" s="9"/>
      <c r="AF72" s="185"/>
      <c r="AG72" s="185"/>
      <c r="AH72" s="185"/>
      <c r="AI72" s="185"/>
      <c r="AJ72" s="185"/>
      <c r="AK72" s="185"/>
      <c r="AL72" s="185"/>
      <c r="AM72" s="185"/>
      <c r="AN72" s="185"/>
      <c r="AO72" s="185"/>
      <c r="AP72" s="185"/>
      <c r="AQ72" s="185"/>
      <c r="AR72" s="185"/>
      <c r="AS72" s="185"/>
      <c r="AT72" s="185"/>
      <c r="AU72" s="185"/>
      <c r="AV72" s="185"/>
    </row>
    <row r="73" spans="1:48" ht="13.5" customHeight="1">
      <c r="A73" s="72"/>
      <c r="B73" s="72"/>
      <c r="C73" s="72"/>
      <c r="D73" s="72"/>
      <c r="E73" s="72"/>
      <c r="F73" s="159" t="s">
        <v>83</v>
      </c>
      <c r="G73" s="159"/>
      <c r="H73" s="159"/>
      <c r="I73" s="159"/>
      <c r="J73" s="159"/>
      <c r="K73" s="75"/>
      <c r="L73" s="75"/>
      <c r="M73" s="73"/>
      <c r="N73" s="73"/>
      <c r="O73" s="73"/>
      <c r="P73" s="73"/>
      <c r="Q73" s="73"/>
      <c r="R73" s="73"/>
      <c r="S73" s="73"/>
      <c r="T73" s="73"/>
      <c r="U73" s="73"/>
      <c r="V73" s="73"/>
      <c r="W73" s="73"/>
      <c r="Y73" s="8"/>
      <c r="Z73" s="8"/>
      <c r="AA73" s="8"/>
      <c r="AB73" s="8"/>
      <c r="AC73" s="42"/>
      <c r="AD73" s="9"/>
      <c r="AE73" s="9"/>
      <c r="AF73" s="185"/>
      <c r="AG73" s="185"/>
      <c r="AH73" s="185"/>
      <c r="AI73" s="185"/>
      <c r="AJ73" s="185"/>
      <c r="AK73" s="185"/>
      <c r="AL73" s="185"/>
      <c r="AM73" s="185"/>
      <c r="AN73" s="185"/>
      <c r="AO73" s="185"/>
      <c r="AP73" s="185"/>
      <c r="AQ73" s="185"/>
      <c r="AR73" s="185"/>
      <c r="AS73" s="185"/>
      <c r="AT73" s="185"/>
      <c r="AU73" s="185"/>
      <c r="AV73" s="185"/>
    </row>
    <row r="74" spans="1:48">
      <c r="A74" s="11"/>
      <c r="B74" s="11"/>
      <c r="C74" s="11"/>
      <c r="D74" s="11"/>
      <c r="E74" s="11"/>
      <c r="F74" s="38" t="s">
        <v>5</v>
      </c>
      <c r="G74" s="240" t="str">
        <f>G40</f>
        <v>2008-09</v>
      </c>
      <c r="H74" s="240" t="str">
        <f t="shared" ref="H74:Q74" si="3">H40</f>
        <v>2009-10</v>
      </c>
      <c r="I74" s="240" t="str">
        <f t="shared" si="3"/>
        <v>2010-11</v>
      </c>
      <c r="J74" s="240" t="str">
        <f t="shared" si="3"/>
        <v>2011-12</v>
      </c>
      <c r="K74" s="240" t="str">
        <f t="shared" si="3"/>
        <v>2012-13</v>
      </c>
      <c r="L74" s="240" t="str">
        <f t="shared" si="3"/>
        <v>2013-14</v>
      </c>
      <c r="M74" s="240" t="str">
        <f t="shared" si="3"/>
        <v>2014-15</v>
      </c>
      <c r="N74" s="240" t="str">
        <f t="shared" si="3"/>
        <v>2015-16</v>
      </c>
      <c r="O74" s="240" t="str">
        <f t="shared" si="3"/>
        <v>2016-17</v>
      </c>
      <c r="P74" s="240" t="str">
        <f t="shared" si="3"/>
        <v>2017-18</v>
      </c>
      <c r="Q74" s="240" t="str">
        <f t="shared" si="3"/>
        <v>2018-19</v>
      </c>
      <c r="R74" s="8"/>
      <c r="S74" s="8"/>
      <c r="T74" s="8"/>
      <c r="U74" s="8"/>
      <c r="V74" s="8"/>
      <c r="W74" s="42"/>
      <c r="Y74" s="9"/>
      <c r="Z74" s="9"/>
      <c r="AA74" s="9"/>
      <c r="AB74" s="9"/>
      <c r="AC74" s="9"/>
      <c r="AD74" s="9"/>
      <c r="AE74" s="9"/>
      <c r="AF74" s="185"/>
      <c r="AG74" s="185"/>
      <c r="AH74" s="185"/>
      <c r="AI74" s="185"/>
      <c r="AJ74" s="185"/>
      <c r="AK74" s="185"/>
      <c r="AL74" s="185"/>
      <c r="AM74" s="185"/>
      <c r="AN74" s="185"/>
      <c r="AO74" s="185"/>
      <c r="AP74" s="185"/>
      <c r="AQ74" s="185"/>
      <c r="AR74" s="185"/>
      <c r="AS74" s="185"/>
      <c r="AT74" s="185"/>
      <c r="AU74" s="185"/>
      <c r="AV74" s="185"/>
    </row>
    <row r="75" spans="1:48" outlineLevel="1">
      <c r="A75" s="11"/>
      <c r="B75" s="11"/>
      <c r="C75" s="11"/>
      <c r="D75" s="11"/>
      <c r="E75" s="11"/>
      <c r="F75" s="39" t="str">
        <f>Asset1</f>
        <v>Transmission &amp; Zone land &amp; easements</v>
      </c>
      <c r="G75" s="331">
        <v>3.5424200000000001E-3</v>
      </c>
      <c r="H75" s="332">
        <v>0</v>
      </c>
      <c r="I75" s="332">
        <v>0</v>
      </c>
      <c r="J75" s="332">
        <v>0</v>
      </c>
      <c r="K75" s="332">
        <v>1.6344000000000001E-2</v>
      </c>
      <c r="L75" s="332">
        <v>0</v>
      </c>
      <c r="M75" s="60"/>
      <c r="N75" s="60"/>
      <c r="O75" s="60"/>
      <c r="P75" s="60"/>
      <c r="Q75" s="60"/>
      <c r="R75" s="8"/>
      <c r="S75" s="8"/>
      <c r="T75" s="8"/>
      <c r="U75" s="8"/>
      <c r="V75" s="8"/>
      <c r="W75" s="42"/>
      <c r="Y75" s="9"/>
      <c r="Z75" s="9"/>
      <c r="AA75" s="9"/>
      <c r="AB75" s="9"/>
      <c r="AC75" s="9"/>
      <c r="AD75" s="9"/>
      <c r="AE75" s="9"/>
      <c r="AF75" s="185"/>
      <c r="AG75" s="185"/>
      <c r="AH75" s="185"/>
      <c r="AI75" s="185"/>
      <c r="AJ75" s="185"/>
      <c r="AK75" s="185"/>
      <c r="AL75" s="185"/>
      <c r="AM75" s="185"/>
      <c r="AN75" s="185"/>
      <c r="AO75" s="185"/>
      <c r="AP75" s="185"/>
      <c r="AQ75" s="185"/>
      <c r="AR75" s="185"/>
      <c r="AS75" s="185"/>
      <c r="AT75" s="185"/>
      <c r="AU75" s="185"/>
      <c r="AV75" s="185"/>
    </row>
    <row r="76" spans="1:48" outlineLevel="1">
      <c r="A76" s="11"/>
      <c r="B76" s="11"/>
      <c r="C76" s="11"/>
      <c r="D76" s="11"/>
      <c r="E76" s="11"/>
      <c r="F76" s="39" t="str">
        <f>Asset2</f>
        <v>Transmission buildings 132/66kV</v>
      </c>
      <c r="G76" s="333">
        <v>0</v>
      </c>
      <c r="H76" s="334">
        <v>0</v>
      </c>
      <c r="I76" s="334">
        <v>0</v>
      </c>
      <c r="J76" s="334">
        <v>0</v>
      </c>
      <c r="K76" s="334">
        <v>0</v>
      </c>
      <c r="L76" s="334">
        <v>0</v>
      </c>
      <c r="M76" s="61"/>
      <c r="N76" s="61"/>
      <c r="O76" s="61"/>
      <c r="P76" s="61"/>
      <c r="Q76" s="61"/>
      <c r="R76" s="8"/>
      <c r="S76" s="8"/>
      <c r="T76" s="8"/>
      <c r="U76" s="8"/>
      <c r="V76" s="8"/>
      <c r="W76" s="42"/>
      <c r="Y76" s="9"/>
      <c r="Z76" s="9"/>
      <c r="AA76" s="9"/>
      <c r="AB76" s="9"/>
      <c r="AC76" s="9"/>
      <c r="AD76" s="9"/>
      <c r="AE76" s="9"/>
      <c r="AF76" s="185"/>
      <c r="AG76" s="185"/>
      <c r="AH76" s="185"/>
      <c r="AI76" s="185"/>
      <c r="AJ76" s="185"/>
      <c r="AK76" s="185"/>
      <c r="AL76" s="185"/>
      <c r="AM76" s="185"/>
      <c r="AN76" s="185"/>
      <c r="AO76" s="185"/>
      <c r="AP76" s="185"/>
      <c r="AQ76" s="185"/>
      <c r="AR76" s="185"/>
      <c r="AS76" s="185"/>
      <c r="AT76" s="185"/>
      <c r="AU76" s="185"/>
      <c r="AV76" s="185"/>
    </row>
    <row r="77" spans="1:48" outlineLevel="1">
      <c r="A77" s="11"/>
      <c r="B77" s="11"/>
      <c r="C77" s="11"/>
      <c r="D77" s="11"/>
      <c r="E77" s="11"/>
      <c r="F77" s="39" t="str">
        <f>Asset3</f>
        <v>Zone buildings 132/66kV</v>
      </c>
      <c r="G77" s="333">
        <v>0</v>
      </c>
      <c r="H77" s="334">
        <v>0</v>
      </c>
      <c r="I77" s="334">
        <v>0</v>
      </c>
      <c r="J77" s="334">
        <v>0</v>
      </c>
      <c r="K77" s="334">
        <v>0.70490706000000003</v>
      </c>
      <c r="L77" s="334">
        <v>0</v>
      </c>
      <c r="M77" s="61"/>
      <c r="N77" s="61"/>
      <c r="O77" s="61"/>
      <c r="P77" s="61"/>
      <c r="Q77" s="61"/>
      <c r="R77" s="8"/>
      <c r="S77" s="8"/>
      <c r="T77" s="8"/>
      <c r="U77" s="8"/>
      <c r="V77" s="8"/>
      <c r="W77" s="42"/>
      <c r="Y77" s="9"/>
      <c r="Z77" s="9"/>
      <c r="AA77" s="9"/>
      <c r="AB77" s="9"/>
      <c r="AC77" s="9"/>
      <c r="AD77" s="9"/>
      <c r="AE77" s="9"/>
      <c r="AF77" s="185"/>
      <c r="AG77" s="185"/>
      <c r="AH77" s="185"/>
      <c r="AI77" s="185"/>
      <c r="AJ77" s="185"/>
      <c r="AK77" s="185"/>
      <c r="AL77" s="185"/>
      <c r="AM77" s="185"/>
      <c r="AN77" s="185"/>
      <c r="AO77" s="185"/>
      <c r="AP77" s="185"/>
      <c r="AQ77" s="185"/>
      <c r="AR77" s="185"/>
      <c r="AS77" s="185"/>
      <c r="AT77" s="185"/>
      <c r="AU77" s="185"/>
      <c r="AV77" s="185"/>
    </row>
    <row r="78" spans="1:48" outlineLevel="1">
      <c r="A78" s="11"/>
      <c r="B78" s="11"/>
      <c r="C78" s="11"/>
      <c r="D78" s="11"/>
      <c r="E78" s="11"/>
      <c r="F78" s="39" t="str">
        <f>Asset4</f>
        <v>Transmission transformers 132/66kV</v>
      </c>
      <c r="G78" s="333">
        <v>0</v>
      </c>
      <c r="H78" s="334">
        <v>9.5750500000000002E-2</v>
      </c>
      <c r="I78" s="334">
        <v>0.12490254999999999</v>
      </c>
      <c r="J78" s="334">
        <v>0.31329512999999998</v>
      </c>
      <c r="K78" s="334">
        <v>0.5397723499999999</v>
      </c>
      <c r="L78" s="334">
        <v>0</v>
      </c>
      <c r="M78" s="61"/>
      <c r="N78" s="61"/>
      <c r="O78" s="61"/>
      <c r="P78" s="61"/>
      <c r="Q78" s="61"/>
      <c r="R78" s="8"/>
      <c r="S78" s="8"/>
      <c r="T78" s="8"/>
      <c r="U78" s="8"/>
      <c r="V78" s="8"/>
      <c r="W78" s="42"/>
      <c r="Y78" s="9"/>
      <c r="Z78" s="9"/>
      <c r="AA78" s="9"/>
      <c r="AB78" s="9"/>
      <c r="AC78" s="9"/>
      <c r="AD78" s="9"/>
      <c r="AE78" s="9"/>
      <c r="AF78" s="185"/>
      <c r="AG78" s="185"/>
      <c r="AH78" s="185"/>
      <c r="AI78" s="185"/>
      <c r="AJ78" s="185"/>
      <c r="AK78" s="185"/>
      <c r="AL78" s="185"/>
      <c r="AM78" s="185"/>
      <c r="AN78" s="185"/>
      <c r="AO78" s="185"/>
      <c r="AP78" s="185"/>
      <c r="AQ78" s="185"/>
      <c r="AR78" s="185"/>
      <c r="AS78" s="185"/>
      <c r="AT78" s="185"/>
      <c r="AU78" s="185"/>
      <c r="AV78" s="185"/>
    </row>
    <row r="79" spans="1:48" outlineLevel="1">
      <c r="A79" s="11"/>
      <c r="B79" s="11"/>
      <c r="C79" s="11"/>
      <c r="D79" s="11"/>
      <c r="E79" s="11"/>
      <c r="F79" s="39" t="str">
        <f>Asset5</f>
        <v>Zone transformers 132/66kV</v>
      </c>
      <c r="G79" s="333">
        <v>0</v>
      </c>
      <c r="H79" s="334">
        <v>0</v>
      </c>
      <c r="I79" s="334">
        <v>0</v>
      </c>
      <c r="J79" s="334">
        <v>0</v>
      </c>
      <c r="K79" s="334">
        <v>0</v>
      </c>
      <c r="L79" s="334">
        <v>0</v>
      </c>
      <c r="M79" s="61"/>
      <c r="N79" s="61"/>
      <c r="O79" s="61"/>
      <c r="P79" s="61"/>
      <c r="Q79" s="61"/>
      <c r="R79" s="8"/>
      <c r="S79" s="8"/>
      <c r="T79" s="8"/>
      <c r="U79" s="8"/>
      <c r="V79" s="8"/>
      <c r="W79" s="42"/>
      <c r="Y79" s="9"/>
      <c r="Z79" s="9"/>
      <c r="AA79" s="9"/>
      <c r="AB79" s="9"/>
      <c r="AC79" s="9"/>
      <c r="AD79" s="9"/>
      <c r="AE79" s="9"/>
      <c r="AF79" s="185"/>
      <c r="AG79" s="185"/>
      <c r="AH79" s="185"/>
      <c r="AI79" s="185"/>
      <c r="AJ79" s="185"/>
      <c r="AK79" s="185"/>
      <c r="AL79" s="185"/>
      <c r="AM79" s="185"/>
      <c r="AN79" s="185"/>
      <c r="AO79" s="185"/>
      <c r="AP79" s="185"/>
      <c r="AQ79" s="185"/>
      <c r="AR79" s="185"/>
      <c r="AS79" s="185"/>
      <c r="AT79" s="185"/>
      <c r="AU79" s="185"/>
      <c r="AV79" s="185"/>
    </row>
    <row r="80" spans="1:48" outlineLevel="1">
      <c r="A80" s="11"/>
      <c r="B80" s="11"/>
      <c r="C80" s="11"/>
      <c r="D80" s="11"/>
      <c r="E80" s="11"/>
      <c r="F80" s="39" t="str">
        <f>Asset6</f>
        <v>Transmission substation equip 132/66kV</v>
      </c>
      <c r="G80" s="333">
        <v>0</v>
      </c>
      <c r="H80" s="334">
        <v>0</v>
      </c>
      <c r="I80" s="334">
        <v>0</v>
      </c>
      <c r="J80" s="334">
        <v>0</v>
      </c>
      <c r="K80" s="334">
        <v>0</v>
      </c>
      <c r="L80" s="334">
        <v>0</v>
      </c>
      <c r="M80" s="61"/>
      <c r="N80" s="61"/>
      <c r="O80" s="61"/>
      <c r="P80" s="61"/>
      <c r="Q80" s="61"/>
      <c r="R80" s="8"/>
      <c r="S80" s="316"/>
      <c r="T80" s="8"/>
      <c r="U80" s="8"/>
      <c r="V80" s="8"/>
      <c r="W80" s="42"/>
      <c r="Y80" s="9"/>
      <c r="Z80" s="9"/>
      <c r="AA80" s="9"/>
      <c r="AB80" s="9"/>
      <c r="AC80" s="9"/>
      <c r="AD80" s="9"/>
      <c r="AE80" s="9"/>
      <c r="AF80" s="185"/>
      <c r="AG80" s="185"/>
      <c r="AH80" s="185"/>
      <c r="AI80" s="185"/>
      <c r="AJ80" s="185"/>
      <c r="AK80" s="185"/>
      <c r="AL80" s="185"/>
      <c r="AM80" s="185"/>
      <c r="AN80" s="185"/>
      <c r="AO80" s="185"/>
      <c r="AP80" s="185"/>
      <c r="AQ80" s="185"/>
      <c r="AR80" s="185"/>
      <c r="AS80" s="185"/>
      <c r="AT80" s="185"/>
      <c r="AU80" s="185"/>
      <c r="AV80" s="185"/>
    </row>
    <row r="81" spans="1:48" outlineLevel="1">
      <c r="A81" s="11"/>
      <c r="B81" s="11"/>
      <c r="C81" s="11"/>
      <c r="D81" s="11"/>
      <c r="E81" s="11"/>
      <c r="F81" s="39" t="str">
        <f>Asset7</f>
        <v>Zone substation equip 132/66kV</v>
      </c>
      <c r="G81" s="333">
        <v>0</v>
      </c>
      <c r="H81" s="334">
        <v>0</v>
      </c>
      <c r="I81" s="334">
        <v>0</v>
      </c>
      <c r="J81" s="334">
        <v>0</v>
      </c>
      <c r="K81" s="334">
        <v>0</v>
      </c>
      <c r="L81" s="334">
        <v>0</v>
      </c>
      <c r="M81" s="61"/>
      <c r="N81" s="61"/>
      <c r="O81" s="61"/>
      <c r="P81" s="61"/>
      <c r="Q81" s="61"/>
      <c r="R81" s="8"/>
      <c r="S81" s="8"/>
      <c r="T81" s="8"/>
      <c r="U81" s="8"/>
      <c r="V81" s="8"/>
      <c r="W81" s="42"/>
      <c r="Y81" s="9"/>
      <c r="Z81" s="9"/>
      <c r="AA81" s="9"/>
      <c r="AB81" s="9"/>
      <c r="AC81" s="9"/>
      <c r="AD81" s="9"/>
      <c r="AE81" s="9"/>
      <c r="AF81" s="185"/>
      <c r="AG81" s="185"/>
      <c r="AH81" s="185"/>
      <c r="AI81" s="185"/>
      <c r="AJ81" s="185"/>
      <c r="AK81" s="185"/>
      <c r="AL81" s="185"/>
      <c r="AM81" s="185"/>
      <c r="AN81" s="185"/>
      <c r="AO81" s="185"/>
      <c r="AP81" s="185"/>
      <c r="AQ81" s="185"/>
      <c r="AR81" s="185"/>
      <c r="AS81" s="185"/>
      <c r="AT81" s="185"/>
      <c r="AU81" s="185"/>
      <c r="AV81" s="185"/>
    </row>
    <row r="82" spans="1:48" outlineLevel="1">
      <c r="A82" s="11"/>
      <c r="B82" s="11"/>
      <c r="C82" s="11"/>
      <c r="D82" s="11"/>
      <c r="E82" s="11"/>
      <c r="F82" s="39" t="str">
        <f>Asset8</f>
        <v>Transmission &amp; Zone emergency spares</v>
      </c>
      <c r="G82" s="333">
        <v>0</v>
      </c>
      <c r="H82" s="334">
        <v>0</v>
      </c>
      <c r="I82" s="334">
        <v>0</v>
      </c>
      <c r="J82" s="334">
        <v>0</v>
      </c>
      <c r="K82" s="334">
        <v>0</v>
      </c>
      <c r="L82" s="334">
        <v>0</v>
      </c>
      <c r="M82" s="61"/>
      <c r="N82" s="61"/>
      <c r="O82" s="61"/>
      <c r="P82" s="61"/>
      <c r="Q82" s="61"/>
      <c r="R82" s="8"/>
      <c r="S82" s="8"/>
      <c r="T82" s="8"/>
      <c r="U82" s="8"/>
      <c r="V82" s="8"/>
      <c r="W82" s="42"/>
      <c r="Y82" s="9"/>
      <c r="Z82" s="9"/>
      <c r="AA82" s="9"/>
      <c r="AB82" s="9"/>
      <c r="AC82" s="9"/>
      <c r="AD82" s="9"/>
      <c r="AE82" s="9"/>
      <c r="AF82" s="185"/>
      <c r="AG82" s="185"/>
      <c r="AH82" s="185"/>
      <c r="AI82" s="185"/>
      <c r="AJ82" s="185"/>
      <c r="AK82" s="185"/>
      <c r="AL82" s="185"/>
      <c r="AM82" s="185"/>
      <c r="AN82" s="185"/>
      <c r="AO82" s="185"/>
      <c r="AP82" s="185"/>
      <c r="AQ82" s="185"/>
      <c r="AR82" s="185"/>
      <c r="AS82" s="185"/>
      <c r="AT82" s="185"/>
      <c r="AU82" s="185"/>
      <c r="AV82" s="185"/>
    </row>
    <row r="83" spans="1:48" outlineLevel="1">
      <c r="A83" s="11"/>
      <c r="B83" s="11"/>
      <c r="C83" s="11"/>
      <c r="D83" s="11"/>
      <c r="E83" s="11"/>
      <c r="F83" s="39" t="str">
        <f>Asset9</f>
        <v>Ancillary substation equipment (tx)</v>
      </c>
      <c r="G83" s="333">
        <v>0</v>
      </c>
      <c r="H83" s="334">
        <v>0</v>
      </c>
      <c r="I83" s="334">
        <v>0</v>
      </c>
      <c r="J83" s="334">
        <v>0</v>
      </c>
      <c r="K83" s="334">
        <v>0</v>
      </c>
      <c r="L83" s="334">
        <v>0</v>
      </c>
      <c r="M83" s="61"/>
      <c r="N83" s="314"/>
      <c r="O83" s="61"/>
      <c r="P83" s="61"/>
      <c r="Q83" s="61"/>
      <c r="R83" s="8"/>
      <c r="S83" s="8"/>
      <c r="T83" s="8"/>
      <c r="U83" s="8"/>
      <c r="V83" s="8"/>
      <c r="W83" s="42"/>
      <c r="Y83" s="9"/>
      <c r="Z83" s="9"/>
      <c r="AA83" s="9"/>
      <c r="AB83" s="9"/>
      <c r="AC83" s="9"/>
      <c r="AD83" s="9"/>
      <c r="AE83" s="9"/>
      <c r="AF83" s="185"/>
      <c r="AG83" s="185"/>
      <c r="AH83" s="185"/>
      <c r="AI83" s="185"/>
      <c r="AJ83" s="185"/>
      <c r="AK83" s="185"/>
      <c r="AL83" s="185"/>
      <c r="AM83" s="185"/>
      <c r="AN83" s="185"/>
      <c r="AO83" s="185"/>
      <c r="AP83" s="185"/>
      <c r="AQ83" s="185"/>
      <c r="AR83" s="185"/>
      <c r="AS83" s="185"/>
      <c r="AT83" s="185"/>
      <c r="AU83" s="185"/>
      <c r="AV83" s="185"/>
    </row>
    <row r="84" spans="1:48" outlineLevel="1">
      <c r="A84" s="11"/>
      <c r="B84" s="11"/>
      <c r="C84" s="11"/>
      <c r="D84" s="11"/>
      <c r="E84" s="11"/>
      <c r="F84" s="39" t="str">
        <f>Asset10</f>
        <v>132kV tower lines</v>
      </c>
      <c r="G84" s="333">
        <v>0</v>
      </c>
      <c r="H84" s="334">
        <v>0</v>
      </c>
      <c r="I84" s="334">
        <v>0</v>
      </c>
      <c r="J84" s="334">
        <v>0</v>
      </c>
      <c r="K84" s="334">
        <v>1.30321219</v>
      </c>
      <c r="L84" s="334">
        <v>0</v>
      </c>
      <c r="M84" s="61"/>
      <c r="N84" s="61"/>
      <c r="O84" s="61"/>
      <c r="P84" s="61"/>
      <c r="Q84" s="61"/>
      <c r="R84" s="8"/>
      <c r="S84" s="8"/>
      <c r="T84" s="8"/>
      <c r="U84" s="8"/>
      <c r="V84" s="8"/>
      <c r="W84" s="42"/>
      <c r="Y84" s="9"/>
      <c r="Z84" s="9"/>
      <c r="AA84" s="9"/>
      <c r="AB84" s="9"/>
      <c r="AC84" s="9"/>
      <c r="AD84" s="9"/>
      <c r="AE84" s="9"/>
      <c r="AF84" s="185"/>
      <c r="AG84" s="185"/>
      <c r="AH84" s="185"/>
      <c r="AI84" s="185"/>
      <c r="AJ84" s="185"/>
      <c r="AK84" s="185"/>
      <c r="AL84" s="185"/>
      <c r="AM84" s="185"/>
      <c r="AN84" s="185"/>
      <c r="AO84" s="185"/>
      <c r="AP84" s="185"/>
      <c r="AQ84" s="185"/>
      <c r="AR84" s="185"/>
      <c r="AS84" s="185"/>
      <c r="AT84" s="185"/>
      <c r="AU84" s="185"/>
      <c r="AV84" s="185"/>
    </row>
    <row r="85" spans="1:48" outlineLevel="1">
      <c r="A85" s="11"/>
      <c r="B85" s="11"/>
      <c r="C85" s="11"/>
      <c r="D85" s="11"/>
      <c r="E85" s="11"/>
      <c r="F85" s="39" t="str">
        <f>Asset11</f>
        <v>132kV concrete &amp; steel pole lines</v>
      </c>
      <c r="G85" s="333">
        <v>0</v>
      </c>
      <c r="H85" s="334">
        <v>0</v>
      </c>
      <c r="I85" s="334">
        <v>0</v>
      </c>
      <c r="J85" s="334">
        <v>0</v>
      </c>
      <c r="K85" s="334">
        <v>1.7813139499999999</v>
      </c>
      <c r="L85" s="334">
        <v>0</v>
      </c>
      <c r="M85" s="61"/>
      <c r="N85" s="61"/>
      <c r="O85" s="61"/>
      <c r="P85" s="61"/>
      <c r="Q85" s="61"/>
      <c r="R85" s="8"/>
      <c r="S85" s="8"/>
      <c r="T85" s="8"/>
      <c r="U85" s="8"/>
      <c r="V85" s="8"/>
      <c r="W85" s="42"/>
      <c r="Y85" s="9"/>
      <c r="Z85" s="9"/>
      <c r="AA85" s="9"/>
      <c r="AB85" s="9"/>
      <c r="AC85" s="9"/>
      <c r="AD85" s="9"/>
      <c r="AE85" s="9"/>
      <c r="AF85" s="185"/>
      <c r="AG85" s="185"/>
      <c r="AH85" s="185"/>
      <c r="AI85" s="185"/>
      <c r="AJ85" s="185"/>
      <c r="AK85" s="185"/>
      <c r="AL85" s="185"/>
      <c r="AM85" s="185"/>
      <c r="AN85" s="185"/>
      <c r="AO85" s="185"/>
      <c r="AP85" s="185"/>
      <c r="AQ85" s="185"/>
      <c r="AR85" s="185"/>
      <c r="AS85" s="185"/>
      <c r="AT85" s="185"/>
      <c r="AU85" s="185"/>
      <c r="AV85" s="185"/>
    </row>
    <row r="86" spans="1:48" outlineLevel="1">
      <c r="A86" s="11"/>
      <c r="B86" s="11"/>
      <c r="C86" s="11"/>
      <c r="D86" s="11"/>
      <c r="E86" s="11"/>
      <c r="F86" s="39" t="str">
        <f>Asset12</f>
        <v>132kV wood pole lines</v>
      </c>
      <c r="G86" s="333">
        <v>0</v>
      </c>
      <c r="H86" s="334">
        <v>0</v>
      </c>
      <c r="I86" s="334">
        <v>0</v>
      </c>
      <c r="J86" s="334">
        <v>0</v>
      </c>
      <c r="K86" s="334">
        <v>0</v>
      </c>
      <c r="L86" s="334">
        <v>0</v>
      </c>
      <c r="M86" s="61"/>
      <c r="N86" s="61"/>
      <c r="O86" s="61"/>
      <c r="P86" s="61"/>
      <c r="Q86" s="61"/>
      <c r="R86" s="8"/>
      <c r="S86" s="8"/>
      <c r="T86" s="8"/>
      <c r="U86" s="8"/>
      <c r="V86" s="8"/>
      <c r="W86" s="42"/>
      <c r="Y86" s="9"/>
      <c r="Z86" s="9"/>
      <c r="AA86" s="9"/>
      <c r="AB86" s="9"/>
      <c r="AC86" s="9"/>
      <c r="AD86" s="9"/>
      <c r="AE86" s="9"/>
      <c r="AF86" s="185"/>
      <c r="AG86" s="185"/>
      <c r="AH86" s="185"/>
      <c r="AI86" s="185"/>
      <c r="AJ86" s="185"/>
      <c r="AK86" s="185"/>
      <c r="AL86" s="185"/>
      <c r="AM86" s="185"/>
      <c r="AN86" s="185"/>
      <c r="AO86" s="185"/>
      <c r="AP86" s="185"/>
      <c r="AQ86" s="185"/>
      <c r="AR86" s="185"/>
      <c r="AS86" s="185"/>
      <c r="AT86" s="185"/>
      <c r="AU86" s="185"/>
      <c r="AV86" s="185"/>
    </row>
    <row r="87" spans="1:48" outlineLevel="1">
      <c r="A87" s="11"/>
      <c r="B87" s="11"/>
      <c r="C87" s="11"/>
      <c r="D87" s="11"/>
      <c r="E87" s="11"/>
      <c r="F87" s="39" t="str">
        <f>Asset13</f>
        <v>132kV feeders underground</v>
      </c>
      <c r="G87" s="333">
        <v>0</v>
      </c>
      <c r="H87" s="334">
        <v>0</v>
      </c>
      <c r="I87" s="334">
        <v>0</v>
      </c>
      <c r="J87" s="334">
        <v>0</v>
      </c>
      <c r="K87" s="334">
        <v>0</v>
      </c>
      <c r="L87" s="334">
        <v>0</v>
      </c>
      <c r="M87" s="61"/>
      <c r="N87" s="61"/>
      <c r="O87" s="61"/>
      <c r="P87" s="61"/>
      <c r="Q87" s="61"/>
      <c r="R87" s="8"/>
      <c r="S87" s="8"/>
      <c r="T87" s="8"/>
      <c r="U87" s="8"/>
      <c r="V87" s="8"/>
      <c r="W87" s="42"/>
      <c r="Y87" s="9"/>
      <c r="Z87" s="9"/>
      <c r="AA87" s="9"/>
      <c r="AB87" s="9"/>
      <c r="AC87" s="9"/>
      <c r="AD87" s="9"/>
      <c r="AE87" s="9"/>
      <c r="AF87" s="185"/>
      <c r="AG87" s="185"/>
      <c r="AH87" s="185"/>
      <c r="AI87" s="185"/>
      <c r="AJ87" s="185"/>
      <c r="AK87" s="185"/>
      <c r="AL87" s="185"/>
      <c r="AM87" s="185"/>
      <c r="AN87" s="185"/>
      <c r="AO87" s="185"/>
      <c r="AP87" s="185"/>
      <c r="AQ87" s="185"/>
      <c r="AR87" s="185"/>
      <c r="AS87" s="185"/>
      <c r="AT87" s="185"/>
      <c r="AU87" s="185"/>
      <c r="AV87" s="185"/>
    </row>
    <row r="88" spans="1:48" outlineLevel="1">
      <c r="A88" s="11"/>
      <c r="B88" s="11"/>
      <c r="C88" s="11"/>
      <c r="D88" s="11"/>
      <c r="E88" s="11"/>
      <c r="F88" s="39" t="str">
        <f>Asset14</f>
        <v>Cable tunnel (tx)</v>
      </c>
      <c r="G88" s="333">
        <v>0</v>
      </c>
      <c r="H88" s="334">
        <v>0</v>
      </c>
      <c r="I88" s="334">
        <v>0</v>
      </c>
      <c r="J88" s="334">
        <v>0</v>
      </c>
      <c r="K88" s="334">
        <v>0</v>
      </c>
      <c r="L88" s="334">
        <v>0</v>
      </c>
      <c r="M88" s="61"/>
      <c r="N88" s="61"/>
      <c r="O88" s="61"/>
      <c r="P88" s="61"/>
      <c r="Q88" s="61"/>
      <c r="R88" s="8"/>
      <c r="S88" s="8"/>
      <c r="T88" s="8"/>
      <c r="U88" s="8"/>
      <c r="V88" s="8"/>
      <c r="W88" s="42"/>
      <c r="Y88" s="9"/>
      <c r="Z88" s="9"/>
      <c r="AA88" s="9"/>
      <c r="AB88" s="9"/>
      <c r="AC88" s="9"/>
      <c r="AD88" s="9"/>
      <c r="AE88" s="9"/>
      <c r="AF88" s="185"/>
      <c r="AG88" s="185"/>
      <c r="AH88" s="185"/>
      <c r="AI88" s="185"/>
      <c r="AJ88" s="185"/>
      <c r="AK88" s="185"/>
      <c r="AL88" s="185"/>
      <c r="AM88" s="185"/>
      <c r="AN88" s="185"/>
      <c r="AO88" s="185"/>
      <c r="AP88" s="185"/>
      <c r="AQ88" s="185"/>
      <c r="AR88" s="185"/>
      <c r="AS88" s="185"/>
      <c r="AT88" s="185"/>
      <c r="AU88" s="185"/>
      <c r="AV88" s="185"/>
    </row>
    <row r="89" spans="1:48" outlineLevel="1">
      <c r="A89" s="11"/>
      <c r="B89" s="11"/>
      <c r="C89" s="11"/>
      <c r="D89" s="11"/>
      <c r="E89" s="11"/>
      <c r="F89" s="39" t="str">
        <f>Asset15</f>
        <v>Network control &amp; com systems</v>
      </c>
      <c r="G89" s="333">
        <v>0</v>
      </c>
      <c r="H89" s="334">
        <v>0</v>
      </c>
      <c r="I89" s="334">
        <v>0</v>
      </c>
      <c r="J89" s="334">
        <v>0</v>
      </c>
      <c r="K89" s="334">
        <v>0</v>
      </c>
      <c r="L89" s="334">
        <v>0</v>
      </c>
      <c r="M89" s="61"/>
      <c r="N89" s="61"/>
      <c r="O89" s="61"/>
      <c r="P89" s="61"/>
      <c r="Q89" s="61"/>
      <c r="R89" s="8"/>
      <c r="S89" s="8"/>
      <c r="T89" s="8"/>
      <c r="U89" s="8"/>
      <c r="V89" s="8"/>
      <c r="W89" s="42"/>
      <c r="Y89" s="9"/>
      <c r="Z89" s="9"/>
      <c r="AA89" s="9"/>
      <c r="AB89" s="9"/>
      <c r="AC89" s="9"/>
      <c r="AD89" s="9"/>
      <c r="AE89" s="9"/>
      <c r="AF89" s="185"/>
      <c r="AG89" s="185"/>
      <c r="AH89" s="185"/>
      <c r="AI89" s="185"/>
      <c r="AJ89" s="185"/>
      <c r="AK89" s="185"/>
      <c r="AL89" s="185"/>
      <c r="AM89" s="185"/>
      <c r="AN89" s="185"/>
      <c r="AO89" s="185"/>
      <c r="AP89" s="185"/>
      <c r="AQ89" s="185"/>
      <c r="AR89" s="185"/>
      <c r="AS89" s="185"/>
      <c r="AT89" s="185"/>
      <c r="AU89" s="185"/>
      <c r="AV89" s="185"/>
    </row>
    <row r="90" spans="1:48" outlineLevel="1">
      <c r="A90" s="11"/>
      <c r="B90" s="11"/>
      <c r="C90" s="11"/>
      <c r="D90" s="11"/>
      <c r="E90" s="11"/>
      <c r="F90" s="39" t="str">
        <f>Asset16</f>
        <v>Communications (digital) - tx</v>
      </c>
      <c r="G90" s="333">
        <v>0</v>
      </c>
      <c r="H90" s="334">
        <v>0</v>
      </c>
      <c r="I90" s="334">
        <v>0</v>
      </c>
      <c r="J90" s="334">
        <v>0</v>
      </c>
      <c r="K90" s="334">
        <v>0</v>
      </c>
      <c r="L90" s="334">
        <v>0</v>
      </c>
      <c r="M90" s="61"/>
      <c r="N90" s="61"/>
      <c r="O90" s="61"/>
      <c r="P90" s="61"/>
      <c r="Q90" s="61"/>
      <c r="R90" s="8"/>
      <c r="S90" s="8"/>
      <c r="T90" s="8"/>
      <c r="U90" s="8"/>
      <c r="V90" s="8"/>
      <c r="W90" s="42"/>
      <c r="Y90" s="9"/>
      <c r="Z90" s="9"/>
      <c r="AA90" s="9"/>
      <c r="AB90" s="9"/>
      <c r="AC90" s="9"/>
      <c r="AD90" s="9"/>
      <c r="AE90" s="9"/>
      <c r="AF90" s="185"/>
      <c r="AG90" s="185"/>
      <c r="AH90" s="185"/>
      <c r="AI90" s="185"/>
      <c r="AJ90" s="185"/>
      <c r="AK90" s="185"/>
      <c r="AL90" s="185"/>
      <c r="AM90" s="185"/>
      <c r="AN90" s="185"/>
      <c r="AO90" s="185"/>
      <c r="AP90" s="185"/>
      <c r="AQ90" s="185"/>
      <c r="AR90" s="185"/>
      <c r="AS90" s="185"/>
      <c r="AT90" s="185"/>
      <c r="AU90" s="185"/>
      <c r="AV90" s="185"/>
    </row>
    <row r="91" spans="1:48" outlineLevel="1">
      <c r="A91" s="11"/>
      <c r="B91" s="11"/>
      <c r="C91" s="11"/>
      <c r="D91" s="11"/>
      <c r="E91" s="11"/>
      <c r="F91" s="39" t="str">
        <f>Asset17</f>
        <v>System IT (tx)</v>
      </c>
      <c r="G91" s="333">
        <v>0</v>
      </c>
      <c r="H91" s="334">
        <v>0</v>
      </c>
      <c r="I91" s="334">
        <v>0</v>
      </c>
      <c r="J91" s="334">
        <v>0</v>
      </c>
      <c r="K91" s="334">
        <v>0</v>
      </c>
      <c r="L91" s="334">
        <v>0</v>
      </c>
      <c r="M91" s="61"/>
      <c r="N91" s="61"/>
      <c r="O91" s="61"/>
      <c r="P91" s="61"/>
      <c r="Q91" s="61"/>
      <c r="R91" s="8"/>
      <c r="S91" s="8"/>
      <c r="T91" s="8"/>
      <c r="U91" s="8"/>
      <c r="V91" s="8"/>
      <c r="W91" s="42"/>
      <c r="Y91" s="9"/>
      <c r="Z91" s="9"/>
      <c r="AA91" s="9"/>
      <c r="AB91" s="9"/>
      <c r="AC91" s="9"/>
      <c r="AD91" s="9"/>
      <c r="AE91" s="9"/>
      <c r="AF91" s="185"/>
      <c r="AG91" s="185"/>
      <c r="AH91" s="185"/>
      <c r="AI91" s="185"/>
      <c r="AJ91" s="185"/>
      <c r="AK91" s="185"/>
      <c r="AL91" s="185"/>
      <c r="AM91" s="185"/>
      <c r="AN91" s="185"/>
      <c r="AO91" s="185"/>
      <c r="AP91" s="185"/>
      <c r="AQ91" s="185"/>
      <c r="AR91" s="185"/>
      <c r="AS91" s="185"/>
      <c r="AT91" s="185"/>
      <c r="AU91" s="185"/>
      <c r="AV91" s="185"/>
    </row>
    <row r="92" spans="1:48" outlineLevel="1">
      <c r="A92" s="11"/>
      <c r="B92" s="11"/>
      <c r="C92" s="11"/>
      <c r="D92" s="11"/>
      <c r="E92" s="11"/>
      <c r="F92" s="39" t="str">
        <f>Asset18</f>
        <v>IT systems</v>
      </c>
      <c r="G92" s="333">
        <v>0</v>
      </c>
      <c r="H92" s="334">
        <v>0</v>
      </c>
      <c r="I92" s="334">
        <v>1.6642977325005631E-5</v>
      </c>
      <c r="J92" s="334">
        <v>3.3142358557100668E-4</v>
      </c>
      <c r="K92" s="334">
        <v>6.2089457448292517E-3</v>
      </c>
      <c r="L92" s="334">
        <v>0</v>
      </c>
      <c r="M92" s="61"/>
      <c r="N92" s="61"/>
      <c r="O92" s="61"/>
      <c r="P92" s="61"/>
      <c r="Q92" s="61"/>
      <c r="R92" s="8"/>
      <c r="S92" s="8"/>
      <c r="T92" s="8"/>
      <c r="U92" s="8"/>
      <c r="V92" s="8"/>
      <c r="W92" s="42"/>
      <c r="Y92" s="9"/>
      <c r="Z92" s="9"/>
      <c r="AA92" s="9"/>
      <c r="AB92" s="9"/>
      <c r="AC92" s="9"/>
      <c r="AD92" s="9"/>
      <c r="AE92" s="9"/>
      <c r="AF92" s="185"/>
      <c r="AG92" s="185"/>
      <c r="AH92" s="185"/>
      <c r="AI92" s="185"/>
      <c r="AJ92" s="185"/>
      <c r="AK92" s="185"/>
      <c r="AL92" s="185"/>
      <c r="AM92" s="185"/>
      <c r="AN92" s="185"/>
      <c r="AO92" s="185"/>
      <c r="AP92" s="185"/>
      <c r="AQ92" s="185"/>
      <c r="AR92" s="185"/>
      <c r="AS92" s="185"/>
      <c r="AT92" s="185"/>
      <c r="AU92" s="185"/>
      <c r="AV92" s="185"/>
    </row>
    <row r="93" spans="1:48" outlineLevel="1">
      <c r="A93" s="11"/>
      <c r="B93" s="11"/>
      <c r="C93" s="11"/>
      <c r="D93" s="11"/>
      <c r="E93" s="11"/>
      <c r="F93" s="39" t="str">
        <f>Asset19</f>
        <v>Furniture, fittings, plant and equipment</v>
      </c>
      <c r="G93" s="333">
        <v>7.6032415020239989E-3</v>
      </c>
      <c r="H93" s="334">
        <v>0</v>
      </c>
      <c r="I93" s="334">
        <v>2.5268032934560019E-2</v>
      </c>
      <c r="J93" s="334">
        <v>1.5792303834881633E-2</v>
      </c>
      <c r="K93" s="334">
        <v>7.0743310665215692E-3</v>
      </c>
      <c r="L93" s="334">
        <v>0</v>
      </c>
      <c r="M93" s="61"/>
      <c r="N93" s="61"/>
      <c r="O93" s="61"/>
      <c r="P93" s="61"/>
      <c r="Q93" s="61"/>
      <c r="R93" s="8"/>
      <c r="S93" s="8"/>
      <c r="T93" s="8"/>
      <c r="U93" s="8"/>
      <c r="V93" s="8"/>
      <c r="W93" s="42"/>
      <c r="Y93" s="9"/>
      <c r="Z93" s="9"/>
      <c r="AA93" s="9"/>
      <c r="AB93" s="9"/>
      <c r="AC93" s="9"/>
      <c r="AD93" s="9"/>
      <c r="AE93" s="9"/>
      <c r="AF93" s="185"/>
      <c r="AG93" s="185"/>
      <c r="AH93" s="185"/>
      <c r="AI93" s="185"/>
      <c r="AJ93" s="185"/>
      <c r="AK93" s="185"/>
      <c r="AL93" s="185"/>
      <c r="AM93" s="185"/>
      <c r="AN93" s="185"/>
      <c r="AO93" s="185"/>
      <c r="AP93" s="185"/>
      <c r="AQ93" s="185"/>
      <c r="AR93" s="185"/>
      <c r="AS93" s="185"/>
      <c r="AT93" s="185"/>
      <c r="AU93" s="185"/>
      <c r="AV93" s="185"/>
    </row>
    <row r="94" spans="1:48" outlineLevel="1">
      <c r="A94" s="11"/>
      <c r="B94" s="11"/>
      <c r="C94" s="11"/>
      <c r="D94" s="11"/>
      <c r="E94" s="11"/>
      <c r="F94" s="39" t="str">
        <f>Asset20</f>
        <v>Motor vehicles</v>
      </c>
      <c r="G94" s="333">
        <v>0.41476452277818593</v>
      </c>
      <c r="H94" s="334">
        <v>0.34620497255499999</v>
      </c>
      <c r="I94" s="334">
        <v>0.43031692182725995</v>
      </c>
      <c r="J94" s="334">
        <v>0.36259549056002954</v>
      </c>
      <c r="K94" s="334">
        <v>0.30040899382150038</v>
      </c>
      <c r="L94" s="334">
        <v>0</v>
      </c>
      <c r="M94" s="61"/>
      <c r="N94" s="61"/>
      <c r="O94" s="61"/>
      <c r="P94" s="61"/>
      <c r="Q94" s="61"/>
      <c r="R94" s="8"/>
      <c r="S94" s="8"/>
      <c r="T94" s="8"/>
      <c r="U94" s="8"/>
      <c r="V94" s="8"/>
      <c r="W94" s="42"/>
      <c r="Y94" s="9"/>
      <c r="Z94" s="9"/>
      <c r="AA94" s="9"/>
      <c r="AB94" s="9"/>
      <c r="AC94" s="9"/>
      <c r="AD94" s="9"/>
      <c r="AE94" s="9"/>
      <c r="AF94" s="185"/>
      <c r="AG94" s="185"/>
      <c r="AH94" s="185"/>
      <c r="AI94" s="185"/>
      <c r="AJ94" s="185"/>
      <c r="AK94" s="185"/>
      <c r="AL94" s="185"/>
      <c r="AM94" s="185"/>
      <c r="AN94" s="185"/>
      <c r="AO94" s="185"/>
      <c r="AP94" s="185"/>
      <c r="AQ94" s="185"/>
      <c r="AR94" s="185"/>
      <c r="AS94" s="185"/>
      <c r="AT94" s="185"/>
      <c r="AU94" s="185"/>
      <c r="AV94" s="185"/>
    </row>
    <row r="95" spans="1:48" outlineLevel="1">
      <c r="A95" s="11"/>
      <c r="B95" s="11"/>
      <c r="C95" s="11"/>
      <c r="D95" s="11"/>
      <c r="E95" s="11"/>
      <c r="F95" s="39" t="str">
        <f>Asset21</f>
        <v>Buildings</v>
      </c>
      <c r="G95" s="333">
        <v>0</v>
      </c>
      <c r="H95" s="334">
        <v>0</v>
      </c>
      <c r="I95" s="334">
        <v>0</v>
      </c>
      <c r="J95" s="334">
        <v>0</v>
      </c>
      <c r="K95" s="334">
        <v>0</v>
      </c>
      <c r="L95" s="334">
        <v>7.9742743431623353</v>
      </c>
      <c r="M95" s="61"/>
      <c r="N95" s="61"/>
      <c r="O95" s="61"/>
      <c r="P95" s="61"/>
      <c r="Q95" s="61"/>
      <c r="R95" s="8"/>
      <c r="S95" s="8"/>
      <c r="T95" s="8"/>
      <c r="U95" s="8"/>
      <c r="V95" s="8"/>
      <c r="W95" s="42"/>
      <c r="Y95" s="9"/>
      <c r="Z95" s="9"/>
      <c r="AA95" s="9"/>
      <c r="AB95" s="9"/>
      <c r="AC95" s="9"/>
      <c r="AD95" s="9"/>
      <c r="AE95" s="9"/>
      <c r="AF95" s="185"/>
      <c r="AG95" s="185"/>
      <c r="AH95" s="185"/>
      <c r="AI95" s="185"/>
      <c r="AJ95" s="185"/>
      <c r="AK95" s="185"/>
      <c r="AL95" s="185"/>
      <c r="AM95" s="185"/>
      <c r="AN95" s="185"/>
      <c r="AO95" s="185"/>
      <c r="AP95" s="185"/>
      <c r="AQ95" s="185"/>
      <c r="AR95" s="185"/>
      <c r="AS95" s="185"/>
      <c r="AT95" s="185"/>
      <c r="AU95" s="185"/>
      <c r="AV95" s="185"/>
    </row>
    <row r="96" spans="1:48" outlineLevel="1">
      <c r="A96" s="11"/>
      <c r="B96" s="11"/>
      <c r="C96" s="11"/>
      <c r="D96" s="11"/>
      <c r="E96" s="11"/>
      <c r="F96" s="39" t="str">
        <f>Asset22</f>
        <v>Land (non-system)</v>
      </c>
      <c r="G96" s="333">
        <v>0</v>
      </c>
      <c r="H96" s="334">
        <v>0</v>
      </c>
      <c r="I96" s="334">
        <v>0</v>
      </c>
      <c r="J96" s="334">
        <v>1.2914722275E-2</v>
      </c>
      <c r="K96" s="334">
        <v>1.4776198897200001E-2</v>
      </c>
      <c r="L96" s="334">
        <v>7.9886440568376642</v>
      </c>
      <c r="M96" s="61"/>
      <c r="N96" s="61"/>
      <c r="O96" s="61"/>
      <c r="P96" s="61"/>
      <c r="Q96" s="61"/>
      <c r="R96" s="8"/>
      <c r="S96" s="8"/>
      <c r="T96" s="8"/>
      <c r="U96" s="8"/>
      <c r="V96" s="8"/>
      <c r="W96" s="42"/>
      <c r="Y96" s="9"/>
      <c r="Z96" s="9"/>
      <c r="AA96" s="9"/>
      <c r="AB96" s="9"/>
      <c r="AC96" s="9"/>
      <c r="AD96" s="9"/>
      <c r="AE96" s="9"/>
      <c r="AF96" s="185"/>
      <c r="AG96" s="185"/>
      <c r="AH96" s="185"/>
      <c r="AI96" s="185"/>
      <c r="AJ96" s="185"/>
      <c r="AK96" s="185"/>
      <c r="AL96" s="185"/>
      <c r="AM96" s="185"/>
      <c r="AN96" s="185"/>
      <c r="AO96" s="185"/>
      <c r="AP96" s="185"/>
      <c r="AQ96" s="185"/>
      <c r="AR96" s="185"/>
      <c r="AS96" s="185"/>
      <c r="AT96" s="185"/>
      <c r="AU96" s="185"/>
      <c r="AV96" s="185"/>
    </row>
    <row r="97" spans="1:48" outlineLevel="1">
      <c r="A97" s="11"/>
      <c r="B97" s="11"/>
      <c r="C97" s="11"/>
      <c r="D97" s="11"/>
      <c r="E97" s="11"/>
      <c r="F97" s="39" t="str">
        <f>Asset23</f>
        <v>Other non system assets</v>
      </c>
      <c r="G97" s="333">
        <v>0</v>
      </c>
      <c r="H97" s="334">
        <v>0</v>
      </c>
      <c r="I97" s="334">
        <v>5.3789358058800047E-3</v>
      </c>
      <c r="J97" s="334">
        <v>6.7931051500000174E-3</v>
      </c>
      <c r="K97" s="334">
        <v>2.2351943899999991E-3</v>
      </c>
      <c r="L97" s="334">
        <v>0</v>
      </c>
      <c r="M97" s="61"/>
      <c r="N97" s="61"/>
      <c r="O97" s="61"/>
      <c r="P97" s="61"/>
      <c r="Q97" s="61"/>
      <c r="R97" s="8"/>
      <c r="S97" s="8"/>
      <c r="T97" s="8"/>
      <c r="U97" s="8"/>
      <c r="V97" s="8"/>
      <c r="W97" s="42"/>
      <c r="Y97" s="9"/>
      <c r="Z97" s="9"/>
      <c r="AA97" s="9"/>
      <c r="AB97" s="9"/>
      <c r="AC97" s="9"/>
      <c r="AD97" s="9"/>
      <c r="AE97" s="9"/>
      <c r="AF97" s="185"/>
      <c r="AG97" s="185"/>
      <c r="AH97" s="185"/>
      <c r="AI97" s="185"/>
      <c r="AJ97" s="185"/>
      <c r="AK97" s="185"/>
      <c r="AL97" s="185"/>
      <c r="AM97" s="185"/>
      <c r="AN97" s="185"/>
      <c r="AO97" s="185"/>
      <c r="AP97" s="185"/>
      <c r="AQ97" s="185"/>
      <c r="AR97" s="185"/>
      <c r="AS97" s="185"/>
      <c r="AT97" s="185"/>
      <c r="AU97" s="185"/>
      <c r="AV97" s="185"/>
    </row>
    <row r="98" spans="1:48" outlineLevel="1">
      <c r="A98" s="11"/>
      <c r="B98" s="11"/>
      <c r="C98" s="11"/>
      <c r="D98" s="11"/>
      <c r="E98" s="11"/>
      <c r="F98" s="39" t="str">
        <f>Asset24</f>
        <v>Equity raising costs</v>
      </c>
      <c r="G98" s="333">
        <v>0</v>
      </c>
      <c r="H98" s="334">
        <v>0</v>
      </c>
      <c r="I98" s="334">
        <v>0</v>
      </c>
      <c r="J98" s="334">
        <v>0</v>
      </c>
      <c r="K98" s="334">
        <v>0</v>
      </c>
      <c r="L98" s="334">
        <v>0</v>
      </c>
      <c r="M98" s="61"/>
      <c r="N98" s="61"/>
      <c r="O98" s="61"/>
      <c r="P98" s="61"/>
      <c r="Q98" s="61"/>
      <c r="R98" s="8"/>
      <c r="S98" s="8"/>
      <c r="T98" s="8"/>
      <c r="U98" s="8"/>
      <c r="V98" s="8"/>
      <c r="W98" s="42"/>
      <c r="Y98" s="9"/>
      <c r="Z98" s="9"/>
      <c r="AA98" s="9"/>
      <c r="AB98" s="9"/>
      <c r="AC98" s="9"/>
      <c r="AD98" s="9"/>
      <c r="AE98" s="9"/>
      <c r="AF98" s="185"/>
      <c r="AG98" s="185"/>
      <c r="AH98" s="185"/>
      <c r="AI98" s="185"/>
      <c r="AJ98" s="185"/>
      <c r="AK98" s="185"/>
      <c r="AL98" s="185"/>
      <c r="AM98" s="185"/>
      <c r="AN98" s="185"/>
      <c r="AO98" s="185"/>
      <c r="AP98" s="185"/>
      <c r="AQ98" s="185"/>
      <c r="AR98" s="185"/>
      <c r="AS98" s="185"/>
      <c r="AT98" s="185"/>
      <c r="AU98" s="185"/>
      <c r="AV98" s="185"/>
    </row>
    <row r="99" spans="1:48" outlineLevel="1">
      <c r="A99" s="11"/>
      <c r="B99" s="11"/>
      <c r="C99" s="11"/>
      <c r="D99" s="11"/>
      <c r="E99" s="11"/>
      <c r="F99" s="39">
        <f>Asset25</f>
        <v>0</v>
      </c>
      <c r="G99" s="166"/>
      <c r="H99" s="61"/>
      <c r="I99" s="61"/>
      <c r="J99" s="61"/>
      <c r="K99" s="61"/>
      <c r="L99" s="61"/>
      <c r="M99" s="61"/>
      <c r="N99" s="61"/>
      <c r="O99" s="61"/>
      <c r="P99" s="61"/>
      <c r="Q99" s="61"/>
      <c r="R99" s="8"/>
      <c r="S99" s="8"/>
      <c r="T99" s="8"/>
      <c r="U99" s="8"/>
      <c r="V99" s="8"/>
      <c r="W99" s="42"/>
      <c r="Y99" s="9"/>
      <c r="Z99" s="9"/>
      <c r="AA99" s="9"/>
      <c r="AB99" s="9"/>
      <c r="AC99" s="9"/>
      <c r="AD99" s="9"/>
      <c r="AE99" s="9"/>
      <c r="AF99" s="185"/>
      <c r="AG99" s="185"/>
      <c r="AH99" s="185"/>
      <c r="AI99" s="185"/>
      <c r="AJ99" s="185"/>
      <c r="AK99" s="185"/>
      <c r="AL99" s="185"/>
      <c r="AM99" s="185"/>
      <c r="AN99" s="185"/>
      <c r="AO99" s="185"/>
      <c r="AP99" s="185"/>
      <c r="AQ99" s="185"/>
      <c r="AR99" s="185"/>
      <c r="AS99" s="185"/>
      <c r="AT99" s="185"/>
      <c r="AU99" s="185"/>
      <c r="AV99" s="185"/>
    </row>
    <row r="100" spans="1:48" outlineLevel="1">
      <c r="A100" s="11"/>
      <c r="B100" s="11"/>
      <c r="C100" s="11"/>
      <c r="D100" s="11"/>
      <c r="E100" s="11"/>
      <c r="F100" s="39">
        <f>Asset26</f>
        <v>0</v>
      </c>
      <c r="G100" s="166"/>
      <c r="H100" s="61"/>
      <c r="I100" s="61"/>
      <c r="J100" s="61"/>
      <c r="K100" s="61"/>
      <c r="L100" s="61"/>
      <c r="M100" s="61"/>
      <c r="N100" s="61"/>
      <c r="O100" s="61"/>
      <c r="P100" s="61"/>
      <c r="Q100" s="61"/>
      <c r="R100" s="8"/>
      <c r="S100" s="8"/>
      <c r="T100" s="8"/>
      <c r="U100" s="8"/>
      <c r="V100" s="8"/>
      <c r="W100" s="42"/>
      <c r="Y100" s="9"/>
      <c r="Z100" s="9"/>
      <c r="AA100" s="9"/>
      <c r="AB100" s="9"/>
      <c r="AC100" s="9"/>
      <c r="AD100" s="9"/>
      <c r="AE100" s="9"/>
      <c r="AF100" s="185"/>
      <c r="AG100" s="185"/>
      <c r="AH100" s="185"/>
      <c r="AI100" s="185"/>
      <c r="AJ100" s="185"/>
      <c r="AK100" s="185"/>
      <c r="AL100" s="185"/>
      <c r="AM100" s="185"/>
      <c r="AN100" s="185"/>
      <c r="AO100" s="185"/>
      <c r="AP100" s="185"/>
      <c r="AQ100" s="185"/>
      <c r="AR100" s="185"/>
      <c r="AS100" s="185"/>
      <c r="AT100" s="185"/>
      <c r="AU100" s="185"/>
      <c r="AV100" s="185"/>
    </row>
    <row r="101" spans="1:48" outlineLevel="1">
      <c r="A101" s="11"/>
      <c r="B101" s="11"/>
      <c r="C101" s="11"/>
      <c r="D101" s="11"/>
      <c r="E101" s="11"/>
      <c r="F101" s="39">
        <f>Asset27</f>
        <v>0</v>
      </c>
      <c r="G101" s="166"/>
      <c r="H101" s="61"/>
      <c r="I101" s="61"/>
      <c r="J101" s="61"/>
      <c r="K101" s="61"/>
      <c r="L101" s="61"/>
      <c r="M101" s="61"/>
      <c r="N101" s="61"/>
      <c r="O101" s="61"/>
      <c r="P101" s="61"/>
      <c r="Q101" s="61"/>
      <c r="R101" s="8"/>
      <c r="S101" s="8"/>
      <c r="T101" s="8"/>
      <c r="U101" s="8"/>
      <c r="V101" s="8"/>
      <c r="W101" s="42"/>
      <c r="Y101" s="9"/>
      <c r="Z101" s="9"/>
      <c r="AA101" s="9"/>
      <c r="AB101" s="9"/>
      <c r="AC101" s="9"/>
      <c r="AD101" s="9"/>
      <c r="AE101" s="9"/>
      <c r="AF101" s="185"/>
      <c r="AG101" s="185"/>
      <c r="AH101" s="185"/>
      <c r="AI101" s="185"/>
      <c r="AJ101" s="185"/>
      <c r="AK101" s="185"/>
      <c r="AL101" s="185"/>
      <c r="AM101" s="185"/>
      <c r="AN101" s="185"/>
      <c r="AO101" s="185"/>
      <c r="AP101" s="185"/>
      <c r="AQ101" s="185"/>
      <c r="AR101" s="185"/>
      <c r="AS101" s="185"/>
      <c r="AT101" s="185"/>
      <c r="AU101" s="185"/>
      <c r="AV101" s="185"/>
    </row>
    <row r="102" spans="1:48" outlineLevel="1">
      <c r="A102" s="11"/>
      <c r="B102" s="11"/>
      <c r="C102" s="11"/>
      <c r="D102" s="11"/>
      <c r="E102" s="11"/>
      <c r="F102" s="39">
        <f>Asset28</f>
        <v>0</v>
      </c>
      <c r="G102" s="166"/>
      <c r="H102" s="61"/>
      <c r="I102" s="61"/>
      <c r="J102" s="61"/>
      <c r="K102" s="61"/>
      <c r="L102" s="61"/>
      <c r="M102" s="61"/>
      <c r="N102" s="61"/>
      <c r="O102" s="61"/>
      <c r="P102" s="61"/>
      <c r="Q102" s="61"/>
      <c r="R102" s="8"/>
      <c r="S102" s="8"/>
      <c r="T102" s="8"/>
      <c r="U102" s="8"/>
      <c r="V102" s="8"/>
      <c r="W102" s="42"/>
      <c r="Y102" s="9"/>
      <c r="Z102" s="9"/>
      <c r="AA102" s="9"/>
      <c r="AB102" s="9"/>
      <c r="AC102" s="9"/>
      <c r="AD102" s="9"/>
      <c r="AE102" s="9"/>
      <c r="AF102" s="185"/>
      <c r="AG102" s="185"/>
      <c r="AH102" s="185"/>
      <c r="AI102" s="185"/>
      <c r="AJ102" s="185"/>
      <c r="AK102" s="185"/>
      <c r="AL102" s="185"/>
      <c r="AM102" s="185"/>
      <c r="AN102" s="185"/>
      <c r="AO102" s="185"/>
      <c r="AP102" s="185"/>
      <c r="AQ102" s="185"/>
      <c r="AR102" s="185"/>
      <c r="AS102" s="185"/>
      <c r="AT102" s="185"/>
      <c r="AU102" s="185"/>
      <c r="AV102" s="185"/>
    </row>
    <row r="103" spans="1:48" outlineLevel="1">
      <c r="A103" s="11"/>
      <c r="B103" s="11"/>
      <c r="C103" s="11"/>
      <c r="D103" s="11"/>
      <c r="E103" s="11"/>
      <c r="F103" s="39">
        <f>Asset29</f>
        <v>0</v>
      </c>
      <c r="G103" s="166"/>
      <c r="H103" s="61"/>
      <c r="I103" s="61"/>
      <c r="J103" s="61"/>
      <c r="K103" s="61"/>
      <c r="L103" s="61"/>
      <c r="M103" s="61"/>
      <c r="N103" s="61"/>
      <c r="O103" s="61"/>
      <c r="P103" s="61"/>
      <c r="Q103" s="61"/>
      <c r="R103" s="8"/>
      <c r="S103" s="8"/>
      <c r="T103" s="8"/>
      <c r="U103" s="8"/>
      <c r="V103" s="8"/>
      <c r="W103" s="42"/>
      <c r="Y103" s="9"/>
      <c r="Z103" s="9"/>
      <c r="AA103" s="9"/>
      <c r="AB103" s="9"/>
      <c r="AC103" s="9"/>
      <c r="AD103" s="9"/>
      <c r="AE103" s="9"/>
      <c r="AF103" s="185"/>
      <c r="AG103" s="185"/>
      <c r="AH103" s="185"/>
      <c r="AI103" s="185"/>
      <c r="AJ103" s="185"/>
      <c r="AK103" s="185"/>
      <c r="AL103" s="185"/>
      <c r="AM103" s="185"/>
      <c r="AN103" s="185"/>
      <c r="AO103" s="185"/>
      <c r="AP103" s="185"/>
      <c r="AQ103" s="185"/>
      <c r="AR103" s="185"/>
      <c r="AS103" s="185"/>
      <c r="AT103" s="185"/>
      <c r="AU103" s="185"/>
      <c r="AV103" s="185"/>
    </row>
    <row r="104" spans="1:48" outlineLevel="1">
      <c r="A104" s="11"/>
      <c r="B104" s="11"/>
      <c r="C104" s="11"/>
      <c r="D104" s="11"/>
      <c r="E104" s="11"/>
      <c r="F104" s="39">
        <f>Asset30</f>
        <v>0</v>
      </c>
      <c r="G104" s="166"/>
      <c r="H104" s="61"/>
      <c r="I104" s="61"/>
      <c r="J104" s="61"/>
      <c r="K104" s="61"/>
      <c r="L104" s="61"/>
      <c r="M104" s="61"/>
      <c r="N104" s="61"/>
      <c r="O104" s="61"/>
      <c r="P104" s="61"/>
      <c r="Q104" s="61"/>
      <c r="R104" s="8"/>
      <c r="S104" s="8"/>
      <c r="T104" s="8"/>
      <c r="U104" s="8"/>
      <c r="V104" s="8"/>
      <c r="W104" s="42"/>
      <c r="Y104" s="9"/>
      <c r="Z104" s="9"/>
      <c r="AA104" s="9"/>
      <c r="AB104" s="9"/>
      <c r="AC104" s="9"/>
      <c r="AD104" s="9"/>
      <c r="AE104" s="9"/>
      <c r="AF104" s="185"/>
      <c r="AG104" s="185"/>
      <c r="AH104" s="185"/>
      <c r="AI104" s="185"/>
      <c r="AJ104" s="185"/>
      <c r="AK104" s="185"/>
      <c r="AL104" s="185"/>
      <c r="AM104" s="185"/>
      <c r="AN104" s="185"/>
      <c r="AO104" s="185"/>
      <c r="AP104" s="185"/>
      <c r="AQ104" s="185"/>
      <c r="AR104" s="185"/>
      <c r="AS104" s="185"/>
      <c r="AT104" s="185"/>
      <c r="AU104" s="185"/>
      <c r="AV104" s="185"/>
    </row>
    <row r="105" spans="1:48">
      <c r="A105" s="11"/>
      <c r="B105" s="11"/>
      <c r="C105" s="11"/>
      <c r="D105" s="11"/>
      <c r="E105" s="11"/>
      <c r="F105" s="39" t="s">
        <v>22</v>
      </c>
      <c r="G105" s="282">
        <f t="shared" ref="G105:Q105" si="4">SUM(G75:G104)</f>
        <v>0.42591018428020994</v>
      </c>
      <c r="H105" s="282">
        <f t="shared" si="4"/>
        <v>0.44195547255500001</v>
      </c>
      <c r="I105" s="282">
        <f t="shared" si="4"/>
        <v>0.58588308354502494</v>
      </c>
      <c r="J105" s="282">
        <f t="shared" si="4"/>
        <v>0.7117221754054821</v>
      </c>
      <c r="K105" s="282">
        <f>SUM(K75:K104)</f>
        <v>4.6762532139200514</v>
      </c>
      <c r="L105" s="282">
        <f t="shared" si="4"/>
        <v>15.9629184</v>
      </c>
      <c r="M105" s="282">
        <f t="shared" si="4"/>
        <v>0</v>
      </c>
      <c r="N105" s="242">
        <f t="shared" si="4"/>
        <v>0</v>
      </c>
      <c r="O105" s="242">
        <f t="shared" si="4"/>
        <v>0</v>
      </c>
      <c r="P105" s="242">
        <f t="shared" si="4"/>
        <v>0</v>
      </c>
      <c r="Q105" s="242">
        <f t="shared" si="4"/>
        <v>0</v>
      </c>
      <c r="R105" s="37"/>
      <c r="S105" s="37"/>
      <c r="T105" s="37"/>
      <c r="U105" s="37"/>
      <c r="V105" s="37"/>
      <c r="W105" s="37"/>
      <c r="Y105" s="46"/>
      <c r="Z105" s="8"/>
      <c r="AA105" s="8"/>
      <c r="AB105" s="42"/>
      <c r="AC105" s="9"/>
      <c r="AD105" s="9"/>
      <c r="AE105" s="9"/>
      <c r="AF105" s="185"/>
      <c r="AG105" s="185"/>
      <c r="AH105" s="185"/>
      <c r="AI105" s="185"/>
      <c r="AJ105" s="185"/>
      <c r="AK105" s="185"/>
      <c r="AL105" s="185"/>
      <c r="AM105" s="185"/>
      <c r="AN105" s="185"/>
      <c r="AO105" s="185"/>
      <c r="AP105" s="185"/>
      <c r="AQ105" s="185"/>
      <c r="AR105" s="185"/>
      <c r="AS105" s="185"/>
      <c r="AT105" s="185"/>
      <c r="AU105" s="185"/>
      <c r="AV105" s="185"/>
    </row>
    <row r="106" spans="1:48" ht="20.25" customHeight="1">
      <c r="A106" s="11"/>
      <c r="B106" s="11"/>
      <c r="C106" s="11"/>
      <c r="D106" s="11"/>
      <c r="F106" s="9"/>
      <c r="G106" s="36"/>
      <c r="H106" s="36"/>
      <c r="I106" s="36"/>
      <c r="J106" s="36"/>
      <c r="K106" s="36"/>
      <c r="L106" s="36"/>
      <c r="M106" s="9"/>
      <c r="N106" s="9"/>
      <c r="O106" s="9"/>
      <c r="P106" s="9"/>
      <c r="Q106" s="9"/>
      <c r="R106" s="241">
        <f>SUM(G105:Q105)</f>
        <v>22.804642529705767</v>
      </c>
      <c r="S106" s="9"/>
      <c r="T106" s="9"/>
      <c r="U106" s="9"/>
      <c r="V106" s="9"/>
      <c r="W106" s="9"/>
      <c r="Y106" s="9"/>
      <c r="Z106" s="9"/>
      <c r="AA106" s="9"/>
      <c r="AB106" s="18"/>
      <c r="AC106" s="9"/>
      <c r="AD106" s="9"/>
      <c r="AE106" s="9"/>
      <c r="AF106" s="185"/>
      <c r="AG106" s="185"/>
      <c r="AH106" s="185"/>
      <c r="AI106" s="185"/>
      <c r="AJ106" s="185"/>
      <c r="AK106" s="185"/>
      <c r="AL106" s="185"/>
      <c r="AM106" s="185"/>
      <c r="AN106" s="185"/>
      <c r="AO106" s="185"/>
      <c r="AP106" s="185"/>
      <c r="AQ106" s="185"/>
      <c r="AR106" s="185"/>
      <c r="AS106" s="185"/>
      <c r="AT106" s="185"/>
      <c r="AU106" s="185"/>
      <c r="AV106" s="185"/>
    </row>
    <row r="107" spans="1:48" ht="13.5" customHeight="1">
      <c r="A107" s="72"/>
      <c r="B107" s="72"/>
      <c r="C107" s="72"/>
      <c r="D107" s="72"/>
      <c r="E107" s="72"/>
      <c r="F107" s="159" t="s">
        <v>91</v>
      </c>
      <c r="G107" s="159"/>
      <c r="H107" s="159"/>
      <c r="I107" s="159"/>
      <c r="J107" s="159"/>
      <c r="K107" s="75"/>
      <c r="L107" s="75"/>
      <c r="M107" s="73"/>
      <c r="N107" s="73"/>
      <c r="O107" s="73"/>
      <c r="P107" s="73"/>
      <c r="Q107" s="73"/>
      <c r="R107" s="73"/>
      <c r="S107" s="73"/>
      <c r="T107" s="73"/>
      <c r="U107" s="73"/>
      <c r="V107" s="73"/>
      <c r="W107" s="73"/>
      <c r="Y107" s="8"/>
      <c r="Z107" s="8"/>
      <c r="AA107" s="8"/>
      <c r="AB107" s="8"/>
      <c r="AC107" s="42"/>
      <c r="AD107" s="9"/>
      <c r="AE107" s="9"/>
      <c r="AF107" s="185"/>
      <c r="AG107" s="185"/>
      <c r="AH107" s="185"/>
      <c r="AI107" s="185"/>
      <c r="AJ107" s="185"/>
      <c r="AK107" s="185"/>
      <c r="AL107" s="185"/>
      <c r="AM107" s="185"/>
      <c r="AN107" s="185"/>
      <c r="AO107" s="185"/>
      <c r="AP107" s="185"/>
      <c r="AQ107" s="185"/>
      <c r="AR107" s="185"/>
      <c r="AS107" s="185"/>
      <c r="AT107" s="185"/>
      <c r="AU107" s="185"/>
      <c r="AV107" s="185"/>
    </row>
    <row r="108" spans="1:48">
      <c r="A108" s="11"/>
      <c r="B108" s="11"/>
      <c r="C108" s="11"/>
      <c r="D108" s="11"/>
      <c r="E108" s="11"/>
      <c r="F108" s="38" t="s">
        <v>5</v>
      </c>
      <c r="G108" s="240" t="str">
        <f>G74</f>
        <v>2008-09</v>
      </c>
      <c r="H108" s="240" t="str">
        <f t="shared" ref="H108:Q108" si="5">H74</f>
        <v>2009-10</v>
      </c>
      <c r="I108" s="240" t="str">
        <f t="shared" si="5"/>
        <v>2010-11</v>
      </c>
      <c r="J108" s="240" t="str">
        <f t="shared" si="5"/>
        <v>2011-12</v>
      </c>
      <c r="K108" s="240" t="str">
        <f t="shared" si="5"/>
        <v>2012-13</v>
      </c>
      <c r="L108" s="240" t="str">
        <f t="shared" si="5"/>
        <v>2013-14</v>
      </c>
      <c r="M108" s="240" t="str">
        <f t="shared" si="5"/>
        <v>2014-15</v>
      </c>
      <c r="N108" s="240" t="str">
        <f t="shared" si="5"/>
        <v>2015-16</v>
      </c>
      <c r="O108" s="240" t="str">
        <f t="shared" si="5"/>
        <v>2016-17</v>
      </c>
      <c r="P108" s="240" t="str">
        <f t="shared" si="5"/>
        <v>2017-18</v>
      </c>
      <c r="Q108" s="240" t="str">
        <f t="shared" si="5"/>
        <v>2018-19</v>
      </c>
      <c r="R108" s="8"/>
      <c r="S108" s="8"/>
      <c r="T108" s="8"/>
      <c r="U108" s="8"/>
      <c r="V108" s="8"/>
      <c r="W108" s="42"/>
      <c r="Y108" s="9"/>
      <c r="Z108" s="9"/>
      <c r="AA108" s="9"/>
      <c r="AB108" s="9"/>
      <c r="AC108" s="9"/>
      <c r="AD108" s="9"/>
      <c r="AE108" s="9"/>
      <c r="AF108" s="185"/>
      <c r="AG108" s="185"/>
      <c r="AH108" s="185"/>
      <c r="AI108" s="185"/>
      <c r="AJ108" s="185"/>
      <c r="AK108" s="185"/>
      <c r="AL108" s="185"/>
      <c r="AM108" s="185"/>
      <c r="AN108" s="185"/>
      <c r="AO108" s="185"/>
      <c r="AP108" s="185"/>
      <c r="AQ108" s="185"/>
      <c r="AR108" s="185"/>
      <c r="AS108" s="185"/>
      <c r="AT108" s="185"/>
      <c r="AU108" s="185"/>
      <c r="AV108" s="185"/>
    </row>
    <row r="109" spans="1:48" outlineLevel="1">
      <c r="A109" s="11"/>
      <c r="B109" s="11"/>
      <c r="C109" s="11"/>
      <c r="D109" s="11"/>
      <c r="E109" s="11"/>
      <c r="F109" s="39" t="str">
        <f>Asset1</f>
        <v>Transmission &amp; Zone land &amp; easements</v>
      </c>
      <c r="G109" s="331">
        <v>0</v>
      </c>
      <c r="H109" s="332">
        <v>0</v>
      </c>
      <c r="I109" s="332">
        <v>0</v>
      </c>
      <c r="J109" s="332">
        <v>0</v>
      </c>
      <c r="K109" s="332">
        <v>0</v>
      </c>
      <c r="L109" s="332">
        <v>0</v>
      </c>
      <c r="M109" s="60"/>
      <c r="N109" s="60"/>
      <c r="O109" s="60"/>
      <c r="P109" s="60"/>
      <c r="Q109" s="60"/>
      <c r="R109" s="8"/>
      <c r="S109" s="8"/>
      <c r="T109" s="8"/>
      <c r="U109" s="8"/>
      <c r="V109" s="8"/>
      <c r="W109" s="42"/>
      <c r="Y109" s="9"/>
      <c r="Z109" s="9"/>
      <c r="AA109" s="9"/>
      <c r="AB109" s="9"/>
      <c r="AC109" s="9"/>
      <c r="AD109" s="9"/>
      <c r="AE109" s="9"/>
      <c r="AF109" s="185"/>
      <c r="AG109" s="185"/>
      <c r="AH109" s="185"/>
      <c r="AI109" s="185"/>
      <c r="AJ109" s="185"/>
      <c r="AK109" s="185"/>
      <c r="AL109" s="185"/>
      <c r="AM109" s="185"/>
      <c r="AN109" s="185"/>
      <c r="AO109" s="185"/>
      <c r="AP109" s="185"/>
      <c r="AQ109" s="185"/>
      <c r="AR109" s="185"/>
      <c r="AS109" s="185"/>
      <c r="AT109" s="185"/>
      <c r="AU109" s="185"/>
      <c r="AV109" s="185"/>
    </row>
    <row r="110" spans="1:48" outlineLevel="1">
      <c r="A110" s="11"/>
      <c r="B110" s="11"/>
      <c r="C110" s="11"/>
      <c r="D110" s="11"/>
      <c r="E110" s="11"/>
      <c r="F110" s="39" t="str">
        <f>Asset2</f>
        <v>Transmission buildings 132/66kV</v>
      </c>
      <c r="G110" s="333">
        <v>0</v>
      </c>
      <c r="H110" s="334">
        <v>0</v>
      </c>
      <c r="I110" s="334">
        <v>0</v>
      </c>
      <c r="J110" s="334">
        <v>0</v>
      </c>
      <c r="K110" s="334">
        <v>0</v>
      </c>
      <c r="L110" s="334">
        <v>0</v>
      </c>
      <c r="M110" s="61"/>
      <c r="N110" s="61"/>
      <c r="O110" s="61"/>
      <c r="P110" s="61"/>
      <c r="Q110" s="61"/>
      <c r="R110" s="8"/>
      <c r="S110" s="8"/>
      <c r="T110" s="8"/>
      <c r="U110" s="8"/>
      <c r="V110" s="8"/>
      <c r="W110" s="42"/>
      <c r="Y110" s="9"/>
      <c r="Z110" s="9"/>
      <c r="AA110" s="9"/>
      <c r="AB110" s="9"/>
      <c r="AC110" s="9"/>
      <c r="AD110" s="9"/>
      <c r="AE110" s="9"/>
      <c r="AF110" s="185"/>
      <c r="AG110" s="185"/>
      <c r="AH110" s="185"/>
      <c r="AI110" s="185"/>
      <c r="AJ110" s="185"/>
      <c r="AK110" s="185"/>
      <c r="AL110" s="185"/>
      <c r="AM110" s="185"/>
      <c r="AN110" s="185"/>
      <c r="AO110" s="185"/>
      <c r="AP110" s="185"/>
      <c r="AQ110" s="185"/>
      <c r="AR110" s="185"/>
      <c r="AS110" s="185"/>
      <c r="AT110" s="185"/>
      <c r="AU110" s="185"/>
      <c r="AV110" s="185"/>
    </row>
    <row r="111" spans="1:48" outlineLevel="1">
      <c r="A111" s="11"/>
      <c r="B111" s="11"/>
      <c r="C111" s="11"/>
      <c r="D111" s="11"/>
      <c r="E111" s="11"/>
      <c r="F111" s="39" t="str">
        <f>Asset3</f>
        <v>Zone buildings 132/66kV</v>
      </c>
      <c r="G111" s="333">
        <v>0</v>
      </c>
      <c r="H111" s="334">
        <v>0</v>
      </c>
      <c r="I111" s="334">
        <v>0</v>
      </c>
      <c r="J111" s="334">
        <v>0</v>
      </c>
      <c r="K111" s="334">
        <v>0</v>
      </c>
      <c r="L111" s="334">
        <v>0</v>
      </c>
      <c r="M111" s="61"/>
      <c r="N111" s="61"/>
      <c r="O111" s="61"/>
      <c r="P111" s="61"/>
      <c r="Q111" s="61"/>
      <c r="R111" s="8"/>
      <c r="S111" s="8"/>
      <c r="T111" s="8"/>
      <c r="U111" s="8"/>
      <c r="V111" s="8"/>
      <c r="W111" s="42"/>
      <c r="Y111" s="9"/>
      <c r="Z111" s="9"/>
      <c r="AA111" s="9"/>
      <c r="AB111" s="9"/>
      <c r="AC111" s="9"/>
      <c r="AD111" s="9"/>
      <c r="AE111" s="9"/>
      <c r="AF111" s="185"/>
      <c r="AG111" s="185"/>
      <c r="AH111" s="185"/>
      <c r="AI111" s="185"/>
      <c r="AJ111" s="185"/>
      <c r="AK111" s="185"/>
      <c r="AL111" s="185"/>
      <c r="AM111" s="185"/>
      <c r="AN111" s="185"/>
      <c r="AO111" s="185"/>
      <c r="AP111" s="185"/>
      <c r="AQ111" s="185"/>
      <c r="AR111" s="185"/>
      <c r="AS111" s="185"/>
      <c r="AT111" s="185"/>
      <c r="AU111" s="185"/>
      <c r="AV111" s="185"/>
    </row>
    <row r="112" spans="1:48" outlineLevel="1">
      <c r="A112" s="11"/>
      <c r="B112" s="11"/>
      <c r="C112" s="11"/>
      <c r="D112" s="11"/>
      <c r="E112" s="11"/>
      <c r="F112" s="39" t="str">
        <f>Asset4</f>
        <v>Transmission transformers 132/66kV</v>
      </c>
      <c r="G112" s="333">
        <v>0</v>
      </c>
      <c r="H112" s="334">
        <v>0</v>
      </c>
      <c r="I112" s="334">
        <v>0</v>
      </c>
      <c r="J112" s="334">
        <v>0</v>
      </c>
      <c r="K112" s="334">
        <v>0</v>
      </c>
      <c r="L112" s="334">
        <v>0</v>
      </c>
      <c r="M112" s="61"/>
      <c r="N112" s="61"/>
      <c r="O112" s="61"/>
      <c r="P112" s="61"/>
      <c r="Q112" s="61"/>
      <c r="R112" s="8"/>
      <c r="S112" s="8"/>
      <c r="T112" s="8"/>
      <c r="U112" s="8"/>
      <c r="V112" s="8"/>
      <c r="W112" s="42"/>
      <c r="Y112" s="9"/>
      <c r="Z112" s="9"/>
      <c r="AA112" s="9"/>
      <c r="AB112" s="9"/>
      <c r="AC112" s="9"/>
      <c r="AD112" s="9"/>
      <c r="AE112" s="9"/>
      <c r="AF112" s="185"/>
      <c r="AG112" s="185"/>
      <c r="AH112" s="185"/>
      <c r="AI112" s="185"/>
      <c r="AJ112" s="185"/>
      <c r="AK112" s="185"/>
      <c r="AL112" s="185"/>
      <c r="AM112" s="185"/>
      <c r="AN112" s="185"/>
      <c r="AO112" s="185"/>
      <c r="AP112" s="185"/>
      <c r="AQ112" s="185"/>
      <c r="AR112" s="185"/>
      <c r="AS112" s="185"/>
      <c r="AT112" s="185"/>
      <c r="AU112" s="185"/>
      <c r="AV112" s="185"/>
    </row>
    <row r="113" spans="1:48" outlineLevel="1">
      <c r="A113" s="11"/>
      <c r="B113" s="11"/>
      <c r="C113" s="11"/>
      <c r="D113" s="11"/>
      <c r="E113" s="11"/>
      <c r="F113" s="39" t="str">
        <f>Asset5</f>
        <v>Zone transformers 132/66kV</v>
      </c>
      <c r="G113" s="333">
        <v>0</v>
      </c>
      <c r="H113" s="334">
        <v>0</v>
      </c>
      <c r="I113" s="334">
        <v>0</v>
      </c>
      <c r="J113" s="334">
        <v>0</v>
      </c>
      <c r="K113" s="334">
        <v>0</v>
      </c>
      <c r="L113" s="334">
        <v>0</v>
      </c>
      <c r="M113" s="61"/>
      <c r="N113" s="61"/>
      <c r="O113" s="61"/>
      <c r="P113" s="61"/>
      <c r="Q113" s="61"/>
      <c r="R113" s="8"/>
      <c r="S113" s="8"/>
      <c r="T113" s="8"/>
      <c r="U113" s="8"/>
      <c r="V113" s="8"/>
      <c r="W113" s="42"/>
      <c r="Y113" s="9"/>
      <c r="Z113" s="9"/>
      <c r="AA113" s="9"/>
      <c r="AB113" s="9"/>
      <c r="AC113" s="9"/>
      <c r="AD113" s="9"/>
      <c r="AE113" s="9"/>
      <c r="AF113" s="185"/>
      <c r="AG113" s="185"/>
      <c r="AH113" s="185"/>
      <c r="AI113" s="185"/>
      <c r="AJ113" s="185"/>
      <c r="AK113" s="185"/>
      <c r="AL113" s="185"/>
      <c r="AM113" s="185"/>
      <c r="AN113" s="185"/>
      <c r="AO113" s="185"/>
      <c r="AP113" s="185"/>
      <c r="AQ113" s="185"/>
      <c r="AR113" s="185"/>
      <c r="AS113" s="185"/>
      <c r="AT113" s="185"/>
      <c r="AU113" s="185"/>
      <c r="AV113" s="185"/>
    </row>
    <row r="114" spans="1:48" outlineLevel="1">
      <c r="A114" s="11"/>
      <c r="B114" s="11"/>
      <c r="C114" s="11"/>
      <c r="D114" s="11"/>
      <c r="E114" s="11"/>
      <c r="F114" s="39" t="str">
        <f>Asset6</f>
        <v>Transmission substation equip 132/66kV</v>
      </c>
      <c r="G114" s="333">
        <v>0</v>
      </c>
      <c r="H114" s="334">
        <v>0</v>
      </c>
      <c r="I114" s="334">
        <v>0</v>
      </c>
      <c r="J114" s="334">
        <v>0</v>
      </c>
      <c r="K114" s="334">
        <v>0</v>
      </c>
      <c r="L114" s="334">
        <v>0</v>
      </c>
      <c r="M114" s="61"/>
      <c r="N114" s="314"/>
      <c r="O114" s="61"/>
      <c r="P114" s="61"/>
      <c r="Q114" s="61"/>
      <c r="R114" s="8"/>
      <c r="S114" s="8"/>
      <c r="T114" s="8"/>
      <c r="U114" s="8"/>
      <c r="V114" s="8"/>
      <c r="W114" s="42"/>
      <c r="Y114" s="9"/>
      <c r="Z114" s="9"/>
      <c r="AA114" s="9"/>
      <c r="AB114" s="9"/>
      <c r="AC114" s="9"/>
      <c r="AD114" s="9"/>
      <c r="AE114" s="9"/>
      <c r="AF114" s="185"/>
      <c r="AG114" s="185"/>
      <c r="AH114" s="185"/>
      <c r="AI114" s="185"/>
      <c r="AJ114" s="185"/>
      <c r="AK114" s="185"/>
      <c r="AL114" s="185"/>
      <c r="AM114" s="185"/>
      <c r="AN114" s="185"/>
      <c r="AO114" s="185"/>
      <c r="AP114" s="185"/>
      <c r="AQ114" s="185"/>
      <c r="AR114" s="185"/>
      <c r="AS114" s="185"/>
      <c r="AT114" s="185"/>
      <c r="AU114" s="185"/>
      <c r="AV114" s="185"/>
    </row>
    <row r="115" spans="1:48" outlineLevel="1">
      <c r="A115" s="11"/>
      <c r="B115" s="11"/>
      <c r="C115" s="11"/>
      <c r="D115" s="11"/>
      <c r="E115" s="11"/>
      <c r="F115" s="39" t="str">
        <f>Asset7</f>
        <v>Zone substation equip 132/66kV</v>
      </c>
      <c r="G115" s="333">
        <v>0</v>
      </c>
      <c r="H115" s="334">
        <v>0</v>
      </c>
      <c r="I115" s="334">
        <v>0</v>
      </c>
      <c r="J115" s="334">
        <v>0</v>
      </c>
      <c r="K115" s="334">
        <v>0</v>
      </c>
      <c r="L115" s="334">
        <v>0</v>
      </c>
      <c r="M115" s="61"/>
      <c r="N115" s="61"/>
      <c r="O115" s="61"/>
      <c r="P115" s="61"/>
      <c r="Q115" s="61"/>
      <c r="R115" s="8"/>
      <c r="S115" s="316"/>
      <c r="T115" s="8"/>
      <c r="U115" s="8"/>
      <c r="V115" s="8"/>
      <c r="W115" s="42"/>
      <c r="Y115" s="9"/>
      <c r="Z115" s="9"/>
      <c r="AA115" s="9"/>
      <c r="AB115" s="9"/>
      <c r="AC115" s="9"/>
      <c r="AD115" s="9"/>
      <c r="AE115" s="9"/>
      <c r="AF115" s="185"/>
      <c r="AG115" s="185"/>
      <c r="AH115" s="185"/>
      <c r="AI115" s="185"/>
      <c r="AJ115" s="185"/>
      <c r="AK115" s="185"/>
      <c r="AL115" s="185"/>
      <c r="AM115" s="185"/>
      <c r="AN115" s="185"/>
      <c r="AO115" s="185"/>
      <c r="AP115" s="185"/>
      <c r="AQ115" s="185"/>
      <c r="AR115" s="185"/>
      <c r="AS115" s="185"/>
      <c r="AT115" s="185"/>
      <c r="AU115" s="185"/>
      <c r="AV115" s="185"/>
    </row>
    <row r="116" spans="1:48" outlineLevel="1">
      <c r="A116" s="11"/>
      <c r="B116" s="11"/>
      <c r="C116" s="11"/>
      <c r="D116" s="11"/>
      <c r="E116" s="11"/>
      <c r="F116" s="39" t="str">
        <f>Asset8</f>
        <v>Transmission &amp; Zone emergency spares</v>
      </c>
      <c r="G116" s="333">
        <v>0</v>
      </c>
      <c r="H116" s="334">
        <v>0</v>
      </c>
      <c r="I116" s="334">
        <v>0</v>
      </c>
      <c r="J116" s="334">
        <v>0</v>
      </c>
      <c r="K116" s="334">
        <v>0</v>
      </c>
      <c r="L116" s="334">
        <v>0</v>
      </c>
      <c r="M116" s="61"/>
      <c r="N116" s="61"/>
      <c r="O116" s="61"/>
      <c r="P116" s="61"/>
      <c r="Q116" s="61"/>
      <c r="R116" s="8"/>
      <c r="S116" s="8"/>
      <c r="T116" s="8"/>
      <c r="U116" s="8"/>
      <c r="V116" s="8"/>
      <c r="W116" s="42"/>
      <c r="Y116" s="9"/>
      <c r="Z116" s="9"/>
      <c r="AA116" s="9"/>
      <c r="AB116" s="9"/>
      <c r="AC116" s="9"/>
      <c r="AD116" s="9"/>
      <c r="AE116" s="9"/>
      <c r="AF116" s="185"/>
      <c r="AG116" s="185"/>
      <c r="AH116" s="185"/>
      <c r="AI116" s="185"/>
      <c r="AJ116" s="185"/>
      <c r="AK116" s="185"/>
      <c r="AL116" s="185"/>
      <c r="AM116" s="185"/>
      <c r="AN116" s="185"/>
      <c r="AO116" s="185"/>
      <c r="AP116" s="185"/>
      <c r="AQ116" s="185"/>
      <c r="AR116" s="185"/>
      <c r="AS116" s="185"/>
      <c r="AT116" s="185"/>
      <c r="AU116" s="185"/>
      <c r="AV116" s="185"/>
    </row>
    <row r="117" spans="1:48" outlineLevel="1">
      <c r="A117" s="11"/>
      <c r="B117" s="11"/>
      <c r="C117" s="11"/>
      <c r="D117" s="11"/>
      <c r="E117" s="11"/>
      <c r="F117" s="39" t="str">
        <f>Asset9</f>
        <v>Ancillary substation equipment (tx)</v>
      </c>
      <c r="G117" s="333">
        <v>0</v>
      </c>
      <c r="H117" s="334">
        <v>0</v>
      </c>
      <c r="I117" s="334">
        <v>0</v>
      </c>
      <c r="J117" s="334">
        <v>0</v>
      </c>
      <c r="K117" s="334">
        <v>0</v>
      </c>
      <c r="L117" s="334">
        <v>0</v>
      </c>
      <c r="M117" s="61"/>
      <c r="N117" s="61"/>
      <c r="O117" s="61"/>
      <c r="P117" s="61"/>
      <c r="Q117" s="61"/>
      <c r="R117" s="8"/>
      <c r="S117" s="8"/>
      <c r="T117" s="8"/>
      <c r="U117" s="8"/>
      <c r="V117" s="8"/>
      <c r="W117" s="42"/>
      <c r="Y117" s="9"/>
      <c r="Z117" s="9"/>
      <c r="AA117" s="9"/>
      <c r="AB117" s="9"/>
      <c r="AC117" s="9"/>
      <c r="AD117" s="9"/>
      <c r="AE117" s="9"/>
      <c r="AF117" s="185"/>
      <c r="AG117" s="185"/>
      <c r="AH117" s="185"/>
      <c r="AI117" s="185"/>
      <c r="AJ117" s="185"/>
      <c r="AK117" s="185"/>
      <c r="AL117" s="185"/>
      <c r="AM117" s="185"/>
      <c r="AN117" s="185"/>
      <c r="AO117" s="185"/>
      <c r="AP117" s="185"/>
      <c r="AQ117" s="185"/>
      <c r="AR117" s="185"/>
      <c r="AS117" s="185"/>
      <c r="AT117" s="185"/>
      <c r="AU117" s="185"/>
      <c r="AV117" s="185"/>
    </row>
    <row r="118" spans="1:48" outlineLevel="1">
      <c r="A118" s="11"/>
      <c r="B118" s="11"/>
      <c r="C118" s="11"/>
      <c r="D118" s="11"/>
      <c r="E118" s="11"/>
      <c r="F118" s="39" t="str">
        <f>Asset10</f>
        <v>132kV tower lines</v>
      </c>
      <c r="G118" s="333">
        <v>0</v>
      </c>
      <c r="H118" s="334">
        <v>0</v>
      </c>
      <c r="I118" s="334">
        <v>0</v>
      </c>
      <c r="J118" s="334">
        <v>0</v>
      </c>
      <c r="K118" s="334">
        <v>0</v>
      </c>
      <c r="L118" s="334">
        <v>0</v>
      </c>
      <c r="M118" s="61"/>
      <c r="N118" s="61"/>
      <c r="O118" s="61"/>
      <c r="P118" s="61"/>
      <c r="Q118" s="61"/>
      <c r="R118" s="8"/>
      <c r="S118" s="8"/>
      <c r="T118" s="8"/>
      <c r="U118" s="8"/>
      <c r="V118" s="8"/>
      <c r="W118" s="42"/>
      <c r="Y118" s="9"/>
      <c r="Z118" s="9"/>
      <c r="AA118" s="9"/>
      <c r="AB118" s="9"/>
      <c r="AC118" s="9"/>
      <c r="AD118" s="9"/>
      <c r="AE118" s="9"/>
      <c r="AF118" s="185"/>
      <c r="AG118" s="185"/>
      <c r="AH118" s="185"/>
      <c r="AI118" s="185"/>
      <c r="AJ118" s="185"/>
      <c r="AK118" s="185"/>
      <c r="AL118" s="185"/>
      <c r="AM118" s="185"/>
      <c r="AN118" s="185"/>
      <c r="AO118" s="185"/>
      <c r="AP118" s="185"/>
      <c r="AQ118" s="185"/>
      <c r="AR118" s="185"/>
      <c r="AS118" s="185"/>
      <c r="AT118" s="185"/>
      <c r="AU118" s="185"/>
      <c r="AV118" s="185"/>
    </row>
    <row r="119" spans="1:48" outlineLevel="1">
      <c r="A119" s="11"/>
      <c r="B119" s="11"/>
      <c r="C119" s="11"/>
      <c r="D119" s="11"/>
      <c r="E119" s="11"/>
      <c r="F119" s="39" t="str">
        <f>Asset11</f>
        <v>132kV concrete &amp; steel pole lines</v>
      </c>
      <c r="G119" s="333">
        <v>0</v>
      </c>
      <c r="H119" s="334">
        <v>0</v>
      </c>
      <c r="I119" s="334">
        <v>0</v>
      </c>
      <c r="J119" s="334">
        <v>0</v>
      </c>
      <c r="K119" s="334">
        <v>0</v>
      </c>
      <c r="L119" s="334">
        <v>0</v>
      </c>
      <c r="M119" s="61"/>
      <c r="N119" s="61"/>
      <c r="O119" s="61"/>
      <c r="P119" s="61"/>
      <c r="Q119" s="61"/>
      <c r="R119" s="8"/>
      <c r="S119" s="8"/>
      <c r="T119" s="8"/>
      <c r="U119" s="8"/>
      <c r="V119" s="8"/>
      <c r="W119" s="42"/>
      <c r="Y119" s="9"/>
      <c r="Z119" s="9"/>
      <c r="AA119" s="9"/>
      <c r="AB119" s="9"/>
      <c r="AC119" s="9"/>
      <c r="AD119" s="9"/>
      <c r="AE119" s="9"/>
      <c r="AF119" s="185"/>
      <c r="AG119" s="185"/>
      <c r="AH119" s="185"/>
      <c r="AI119" s="185"/>
      <c r="AJ119" s="185"/>
      <c r="AK119" s="185"/>
      <c r="AL119" s="185"/>
      <c r="AM119" s="185"/>
      <c r="AN119" s="185"/>
      <c r="AO119" s="185"/>
      <c r="AP119" s="185"/>
      <c r="AQ119" s="185"/>
      <c r="AR119" s="185"/>
      <c r="AS119" s="185"/>
      <c r="AT119" s="185"/>
      <c r="AU119" s="185"/>
      <c r="AV119" s="185"/>
    </row>
    <row r="120" spans="1:48" outlineLevel="1">
      <c r="A120" s="11"/>
      <c r="B120" s="11"/>
      <c r="C120" s="11"/>
      <c r="D120" s="11"/>
      <c r="E120" s="11"/>
      <c r="F120" s="39" t="str">
        <f>Asset12</f>
        <v>132kV wood pole lines</v>
      </c>
      <c r="G120" s="333">
        <v>0</v>
      </c>
      <c r="H120" s="334">
        <v>0</v>
      </c>
      <c r="I120" s="334">
        <v>0</v>
      </c>
      <c r="J120" s="334">
        <v>0</v>
      </c>
      <c r="K120" s="334">
        <v>0</v>
      </c>
      <c r="L120" s="334">
        <v>0</v>
      </c>
      <c r="M120" s="61"/>
      <c r="N120" s="61"/>
      <c r="O120" s="61"/>
      <c r="P120" s="61"/>
      <c r="Q120" s="61"/>
      <c r="R120" s="8"/>
      <c r="S120" s="8"/>
      <c r="T120" s="8"/>
      <c r="U120" s="8"/>
      <c r="V120" s="8"/>
      <c r="W120" s="42"/>
      <c r="Y120" s="9"/>
      <c r="Z120" s="9"/>
      <c r="AA120" s="9"/>
      <c r="AB120" s="9"/>
      <c r="AC120" s="9"/>
      <c r="AD120" s="9"/>
      <c r="AE120" s="9"/>
      <c r="AF120" s="185"/>
      <c r="AG120" s="185"/>
      <c r="AH120" s="185"/>
      <c r="AI120" s="185"/>
      <c r="AJ120" s="185"/>
      <c r="AK120" s="185"/>
      <c r="AL120" s="185"/>
      <c r="AM120" s="185"/>
      <c r="AN120" s="185"/>
      <c r="AO120" s="185"/>
      <c r="AP120" s="185"/>
      <c r="AQ120" s="185"/>
      <c r="AR120" s="185"/>
      <c r="AS120" s="185"/>
      <c r="AT120" s="185"/>
      <c r="AU120" s="185"/>
      <c r="AV120" s="185"/>
    </row>
    <row r="121" spans="1:48" outlineLevel="1">
      <c r="A121" s="11"/>
      <c r="B121" s="11"/>
      <c r="C121" s="11"/>
      <c r="D121" s="11"/>
      <c r="E121" s="11"/>
      <c r="F121" s="39" t="str">
        <f>Asset13</f>
        <v>132kV feeders underground</v>
      </c>
      <c r="G121" s="333">
        <v>0</v>
      </c>
      <c r="H121" s="334">
        <v>0</v>
      </c>
      <c r="I121" s="334">
        <v>0</v>
      </c>
      <c r="J121" s="334">
        <v>0</v>
      </c>
      <c r="K121" s="334">
        <v>0</v>
      </c>
      <c r="L121" s="334">
        <v>0</v>
      </c>
      <c r="M121" s="61"/>
      <c r="N121" s="61"/>
      <c r="O121" s="61"/>
      <c r="P121" s="61"/>
      <c r="Q121" s="61"/>
      <c r="R121" s="8"/>
      <c r="S121" s="8"/>
      <c r="T121" s="8"/>
      <c r="U121" s="8"/>
      <c r="V121" s="8"/>
      <c r="W121" s="42"/>
      <c r="Y121" s="9"/>
      <c r="Z121" s="9"/>
      <c r="AA121" s="9"/>
      <c r="AB121" s="9"/>
      <c r="AC121" s="9"/>
      <c r="AD121" s="9"/>
      <c r="AE121" s="9"/>
      <c r="AF121" s="185"/>
      <c r="AG121" s="185"/>
      <c r="AH121" s="185"/>
      <c r="AI121" s="185"/>
      <c r="AJ121" s="185"/>
      <c r="AK121" s="185"/>
      <c r="AL121" s="185"/>
      <c r="AM121" s="185"/>
      <c r="AN121" s="185"/>
      <c r="AO121" s="185"/>
      <c r="AP121" s="185"/>
      <c r="AQ121" s="185"/>
      <c r="AR121" s="185"/>
      <c r="AS121" s="185"/>
      <c r="AT121" s="185"/>
      <c r="AU121" s="185"/>
      <c r="AV121" s="185"/>
    </row>
    <row r="122" spans="1:48" outlineLevel="1">
      <c r="A122" s="11"/>
      <c r="B122" s="11"/>
      <c r="C122" s="11"/>
      <c r="D122" s="11"/>
      <c r="E122" s="11"/>
      <c r="F122" s="39" t="str">
        <f>Asset14</f>
        <v>Cable tunnel (tx)</v>
      </c>
      <c r="G122" s="333">
        <v>0</v>
      </c>
      <c r="H122" s="334">
        <v>0</v>
      </c>
      <c r="I122" s="334">
        <v>0</v>
      </c>
      <c r="J122" s="334">
        <v>0</v>
      </c>
      <c r="K122" s="334">
        <v>0</v>
      </c>
      <c r="L122" s="334">
        <v>0</v>
      </c>
      <c r="M122" s="61"/>
      <c r="N122" s="61"/>
      <c r="O122" s="61"/>
      <c r="P122" s="61"/>
      <c r="Q122" s="61"/>
      <c r="R122" s="8"/>
      <c r="S122" s="8"/>
      <c r="T122" s="8"/>
      <c r="U122" s="8"/>
      <c r="V122" s="8"/>
      <c r="W122" s="42"/>
      <c r="Y122" s="9"/>
      <c r="Z122" s="9"/>
      <c r="AA122" s="9"/>
      <c r="AB122" s="9"/>
      <c r="AC122" s="9"/>
      <c r="AD122" s="9"/>
      <c r="AE122" s="9"/>
      <c r="AF122" s="185"/>
      <c r="AG122" s="185"/>
      <c r="AH122" s="185"/>
      <c r="AI122" s="185"/>
      <c r="AJ122" s="185"/>
      <c r="AK122" s="185"/>
      <c r="AL122" s="185"/>
      <c r="AM122" s="185"/>
      <c r="AN122" s="185"/>
      <c r="AO122" s="185"/>
      <c r="AP122" s="185"/>
      <c r="AQ122" s="185"/>
      <c r="AR122" s="185"/>
      <c r="AS122" s="185"/>
      <c r="AT122" s="185"/>
      <c r="AU122" s="185"/>
      <c r="AV122" s="185"/>
    </row>
    <row r="123" spans="1:48" outlineLevel="1">
      <c r="A123" s="11"/>
      <c r="B123" s="11"/>
      <c r="C123" s="11"/>
      <c r="D123" s="11"/>
      <c r="E123" s="11"/>
      <c r="F123" s="39" t="str">
        <f>Asset15</f>
        <v>Network control &amp; com systems</v>
      </c>
      <c r="G123" s="333">
        <v>0</v>
      </c>
      <c r="H123" s="334">
        <v>0</v>
      </c>
      <c r="I123" s="334">
        <v>0</v>
      </c>
      <c r="J123" s="334">
        <v>0</v>
      </c>
      <c r="K123" s="334">
        <v>0</v>
      </c>
      <c r="L123" s="334">
        <v>0</v>
      </c>
      <c r="M123" s="61"/>
      <c r="N123" s="61"/>
      <c r="O123" s="61"/>
      <c r="P123" s="61"/>
      <c r="Q123" s="61"/>
      <c r="R123" s="8"/>
      <c r="S123" s="8"/>
      <c r="T123" s="8"/>
      <c r="U123" s="8"/>
      <c r="V123" s="8"/>
      <c r="W123" s="42"/>
      <c r="Y123" s="9"/>
      <c r="Z123" s="9"/>
      <c r="AA123" s="9"/>
      <c r="AB123" s="9"/>
      <c r="AC123" s="9"/>
      <c r="AD123" s="9"/>
      <c r="AE123" s="9"/>
      <c r="AF123" s="185"/>
      <c r="AG123" s="185"/>
      <c r="AH123" s="185"/>
      <c r="AI123" s="185"/>
      <c r="AJ123" s="185"/>
      <c r="AK123" s="185"/>
      <c r="AL123" s="185"/>
      <c r="AM123" s="185"/>
      <c r="AN123" s="185"/>
      <c r="AO123" s="185"/>
      <c r="AP123" s="185"/>
      <c r="AQ123" s="185"/>
      <c r="AR123" s="185"/>
      <c r="AS123" s="185"/>
      <c r="AT123" s="185"/>
      <c r="AU123" s="185"/>
      <c r="AV123" s="185"/>
    </row>
    <row r="124" spans="1:48" outlineLevel="1">
      <c r="A124" s="11"/>
      <c r="B124" s="11"/>
      <c r="C124" s="11"/>
      <c r="D124" s="11"/>
      <c r="E124" s="11"/>
      <c r="F124" s="39" t="str">
        <f>Asset16</f>
        <v>Communications (digital) - tx</v>
      </c>
      <c r="G124" s="333">
        <v>0</v>
      </c>
      <c r="H124" s="334">
        <v>0</v>
      </c>
      <c r="I124" s="334">
        <v>0</v>
      </c>
      <c r="J124" s="334">
        <v>0</v>
      </c>
      <c r="K124" s="334">
        <v>0</v>
      </c>
      <c r="L124" s="334">
        <v>0</v>
      </c>
      <c r="M124" s="61"/>
      <c r="N124" s="61"/>
      <c r="O124" s="61"/>
      <c r="P124" s="61"/>
      <c r="Q124" s="61"/>
      <c r="R124" s="8"/>
      <c r="S124" s="8"/>
      <c r="T124" s="8"/>
      <c r="U124" s="8"/>
      <c r="V124" s="8"/>
      <c r="W124" s="42"/>
      <c r="Y124" s="9"/>
      <c r="Z124" s="9"/>
      <c r="AA124" s="9"/>
      <c r="AB124" s="9"/>
      <c r="AC124" s="9"/>
      <c r="AD124" s="9"/>
      <c r="AE124" s="9"/>
      <c r="AF124" s="185"/>
      <c r="AG124" s="185"/>
      <c r="AH124" s="185"/>
      <c r="AI124" s="185"/>
      <c r="AJ124" s="185"/>
      <c r="AK124" s="185"/>
      <c r="AL124" s="185"/>
      <c r="AM124" s="185"/>
      <c r="AN124" s="185"/>
      <c r="AO124" s="185"/>
      <c r="AP124" s="185"/>
      <c r="AQ124" s="185"/>
      <c r="AR124" s="185"/>
      <c r="AS124" s="185"/>
      <c r="AT124" s="185"/>
      <c r="AU124" s="185"/>
      <c r="AV124" s="185"/>
    </row>
    <row r="125" spans="1:48" outlineLevel="1">
      <c r="A125" s="11"/>
      <c r="B125" s="11"/>
      <c r="C125" s="11"/>
      <c r="D125" s="11"/>
      <c r="E125" s="11"/>
      <c r="F125" s="39" t="str">
        <f>Asset17</f>
        <v>System IT (tx)</v>
      </c>
      <c r="G125" s="333">
        <v>0</v>
      </c>
      <c r="H125" s="334">
        <v>0</v>
      </c>
      <c r="I125" s="334">
        <v>0</v>
      </c>
      <c r="J125" s="334">
        <v>0</v>
      </c>
      <c r="K125" s="334">
        <v>0</v>
      </c>
      <c r="L125" s="334">
        <v>0</v>
      </c>
      <c r="M125" s="61"/>
      <c r="N125" s="61"/>
      <c r="O125" s="61"/>
      <c r="P125" s="61"/>
      <c r="Q125" s="61"/>
      <c r="R125" s="8"/>
      <c r="S125" s="8"/>
      <c r="T125" s="8"/>
      <c r="U125" s="8"/>
      <c r="V125" s="8"/>
      <c r="W125" s="42"/>
      <c r="Y125" s="9"/>
      <c r="Z125" s="9"/>
      <c r="AA125" s="9"/>
      <c r="AB125" s="9"/>
      <c r="AC125" s="9"/>
      <c r="AD125" s="9"/>
      <c r="AE125" s="9"/>
      <c r="AF125" s="185"/>
      <c r="AG125" s="185"/>
      <c r="AH125" s="185"/>
      <c r="AI125" s="185"/>
      <c r="AJ125" s="185"/>
      <c r="AK125" s="185"/>
      <c r="AL125" s="185"/>
      <c r="AM125" s="185"/>
      <c r="AN125" s="185"/>
      <c r="AO125" s="185"/>
      <c r="AP125" s="185"/>
      <c r="AQ125" s="185"/>
      <c r="AR125" s="185"/>
      <c r="AS125" s="185"/>
      <c r="AT125" s="185"/>
      <c r="AU125" s="185"/>
      <c r="AV125" s="185"/>
    </row>
    <row r="126" spans="1:48" outlineLevel="1">
      <c r="A126" s="11"/>
      <c r="B126" s="11"/>
      <c r="C126" s="11"/>
      <c r="D126" s="11"/>
      <c r="E126" s="11"/>
      <c r="F126" s="39" t="str">
        <f>Asset18</f>
        <v>IT systems</v>
      </c>
      <c r="G126" s="333">
        <v>0</v>
      </c>
      <c r="H126" s="334">
        <v>0</v>
      </c>
      <c r="I126" s="334">
        <v>0</v>
      </c>
      <c r="J126" s="334">
        <v>0</v>
      </c>
      <c r="K126" s="334">
        <v>0</v>
      </c>
      <c r="L126" s="334">
        <v>0</v>
      </c>
      <c r="M126" s="61"/>
      <c r="N126" s="61"/>
      <c r="O126" s="61"/>
      <c r="P126" s="61"/>
      <c r="Q126" s="61"/>
      <c r="R126" s="8"/>
      <c r="S126" s="8"/>
      <c r="T126" s="8"/>
      <c r="U126" s="8"/>
      <c r="V126" s="8"/>
      <c r="W126" s="42"/>
      <c r="Y126" s="9"/>
      <c r="Z126" s="9"/>
      <c r="AA126" s="9"/>
      <c r="AB126" s="9"/>
      <c r="AC126" s="9"/>
      <c r="AD126" s="9"/>
      <c r="AE126" s="9"/>
      <c r="AF126" s="185"/>
      <c r="AG126" s="185"/>
      <c r="AH126" s="185"/>
      <c r="AI126" s="185"/>
      <c r="AJ126" s="185"/>
      <c r="AK126" s="185"/>
      <c r="AL126" s="185"/>
      <c r="AM126" s="185"/>
      <c r="AN126" s="185"/>
      <c r="AO126" s="185"/>
      <c r="AP126" s="185"/>
      <c r="AQ126" s="185"/>
      <c r="AR126" s="185"/>
      <c r="AS126" s="185"/>
      <c r="AT126" s="185"/>
      <c r="AU126" s="185"/>
      <c r="AV126" s="185"/>
    </row>
    <row r="127" spans="1:48" outlineLevel="1">
      <c r="A127" s="11"/>
      <c r="B127" s="11"/>
      <c r="C127" s="11"/>
      <c r="D127" s="11"/>
      <c r="E127" s="11"/>
      <c r="F127" s="39" t="str">
        <f>Asset19</f>
        <v>Furniture, fittings, plant and equipment</v>
      </c>
      <c r="G127" s="333">
        <v>0</v>
      </c>
      <c r="H127" s="334">
        <v>0</v>
      </c>
      <c r="I127" s="334">
        <v>0</v>
      </c>
      <c r="J127" s="334">
        <v>0</v>
      </c>
      <c r="K127" s="334">
        <v>0</v>
      </c>
      <c r="L127" s="334">
        <v>0</v>
      </c>
      <c r="M127" s="61"/>
      <c r="N127" s="61"/>
      <c r="O127" s="61"/>
      <c r="P127" s="61"/>
      <c r="Q127" s="61"/>
      <c r="R127" s="8"/>
      <c r="S127" s="8"/>
      <c r="T127" s="8"/>
      <c r="U127" s="8"/>
      <c r="V127" s="8"/>
      <c r="W127" s="42"/>
      <c r="Y127" s="9"/>
      <c r="Z127" s="9"/>
      <c r="AA127" s="9"/>
      <c r="AB127" s="9"/>
      <c r="AC127" s="9"/>
      <c r="AD127" s="9"/>
      <c r="AE127" s="9"/>
      <c r="AF127" s="185"/>
      <c r="AG127" s="185"/>
      <c r="AH127" s="185"/>
      <c r="AI127" s="185"/>
      <c r="AJ127" s="185"/>
      <c r="AK127" s="185"/>
      <c r="AL127" s="185"/>
      <c r="AM127" s="185"/>
      <c r="AN127" s="185"/>
      <c r="AO127" s="185"/>
      <c r="AP127" s="185"/>
      <c r="AQ127" s="185"/>
      <c r="AR127" s="185"/>
      <c r="AS127" s="185"/>
      <c r="AT127" s="185"/>
      <c r="AU127" s="185"/>
      <c r="AV127" s="185"/>
    </row>
    <row r="128" spans="1:48" outlineLevel="1">
      <c r="A128" s="11"/>
      <c r="B128" s="11"/>
      <c r="C128" s="11"/>
      <c r="D128" s="11"/>
      <c r="E128" s="11"/>
      <c r="F128" s="39" t="str">
        <f>Asset20</f>
        <v>Motor vehicles</v>
      </c>
      <c r="G128" s="333">
        <v>0</v>
      </c>
      <c r="H128" s="334">
        <v>0</v>
      </c>
      <c r="I128" s="334">
        <v>0</v>
      </c>
      <c r="J128" s="334">
        <v>0</v>
      </c>
      <c r="K128" s="334">
        <v>0</v>
      </c>
      <c r="L128" s="334">
        <v>0</v>
      </c>
      <c r="M128" s="61"/>
      <c r="N128" s="61"/>
      <c r="O128" s="61"/>
      <c r="P128" s="61"/>
      <c r="Q128" s="61"/>
      <c r="R128" s="8"/>
      <c r="S128" s="8"/>
      <c r="T128" s="8"/>
      <c r="U128" s="8"/>
      <c r="V128" s="8"/>
      <c r="W128" s="42"/>
      <c r="Y128" s="9"/>
      <c r="Z128" s="9"/>
      <c r="AA128" s="9"/>
      <c r="AB128" s="9"/>
      <c r="AC128" s="9"/>
      <c r="AD128" s="9"/>
      <c r="AE128" s="9"/>
      <c r="AF128" s="185"/>
      <c r="AG128" s="185"/>
      <c r="AH128" s="185"/>
      <c r="AI128" s="185"/>
      <c r="AJ128" s="185"/>
      <c r="AK128" s="185"/>
      <c r="AL128" s="185"/>
      <c r="AM128" s="185"/>
      <c r="AN128" s="185"/>
      <c r="AO128" s="185"/>
      <c r="AP128" s="185"/>
      <c r="AQ128" s="185"/>
      <c r="AR128" s="185"/>
      <c r="AS128" s="185"/>
      <c r="AT128" s="185"/>
      <c r="AU128" s="185"/>
      <c r="AV128" s="185"/>
    </row>
    <row r="129" spans="1:48" outlineLevel="1">
      <c r="A129" s="11"/>
      <c r="B129" s="11"/>
      <c r="C129" s="11"/>
      <c r="D129" s="11"/>
      <c r="E129" s="11"/>
      <c r="F129" s="39" t="str">
        <f>Asset21</f>
        <v>Buildings</v>
      </c>
      <c r="G129" s="333">
        <v>0</v>
      </c>
      <c r="H129" s="334">
        <v>0</v>
      </c>
      <c r="I129" s="334">
        <v>2.4823499999999998</v>
      </c>
      <c r="J129" s="334">
        <v>0</v>
      </c>
      <c r="K129" s="334">
        <v>0.81467746873707458</v>
      </c>
      <c r="L129" s="334">
        <v>0.61097860479622379</v>
      </c>
      <c r="M129" s="61"/>
      <c r="N129" s="61"/>
      <c r="O129" s="61"/>
      <c r="P129" s="61"/>
      <c r="Q129" s="61"/>
      <c r="R129" s="8"/>
      <c r="S129" s="8"/>
      <c r="T129" s="8"/>
      <c r="U129" s="8"/>
      <c r="V129" s="8"/>
      <c r="W129" s="42"/>
      <c r="Y129" s="9"/>
      <c r="Z129" s="9"/>
      <c r="AA129" s="9"/>
      <c r="AB129" s="9"/>
      <c r="AC129" s="9"/>
      <c r="AD129" s="9"/>
      <c r="AE129" s="9"/>
      <c r="AF129" s="185"/>
      <c r="AG129" s="185"/>
      <c r="AH129" s="185"/>
      <c r="AI129" s="185"/>
      <c r="AJ129" s="185"/>
      <c r="AK129" s="185"/>
      <c r="AL129" s="185"/>
      <c r="AM129" s="185"/>
      <c r="AN129" s="185"/>
      <c r="AO129" s="185"/>
      <c r="AP129" s="185"/>
      <c r="AQ129" s="185"/>
      <c r="AR129" s="185"/>
      <c r="AS129" s="185"/>
      <c r="AT129" s="185"/>
      <c r="AU129" s="185"/>
      <c r="AV129" s="185"/>
    </row>
    <row r="130" spans="1:48" outlineLevel="1">
      <c r="A130" s="11"/>
      <c r="B130" s="11"/>
      <c r="C130" s="11"/>
      <c r="D130" s="11"/>
      <c r="E130" s="11"/>
      <c r="F130" s="39" t="str">
        <f>Asset22</f>
        <v>Land (non-system)</v>
      </c>
      <c r="G130" s="333">
        <v>0</v>
      </c>
      <c r="H130" s="334">
        <v>0</v>
      </c>
      <c r="I130" s="334">
        <v>0</v>
      </c>
      <c r="J130" s="334">
        <v>0</v>
      </c>
      <c r="K130" s="334">
        <v>0</v>
      </c>
      <c r="L130" s="334">
        <v>0</v>
      </c>
      <c r="M130" s="61"/>
      <c r="N130" s="61"/>
      <c r="O130" s="61"/>
      <c r="P130" s="61"/>
      <c r="Q130" s="61"/>
      <c r="R130" s="8"/>
      <c r="S130" s="8"/>
      <c r="T130" s="8"/>
      <c r="U130" s="8"/>
      <c r="V130" s="8"/>
      <c r="W130" s="42"/>
      <c r="Y130" s="9"/>
      <c r="Z130" s="9"/>
      <c r="AA130" s="9"/>
      <c r="AB130" s="9"/>
      <c r="AC130" s="9"/>
      <c r="AD130" s="9"/>
      <c r="AE130" s="9"/>
      <c r="AF130" s="185"/>
      <c r="AG130" s="185"/>
      <c r="AH130" s="185"/>
      <c r="AI130" s="185"/>
      <c r="AJ130" s="185"/>
      <c r="AK130" s="185"/>
      <c r="AL130" s="185"/>
      <c r="AM130" s="185"/>
      <c r="AN130" s="185"/>
      <c r="AO130" s="185"/>
      <c r="AP130" s="185"/>
      <c r="AQ130" s="185"/>
      <c r="AR130" s="185"/>
      <c r="AS130" s="185"/>
      <c r="AT130" s="185"/>
      <c r="AU130" s="185"/>
      <c r="AV130" s="185"/>
    </row>
    <row r="131" spans="1:48" outlineLevel="1">
      <c r="A131" s="11"/>
      <c r="B131" s="11"/>
      <c r="C131" s="11"/>
      <c r="D131" s="11"/>
      <c r="E131" s="11"/>
      <c r="F131" s="39" t="str">
        <f>Asset23</f>
        <v>Other non system assets</v>
      </c>
      <c r="G131" s="333">
        <v>0</v>
      </c>
      <c r="H131" s="334">
        <v>0</v>
      </c>
      <c r="I131" s="334">
        <v>0</v>
      </c>
      <c r="J131" s="334">
        <v>0</v>
      </c>
      <c r="K131" s="334">
        <v>0</v>
      </c>
      <c r="L131" s="334">
        <v>0</v>
      </c>
      <c r="M131" s="61"/>
      <c r="N131" s="61"/>
      <c r="O131" s="61"/>
      <c r="P131" s="61"/>
      <c r="Q131" s="61"/>
      <c r="R131" s="8"/>
      <c r="S131" s="8"/>
      <c r="T131" s="8"/>
      <c r="U131" s="8"/>
      <c r="V131" s="8"/>
      <c r="W131" s="42"/>
      <c r="Y131" s="9"/>
      <c r="Z131" s="9"/>
      <c r="AA131" s="9"/>
      <c r="AB131" s="9"/>
      <c r="AC131" s="9"/>
      <c r="AD131" s="9"/>
      <c r="AE131" s="9"/>
      <c r="AF131" s="185"/>
      <c r="AG131" s="185"/>
      <c r="AH131" s="185"/>
      <c r="AI131" s="185"/>
      <c r="AJ131" s="185"/>
      <c r="AK131" s="185"/>
      <c r="AL131" s="185"/>
      <c r="AM131" s="185"/>
      <c r="AN131" s="185"/>
      <c r="AO131" s="185"/>
      <c r="AP131" s="185"/>
      <c r="AQ131" s="185"/>
      <c r="AR131" s="185"/>
      <c r="AS131" s="185"/>
      <c r="AT131" s="185"/>
      <c r="AU131" s="185"/>
      <c r="AV131" s="185"/>
    </row>
    <row r="132" spans="1:48" outlineLevel="1">
      <c r="A132" s="11"/>
      <c r="B132" s="11"/>
      <c r="C132" s="11"/>
      <c r="D132" s="11"/>
      <c r="E132" s="11"/>
      <c r="F132" s="39" t="str">
        <f>Asset24</f>
        <v>Equity raising costs</v>
      </c>
      <c r="G132" s="333">
        <v>0</v>
      </c>
      <c r="H132" s="334">
        <v>0</v>
      </c>
      <c r="I132" s="334">
        <v>0</v>
      </c>
      <c r="J132" s="334">
        <v>0</v>
      </c>
      <c r="K132" s="334">
        <v>0</v>
      </c>
      <c r="L132" s="334">
        <v>0</v>
      </c>
      <c r="M132" s="61"/>
      <c r="N132" s="61"/>
      <c r="O132" s="61"/>
      <c r="P132" s="61"/>
      <c r="Q132" s="61"/>
      <c r="R132" s="8"/>
      <c r="S132" s="8"/>
      <c r="T132" s="8"/>
      <c r="U132" s="8"/>
      <c r="V132" s="8"/>
      <c r="W132" s="42"/>
      <c r="Y132" s="9"/>
      <c r="Z132" s="9"/>
      <c r="AA132" s="9"/>
      <c r="AB132" s="9"/>
      <c r="AC132" s="9"/>
      <c r="AD132" s="9"/>
      <c r="AE132" s="9"/>
      <c r="AF132" s="185"/>
      <c r="AG132" s="185"/>
      <c r="AH132" s="185"/>
      <c r="AI132" s="185"/>
      <c r="AJ132" s="185"/>
      <c r="AK132" s="185"/>
      <c r="AL132" s="185"/>
      <c r="AM132" s="185"/>
      <c r="AN132" s="185"/>
      <c r="AO132" s="185"/>
      <c r="AP132" s="185"/>
      <c r="AQ132" s="185"/>
      <c r="AR132" s="185"/>
      <c r="AS132" s="185"/>
      <c r="AT132" s="185"/>
      <c r="AU132" s="185"/>
      <c r="AV132" s="185"/>
    </row>
    <row r="133" spans="1:48" outlineLevel="1">
      <c r="A133" s="11"/>
      <c r="B133" s="11"/>
      <c r="C133" s="11"/>
      <c r="D133" s="11"/>
      <c r="E133" s="11"/>
      <c r="F133" s="39">
        <f>Asset25</f>
        <v>0</v>
      </c>
      <c r="G133" s="166"/>
      <c r="H133" s="61"/>
      <c r="I133" s="61"/>
      <c r="J133" s="61"/>
      <c r="K133" s="61"/>
      <c r="L133" s="61"/>
      <c r="M133" s="61"/>
      <c r="N133" s="61"/>
      <c r="O133" s="61"/>
      <c r="P133" s="61"/>
      <c r="Q133" s="61"/>
      <c r="R133" s="8"/>
      <c r="S133" s="8"/>
      <c r="T133" s="8"/>
      <c r="U133" s="8"/>
      <c r="V133" s="8"/>
      <c r="W133" s="42"/>
      <c r="Y133" s="9"/>
      <c r="Z133" s="9"/>
      <c r="AA133" s="9"/>
      <c r="AB133" s="9"/>
      <c r="AC133" s="9"/>
      <c r="AD133" s="9"/>
      <c r="AE133" s="9"/>
      <c r="AF133" s="185"/>
      <c r="AG133" s="185"/>
      <c r="AH133" s="185"/>
      <c r="AI133" s="185"/>
      <c r="AJ133" s="185"/>
      <c r="AK133" s="185"/>
      <c r="AL133" s="185"/>
      <c r="AM133" s="185"/>
      <c r="AN133" s="185"/>
      <c r="AO133" s="185"/>
      <c r="AP133" s="185"/>
      <c r="AQ133" s="185"/>
      <c r="AR133" s="185"/>
      <c r="AS133" s="185"/>
      <c r="AT133" s="185"/>
      <c r="AU133" s="185"/>
      <c r="AV133" s="185"/>
    </row>
    <row r="134" spans="1:48" outlineLevel="1">
      <c r="A134" s="11"/>
      <c r="B134" s="11"/>
      <c r="C134" s="11"/>
      <c r="D134" s="11"/>
      <c r="E134" s="11"/>
      <c r="F134" s="39">
        <f>Asset26</f>
        <v>0</v>
      </c>
      <c r="G134" s="166"/>
      <c r="H134" s="61"/>
      <c r="I134" s="61"/>
      <c r="J134" s="61"/>
      <c r="K134" s="61"/>
      <c r="L134" s="61"/>
      <c r="M134" s="61"/>
      <c r="N134" s="61"/>
      <c r="O134" s="61"/>
      <c r="P134" s="61"/>
      <c r="Q134" s="61"/>
      <c r="R134" s="8"/>
      <c r="S134" s="8"/>
      <c r="T134" s="8"/>
      <c r="U134" s="8"/>
      <c r="V134" s="8"/>
      <c r="W134" s="42"/>
      <c r="Y134" s="9"/>
      <c r="Z134" s="9"/>
      <c r="AA134" s="9"/>
      <c r="AB134" s="9"/>
      <c r="AC134" s="9"/>
      <c r="AD134" s="9"/>
      <c r="AE134" s="9"/>
      <c r="AF134" s="185"/>
      <c r="AG134" s="185"/>
      <c r="AH134" s="185"/>
      <c r="AI134" s="185"/>
      <c r="AJ134" s="185"/>
      <c r="AK134" s="185"/>
      <c r="AL134" s="185"/>
      <c r="AM134" s="185"/>
      <c r="AN134" s="185"/>
      <c r="AO134" s="185"/>
      <c r="AP134" s="185"/>
      <c r="AQ134" s="185"/>
      <c r="AR134" s="185"/>
      <c r="AS134" s="185"/>
      <c r="AT134" s="185"/>
      <c r="AU134" s="185"/>
      <c r="AV134" s="185"/>
    </row>
    <row r="135" spans="1:48" outlineLevel="1">
      <c r="A135" s="11"/>
      <c r="B135" s="11"/>
      <c r="C135" s="11"/>
      <c r="D135" s="11"/>
      <c r="E135" s="11"/>
      <c r="F135" s="39">
        <f>Asset27</f>
        <v>0</v>
      </c>
      <c r="G135" s="166"/>
      <c r="H135" s="61"/>
      <c r="I135" s="61"/>
      <c r="J135" s="61"/>
      <c r="K135" s="61"/>
      <c r="L135" s="61"/>
      <c r="M135" s="61"/>
      <c r="N135" s="61"/>
      <c r="O135" s="61"/>
      <c r="P135" s="61"/>
      <c r="Q135" s="61"/>
      <c r="R135" s="8"/>
      <c r="S135" s="8"/>
      <c r="T135" s="8"/>
      <c r="U135" s="8"/>
      <c r="V135" s="8"/>
      <c r="W135" s="42"/>
      <c r="Y135" s="9"/>
      <c r="Z135" s="9"/>
      <c r="AA135" s="9"/>
      <c r="AB135" s="9"/>
      <c r="AC135" s="9"/>
      <c r="AD135" s="9"/>
      <c r="AE135" s="9"/>
      <c r="AF135" s="185"/>
      <c r="AG135" s="185"/>
      <c r="AH135" s="185"/>
      <c r="AI135" s="185"/>
      <c r="AJ135" s="185"/>
      <c r="AK135" s="185"/>
      <c r="AL135" s="185"/>
      <c r="AM135" s="185"/>
      <c r="AN135" s="185"/>
      <c r="AO135" s="185"/>
      <c r="AP135" s="185"/>
      <c r="AQ135" s="185"/>
      <c r="AR135" s="185"/>
      <c r="AS135" s="185"/>
      <c r="AT135" s="185"/>
      <c r="AU135" s="185"/>
      <c r="AV135" s="185"/>
    </row>
    <row r="136" spans="1:48" outlineLevel="1">
      <c r="A136" s="11"/>
      <c r="B136" s="11"/>
      <c r="C136" s="11"/>
      <c r="D136" s="11"/>
      <c r="E136" s="11"/>
      <c r="F136" s="39">
        <f>Asset28</f>
        <v>0</v>
      </c>
      <c r="G136" s="166"/>
      <c r="H136" s="61"/>
      <c r="I136" s="61"/>
      <c r="J136" s="61"/>
      <c r="K136" s="61"/>
      <c r="L136" s="61"/>
      <c r="M136" s="61"/>
      <c r="N136" s="61"/>
      <c r="O136" s="61"/>
      <c r="P136" s="61"/>
      <c r="Q136" s="61"/>
      <c r="R136" s="8"/>
      <c r="S136" s="8"/>
      <c r="T136" s="8"/>
      <c r="U136" s="8"/>
      <c r="V136" s="8"/>
      <c r="W136" s="42"/>
      <c r="Y136" s="9"/>
      <c r="Z136" s="9"/>
      <c r="AA136" s="9"/>
      <c r="AB136" s="9"/>
      <c r="AC136" s="9"/>
      <c r="AD136" s="9"/>
      <c r="AE136" s="9"/>
      <c r="AF136" s="185"/>
      <c r="AG136" s="185"/>
      <c r="AH136" s="185"/>
      <c r="AI136" s="185"/>
      <c r="AJ136" s="185"/>
      <c r="AK136" s="185"/>
      <c r="AL136" s="185"/>
      <c r="AM136" s="185"/>
      <c r="AN136" s="185"/>
      <c r="AO136" s="185"/>
      <c r="AP136" s="185"/>
      <c r="AQ136" s="185"/>
      <c r="AR136" s="185"/>
      <c r="AS136" s="185"/>
      <c r="AT136" s="185"/>
      <c r="AU136" s="185"/>
      <c r="AV136" s="185"/>
    </row>
    <row r="137" spans="1:48" outlineLevel="1">
      <c r="A137" s="11"/>
      <c r="B137" s="11"/>
      <c r="C137" s="11"/>
      <c r="D137" s="11"/>
      <c r="E137" s="11"/>
      <c r="F137" s="39">
        <f>Asset29</f>
        <v>0</v>
      </c>
      <c r="G137" s="166"/>
      <c r="H137" s="61"/>
      <c r="I137" s="61"/>
      <c r="J137" s="61"/>
      <c r="K137" s="61"/>
      <c r="L137" s="61"/>
      <c r="M137" s="61"/>
      <c r="N137" s="61"/>
      <c r="O137" s="61"/>
      <c r="P137" s="61"/>
      <c r="Q137" s="61"/>
      <c r="R137" s="8"/>
      <c r="S137" s="8"/>
      <c r="T137" s="8"/>
      <c r="U137" s="8"/>
      <c r="V137" s="8"/>
      <c r="W137" s="42"/>
      <c r="Y137" s="9"/>
      <c r="Z137" s="9"/>
      <c r="AA137" s="9"/>
      <c r="AB137" s="9"/>
      <c r="AC137" s="9"/>
      <c r="AD137" s="9"/>
      <c r="AE137" s="9"/>
      <c r="AF137" s="185"/>
      <c r="AG137" s="185"/>
      <c r="AH137" s="185"/>
      <c r="AI137" s="185"/>
      <c r="AJ137" s="185"/>
      <c r="AK137" s="185"/>
      <c r="AL137" s="185"/>
      <c r="AM137" s="185"/>
      <c r="AN137" s="185"/>
      <c r="AO137" s="185"/>
      <c r="AP137" s="185"/>
      <c r="AQ137" s="185"/>
      <c r="AR137" s="185"/>
      <c r="AS137" s="185"/>
      <c r="AT137" s="185"/>
      <c r="AU137" s="185"/>
      <c r="AV137" s="185"/>
    </row>
    <row r="138" spans="1:48" outlineLevel="1">
      <c r="A138" s="11"/>
      <c r="B138" s="11"/>
      <c r="C138" s="11"/>
      <c r="D138" s="11"/>
      <c r="E138" s="11"/>
      <c r="F138" s="39">
        <f>Asset30</f>
        <v>0</v>
      </c>
      <c r="G138" s="166"/>
      <c r="H138" s="61"/>
      <c r="I138" s="61"/>
      <c r="J138" s="61"/>
      <c r="K138" s="61"/>
      <c r="L138" s="61"/>
      <c r="M138" s="61"/>
      <c r="N138" s="61"/>
      <c r="O138" s="61"/>
      <c r="P138" s="61"/>
      <c r="Q138" s="61"/>
      <c r="R138" s="8"/>
      <c r="S138" s="8"/>
      <c r="T138" s="8"/>
      <c r="U138" s="8"/>
      <c r="V138" s="8"/>
      <c r="W138" s="42"/>
      <c r="Y138" s="9"/>
      <c r="Z138" s="9"/>
      <c r="AA138" s="9"/>
      <c r="AB138" s="9"/>
      <c r="AC138" s="9"/>
      <c r="AD138" s="9"/>
      <c r="AE138" s="9"/>
      <c r="AF138" s="185"/>
      <c r="AG138" s="185"/>
      <c r="AH138" s="185"/>
      <c r="AI138" s="185"/>
      <c r="AJ138" s="185"/>
      <c r="AK138" s="185"/>
      <c r="AL138" s="185"/>
      <c r="AM138" s="185"/>
      <c r="AN138" s="185"/>
      <c r="AO138" s="185"/>
      <c r="AP138" s="185"/>
      <c r="AQ138" s="185"/>
      <c r="AR138" s="185"/>
      <c r="AS138" s="185"/>
      <c r="AT138" s="185"/>
      <c r="AU138" s="185"/>
      <c r="AV138" s="185"/>
    </row>
    <row r="139" spans="1:48">
      <c r="A139" s="11"/>
      <c r="B139" s="11"/>
      <c r="C139" s="11"/>
      <c r="D139" s="11"/>
      <c r="E139" s="11"/>
      <c r="F139" s="39" t="s">
        <v>22</v>
      </c>
      <c r="G139" s="282">
        <f t="shared" ref="G139:Q139" si="6">SUM(G109:G138)</f>
        <v>0</v>
      </c>
      <c r="H139" s="282">
        <f t="shared" si="6"/>
        <v>0</v>
      </c>
      <c r="I139" s="282">
        <f t="shared" si="6"/>
        <v>2.4823499999999998</v>
      </c>
      <c r="J139" s="282">
        <f t="shared" si="6"/>
        <v>0</v>
      </c>
      <c r="K139" s="282">
        <f t="shared" si="6"/>
        <v>0.81467746873707458</v>
      </c>
      <c r="L139" s="282">
        <f t="shared" si="6"/>
        <v>0.61097860479622379</v>
      </c>
      <c r="M139" s="242">
        <f t="shared" si="6"/>
        <v>0</v>
      </c>
      <c r="N139" s="242">
        <f t="shared" si="6"/>
        <v>0</v>
      </c>
      <c r="O139" s="242">
        <f t="shared" si="6"/>
        <v>0</v>
      </c>
      <c r="P139" s="242">
        <f t="shared" si="6"/>
        <v>0</v>
      </c>
      <c r="Q139" s="242">
        <f t="shared" si="6"/>
        <v>0</v>
      </c>
      <c r="R139" s="37"/>
      <c r="S139" s="37"/>
      <c r="T139" s="37"/>
      <c r="U139" s="37"/>
      <c r="V139" s="37"/>
      <c r="W139" s="37"/>
      <c r="Y139" s="46"/>
      <c r="Z139" s="8"/>
      <c r="AA139" s="8"/>
      <c r="AB139" s="42"/>
      <c r="AC139" s="9"/>
      <c r="AD139" s="9"/>
      <c r="AE139" s="9"/>
      <c r="AF139" s="185"/>
      <c r="AG139" s="185"/>
      <c r="AH139" s="185"/>
      <c r="AI139" s="185"/>
      <c r="AJ139" s="185"/>
      <c r="AK139" s="185"/>
      <c r="AL139" s="185"/>
      <c r="AM139" s="185"/>
      <c r="AN139" s="185"/>
      <c r="AO139" s="185"/>
      <c r="AP139" s="185"/>
      <c r="AQ139" s="185"/>
      <c r="AR139" s="185"/>
      <c r="AS139" s="185"/>
      <c r="AT139" s="185"/>
      <c r="AU139" s="185"/>
      <c r="AV139" s="185"/>
    </row>
    <row r="140" spans="1:48" ht="20.25" customHeight="1">
      <c r="A140" s="11"/>
      <c r="B140" s="11"/>
      <c r="C140" s="11"/>
      <c r="D140" s="11"/>
      <c r="F140" s="9"/>
      <c r="G140" s="36"/>
      <c r="H140" s="36"/>
      <c r="I140" s="36"/>
      <c r="J140" s="36"/>
      <c r="K140" s="36"/>
      <c r="L140" s="36"/>
      <c r="M140" s="9"/>
      <c r="N140" s="9"/>
      <c r="O140" s="9"/>
      <c r="P140" s="9"/>
      <c r="Q140" s="9"/>
      <c r="R140" s="241">
        <f>SUM(G139:Q139)</f>
        <v>3.908006073533298</v>
      </c>
      <c r="S140" s="9"/>
      <c r="T140" s="9"/>
      <c r="U140" s="9"/>
      <c r="V140" s="9"/>
      <c r="W140" s="9"/>
      <c r="Y140" s="9"/>
      <c r="Z140" s="9"/>
      <c r="AA140" s="9"/>
      <c r="AB140" s="18"/>
      <c r="AC140" s="9"/>
      <c r="AD140" s="9"/>
      <c r="AE140" s="9"/>
      <c r="AF140" s="185"/>
      <c r="AG140" s="185"/>
      <c r="AH140" s="185"/>
      <c r="AI140" s="185"/>
      <c r="AJ140" s="185"/>
      <c r="AK140" s="185"/>
      <c r="AL140" s="185"/>
      <c r="AM140" s="185"/>
      <c r="AN140" s="185"/>
      <c r="AO140" s="185"/>
      <c r="AP140" s="185"/>
      <c r="AQ140" s="185"/>
      <c r="AR140" s="185"/>
      <c r="AS140" s="185"/>
      <c r="AT140" s="185"/>
      <c r="AU140" s="185"/>
      <c r="AV140" s="185"/>
    </row>
    <row r="141" spans="1:48" ht="13.5" customHeight="1">
      <c r="A141" s="72"/>
      <c r="B141" s="72"/>
      <c r="C141" s="72"/>
      <c r="D141" s="72"/>
      <c r="E141" s="72"/>
      <c r="F141" s="159" t="str">
        <f>"Actual Net Capital Expenditure – As Incurred ($m Real "&amp;CONCATENATE(LEFT(V7, 4)-1 &amp;"-" &amp;IF(V7&gt;"2009-10",,"0") &amp;RIGHT(V7,2)-1)&amp;")"</f>
        <v>Actual Net Capital Expenditure – As Incurred ($m Real 2008-09)</v>
      </c>
      <c r="G141" s="159"/>
      <c r="H141" s="159"/>
      <c r="I141" s="159"/>
      <c r="J141" s="159"/>
      <c r="K141" s="75"/>
      <c r="L141" s="75"/>
      <c r="M141" s="73"/>
      <c r="N141" s="73"/>
      <c r="O141" s="73"/>
      <c r="P141" s="73"/>
      <c r="Q141" s="73"/>
      <c r="R141" s="73"/>
      <c r="S141" s="73"/>
      <c r="T141" s="73"/>
      <c r="U141" s="73"/>
      <c r="V141" s="73"/>
      <c r="W141" s="73"/>
      <c r="Y141" s="8"/>
      <c r="Z141" s="8"/>
      <c r="AA141" s="8"/>
      <c r="AB141" s="8"/>
      <c r="AC141" s="42"/>
      <c r="AD141" s="9"/>
      <c r="AE141" s="9"/>
      <c r="AF141" s="185"/>
      <c r="AG141" s="185"/>
      <c r="AH141" s="185"/>
      <c r="AI141" s="185"/>
      <c r="AJ141" s="185"/>
      <c r="AK141" s="185"/>
      <c r="AL141" s="185"/>
      <c r="AM141" s="185"/>
      <c r="AN141" s="185"/>
      <c r="AO141" s="185"/>
      <c r="AP141" s="185"/>
      <c r="AQ141" s="185"/>
      <c r="AR141" s="185"/>
      <c r="AS141" s="185"/>
      <c r="AT141" s="185"/>
      <c r="AU141" s="185"/>
      <c r="AV141" s="185"/>
    </row>
    <row r="142" spans="1:48">
      <c r="A142" s="11"/>
      <c r="B142" s="11"/>
      <c r="C142" s="11"/>
      <c r="D142" s="11"/>
      <c r="E142" s="11"/>
      <c r="F142" s="38" t="s">
        <v>5</v>
      </c>
      <c r="G142" s="240" t="str">
        <f>G40</f>
        <v>2008-09</v>
      </c>
      <c r="H142" s="240" t="str">
        <f t="shared" ref="H142:Q142" si="7">H40</f>
        <v>2009-10</v>
      </c>
      <c r="I142" s="240" t="str">
        <f t="shared" si="7"/>
        <v>2010-11</v>
      </c>
      <c r="J142" s="240" t="str">
        <f t="shared" si="7"/>
        <v>2011-12</v>
      </c>
      <c r="K142" s="240" t="str">
        <f t="shared" si="7"/>
        <v>2012-13</v>
      </c>
      <c r="L142" s="240" t="str">
        <f t="shared" si="7"/>
        <v>2013-14</v>
      </c>
      <c r="M142" s="240" t="str">
        <f t="shared" si="7"/>
        <v>2014-15</v>
      </c>
      <c r="N142" s="240" t="str">
        <f t="shared" si="7"/>
        <v>2015-16</v>
      </c>
      <c r="O142" s="240" t="str">
        <f t="shared" si="7"/>
        <v>2016-17</v>
      </c>
      <c r="P142" s="240" t="str">
        <f t="shared" si="7"/>
        <v>2017-18</v>
      </c>
      <c r="Q142" s="240" t="str">
        <f t="shared" si="7"/>
        <v>2018-19</v>
      </c>
      <c r="R142" s="8"/>
      <c r="S142" s="8"/>
      <c r="T142" s="8"/>
      <c r="U142" s="8"/>
      <c r="V142" s="8"/>
      <c r="W142" s="42"/>
      <c r="Y142" s="9"/>
      <c r="Z142" s="9"/>
      <c r="AA142" s="9"/>
      <c r="AB142" s="9"/>
      <c r="AC142" s="9"/>
      <c r="AD142" s="9"/>
      <c r="AE142" s="9"/>
      <c r="AF142" s="185"/>
      <c r="AG142" s="185"/>
      <c r="AH142" s="185"/>
      <c r="AI142" s="185"/>
      <c r="AJ142" s="185"/>
      <c r="AK142" s="185"/>
      <c r="AL142" s="185"/>
      <c r="AM142" s="185"/>
      <c r="AN142" s="185"/>
      <c r="AO142" s="185"/>
      <c r="AP142" s="185"/>
      <c r="AQ142" s="185"/>
      <c r="AR142" s="185"/>
      <c r="AS142" s="185"/>
      <c r="AT142" s="185"/>
      <c r="AU142" s="185"/>
      <c r="AV142" s="185"/>
    </row>
    <row r="143" spans="1:48" outlineLevel="1">
      <c r="A143" s="11"/>
      <c r="B143" s="11"/>
      <c r="C143" s="11"/>
      <c r="D143" s="11"/>
      <c r="E143" s="11"/>
      <c r="F143" s="39" t="str">
        <f>Asset1</f>
        <v>Transmission &amp; Zone land &amp; easements</v>
      </c>
      <c r="G143" s="172">
        <f t="shared" ref="G143:Q143" si="8">(G41-G75-G109)/G$178</f>
        <v>3.1901358699999998</v>
      </c>
      <c r="H143" s="171">
        <f t="shared" si="8"/>
        <v>0</v>
      </c>
      <c r="I143" s="171">
        <f t="shared" si="8"/>
        <v>13.131626982538011</v>
      </c>
      <c r="J143" s="171">
        <f t="shared" si="8"/>
        <v>2.5375113623542731</v>
      </c>
      <c r="K143" s="171">
        <f>(K41-K75-K109)/K$178</f>
        <v>1.638210676350438</v>
      </c>
      <c r="L143" s="171">
        <f t="shared" si="8"/>
        <v>1.2396946382729155</v>
      </c>
      <c r="M143" s="171">
        <f t="shared" si="8"/>
        <v>0</v>
      </c>
      <c r="N143" s="171">
        <f t="shared" si="8"/>
        <v>0</v>
      </c>
      <c r="O143" s="171">
        <f t="shared" si="8"/>
        <v>0</v>
      </c>
      <c r="P143" s="171">
        <f t="shared" si="8"/>
        <v>0</v>
      </c>
      <c r="Q143" s="171">
        <f t="shared" si="8"/>
        <v>0</v>
      </c>
      <c r="R143" s="8"/>
      <c r="S143" s="8"/>
      <c r="T143" s="8"/>
      <c r="U143" s="8"/>
      <c r="V143" s="8"/>
      <c r="W143" s="42"/>
      <c r="Y143" s="9"/>
      <c r="Z143" s="9"/>
      <c r="AA143" s="9"/>
      <c r="AB143" s="9"/>
      <c r="AC143" s="9"/>
      <c r="AD143" s="9"/>
      <c r="AE143" s="9"/>
      <c r="AF143" s="185"/>
      <c r="AG143" s="185"/>
      <c r="AH143" s="185"/>
      <c r="AI143" s="185"/>
      <c r="AJ143" s="185"/>
      <c r="AK143" s="185"/>
      <c r="AL143" s="185"/>
      <c r="AM143" s="185"/>
      <c r="AN143" s="185"/>
      <c r="AO143" s="185"/>
      <c r="AP143" s="185"/>
      <c r="AQ143" s="185"/>
      <c r="AR143" s="185"/>
      <c r="AS143" s="185"/>
      <c r="AT143" s="185"/>
      <c r="AU143" s="185"/>
      <c r="AV143" s="185"/>
    </row>
    <row r="144" spans="1:48" outlineLevel="1">
      <c r="A144" s="11"/>
      <c r="B144" s="11"/>
      <c r="C144" s="11"/>
      <c r="D144" s="11"/>
      <c r="E144" s="11"/>
      <c r="F144" s="39" t="str">
        <f>Asset2</f>
        <v>Transmission buildings 132/66kV</v>
      </c>
      <c r="G144" s="173">
        <f t="shared" ref="G144:Q144" si="9">(G42-G76-G110)/G$178</f>
        <v>2.6210329553999991</v>
      </c>
      <c r="H144" s="294">
        <f t="shared" si="9"/>
        <v>18.075822172972572</v>
      </c>
      <c r="I144" s="90">
        <f t="shared" si="9"/>
        <v>4.2805273547549803</v>
      </c>
      <c r="J144" s="90">
        <f t="shared" si="9"/>
        <v>2.7923997583361628</v>
      </c>
      <c r="K144" s="90">
        <f t="shared" si="9"/>
        <v>5.6339547324833843</v>
      </c>
      <c r="L144" s="90">
        <f t="shared" si="9"/>
        <v>4.2253458574153395</v>
      </c>
      <c r="M144" s="90">
        <f t="shared" si="9"/>
        <v>0</v>
      </c>
      <c r="N144" s="90">
        <f t="shared" ref="G144:Q145" si="10">(N42-N76-N110)/N$178</f>
        <v>0</v>
      </c>
      <c r="O144" s="90">
        <f t="shared" si="9"/>
        <v>0</v>
      </c>
      <c r="P144" s="90">
        <f t="shared" si="9"/>
        <v>0</v>
      </c>
      <c r="Q144" s="90">
        <f t="shared" si="9"/>
        <v>0</v>
      </c>
      <c r="R144" s="8"/>
      <c r="S144" s="8"/>
      <c r="T144" s="8"/>
      <c r="U144" s="8"/>
      <c r="V144" s="8"/>
      <c r="W144" s="42"/>
      <c r="Y144" s="9"/>
      <c r="Z144" s="9"/>
      <c r="AA144" s="9"/>
      <c r="AB144" s="9"/>
      <c r="AC144" s="9"/>
      <c r="AD144" s="9"/>
      <c r="AE144" s="9"/>
      <c r="AF144" s="185"/>
      <c r="AG144" s="185"/>
      <c r="AH144" s="185"/>
      <c r="AI144" s="185"/>
      <c r="AJ144" s="185"/>
      <c r="AK144" s="185"/>
      <c r="AL144" s="185"/>
      <c r="AM144" s="185"/>
      <c r="AN144" s="185"/>
      <c r="AO144" s="185"/>
      <c r="AP144" s="185"/>
      <c r="AQ144" s="185"/>
      <c r="AR144" s="185"/>
      <c r="AS144" s="185"/>
      <c r="AT144" s="185"/>
      <c r="AU144" s="185"/>
      <c r="AV144" s="185"/>
    </row>
    <row r="145" spans="1:48" outlineLevel="1">
      <c r="A145" s="11"/>
      <c r="B145" s="11"/>
      <c r="C145" s="11"/>
      <c r="D145" s="11"/>
      <c r="E145" s="11"/>
      <c r="F145" s="39" t="str">
        <f>Asset3</f>
        <v>Zone buildings 132/66kV</v>
      </c>
      <c r="G145" s="173">
        <f t="shared" si="10"/>
        <v>5.8950714599999988E-2</v>
      </c>
      <c r="H145" s="90">
        <f t="shared" si="10"/>
        <v>0.38910696583050536</v>
      </c>
      <c r="I145" s="90">
        <f t="shared" si="10"/>
        <v>6.1616940449139523</v>
      </c>
      <c r="J145" s="90">
        <f>(J43-J77-J111)/J$178</f>
        <v>4.3882356784397833</v>
      </c>
      <c r="K145" s="90">
        <f t="shared" si="10"/>
        <v>29.833165823977996</v>
      </c>
      <c r="L145" s="90">
        <f t="shared" si="10"/>
        <v>22.851748613982014</v>
      </c>
      <c r="M145" s="90">
        <f t="shared" si="10"/>
        <v>0</v>
      </c>
      <c r="N145" s="90">
        <f t="shared" si="10"/>
        <v>0</v>
      </c>
      <c r="O145" s="90">
        <f t="shared" si="10"/>
        <v>0</v>
      </c>
      <c r="P145" s="90">
        <f t="shared" si="10"/>
        <v>0</v>
      </c>
      <c r="Q145" s="90">
        <f t="shared" si="10"/>
        <v>0</v>
      </c>
      <c r="R145" s="8"/>
      <c r="S145" s="8"/>
      <c r="T145" s="8"/>
      <c r="U145" s="8"/>
      <c r="V145" s="8"/>
      <c r="W145" s="42"/>
      <c r="Y145" s="9"/>
      <c r="Z145" s="9"/>
      <c r="AA145" s="9"/>
      <c r="AB145" s="9"/>
      <c r="AC145" s="9"/>
      <c r="AD145" s="9"/>
      <c r="AE145" s="9"/>
      <c r="AF145" s="185"/>
      <c r="AG145" s="185"/>
      <c r="AH145" s="185"/>
      <c r="AI145" s="185"/>
      <c r="AJ145" s="185"/>
      <c r="AK145" s="185"/>
      <c r="AL145" s="185"/>
      <c r="AM145" s="185"/>
      <c r="AN145" s="185"/>
      <c r="AO145" s="185"/>
      <c r="AP145" s="185"/>
      <c r="AQ145" s="185"/>
      <c r="AR145" s="185"/>
      <c r="AS145" s="185"/>
      <c r="AT145" s="185"/>
      <c r="AU145" s="185"/>
      <c r="AV145" s="185"/>
    </row>
    <row r="146" spans="1:48" outlineLevel="1">
      <c r="A146" s="11"/>
      <c r="B146" s="11"/>
      <c r="C146" s="11"/>
      <c r="D146" s="11"/>
      <c r="E146" s="11"/>
      <c r="F146" s="135" t="str">
        <f>Asset4</f>
        <v>Transmission transformers 132/66kV</v>
      </c>
      <c r="G146" s="173">
        <f t="shared" ref="G146:Q146" si="11">(G44-G78-G112)/G$178</f>
        <v>3.4975694700000002</v>
      </c>
      <c r="H146" s="90">
        <f t="shared" si="11"/>
        <v>3.1338828884476522</v>
      </c>
      <c r="I146" s="90">
        <f t="shared" si="11"/>
        <v>1.0925081829590644</v>
      </c>
      <c r="J146" s="90">
        <f t="shared" si="11"/>
        <v>2.3663460901075259</v>
      </c>
      <c r="K146" s="90">
        <f t="shared" si="11"/>
        <v>5.3147428850343283</v>
      </c>
      <c r="L146" s="90">
        <f t="shared" si="11"/>
        <v>4.3515906631969559</v>
      </c>
      <c r="M146" s="90">
        <f t="shared" si="11"/>
        <v>0</v>
      </c>
      <c r="N146" s="90">
        <f t="shared" si="11"/>
        <v>0</v>
      </c>
      <c r="O146" s="90">
        <f t="shared" si="11"/>
        <v>0</v>
      </c>
      <c r="P146" s="90">
        <f t="shared" si="11"/>
        <v>0</v>
      </c>
      <c r="Q146" s="90">
        <f t="shared" si="11"/>
        <v>0</v>
      </c>
      <c r="R146" s="8"/>
      <c r="S146" s="8"/>
      <c r="T146" s="8"/>
      <c r="U146" s="8"/>
      <c r="V146" s="8"/>
      <c r="W146" s="42"/>
      <c r="Y146" s="9"/>
      <c r="Z146" s="9"/>
      <c r="AA146" s="9"/>
      <c r="AB146" s="9"/>
      <c r="AC146" s="9"/>
      <c r="AD146" s="9"/>
      <c r="AE146" s="9"/>
      <c r="AF146" s="185"/>
      <c r="AG146" s="185"/>
      <c r="AH146" s="185"/>
      <c r="AI146" s="185"/>
      <c r="AJ146" s="185"/>
      <c r="AK146" s="185"/>
      <c r="AL146" s="185"/>
      <c r="AM146" s="185"/>
      <c r="AN146" s="185"/>
      <c r="AO146" s="185"/>
      <c r="AP146" s="185"/>
      <c r="AQ146" s="185"/>
      <c r="AR146" s="185"/>
      <c r="AS146" s="185"/>
      <c r="AT146" s="185"/>
      <c r="AU146" s="185"/>
      <c r="AV146" s="185"/>
    </row>
    <row r="147" spans="1:48" outlineLevel="1">
      <c r="A147" s="11"/>
      <c r="B147" s="11"/>
      <c r="C147" s="11"/>
      <c r="D147" s="11"/>
      <c r="E147" s="11"/>
      <c r="F147" s="135" t="str">
        <f>Asset5</f>
        <v>Zone transformers 132/66kV</v>
      </c>
      <c r="G147" s="173">
        <f t="shared" ref="G147:Q147" si="12">(G45-G79-G113)/G$178</f>
        <v>0.6518770934</v>
      </c>
      <c r="H147" s="90">
        <f t="shared" si="12"/>
        <v>2.9160253563784053</v>
      </c>
      <c r="I147" s="90">
        <f t="shared" si="12"/>
        <v>2.7544868586364002</v>
      </c>
      <c r="J147" s="90">
        <f t="shared" si="12"/>
        <v>2.7458761983918958</v>
      </c>
      <c r="K147" s="90">
        <f t="shared" si="12"/>
        <v>0</v>
      </c>
      <c r="L147" s="90">
        <f t="shared" si="12"/>
        <v>0</v>
      </c>
      <c r="M147" s="90">
        <f t="shared" si="12"/>
        <v>0</v>
      </c>
      <c r="N147" s="90">
        <f t="shared" si="12"/>
        <v>0</v>
      </c>
      <c r="O147" s="90">
        <f t="shared" si="12"/>
        <v>0</v>
      </c>
      <c r="P147" s="90">
        <f t="shared" si="12"/>
        <v>0</v>
      </c>
      <c r="Q147" s="90">
        <f t="shared" si="12"/>
        <v>0</v>
      </c>
      <c r="R147" s="8"/>
      <c r="S147" s="8"/>
      <c r="T147" s="8"/>
      <c r="U147" s="8"/>
      <c r="V147" s="8"/>
      <c r="W147" s="42"/>
      <c r="Y147" s="9"/>
      <c r="Z147" s="9"/>
      <c r="AA147" s="9"/>
      <c r="AB147" s="9"/>
      <c r="AC147" s="9"/>
      <c r="AD147" s="9"/>
      <c r="AE147" s="9"/>
      <c r="AF147" s="185"/>
      <c r="AG147" s="185"/>
      <c r="AH147" s="185"/>
      <c r="AI147" s="185"/>
      <c r="AJ147" s="185"/>
      <c r="AK147" s="185"/>
      <c r="AL147" s="185"/>
      <c r="AM147" s="185"/>
      <c r="AN147" s="185"/>
      <c r="AO147" s="185"/>
      <c r="AP147" s="185"/>
      <c r="AQ147" s="185"/>
      <c r="AR147" s="185"/>
      <c r="AS147" s="185"/>
      <c r="AT147" s="185"/>
      <c r="AU147" s="185"/>
      <c r="AV147" s="185"/>
    </row>
    <row r="148" spans="1:48" outlineLevel="1">
      <c r="A148" s="11"/>
      <c r="B148" s="11"/>
      <c r="C148" s="11"/>
      <c r="D148" s="11"/>
      <c r="E148" s="11"/>
      <c r="F148" s="135" t="str">
        <f>Asset6</f>
        <v>Transmission substation equip 132/66kV</v>
      </c>
      <c r="G148" s="173">
        <f t="shared" ref="G148:Q148" si="13">(G46-G80-G114)/G$178</f>
        <v>9.2617589845000037</v>
      </c>
      <c r="H148" s="90">
        <f t="shared" si="13"/>
        <v>24.257209947668063</v>
      </c>
      <c r="I148" s="90">
        <f t="shared" si="13"/>
        <v>18.89821476427257</v>
      </c>
      <c r="J148" s="90">
        <f t="shared" si="13"/>
        <v>24.923533886113976</v>
      </c>
      <c r="K148" s="90">
        <f t="shared" si="13"/>
        <v>16.575901659373375</v>
      </c>
      <c r="L148" s="90">
        <f t="shared" si="13"/>
        <v>12.43157262260873</v>
      </c>
      <c r="M148" s="90">
        <f t="shared" si="13"/>
        <v>0</v>
      </c>
      <c r="N148" s="90">
        <f>(N46-N80-N114)/N$178</f>
        <v>0</v>
      </c>
      <c r="O148" s="90">
        <f t="shared" si="13"/>
        <v>0</v>
      </c>
      <c r="P148" s="90">
        <f t="shared" si="13"/>
        <v>0</v>
      </c>
      <c r="Q148" s="90">
        <f t="shared" si="13"/>
        <v>0</v>
      </c>
      <c r="R148" s="8"/>
      <c r="S148" s="8"/>
      <c r="T148" s="8"/>
      <c r="U148" s="8"/>
      <c r="V148" s="8"/>
      <c r="W148" s="42"/>
      <c r="Y148" s="9"/>
      <c r="Z148" s="9"/>
      <c r="AA148" s="9"/>
      <c r="AB148" s="9"/>
      <c r="AC148" s="9"/>
      <c r="AD148" s="9"/>
      <c r="AE148" s="9"/>
      <c r="AF148" s="185"/>
      <c r="AG148" s="185"/>
      <c r="AH148" s="185"/>
      <c r="AI148" s="185"/>
      <c r="AJ148" s="185"/>
      <c r="AK148" s="185"/>
      <c r="AL148" s="185"/>
      <c r="AM148" s="185"/>
      <c r="AN148" s="185"/>
      <c r="AO148" s="185"/>
      <c r="AP148" s="185"/>
      <c r="AQ148" s="185"/>
      <c r="AR148" s="185"/>
      <c r="AS148" s="185"/>
      <c r="AT148" s="185"/>
      <c r="AU148" s="185"/>
      <c r="AV148" s="185"/>
    </row>
    <row r="149" spans="1:48" outlineLevel="1">
      <c r="A149" s="11"/>
      <c r="B149" s="11"/>
      <c r="C149" s="11"/>
      <c r="D149" s="11"/>
      <c r="E149" s="11"/>
      <c r="F149" s="135" t="str">
        <f>Asset7</f>
        <v>Zone substation equip 132/66kV</v>
      </c>
      <c r="G149" s="173">
        <f t="shared" ref="G149:Q149" si="14">(G47-G81-G115)/G$178</f>
        <v>3.2443303245999995</v>
      </c>
      <c r="H149" s="90">
        <f t="shared" si="14"/>
        <v>34.578626315946146</v>
      </c>
      <c r="I149" s="90">
        <f t="shared" si="14"/>
        <v>80.150964304654167</v>
      </c>
      <c r="J149" s="90">
        <f t="shared" si="14"/>
        <v>74.463292815320571</v>
      </c>
      <c r="K149" s="90">
        <f t="shared" si="14"/>
        <v>29.90238533035847</v>
      </c>
      <c r="L149" s="90">
        <f t="shared" si="14"/>
        <v>22.426151075369859</v>
      </c>
      <c r="M149" s="90">
        <f t="shared" si="14"/>
        <v>0</v>
      </c>
      <c r="N149" s="90">
        <f t="shared" si="14"/>
        <v>0</v>
      </c>
      <c r="O149" s="90">
        <f t="shared" si="14"/>
        <v>0</v>
      </c>
      <c r="P149" s="90">
        <f t="shared" si="14"/>
        <v>0</v>
      </c>
      <c r="Q149" s="90">
        <f t="shared" si="14"/>
        <v>0</v>
      </c>
      <c r="R149" s="8"/>
      <c r="S149" s="8"/>
      <c r="T149" s="8"/>
      <c r="U149" s="8"/>
      <c r="V149" s="8"/>
      <c r="W149" s="42"/>
      <c r="Y149" s="9"/>
      <c r="Z149" s="9"/>
      <c r="AA149" s="9"/>
      <c r="AB149" s="9"/>
      <c r="AC149" s="9"/>
      <c r="AD149" s="9"/>
      <c r="AE149" s="9"/>
      <c r="AF149" s="185"/>
      <c r="AG149" s="185"/>
      <c r="AH149" s="185"/>
      <c r="AI149" s="185"/>
      <c r="AJ149" s="185"/>
      <c r="AK149" s="185"/>
      <c r="AL149" s="185"/>
      <c r="AM149" s="185"/>
      <c r="AN149" s="185"/>
      <c r="AO149" s="185"/>
      <c r="AP149" s="185"/>
      <c r="AQ149" s="185"/>
      <c r="AR149" s="185"/>
      <c r="AS149" s="185"/>
      <c r="AT149" s="185"/>
      <c r="AU149" s="185"/>
      <c r="AV149" s="185"/>
    </row>
    <row r="150" spans="1:48" outlineLevel="1">
      <c r="A150" s="11"/>
      <c r="B150" s="11"/>
      <c r="C150" s="11"/>
      <c r="D150" s="11"/>
      <c r="E150" s="11"/>
      <c r="F150" s="135" t="str">
        <f>Asset8</f>
        <v>Transmission &amp; Zone emergency spares</v>
      </c>
      <c r="G150" s="173">
        <f t="shared" ref="G150:Q150" si="15">(G48-G82-G116)/G$178</f>
        <v>0</v>
      </c>
      <c r="H150" s="90">
        <f t="shared" si="15"/>
        <v>0</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Y150" s="9"/>
      <c r="Z150" s="9"/>
      <c r="AA150" s="9"/>
      <c r="AB150" s="9"/>
      <c r="AC150" s="9"/>
      <c r="AD150" s="9"/>
      <c r="AE150" s="9"/>
      <c r="AF150" s="185"/>
      <c r="AG150" s="185"/>
      <c r="AH150" s="185"/>
      <c r="AI150" s="185"/>
      <c r="AJ150" s="185"/>
      <c r="AK150" s="185"/>
      <c r="AL150" s="185"/>
      <c r="AM150" s="185"/>
      <c r="AN150" s="185"/>
      <c r="AO150" s="185"/>
      <c r="AP150" s="185"/>
      <c r="AQ150" s="185"/>
      <c r="AR150" s="185"/>
      <c r="AS150" s="185"/>
      <c r="AT150" s="185"/>
      <c r="AU150" s="185"/>
      <c r="AV150" s="185"/>
    </row>
    <row r="151" spans="1:48" outlineLevel="1">
      <c r="A151" s="11"/>
      <c r="B151" s="11"/>
      <c r="C151" s="11"/>
      <c r="D151" s="11"/>
      <c r="E151" s="11"/>
      <c r="F151" s="135" t="str">
        <f>Asset9</f>
        <v>Ancillary substation equipment (tx)</v>
      </c>
      <c r="G151" s="173">
        <f t="shared" ref="G151:Q151" si="16">(G49-G83-G117)/G$178</f>
        <v>0.8616979856000001</v>
      </c>
      <c r="H151" s="90">
        <f t="shared" si="16"/>
        <v>1.096443450252816</v>
      </c>
      <c r="I151" s="90">
        <f t="shared" si="16"/>
        <v>2.9434139417529526</v>
      </c>
      <c r="J151" s="90">
        <f t="shared" si="16"/>
        <v>6.009999340872489</v>
      </c>
      <c r="K151" s="90">
        <f t="shared" si="16"/>
        <v>19.675533249333242</v>
      </c>
      <c r="L151" s="90">
        <f t="shared" si="16"/>
        <v>14.756230189102459</v>
      </c>
      <c r="M151" s="90">
        <f t="shared" si="16"/>
        <v>0</v>
      </c>
      <c r="N151" s="90">
        <f t="shared" si="16"/>
        <v>0</v>
      </c>
      <c r="O151" s="90">
        <f t="shared" si="16"/>
        <v>0</v>
      </c>
      <c r="P151" s="90">
        <f t="shared" si="16"/>
        <v>0</v>
      </c>
      <c r="Q151" s="90">
        <f t="shared" si="16"/>
        <v>0</v>
      </c>
      <c r="R151" s="8"/>
      <c r="S151" s="8"/>
      <c r="T151" s="8"/>
      <c r="U151" s="8"/>
      <c r="V151" s="8"/>
      <c r="W151" s="42"/>
      <c r="Y151" s="9"/>
      <c r="Z151" s="9"/>
      <c r="AA151" s="9"/>
      <c r="AB151" s="9"/>
      <c r="AC151" s="9"/>
      <c r="AD151" s="9"/>
      <c r="AE151" s="9"/>
      <c r="AF151" s="185"/>
      <c r="AG151" s="185"/>
      <c r="AH151" s="185"/>
      <c r="AI151" s="185"/>
      <c r="AJ151" s="185"/>
      <c r="AK151" s="185"/>
      <c r="AL151" s="185"/>
      <c r="AM151" s="185"/>
      <c r="AN151" s="185"/>
      <c r="AO151" s="185"/>
      <c r="AP151" s="185"/>
      <c r="AQ151" s="185"/>
      <c r="AR151" s="185"/>
      <c r="AS151" s="185"/>
      <c r="AT151" s="185"/>
      <c r="AU151" s="185"/>
      <c r="AV151" s="185"/>
    </row>
    <row r="152" spans="1:48" outlineLevel="1">
      <c r="A152" s="11"/>
      <c r="B152" s="11"/>
      <c r="C152" s="11"/>
      <c r="D152" s="11"/>
      <c r="E152" s="11"/>
      <c r="F152" s="135" t="str">
        <f>Asset10</f>
        <v>132kV tower lines</v>
      </c>
      <c r="G152" s="173">
        <f t="shared" ref="G152:Q152" si="17">(G50-G84-G118)/G$178</f>
        <v>1.1440740049999998</v>
      </c>
      <c r="H152" s="90">
        <f t="shared" si="17"/>
        <v>4.0559871333898911</v>
      </c>
      <c r="I152" s="90">
        <f t="shared" si="17"/>
        <v>8.230444781976038</v>
      </c>
      <c r="J152" s="90">
        <f t="shared" si="17"/>
        <v>5.3916620928847463</v>
      </c>
      <c r="K152" s="90">
        <f t="shared" si="17"/>
        <v>-0.731771165114672</v>
      </c>
      <c r="L152" s="90">
        <f t="shared" si="17"/>
        <v>0.3339954678691987</v>
      </c>
      <c r="M152" s="90">
        <f t="shared" si="17"/>
        <v>0</v>
      </c>
      <c r="N152" s="90">
        <f>(N50-N84-N118)/N$178</f>
        <v>0</v>
      </c>
      <c r="O152" s="90">
        <f t="shared" si="17"/>
        <v>0</v>
      </c>
      <c r="P152" s="90">
        <f t="shared" si="17"/>
        <v>0</v>
      </c>
      <c r="Q152" s="90">
        <f t="shared" si="17"/>
        <v>0</v>
      </c>
      <c r="R152" s="8"/>
      <c r="S152" s="8"/>
      <c r="T152" s="8"/>
      <c r="U152" s="8"/>
      <c r="V152" s="8"/>
      <c r="W152" s="42"/>
      <c r="Y152" s="9"/>
      <c r="Z152" s="9"/>
      <c r="AA152" s="9"/>
      <c r="AB152" s="9"/>
      <c r="AC152" s="9"/>
      <c r="AD152" s="9"/>
      <c r="AE152" s="9"/>
      <c r="AF152" s="185"/>
      <c r="AG152" s="185"/>
      <c r="AH152" s="185"/>
      <c r="AI152" s="185"/>
      <c r="AJ152" s="185"/>
      <c r="AK152" s="185"/>
      <c r="AL152" s="185"/>
      <c r="AM152" s="185"/>
      <c r="AN152" s="185"/>
      <c r="AO152" s="185"/>
      <c r="AP152" s="185"/>
      <c r="AQ152" s="185"/>
      <c r="AR152" s="185"/>
      <c r="AS152" s="185"/>
      <c r="AT152" s="185"/>
      <c r="AU152" s="185"/>
      <c r="AV152" s="185"/>
    </row>
    <row r="153" spans="1:48" outlineLevel="1">
      <c r="A153" s="11"/>
      <c r="B153" s="11"/>
      <c r="C153" s="11"/>
      <c r="D153" s="11"/>
      <c r="E153" s="11"/>
      <c r="F153" s="135" t="str">
        <f>Asset11</f>
        <v>132kV concrete &amp; steel pole lines</v>
      </c>
      <c r="G153" s="173">
        <f t="shared" ref="G153:Q153" si="18">(G51-G85-G119)/G$178</f>
        <v>3.4843981100000003</v>
      </c>
      <c r="H153" s="90">
        <f t="shared" si="18"/>
        <v>13.766232856702768</v>
      </c>
      <c r="I153" s="90">
        <f t="shared" si="18"/>
        <v>3.7069952106916308</v>
      </c>
      <c r="J153" s="90">
        <f t="shared" si="18"/>
        <v>0.72227608595359372</v>
      </c>
      <c r="K153" s="90">
        <f t="shared" si="18"/>
        <v>-1.8950167501525628</v>
      </c>
      <c r="L153" s="90">
        <f t="shared" si="18"/>
        <v>-0.21454326274438323</v>
      </c>
      <c r="M153" s="90">
        <f t="shared" si="18"/>
        <v>0</v>
      </c>
      <c r="N153" s="90">
        <f t="shared" si="18"/>
        <v>0</v>
      </c>
      <c r="O153" s="90">
        <f t="shared" si="18"/>
        <v>0</v>
      </c>
      <c r="P153" s="90">
        <f t="shared" si="18"/>
        <v>0</v>
      </c>
      <c r="Q153" s="90">
        <f t="shared" si="18"/>
        <v>0</v>
      </c>
      <c r="R153" s="8"/>
      <c r="S153" s="8"/>
      <c r="T153" s="8"/>
      <c r="U153" s="8"/>
      <c r="V153" s="8"/>
      <c r="W153" s="42"/>
      <c r="Y153" s="9"/>
      <c r="Z153" s="9"/>
      <c r="AA153" s="9"/>
      <c r="AB153" s="9"/>
      <c r="AC153" s="9"/>
      <c r="AD153" s="9"/>
      <c r="AE153" s="9"/>
      <c r="AF153" s="185"/>
      <c r="AG153" s="185"/>
      <c r="AH153" s="185"/>
      <c r="AI153" s="185"/>
      <c r="AJ153" s="185"/>
      <c r="AK153" s="185"/>
      <c r="AL153" s="185"/>
      <c r="AM153" s="185"/>
      <c r="AN153" s="185"/>
      <c r="AO153" s="185"/>
      <c r="AP153" s="185"/>
      <c r="AQ153" s="185"/>
      <c r="AR153" s="185"/>
      <c r="AS153" s="185"/>
      <c r="AT153" s="185"/>
      <c r="AU153" s="185"/>
      <c r="AV153" s="185"/>
    </row>
    <row r="154" spans="1:48" outlineLevel="1">
      <c r="A154" s="11"/>
      <c r="B154" s="11"/>
      <c r="C154" s="11"/>
      <c r="D154" s="11"/>
      <c r="E154" s="11"/>
      <c r="F154" s="135" t="str">
        <f>Asset12</f>
        <v>132kV wood pole lines</v>
      </c>
      <c r="G154" s="173">
        <f t="shared" ref="G154:Q154" si="19">(G52-G86-G120)/G$178</f>
        <v>0.80931336099999984</v>
      </c>
      <c r="H154" s="90">
        <f t="shared" si="19"/>
        <v>9.8018159036911872</v>
      </c>
      <c r="I154" s="90">
        <f t="shared" si="19"/>
        <v>0.39878399043274854</v>
      </c>
      <c r="J154" s="90">
        <f t="shared" si="19"/>
        <v>0.32263529704584037</v>
      </c>
      <c r="K154" s="90">
        <f t="shared" si="19"/>
        <v>0.52890602691412392</v>
      </c>
      <c r="L154" s="90">
        <f t="shared" si="19"/>
        <v>0.39666823677131674</v>
      </c>
      <c r="M154" s="90">
        <f t="shared" si="19"/>
        <v>0</v>
      </c>
      <c r="N154" s="90">
        <f t="shared" si="19"/>
        <v>0</v>
      </c>
      <c r="O154" s="90">
        <f t="shared" si="19"/>
        <v>0</v>
      </c>
      <c r="P154" s="90">
        <f t="shared" si="19"/>
        <v>0</v>
      </c>
      <c r="Q154" s="90">
        <f t="shared" si="19"/>
        <v>0</v>
      </c>
      <c r="R154" s="8"/>
      <c r="S154" s="8"/>
      <c r="T154" s="8"/>
      <c r="U154" s="8"/>
      <c r="V154" s="8"/>
      <c r="W154" s="42"/>
      <c r="Y154" s="9"/>
      <c r="Z154" s="9"/>
      <c r="AA154" s="9"/>
      <c r="AB154" s="9"/>
      <c r="AC154" s="9"/>
      <c r="AD154" s="9"/>
      <c r="AE154" s="9"/>
      <c r="AF154" s="185"/>
      <c r="AG154" s="185"/>
      <c r="AH154" s="185"/>
      <c r="AI154" s="185"/>
      <c r="AJ154" s="185"/>
      <c r="AK154" s="185"/>
      <c r="AL154" s="185"/>
      <c r="AM154" s="185"/>
      <c r="AN154" s="185"/>
      <c r="AO154" s="185"/>
      <c r="AP154" s="185"/>
      <c r="AQ154" s="185"/>
      <c r="AR154" s="185"/>
      <c r="AS154" s="185"/>
      <c r="AT154" s="185"/>
      <c r="AU154" s="185"/>
      <c r="AV154" s="185"/>
    </row>
    <row r="155" spans="1:48" outlineLevel="1">
      <c r="A155" s="11"/>
      <c r="B155" s="11"/>
      <c r="C155" s="11"/>
      <c r="D155" s="11"/>
      <c r="E155" s="11"/>
      <c r="F155" s="135" t="str">
        <f>Asset13</f>
        <v>132kV feeders underground</v>
      </c>
      <c r="G155" s="173">
        <f t="shared" ref="G155:Q155" si="20">(G53-G87-G121)/G$178</f>
        <v>42.396132476100014</v>
      </c>
      <c r="H155" s="90">
        <f t="shared" si="20"/>
        <v>74.085426038402375</v>
      </c>
      <c r="I155" s="90">
        <f t="shared" si="20"/>
        <v>81.801292603732023</v>
      </c>
      <c r="J155" s="90">
        <f t="shared" si="20"/>
        <v>149.32218975916879</v>
      </c>
      <c r="K155" s="90">
        <f t="shared" si="20"/>
        <v>63.704181887774745</v>
      </c>
      <c r="L155" s="90">
        <f t="shared" si="20"/>
        <v>47.776777382961718</v>
      </c>
      <c r="M155" s="90">
        <f t="shared" si="20"/>
        <v>0</v>
      </c>
      <c r="N155" s="90">
        <f t="shared" si="20"/>
        <v>0</v>
      </c>
      <c r="O155" s="90">
        <f t="shared" si="20"/>
        <v>0</v>
      </c>
      <c r="P155" s="90">
        <f t="shared" si="20"/>
        <v>0</v>
      </c>
      <c r="Q155" s="90">
        <f t="shared" si="20"/>
        <v>0</v>
      </c>
      <c r="R155" s="8"/>
      <c r="S155" s="8"/>
      <c r="T155" s="8"/>
      <c r="U155" s="8"/>
      <c r="V155" s="8"/>
      <c r="W155" s="42"/>
      <c r="Y155" s="9"/>
      <c r="Z155" s="9"/>
      <c r="AA155" s="9"/>
      <c r="AB155" s="9"/>
      <c r="AC155" s="9"/>
      <c r="AD155" s="9"/>
      <c r="AE155" s="9"/>
      <c r="AF155" s="185"/>
      <c r="AG155" s="185"/>
      <c r="AH155" s="185"/>
      <c r="AI155" s="185"/>
      <c r="AJ155" s="185"/>
      <c r="AK155" s="185"/>
      <c r="AL155" s="185"/>
      <c r="AM155" s="185"/>
      <c r="AN155" s="185"/>
      <c r="AO155" s="185"/>
      <c r="AP155" s="185"/>
      <c r="AQ155" s="185"/>
      <c r="AR155" s="185"/>
      <c r="AS155" s="185"/>
      <c r="AT155" s="185"/>
      <c r="AU155" s="185"/>
      <c r="AV155" s="185"/>
    </row>
    <row r="156" spans="1:48" outlineLevel="1">
      <c r="A156" s="11"/>
      <c r="B156" s="11"/>
      <c r="C156" s="11"/>
      <c r="D156" s="11"/>
      <c r="E156" s="11"/>
      <c r="F156" s="135" t="str">
        <f>Asset14</f>
        <v>Cable tunnel (tx)</v>
      </c>
      <c r="G156" s="173">
        <f t="shared" ref="G156:Q156" si="21">(G54-G88-G122)/G$178</f>
        <v>3.1983049999999998E-3</v>
      </c>
      <c r="H156" s="90">
        <f t="shared" si="21"/>
        <v>0</v>
      </c>
      <c r="I156" s="90">
        <f t="shared" si="21"/>
        <v>0</v>
      </c>
      <c r="J156" s="90">
        <f t="shared" si="21"/>
        <v>0.46511734894170909</v>
      </c>
      <c r="K156" s="90">
        <f t="shared" si="21"/>
        <v>0.15556125870304938</v>
      </c>
      <c r="L156" s="90">
        <f t="shared" si="21"/>
        <v>0.11666762536189479</v>
      </c>
      <c r="M156" s="90">
        <f t="shared" si="21"/>
        <v>0</v>
      </c>
      <c r="N156" s="90">
        <f t="shared" si="21"/>
        <v>0</v>
      </c>
      <c r="O156" s="90">
        <f t="shared" si="21"/>
        <v>0</v>
      </c>
      <c r="P156" s="90">
        <f t="shared" si="21"/>
        <v>0</v>
      </c>
      <c r="Q156" s="90">
        <f t="shared" si="21"/>
        <v>0</v>
      </c>
      <c r="R156" s="8"/>
      <c r="S156" s="8"/>
      <c r="T156" s="8"/>
      <c r="U156" s="8"/>
      <c r="V156" s="8"/>
      <c r="W156" s="42"/>
      <c r="Y156" s="9"/>
      <c r="Z156" s="9"/>
      <c r="AA156" s="9"/>
      <c r="AB156" s="9"/>
      <c r="AC156" s="9"/>
      <c r="AD156" s="9"/>
      <c r="AE156" s="9"/>
      <c r="AF156" s="185"/>
      <c r="AG156" s="185"/>
      <c r="AH156" s="185"/>
      <c r="AI156" s="185"/>
      <c r="AJ156" s="185"/>
      <c r="AK156" s="185"/>
      <c r="AL156" s="185"/>
      <c r="AM156" s="185"/>
      <c r="AN156" s="185"/>
      <c r="AO156" s="185"/>
      <c r="AP156" s="185"/>
      <c r="AQ156" s="185"/>
      <c r="AR156" s="185"/>
      <c r="AS156" s="185"/>
      <c r="AT156" s="185"/>
      <c r="AU156" s="185"/>
      <c r="AV156" s="185"/>
    </row>
    <row r="157" spans="1:48" outlineLevel="1">
      <c r="A157" s="11"/>
      <c r="B157" s="11"/>
      <c r="C157" s="11"/>
      <c r="D157" s="11"/>
      <c r="E157" s="11"/>
      <c r="F157" s="135" t="str">
        <f>Asset15</f>
        <v>Network control &amp; com systems</v>
      </c>
      <c r="G157" s="173">
        <f t="shared" ref="G157:Q157" si="22">(G55-G89-G123)/G$178</f>
        <v>0</v>
      </c>
      <c r="H157" s="90">
        <f t="shared" si="22"/>
        <v>1.4584707073203966</v>
      </c>
      <c r="I157" s="90">
        <f t="shared" si="22"/>
        <v>0</v>
      </c>
      <c r="J157" s="90">
        <f t="shared" si="22"/>
        <v>2.2695480491906946E-2</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Y157" s="9"/>
      <c r="Z157" s="9"/>
      <c r="AA157" s="9"/>
      <c r="AB157" s="9"/>
      <c r="AC157" s="9"/>
      <c r="AD157" s="9"/>
      <c r="AE157" s="9"/>
      <c r="AF157" s="185"/>
      <c r="AG157" s="185"/>
      <c r="AH157" s="185"/>
      <c r="AI157" s="185"/>
      <c r="AJ157" s="185"/>
      <c r="AK157" s="185"/>
      <c r="AL157" s="185"/>
      <c r="AM157" s="185"/>
      <c r="AN157" s="185"/>
      <c r="AO157" s="185"/>
      <c r="AP157" s="185"/>
      <c r="AQ157" s="185"/>
      <c r="AR157" s="185"/>
      <c r="AS157" s="185"/>
      <c r="AT157" s="185"/>
      <c r="AU157" s="185"/>
      <c r="AV157" s="185"/>
    </row>
    <row r="158" spans="1:48" outlineLevel="1">
      <c r="A158" s="11"/>
      <c r="B158" s="11"/>
      <c r="C158" s="11"/>
      <c r="D158" s="11"/>
      <c r="E158" s="11"/>
      <c r="F158" s="135" t="str">
        <f>Asset16</f>
        <v>Communications (digital) - tx</v>
      </c>
      <c r="G158" s="173">
        <f t="shared" ref="G158:Q158" si="23">(G56-G90-G124)/G$178</f>
        <v>0</v>
      </c>
      <c r="H158" s="90">
        <f t="shared" si="23"/>
        <v>0</v>
      </c>
      <c r="I158" s="90">
        <f t="shared" si="23"/>
        <v>0.3069726344210526</v>
      </c>
      <c r="J158" s="90">
        <f t="shared" si="23"/>
        <v>0.44477631968081494</v>
      </c>
      <c r="K158" s="90">
        <f>(K56-K90-K124)/K$178</f>
        <v>0.15697471820606115</v>
      </c>
      <c r="L158" s="90">
        <f t="shared" si="23"/>
        <v>0.11772768983512186</v>
      </c>
      <c r="M158" s="90">
        <f t="shared" si="23"/>
        <v>0</v>
      </c>
      <c r="N158" s="90">
        <f t="shared" si="23"/>
        <v>0</v>
      </c>
      <c r="O158" s="90">
        <f t="shared" si="23"/>
        <v>0</v>
      </c>
      <c r="P158" s="90">
        <f t="shared" si="23"/>
        <v>0</v>
      </c>
      <c r="Q158" s="90">
        <f t="shared" si="23"/>
        <v>0</v>
      </c>
      <c r="R158" s="8"/>
      <c r="S158" s="8"/>
      <c r="T158" s="8"/>
      <c r="U158" s="8"/>
      <c r="V158" s="8"/>
      <c r="W158" s="42"/>
      <c r="Y158" s="9"/>
      <c r="Z158" s="9"/>
      <c r="AA158" s="9"/>
      <c r="AB158" s="9"/>
      <c r="AC158" s="9"/>
      <c r="AD158" s="9"/>
      <c r="AE158" s="9"/>
      <c r="AF158" s="185"/>
      <c r="AG158" s="185"/>
      <c r="AH158" s="185"/>
      <c r="AI158" s="185"/>
      <c r="AJ158" s="185"/>
      <c r="AK158" s="185"/>
      <c r="AL158" s="185"/>
      <c r="AM158" s="185"/>
      <c r="AN158" s="185"/>
      <c r="AO158" s="185"/>
      <c r="AP158" s="185"/>
      <c r="AQ158" s="185"/>
      <c r="AR158" s="185"/>
      <c r="AS158" s="185"/>
      <c r="AT158" s="185"/>
      <c r="AU158" s="185"/>
      <c r="AV158" s="185"/>
    </row>
    <row r="159" spans="1:48" outlineLevel="1">
      <c r="A159" s="11"/>
      <c r="B159" s="11"/>
      <c r="C159" s="11"/>
      <c r="D159" s="11"/>
      <c r="E159" s="11"/>
      <c r="F159" s="135" t="str">
        <f>Asset17</f>
        <v>System IT (tx)</v>
      </c>
      <c r="G159" s="173">
        <f t="shared" ref="G159:Q159" si="24">(G57-G91-G125)/G$178</f>
        <v>0</v>
      </c>
      <c r="H159" s="90">
        <f t="shared" si="24"/>
        <v>3.4668134756875508</v>
      </c>
      <c r="I159" s="90">
        <f t="shared" si="24"/>
        <v>7.6090275045020759</v>
      </c>
      <c r="J159" s="90">
        <f t="shared" si="24"/>
        <v>8.606597025895983</v>
      </c>
      <c r="K159" s="90">
        <f t="shared" si="24"/>
        <v>4.4912542343262469</v>
      </c>
      <c r="L159" s="90">
        <f t="shared" si="24"/>
        <v>3.3683448615932736</v>
      </c>
      <c r="M159" s="90">
        <f t="shared" si="24"/>
        <v>0</v>
      </c>
      <c r="N159" s="90">
        <f t="shared" si="24"/>
        <v>0</v>
      </c>
      <c r="O159" s="90">
        <f t="shared" si="24"/>
        <v>0</v>
      </c>
      <c r="P159" s="90">
        <f t="shared" si="24"/>
        <v>0</v>
      </c>
      <c r="Q159" s="90">
        <f t="shared" si="24"/>
        <v>0</v>
      </c>
      <c r="R159" s="8"/>
      <c r="S159" s="8"/>
      <c r="T159" s="8"/>
      <c r="U159" s="8"/>
      <c r="V159" s="8"/>
      <c r="W159" s="42"/>
      <c r="Y159" s="9"/>
      <c r="Z159" s="9"/>
      <c r="AA159" s="9"/>
      <c r="AB159" s="9"/>
      <c r="AC159" s="9"/>
      <c r="AD159" s="9"/>
      <c r="AE159" s="9"/>
      <c r="AF159" s="185"/>
      <c r="AG159" s="185"/>
      <c r="AH159" s="185"/>
      <c r="AI159" s="185"/>
      <c r="AJ159" s="185"/>
      <c r="AK159" s="185"/>
      <c r="AL159" s="185"/>
      <c r="AM159" s="185"/>
      <c r="AN159" s="185"/>
      <c r="AO159" s="185"/>
      <c r="AP159" s="185"/>
      <c r="AQ159" s="185"/>
      <c r="AR159" s="185"/>
      <c r="AS159" s="185"/>
      <c r="AT159" s="185"/>
      <c r="AU159" s="185"/>
      <c r="AV159" s="185"/>
    </row>
    <row r="160" spans="1:48" outlineLevel="1">
      <c r="A160" s="11"/>
      <c r="B160" s="11"/>
      <c r="C160" s="11"/>
      <c r="D160" s="11"/>
      <c r="E160" s="11"/>
      <c r="F160" s="135" t="str">
        <f>Asset18</f>
        <v>IT systems</v>
      </c>
      <c r="G160" s="173">
        <f t="shared" ref="G160:Q160" si="25">(G58-G92-G126)/G$178</f>
        <v>12.15352498670512</v>
      </c>
      <c r="H160" s="90">
        <f t="shared" si="25"/>
        <v>6.0948085906397456</v>
      </c>
      <c r="I160" s="90">
        <f t="shared" si="25"/>
        <v>6.6808523141382663</v>
      </c>
      <c r="J160" s="90">
        <f t="shared" si="25"/>
        <v>4.1693548471163178</v>
      </c>
      <c r="K160" s="90">
        <f t="shared" si="25"/>
        <v>3.1640739772453808</v>
      </c>
      <c r="L160" s="90">
        <f t="shared" si="25"/>
        <v>2.37719398059189</v>
      </c>
      <c r="M160" s="90">
        <f t="shared" si="25"/>
        <v>0</v>
      </c>
      <c r="N160" s="90">
        <f t="shared" si="25"/>
        <v>0</v>
      </c>
      <c r="O160" s="90">
        <f t="shared" si="25"/>
        <v>0</v>
      </c>
      <c r="P160" s="90">
        <f t="shared" si="25"/>
        <v>0</v>
      </c>
      <c r="Q160" s="90">
        <f t="shared" si="25"/>
        <v>0</v>
      </c>
      <c r="R160" s="8"/>
      <c r="S160" s="8"/>
      <c r="T160" s="8"/>
      <c r="U160" s="8"/>
      <c r="V160" s="8"/>
      <c r="W160" s="42"/>
      <c r="Y160" s="9"/>
      <c r="Z160" s="9"/>
      <c r="AA160" s="9"/>
      <c r="AB160" s="9"/>
      <c r="AC160" s="9"/>
      <c r="AD160" s="9"/>
      <c r="AE160" s="9"/>
      <c r="AF160" s="185"/>
      <c r="AG160" s="185"/>
      <c r="AH160" s="185"/>
      <c r="AI160" s="185"/>
      <c r="AJ160" s="185"/>
      <c r="AK160" s="185"/>
      <c r="AL160" s="185"/>
      <c r="AM160" s="185"/>
      <c r="AN160" s="185"/>
      <c r="AO160" s="185"/>
      <c r="AP160" s="185"/>
      <c r="AQ160" s="185"/>
      <c r="AR160" s="185"/>
      <c r="AS160" s="185"/>
      <c r="AT160" s="185"/>
      <c r="AU160" s="185"/>
      <c r="AV160" s="185"/>
    </row>
    <row r="161" spans="1:48" outlineLevel="1">
      <c r="A161" s="11"/>
      <c r="B161" s="11"/>
      <c r="C161" s="11"/>
      <c r="D161" s="11"/>
      <c r="E161" s="11"/>
      <c r="F161" s="135" t="str">
        <f>Asset19</f>
        <v>Furniture, fittings, plant and equipment</v>
      </c>
      <c r="G161" s="173">
        <f t="shared" ref="G161:Q161" si="26">(G59-G93-G127)/G$178</f>
        <v>0.82717577039857593</v>
      </c>
      <c r="H161" s="90">
        <f t="shared" si="26"/>
        <v>0.97213095218673928</v>
      </c>
      <c r="I161" s="90">
        <f t="shared" si="26"/>
        <v>0.86086492327921094</v>
      </c>
      <c r="J161" s="90">
        <f t="shared" si="26"/>
        <v>0.87959820480241124</v>
      </c>
      <c r="K161" s="90">
        <f t="shared" si="26"/>
        <v>0.53002855673704108</v>
      </c>
      <c r="L161" s="90">
        <f t="shared" si="26"/>
        <v>0.40230232878635375</v>
      </c>
      <c r="M161" s="90">
        <f t="shared" si="26"/>
        <v>0</v>
      </c>
      <c r="N161" s="90">
        <f t="shared" si="26"/>
        <v>0</v>
      </c>
      <c r="O161" s="90">
        <f t="shared" si="26"/>
        <v>0</v>
      </c>
      <c r="P161" s="90">
        <f t="shared" si="26"/>
        <v>0</v>
      </c>
      <c r="Q161" s="90">
        <f t="shared" si="26"/>
        <v>0</v>
      </c>
      <c r="R161" s="8"/>
      <c r="S161" s="8"/>
      <c r="T161" s="8"/>
      <c r="U161" s="8"/>
      <c r="V161" s="8"/>
      <c r="W161" s="42"/>
      <c r="Y161" s="9"/>
      <c r="Z161" s="9"/>
      <c r="AA161" s="9"/>
      <c r="AB161" s="9"/>
      <c r="AC161" s="9"/>
      <c r="AD161" s="9"/>
      <c r="AE161" s="9"/>
      <c r="AF161" s="185"/>
      <c r="AG161" s="185"/>
      <c r="AH161" s="185"/>
      <c r="AI161" s="185"/>
      <c r="AJ161" s="185"/>
      <c r="AK161" s="185"/>
      <c r="AL161" s="185"/>
      <c r="AM161" s="185"/>
      <c r="AN161" s="185"/>
      <c r="AO161" s="185"/>
      <c r="AP161" s="185"/>
      <c r="AQ161" s="185"/>
      <c r="AR161" s="185"/>
      <c r="AS161" s="185"/>
      <c r="AT161" s="185"/>
      <c r="AU161" s="185"/>
      <c r="AV161" s="185"/>
    </row>
    <row r="162" spans="1:48" outlineLevel="1">
      <c r="A162" s="11"/>
      <c r="B162" s="11"/>
      <c r="C162" s="11"/>
      <c r="D162" s="11"/>
      <c r="E162" s="11"/>
      <c r="F162" s="135" t="str">
        <f>Asset20</f>
        <v>Motor vehicles</v>
      </c>
      <c r="G162" s="173">
        <f t="shared" ref="G162:Q162" si="27">(G60-G94-G128)/G$178</f>
        <v>3.2328906048407333</v>
      </c>
      <c r="H162" s="90">
        <f t="shared" si="27"/>
        <v>3.1687279054580126</v>
      </c>
      <c r="I162" s="90">
        <f t="shared" si="27"/>
        <v>3.3036381336407414</v>
      </c>
      <c r="J162" s="90">
        <f t="shared" si="27"/>
        <v>3.4960314634328071</v>
      </c>
      <c r="K162" s="90">
        <f t="shared" si="27"/>
        <v>1.5301913945956094</v>
      </c>
      <c r="L162" s="90">
        <f t="shared" si="27"/>
        <v>1.3511107877335022</v>
      </c>
      <c r="M162" s="90">
        <f t="shared" si="27"/>
        <v>0</v>
      </c>
      <c r="N162" s="90">
        <f t="shared" si="27"/>
        <v>0</v>
      </c>
      <c r="O162" s="90">
        <f t="shared" si="27"/>
        <v>0</v>
      </c>
      <c r="P162" s="90">
        <f t="shared" si="27"/>
        <v>0</v>
      </c>
      <c r="Q162" s="90">
        <f t="shared" si="27"/>
        <v>0</v>
      </c>
      <c r="R162" s="8"/>
      <c r="S162" s="8"/>
      <c r="T162" s="8"/>
      <c r="U162" s="8"/>
      <c r="V162" s="8"/>
      <c r="W162" s="42"/>
      <c r="Y162" s="9"/>
      <c r="Z162" s="9"/>
      <c r="AA162" s="9"/>
      <c r="AB162" s="9"/>
      <c r="AC162" s="9"/>
      <c r="AD162" s="9"/>
      <c r="AE162" s="9"/>
      <c r="AF162" s="185"/>
      <c r="AG162" s="185"/>
      <c r="AH162" s="185"/>
      <c r="AI162" s="185"/>
      <c r="AJ162" s="185"/>
      <c r="AK162" s="185"/>
      <c r="AL162" s="185"/>
      <c r="AM162" s="185"/>
      <c r="AN162" s="185"/>
      <c r="AO162" s="185"/>
      <c r="AP162" s="185"/>
      <c r="AQ162" s="185"/>
      <c r="AR162" s="185"/>
      <c r="AS162" s="185"/>
      <c r="AT162" s="185"/>
      <c r="AU162" s="185"/>
      <c r="AV162" s="185"/>
    </row>
    <row r="163" spans="1:48" outlineLevel="1">
      <c r="A163" s="11"/>
      <c r="B163" s="11"/>
      <c r="C163" s="11"/>
      <c r="D163" s="11"/>
      <c r="E163" s="11"/>
      <c r="F163" s="39" t="str">
        <f>Asset21</f>
        <v>Buildings</v>
      </c>
      <c r="G163" s="173">
        <f t="shared" ref="G163:Q163" si="28">(G61-G95-G129)/G$178</f>
        <v>7.7873646922368005</v>
      </c>
      <c r="H163" s="90">
        <f t="shared" si="28"/>
        <v>8.6325046845900619</v>
      </c>
      <c r="I163" s="90">
        <f t="shared" si="28"/>
        <v>5.530893273193346</v>
      </c>
      <c r="J163" s="90">
        <f t="shared" si="28"/>
        <v>3.8185406662027659</v>
      </c>
      <c r="K163" s="90">
        <f t="shared" si="28"/>
        <v>2.2816120388732983</v>
      </c>
      <c r="L163" s="90">
        <f t="shared" si="28"/>
        <v>-5.3156629733844483</v>
      </c>
      <c r="M163" s="90">
        <f t="shared" si="28"/>
        <v>0</v>
      </c>
      <c r="N163" s="90">
        <f t="shared" si="28"/>
        <v>0</v>
      </c>
      <c r="O163" s="90">
        <f t="shared" si="28"/>
        <v>0</v>
      </c>
      <c r="P163" s="90">
        <f t="shared" si="28"/>
        <v>0</v>
      </c>
      <c r="Q163" s="90">
        <f t="shared" si="28"/>
        <v>0</v>
      </c>
      <c r="R163" s="8"/>
      <c r="S163" s="8"/>
      <c r="T163" s="8"/>
      <c r="U163" s="8"/>
      <c r="V163" s="8"/>
      <c r="W163" s="42"/>
      <c r="Y163" s="9"/>
      <c r="Z163" s="9"/>
      <c r="AA163" s="9"/>
      <c r="AB163" s="9"/>
      <c r="AC163" s="9"/>
      <c r="AD163" s="9"/>
      <c r="AE163" s="9"/>
      <c r="AF163" s="185"/>
      <c r="AG163" s="185"/>
      <c r="AH163" s="185"/>
      <c r="AI163" s="185"/>
      <c r="AJ163" s="185"/>
      <c r="AK163" s="185"/>
      <c r="AL163" s="185"/>
      <c r="AM163" s="185"/>
      <c r="AN163" s="185"/>
      <c r="AO163" s="185"/>
      <c r="AP163" s="185"/>
      <c r="AQ163" s="185"/>
      <c r="AR163" s="185"/>
      <c r="AS163" s="185"/>
      <c r="AT163" s="185"/>
      <c r="AU163" s="185"/>
      <c r="AV163" s="185"/>
    </row>
    <row r="164" spans="1:48" outlineLevel="1">
      <c r="A164" s="11"/>
      <c r="B164" s="11"/>
      <c r="C164" s="11"/>
      <c r="D164" s="11"/>
      <c r="E164" s="11"/>
      <c r="F164" s="39" t="str">
        <f>Asset22</f>
        <v>Land (non-system)</v>
      </c>
      <c r="G164" s="173">
        <f t="shared" ref="G164:Q164" si="29">(G62-G96-G130)/G$178</f>
        <v>1.58850472320864</v>
      </c>
      <c r="H164" s="90">
        <f t="shared" si="29"/>
        <v>2.561333674488568</v>
      </c>
      <c r="I164" s="90">
        <f t="shared" si="29"/>
        <v>0.82680548888888883</v>
      </c>
      <c r="J164" s="90">
        <f t="shared" si="29"/>
        <v>1.031955417471613</v>
      </c>
      <c r="K164" s="90">
        <f t="shared" si="29"/>
        <v>-1.3346428320152074E-2</v>
      </c>
      <c r="L164" s="90">
        <f t="shared" si="29"/>
        <v>-7.0394857262527015</v>
      </c>
      <c r="M164" s="90">
        <f t="shared" si="29"/>
        <v>0</v>
      </c>
      <c r="N164" s="90">
        <f t="shared" si="29"/>
        <v>0</v>
      </c>
      <c r="O164" s="90">
        <f t="shared" si="29"/>
        <v>0</v>
      </c>
      <c r="P164" s="90">
        <f t="shared" si="29"/>
        <v>0</v>
      </c>
      <c r="Q164" s="90">
        <f t="shared" si="29"/>
        <v>0</v>
      </c>
      <c r="R164" s="8"/>
      <c r="S164" s="8"/>
      <c r="T164" s="8"/>
      <c r="U164" s="8"/>
      <c r="V164" s="8"/>
      <c r="W164" s="42"/>
      <c r="Y164" s="9"/>
      <c r="Z164" s="9"/>
      <c r="AA164" s="9"/>
      <c r="AB164" s="9"/>
      <c r="AC164" s="9"/>
      <c r="AD164" s="9"/>
      <c r="AE164" s="9"/>
      <c r="AF164" s="185"/>
      <c r="AG164" s="185"/>
      <c r="AH164" s="185"/>
      <c r="AI164" s="185"/>
      <c r="AJ164" s="185"/>
      <c r="AK164" s="185"/>
      <c r="AL164" s="185"/>
      <c r="AM164" s="185"/>
      <c r="AN164" s="185"/>
      <c r="AO164" s="185"/>
      <c r="AP164" s="185"/>
      <c r="AQ164" s="185"/>
      <c r="AR164" s="185"/>
      <c r="AS164" s="185"/>
      <c r="AT164" s="185"/>
      <c r="AU164" s="185"/>
      <c r="AV164" s="185"/>
    </row>
    <row r="165" spans="1:48" outlineLevel="1">
      <c r="A165" s="11"/>
      <c r="B165" s="11"/>
      <c r="C165" s="11"/>
      <c r="D165" s="11"/>
      <c r="E165" s="11"/>
      <c r="F165" s="39" t="str">
        <f>Asset23</f>
        <v>Other non system assets</v>
      </c>
      <c r="G165" s="173">
        <f t="shared" ref="G165:Q165" si="30">(G63-G97-G131)/G$178</f>
        <v>0</v>
      </c>
      <c r="H165" s="90">
        <f t="shared" si="30"/>
        <v>0</v>
      </c>
      <c r="I165" s="90">
        <f t="shared" si="30"/>
        <v>6.2441791303839908E-3</v>
      </c>
      <c r="J165" s="90">
        <f t="shared" si="30"/>
        <v>0.14313690311062072</v>
      </c>
      <c r="K165" s="90">
        <f t="shared" si="30"/>
        <v>1.001585518440983E-2</v>
      </c>
      <c r="L165" s="90">
        <f t="shared" si="30"/>
        <v>9.025819479073393E-3</v>
      </c>
      <c r="M165" s="90">
        <f t="shared" si="30"/>
        <v>0</v>
      </c>
      <c r="N165" s="90">
        <f t="shared" si="30"/>
        <v>0</v>
      </c>
      <c r="O165" s="90">
        <f t="shared" si="30"/>
        <v>0</v>
      </c>
      <c r="P165" s="90">
        <f t="shared" si="30"/>
        <v>0</v>
      </c>
      <c r="Q165" s="90">
        <f t="shared" si="30"/>
        <v>0</v>
      </c>
      <c r="R165" s="8"/>
      <c r="S165" s="8"/>
      <c r="T165" s="8"/>
      <c r="U165" s="8"/>
      <c r="V165" s="8"/>
      <c r="W165" s="42"/>
      <c r="Y165" s="9"/>
      <c r="Z165" s="9"/>
      <c r="AA165" s="9"/>
      <c r="AB165" s="9"/>
      <c r="AC165" s="9"/>
      <c r="AD165" s="9"/>
      <c r="AE165" s="9"/>
      <c r="AF165" s="185"/>
      <c r="AG165" s="185"/>
      <c r="AH165" s="185"/>
      <c r="AI165" s="185"/>
      <c r="AJ165" s="185"/>
      <c r="AK165" s="185"/>
      <c r="AL165" s="185"/>
      <c r="AM165" s="185"/>
      <c r="AN165" s="185"/>
      <c r="AO165" s="185"/>
      <c r="AP165" s="185"/>
      <c r="AQ165" s="185"/>
      <c r="AR165" s="185"/>
      <c r="AS165" s="185"/>
      <c r="AT165" s="185"/>
      <c r="AU165" s="185"/>
      <c r="AV165" s="185"/>
    </row>
    <row r="166" spans="1:48" outlineLevel="1">
      <c r="A166" s="11"/>
      <c r="B166" s="11"/>
      <c r="C166" s="11"/>
      <c r="D166" s="11"/>
      <c r="E166" s="11"/>
      <c r="F166" s="39" t="str">
        <f>Asset24</f>
        <v>Equity raising costs</v>
      </c>
      <c r="G166" s="173">
        <f t="shared" ref="G166:Q166" si="31">(G64-G98-G132)/G$178</f>
        <v>0</v>
      </c>
      <c r="H166" s="90">
        <f t="shared" si="31"/>
        <v>6.1245881720183997</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Y166" s="9"/>
      <c r="Z166" s="9"/>
      <c r="AA166" s="9"/>
      <c r="AB166" s="9"/>
      <c r="AC166" s="9"/>
      <c r="AD166" s="9"/>
      <c r="AE166" s="9"/>
      <c r="AF166" s="185"/>
      <c r="AG166" s="185"/>
      <c r="AH166" s="185"/>
      <c r="AI166" s="185"/>
      <c r="AJ166" s="185"/>
      <c r="AK166" s="185"/>
      <c r="AL166" s="185"/>
      <c r="AM166" s="185"/>
      <c r="AN166" s="185"/>
      <c r="AO166" s="185"/>
      <c r="AP166" s="185"/>
      <c r="AQ166" s="185"/>
      <c r="AR166" s="185"/>
      <c r="AS166" s="185"/>
      <c r="AT166" s="185"/>
      <c r="AU166" s="185"/>
      <c r="AV166" s="185"/>
    </row>
    <row r="167" spans="1:48" outlineLevel="1">
      <c r="A167" s="11"/>
      <c r="B167" s="11"/>
      <c r="C167" s="11"/>
      <c r="D167" s="11"/>
      <c r="E167" s="11"/>
      <c r="F167" s="39">
        <f>Asset25</f>
        <v>0</v>
      </c>
      <c r="G167" s="173">
        <f t="shared" ref="G167:Q167" si="32">(G65-G99-G133)/G$178</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Y167" s="9"/>
      <c r="Z167" s="9"/>
      <c r="AA167" s="9"/>
      <c r="AB167" s="9"/>
      <c r="AC167" s="9"/>
      <c r="AD167" s="9"/>
      <c r="AE167" s="9"/>
      <c r="AF167" s="185"/>
      <c r="AG167" s="185"/>
      <c r="AH167" s="185"/>
      <c r="AI167" s="185"/>
      <c r="AJ167" s="185"/>
      <c r="AK167" s="185"/>
      <c r="AL167" s="185"/>
      <c r="AM167" s="185"/>
      <c r="AN167" s="185"/>
      <c r="AO167" s="185"/>
      <c r="AP167" s="185"/>
      <c r="AQ167" s="185"/>
      <c r="AR167" s="185"/>
      <c r="AS167" s="185"/>
      <c r="AT167" s="185"/>
      <c r="AU167" s="185"/>
      <c r="AV167" s="185"/>
    </row>
    <row r="168" spans="1:48" outlineLevel="1">
      <c r="A168" s="11"/>
      <c r="B168" s="11"/>
      <c r="C168" s="11"/>
      <c r="D168" s="11"/>
      <c r="E168" s="11"/>
      <c r="F168" s="39">
        <f>Asset26</f>
        <v>0</v>
      </c>
      <c r="G168" s="173">
        <f t="shared" ref="G168:Q168" si="33">(G66-G100-G134)/G$178</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Y168" s="9"/>
      <c r="Z168" s="9"/>
      <c r="AA168" s="9"/>
      <c r="AB168" s="9"/>
      <c r="AC168" s="9"/>
      <c r="AD168" s="9"/>
      <c r="AE168" s="9"/>
      <c r="AF168" s="185"/>
      <c r="AG168" s="185"/>
      <c r="AH168" s="185"/>
      <c r="AI168" s="185"/>
      <c r="AJ168" s="185"/>
      <c r="AK168" s="185"/>
      <c r="AL168" s="185"/>
      <c r="AM168" s="185"/>
      <c r="AN168" s="185"/>
      <c r="AO168" s="185"/>
      <c r="AP168" s="185"/>
      <c r="AQ168" s="185"/>
      <c r="AR168" s="185"/>
      <c r="AS168" s="185"/>
      <c r="AT168" s="185"/>
      <c r="AU168" s="185"/>
      <c r="AV168" s="185"/>
    </row>
    <row r="169" spans="1:48" outlineLevel="1">
      <c r="A169" s="11"/>
      <c r="B169" s="11"/>
      <c r="C169" s="11"/>
      <c r="D169" s="11"/>
      <c r="E169" s="11"/>
      <c r="F169" s="39">
        <f>Asset27</f>
        <v>0</v>
      </c>
      <c r="G169" s="173">
        <f t="shared" ref="G169:Q169" si="34">(G67-G101-G135)/G$178</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Y169" s="9"/>
      <c r="Z169" s="9"/>
      <c r="AA169" s="9"/>
      <c r="AB169" s="9"/>
      <c r="AC169" s="9"/>
      <c r="AD169" s="9"/>
      <c r="AE169" s="9"/>
      <c r="AF169" s="185"/>
      <c r="AG169" s="185"/>
      <c r="AH169" s="185"/>
      <c r="AI169" s="185"/>
      <c r="AJ169" s="185"/>
      <c r="AK169" s="185"/>
      <c r="AL169" s="185"/>
      <c r="AM169" s="185"/>
      <c r="AN169" s="185"/>
      <c r="AO169" s="185"/>
      <c r="AP169" s="185"/>
      <c r="AQ169" s="185"/>
      <c r="AR169" s="185"/>
      <c r="AS169" s="185"/>
      <c r="AT169" s="185"/>
      <c r="AU169" s="185"/>
      <c r="AV169" s="185"/>
    </row>
    <row r="170" spans="1:48" outlineLevel="1">
      <c r="A170" s="11"/>
      <c r="B170" s="11"/>
      <c r="C170" s="11"/>
      <c r="D170" s="11"/>
      <c r="E170" s="11"/>
      <c r="F170" s="39">
        <f>Asset28</f>
        <v>0</v>
      </c>
      <c r="G170" s="173">
        <f t="shared" ref="G170:Q170" si="35">(G68-G102-G136)/G$178</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Y170" s="9"/>
      <c r="Z170" s="9"/>
      <c r="AA170" s="9"/>
      <c r="AB170" s="9"/>
      <c r="AC170" s="9"/>
      <c r="AD170" s="9"/>
      <c r="AE170" s="9"/>
      <c r="AF170" s="185"/>
      <c r="AG170" s="185"/>
      <c r="AH170" s="185"/>
      <c r="AI170" s="185"/>
      <c r="AJ170" s="185"/>
      <c r="AK170" s="185"/>
      <c r="AL170" s="185"/>
      <c r="AM170" s="185"/>
      <c r="AN170" s="185"/>
      <c r="AO170" s="185"/>
      <c r="AP170" s="185"/>
      <c r="AQ170" s="185"/>
      <c r="AR170" s="185"/>
      <c r="AS170" s="185"/>
      <c r="AT170" s="185"/>
      <c r="AU170" s="185"/>
      <c r="AV170" s="185"/>
    </row>
    <row r="171" spans="1:48" outlineLevel="1">
      <c r="A171" s="11"/>
      <c r="B171" s="11"/>
      <c r="C171" s="11"/>
      <c r="D171" s="11"/>
      <c r="E171" s="11"/>
      <c r="F171" s="39">
        <f>Asset29</f>
        <v>0</v>
      </c>
      <c r="G171" s="173">
        <f t="shared" ref="G171:Q171" si="36">(G69-G103-G137)/G$178</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Y171" s="9"/>
      <c r="Z171" s="9"/>
      <c r="AA171" s="9"/>
      <c r="AB171" s="9"/>
      <c r="AC171" s="9"/>
      <c r="AD171" s="9"/>
      <c r="AE171" s="9"/>
      <c r="AF171" s="185"/>
      <c r="AG171" s="185"/>
      <c r="AH171" s="185"/>
      <c r="AI171" s="185"/>
      <c r="AJ171" s="185"/>
      <c r="AK171" s="185"/>
      <c r="AL171" s="185"/>
      <c r="AM171" s="185"/>
      <c r="AN171" s="185"/>
      <c r="AO171" s="185"/>
      <c r="AP171" s="185"/>
      <c r="AQ171" s="185"/>
      <c r="AR171" s="185"/>
      <c r="AS171" s="185"/>
      <c r="AT171" s="185"/>
      <c r="AU171" s="185"/>
      <c r="AV171" s="185"/>
    </row>
    <row r="172" spans="1:48" outlineLevel="1">
      <c r="A172" s="11"/>
      <c r="B172" s="11"/>
      <c r="C172" s="11"/>
      <c r="D172" s="11"/>
      <c r="E172" s="11"/>
      <c r="F172" s="39">
        <f>Asset30</f>
        <v>0</v>
      </c>
      <c r="G172" s="173">
        <f t="shared" ref="G172:Q172" si="37">(G70-G104-G138)/G$178</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Y172" s="9"/>
      <c r="Z172" s="9"/>
      <c r="AA172" s="9"/>
      <c r="AB172" s="9"/>
      <c r="AC172" s="9"/>
      <c r="AD172" s="9"/>
      <c r="AE172" s="9"/>
      <c r="AF172" s="185"/>
      <c r="AG172" s="185"/>
      <c r="AH172" s="185"/>
      <c r="AI172" s="185"/>
      <c r="AJ172" s="185"/>
      <c r="AK172" s="185"/>
      <c r="AL172" s="185"/>
      <c r="AM172" s="185"/>
      <c r="AN172" s="185"/>
      <c r="AO172" s="185"/>
      <c r="AP172" s="185"/>
      <c r="AQ172" s="185"/>
      <c r="AR172" s="185"/>
      <c r="AS172" s="185"/>
      <c r="AT172" s="185"/>
      <c r="AU172" s="185"/>
      <c r="AV172" s="185"/>
    </row>
    <row r="173" spans="1:48">
      <c r="A173" s="11"/>
      <c r="B173" s="11"/>
      <c r="C173" s="11"/>
      <c r="D173" s="11"/>
      <c r="E173" s="11"/>
      <c r="F173" s="39" t="s">
        <v>22</v>
      </c>
      <c r="G173" s="242">
        <f t="shared" ref="G173:Q173" si="38">SUM(G143:G172)</f>
        <v>96.813930432589899</v>
      </c>
      <c r="H173" s="242">
        <f t="shared" si="38"/>
        <v>218.63595719207191</v>
      </c>
      <c r="I173" s="242">
        <f t="shared" si="38"/>
        <v>248.67625147250854</v>
      </c>
      <c r="J173" s="242">
        <f t="shared" si="38"/>
        <v>299.06376204213666</v>
      </c>
      <c r="K173" s="242">
        <f t="shared" si="38"/>
        <v>182.48655996188387</v>
      </c>
      <c r="L173" s="242">
        <f t="shared" si="38"/>
        <v>125.96245587855007</v>
      </c>
      <c r="M173" s="242">
        <f t="shared" si="38"/>
        <v>0</v>
      </c>
      <c r="N173" s="242">
        <f t="shared" si="38"/>
        <v>0</v>
      </c>
      <c r="O173" s="242">
        <f t="shared" si="38"/>
        <v>0</v>
      </c>
      <c r="P173" s="242">
        <f t="shared" si="38"/>
        <v>0</v>
      </c>
      <c r="Q173" s="242">
        <f t="shared" si="38"/>
        <v>0</v>
      </c>
      <c r="R173" s="37"/>
      <c r="S173" s="37"/>
      <c r="T173" s="37"/>
      <c r="U173" s="37"/>
      <c r="V173" s="37"/>
      <c r="W173" s="37"/>
      <c r="Y173" s="87"/>
      <c r="Z173" s="8"/>
      <c r="AA173" s="8"/>
      <c r="AB173" s="42"/>
      <c r="AC173" s="9"/>
      <c r="AD173" s="9"/>
      <c r="AE173" s="9"/>
      <c r="AF173" s="185"/>
      <c r="AG173" s="185"/>
      <c r="AH173" s="185"/>
      <c r="AI173" s="185"/>
      <c r="AJ173" s="185"/>
      <c r="AK173" s="185"/>
      <c r="AL173" s="185"/>
      <c r="AM173" s="185"/>
      <c r="AN173" s="185"/>
      <c r="AO173" s="185"/>
      <c r="AP173" s="185"/>
      <c r="AQ173" s="185"/>
      <c r="AR173" s="185"/>
      <c r="AS173" s="185"/>
      <c r="AT173" s="185"/>
      <c r="AU173" s="185"/>
      <c r="AV173" s="185"/>
    </row>
    <row r="174" spans="1:48" ht="21" customHeight="1">
      <c r="A174" s="11"/>
      <c r="B174" s="11"/>
      <c r="C174" s="11"/>
      <c r="D174" s="11"/>
      <c r="E174" s="11"/>
      <c r="F174" s="39"/>
      <c r="G174" s="59"/>
      <c r="H174" s="59"/>
      <c r="I174" s="59"/>
      <c r="J174" s="285"/>
      <c r="K174" s="285"/>
      <c r="L174" s="285"/>
      <c r="M174" s="59"/>
      <c r="N174" s="37"/>
      <c r="O174" s="37"/>
      <c r="P174" s="37"/>
      <c r="Q174" s="37"/>
      <c r="R174" s="241">
        <f>SUM(G173:Q173)</f>
        <v>1171.638916979741</v>
      </c>
      <c r="S174" s="37"/>
      <c r="T174" s="37"/>
      <c r="U174" s="37"/>
      <c r="V174" s="37"/>
      <c r="W174" s="37"/>
      <c r="Y174" s="37"/>
      <c r="Z174" s="8"/>
      <c r="AA174" s="8"/>
      <c r="AB174" s="42"/>
      <c r="AC174" s="9"/>
      <c r="AD174" s="9"/>
      <c r="AE174" s="9"/>
      <c r="AF174" s="185"/>
      <c r="AG174" s="185"/>
      <c r="AH174" s="185"/>
      <c r="AI174" s="185"/>
      <c r="AJ174" s="185"/>
      <c r="AK174" s="185"/>
      <c r="AL174" s="185"/>
      <c r="AM174" s="185"/>
      <c r="AN174" s="185"/>
      <c r="AO174" s="185"/>
      <c r="AP174" s="185"/>
      <c r="AQ174" s="185"/>
      <c r="AR174" s="185"/>
      <c r="AS174" s="185"/>
      <c r="AT174" s="185"/>
      <c r="AU174" s="185"/>
      <c r="AV174" s="185"/>
    </row>
    <row r="175" spans="1:48"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Y175" s="9"/>
      <c r="Z175" s="9"/>
      <c r="AA175" s="9"/>
      <c r="AB175" s="43"/>
      <c r="AC175" s="9"/>
      <c r="AD175" s="9"/>
      <c r="AE175" s="9"/>
      <c r="AF175" s="185"/>
      <c r="AG175" s="185"/>
      <c r="AH175" s="185"/>
      <c r="AI175" s="185"/>
      <c r="AJ175" s="185"/>
      <c r="AK175" s="185"/>
      <c r="AL175" s="185"/>
      <c r="AM175" s="185"/>
      <c r="AN175" s="185"/>
      <c r="AO175" s="185"/>
      <c r="AP175" s="185"/>
      <c r="AQ175" s="185"/>
      <c r="AR175" s="185"/>
      <c r="AS175" s="185"/>
      <c r="AT175" s="185"/>
      <c r="AU175" s="185"/>
      <c r="AV175" s="185"/>
    </row>
    <row r="176" spans="1:48" ht="14.25" customHeight="1">
      <c r="A176" s="11"/>
      <c r="B176" s="11"/>
      <c r="C176" s="11"/>
      <c r="D176" s="11"/>
      <c r="E176" s="11"/>
      <c r="F176" s="14"/>
      <c r="G176" s="143" t="str">
        <f>G40</f>
        <v>2008-09</v>
      </c>
      <c r="H176" s="143" t="str">
        <f t="shared" ref="H176:Q176" si="39">H40</f>
        <v>2009-10</v>
      </c>
      <c r="I176" s="143" t="str">
        <f t="shared" si="39"/>
        <v>2010-11</v>
      </c>
      <c r="J176" s="143" t="str">
        <f t="shared" si="39"/>
        <v>2011-12</v>
      </c>
      <c r="K176" s="143" t="str">
        <f t="shared" si="39"/>
        <v>2012-13</v>
      </c>
      <c r="L176" s="143" t="str">
        <f t="shared" si="39"/>
        <v>2013-14</v>
      </c>
      <c r="M176" s="143" t="str">
        <f t="shared" si="39"/>
        <v>2014-15</v>
      </c>
      <c r="N176" s="143" t="str">
        <f t="shared" si="39"/>
        <v>2015-16</v>
      </c>
      <c r="O176" s="143" t="str">
        <f t="shared" si="39"/>
        <v>2016-17</v>
      </c>
      <c r="P176" s="143" t="str">
        <f t="shared" si="39"/>
        <v>2017-18</v>
      </c>
      <c r="Q176" s="143" t="str">
        <f t="shared" si="39"/>
        <v>2018-19</v>
      </c>
      <c r="R176" s="12"/>
      <c r="S176" s="12"/>
      <c r="T176" s="12"/>
      <c r="U176" s="12"/>
      <c r="V176" s="12"/>
      <c r="W176" s="12"/>
      <c r="Y176" s="9"/>
      <c r="Z176" s="9"/>
      <c r="AA176" s="9"/>
      <c r="AB176" s="9"/>
      <c r="AC176" s="9"/>
      <c r="AD176" s="9"/>
      <c r="AE176" s="9"/>
      <c r="AF176" s="185"/>
      <c r="AJ176" s="185"/>
      <c r="AK176" s="185"/>
      <c r="AL176" s="185"/>
      <c r="AM176" s="185"/>
      <c r="AN176" s="185"/>
      <c r="AO176" s="185"/>
      <c r="AP176" s="185"/>
      <c r="AQ176" s="185"/>
      <c r="AR176" s="185"/>
      <c r="AS176" s="185"/>
      <c r="AT176" s="185"/>
      <c r="AU176" s="185"/>
      <c r="AV176" s="185"/>
    </row>
    <row r="177" spans="1:48" ht="12.75" customHeight="1">
      <c r="A177" s="11"/>
      <c r="B177" s="11"/>
      <c r="C177" s="11"/>
      <c r="D177" s="11"/>
      <c r="E177" s="11"/>
      <c r="F177" s="94" t="s">
        <v>37</v>
      </c>
      <c r="G177" s="340">
        <v>2.4660912453760897E-2</v>
      </c>
      <c r="H177" s="338">
        <v>2.8880866425992746E-2</v>
      </c>
      <c r="I177" s="341">
        <v>3.3333333333333215E-2</v>
      </c>
      <c r="J177" s="341">
        <v>1.6276703967446737E-2</v>
      </c>
      <c r="K177" s="341">
        <v>2.5025025025025016E-2</v>
      </c>
      <c r="L177" s="341">
        <v>2.5025025025025016E-2</v>
      </c>
      <c r="M177" s="288"/>
      <c r="N177" s="288"/>
      <c r="O177" s="288"/>
      <c r="P177" s="288"/>
      <c r="Q177" s="288"/>
      <c r="R177" s="13"/>
      <c r="S177" s="13"/>
      <c r="T177" s="13"/>
      <c r="U177" s="13"/>
      <c r="V177" s="13"/>
      <c r="W177" s="13"/>
      <c r="Y177" s="13"/>
      <c r="Z177" s="13"/>
      <c r="AA177" s="8"/>
      <c r="AB177" s="9"/>
      <c r="AC177" s="9"/>
      <c r="AD177" s="9"/>
      <c r="AE177" s="9"/>
      <c r="AF177" s="185"/>
      <c r="AJ177" s="185"/>
      <c r="AK177" s="185"/>
      <c r="AL177" s="185"/>
      <c r="AM177" s="185"/>
      <c r="AN177" s="185"/>
      <c r="AO177" s="185"/>
      <c r="AP177" s="185"/>
      <c r="AQ177" s="185"/>
      <c r="AR177" s="185"/>
      <c r="AS177" s="185"/>
      <c r="AT177" s="185"/>
      <c r="AU177" s="185"/>
      <c r="AV177" s="185"/>
    </row>
    <row r="178" spans="1:48" ht="13.5" customHeight="1">
      <c r="A178" s="11"/>
      <c r="B178" s="11"/>
      <c r="C178" s="11"/>
      <c r="D178" s="11"/>
      <c r="E178" s="11"/>
      <c r="F178" s="94" t="s">
        <v>75</v>
      </c>
      <c r="G178" s="239">
        <v>1</v>
      </c>
      <c r="H178" s="91">
        <f>G178*(1+G177)</f>
        <v>1.0246609124537609</v>
      </c>
      <c r="I178" s="91">
        <f t="shared" ref="I178:Q178" si="40">H178*(1+H177)</f>
        <v>1.0542540073982738</v>
      </c>
      <c r="J178" s="91">
        <f t="shared" si="40"/>
        <v>1.0893958076448829</v>
      </c>
      <c r="K178" s="91">
        <f t="shared" si="40"/>
        <v>1.1071275807092962</v>
      </c>
      <c r="L178" s="91">
        <f>K178*(1+K177)</f>
        <v>1.1348334761224417</v>
      </c>
      <c r="M178" s="91">
        <f t="shared" si="40"/>
        <v>1.1632327122616419</v>
      </c>
      <c r="N178" s="91">
        <f t="shared" si="40"/>
        <v>1.1632327122616419</v>
      </c>
      <c r="O178" s="91">
        <f t="shared" si="40"/>
        <v>1.1632327122616419</v>
      </c>
      <c r="P178" s="91">
        <f t="shared" si="40"/>
        <v>1.1632327122616419</v>
      </c>
      <c r="Q178" s="91">
        <f t="shared" si="40"/>
        <v>1.1632327122616419</v>
      </c>
      <c r="R178" s="13"/>
      <c r="S178" s="13"/>
      <c r="T178" s="13"/>
      <c r="U178" s="13"/>
      <c r="V178" s="13"/>
      <c r="W178" s="13"/>
      <c r="Y178" s="13"/>
      <c r="Z178" s="13"/>
      <c r="AA178" s="8"/>
      <c r="AB178" s="9"/>
      <c r="AC178" s="9"/>
      <c r="AD178" s="9"/>
      <c r="AE178" s="9"/>
      <c r="AF178" s="185"/>
      <c r="AJ178" s="185"/>
      <c r="AK178" s="185"/>
      <c r="AL178" s="185"/>
      <c r="AM178" s="185"/>
      <c r="AN178" s="185"/>
      <c r="AO178" s="185"/>
      <c r="AP178" s="185"/>
      <c r="AQ178" s="185"/>
      <c r="AR178" s="185"/>
      <c r="AS178" s="185"/>
      <c r="AT178" s="185"/>
      <c r="AU178" s="185"/>
      <c r="AV178" s="185"/>
    </row>
    <row r="179" spans="1:48" ht="13.5" customHeight="1">
      <c r="A179" s="11"/>
      <c r="B179" s="11"/>
      <c r="C179" s="11"/>
      <c r="D179" s="11"/>
      <c r="E179" s="11"/>
      <c r="F179" s="94" t="s">
        <v>40</v>
      </c>
      <c r="G179" s="337">
        <v>2.5000000000000001E-2</v>
      </c>
      <c r="H179" s="338">
        <v>2.4748502983200193E-2</v>
      </c>
      <c r="I179" s="48">
        <f>H179</f>
        <v>2.4748502983200193E-2</v>
      </c>
      <c r="J179" s="48">
        <f t="shared" ref="J179:Q179" si="41">I179</f>
        <v>2.4748502983200193E-2</v>
      </c>
      <c r="K179" s="48">
        <f t="shared" si="41"/>
        <v>2.4748502983200193E-2</v>
      </c>
      <c r="L179" s="48">
        <f t="shared" si="41"/>
        <v>2.4748502983200193E-2</v>
      </c>
      <c r="M179" s="48">
        <f t="shared" si="41"/>
        <v>2.4748502983200193E-2</v>
      </c>
      <c r="N179" s="48">
        <f t="shared" si="41"/>
        <v>2.4748502983200193E-2</v>
      </c>
      <c r="O179" s="48">
        <f t="shared" si="41"/>
        <v>2.4748502983200193E-2</v>
      </c>
      <c r="P179" s="48">
        <f t="shared" si="41"/>
        <v>2.4748502983200193E-2</v>
      </c>
      <c r="Q179" s="48">
        <f t="shared" si="41"/>
        <v>2.4748502983200193E-2</v>
      </c>
      <c r="R179" s="13"/>
      <c r="S179" s="13"/>
      <c r="T179" s="13"/>
      <c r="U179" s="13"/>
      <c r="V179" s="13"/>
      <c r="W179" s="13"/>
      <c r="Y179" s="13"/>
      <c r="Z179" s="13"/>
      <c r="AA179" s="8"/>
      <c r="AB179" s="9"/>
      <c r="AC179" s="9"/>
      <c r="AD179" s="9"/>
      <c r="AE179" s="9"/>
      <c r="AF179" s="185"/>
      <c r="AJ179" s="185"/>
      <c r="AK179" s="185"/>
      <c r="AL179" s="185"/>
      <c r="AM179" s="185"/>
      <c r="AN179" s="185"/>
      <c r="AO179" s="185"/>
      <c r="AP179" s="185"/>
      <c r="AQ179" s="185"/>
      <c r="AR179" s="185"/>
      <c r="AS179" s="185"/>
      <c r="AT179" s="185"/>
      <c r="AU179" s="185"/>
      <c r="AV179" s="185"/>
    </row>
    <row r="180" spans="1:48" ht="12.75" customHeight="1">
      <c r="A180" s="11"/>
      <c r="B180" s="11"/>
      <c r="C180" s="11"/>
      <c r="D180" s="11"/>
      <c r="E180" s="11"/>
      <c r="F180" s="94" t="s">
        <v>39</v>
      </c>
      <c r="G180" s="239">
        <v>1</v>
      </c>
      <c r="H180" s="91">
        <f>G180*(1+H179)</f>
        <v>1.0247485029832002</v>
      </c>
      <c r="I180" s="91">
        <f t="shared" ref="I180:Q180" si="42">H180*(1+I179)</f>
        <v>1.0501094943663098</v>
      </c>
      <c r="J180" s="91">
        <f t="shared" si="42"/>
        <v>1.0760981323203214</v>
      </c>
      <c r="K180" s="91">
        <f t="shared" si="42"/>
        <v>1.102729950158267</v>
      </c>
      <c r="L180" s="91">
        <f t="shared" si="42"/>
        <v>1.1300208656194231</v>
      </c>
      <c r="M180" s="91">
        <f t="shared" si="42"/>
        <v>1.1579871903832839</v>
      </c>
      <c r="N180" s="91">
        <f t="shared" si="42"/>
        <v>1.1866456398189922</v>
      </c>
      <c r="O180" s="91">
        <f t="shared" si="42"/>
        <v>1.216013342976054</v>
      </c>
      <c r="P180" s="91">
        <f t="shared" si="42"/>
        <v>1.2461078528223082</v>
      </c>
      <c r="Q180" s="91">
        <f t="shared" si="42"/>
        <v>1.2769471567352704</v>
      </c>
      <c r="R180" s="13"/>
      <c r="S180" s="13"/>
      <c r="T180" s="13"/>
      <c r="U180" s="13"/>
      <c r="V180" s="13"/>
      <c r="W180" s="13"/>
      <c r="Y180" s="13"/>
      <c r="Z180" s="13"/>
      <c r="AA180" s="8"/>
      <c r="AB180" s="9"/>
      <c r="AC180" s="9"/>
      <c r="AD180" s="9"/>
      <c r="AE180" s="9"/>
      <c r="AF180" s="185"/>
      <c r="AJ180" s="185"/>
      <c r="AK180" s="185"/>
      <c r="AL180" s="185"/>
      <c r="AM180" s="185"/>
      <c r="AN180" s="185"/>
      <c r="AO180" s="185"/>
      <c r="AP180" s="185"/>
      <c r="AQ180" s="185"/>
      <c r="AR180" s="185"/>
      <c r="AS180" s="185"/>
      <c r="AT180" s="185"/>
      <c r="AU180" s="185"/>
      <c r="AV180" s="185"/>
    </row>
    <row r="181" spans="1:48" ht="14.25" customHeight="1">
      <c r="A181" s="11"/>
      <c r="B181" s="11"/>
      <c r="C181" s="11"/>
      <c r="D181" s="11"/>
      <c r="E181" s="11"/>
      <c r="F181" s="11"/>
      <c r="G181" s="92"/>
      <c r="H181" s="92"/>
      <c r="I181" s="92"/>
      <c r="J181" s="92"/>
      <c r="K181" s="92"/>
      <c r="L181" s="92"/>
      <c r="M181" s="9"/>
      <c r="N181" s="13"/>
      <c r="O181" s="13"/>
      <c r="P181" s="13"/>
      <c r="Q181" s="13"/>
      <c r="R181" s="13"/>
      <c r="S181" s="13"/>
      <c r="T181" s="13"/>
      <c r="U181" s="13"/>
      <c r="V181" s="13"/>
      <c r="W181" s="13"/>
      <c r="Y181" s="13"/>
      <c r="Z181" s="13"/>
      <c r="AA181" s="8"/>
      <c r="AB181" s="9"/>
      <c r="AC181" s="9"/>
      <c r="AD181" s="9"/>
      <c r="AE181" s="9"/>
      <c r="AF181" s="185"/>
      <c r="AJ181" s="185"/>
      <c r="AK181" s="185"/>
      <c r="AL181" s="185"/>
      <c r="AM181" s="185"/>
      <c r="AN181" s="185"/>
      <c r="AO181" s="185"/>
      <c r="AP181" s="185"/>
      <c r="AQ181" s="185"/>
      <c r="AR181" s="185"/>
      <c r="AS181" s="185"/>
      <c r="AT181" s="185"/>
      <c r="AU181" s="185"/>
      <c r="AV181" s="185"/>
    </row>
    <row r="182" spans="1:48" ht="14.25" customHeight="1">
      <c r="A182" s="11"/>
      <c r="B182" s="11"/>
      <c r="C182" s="11"/>
      <c r="D182" s="11"/>
      <c r="E182" s="11"/>
      <c r="F182" s="95" t="s">
        <v>88</v>
      </c>
      <c r="G182" s="336">
        <v>9.6749999999999892E-2</v>
      </c>
      <c r="H182" s="339">
        <v>0.1002139557020811</v>
      </c>
      <c r="I182" s="93">
        <f>H182</f>
        <v>0.1002139557020811</v>
      </c>
      <c r="J182" s="93">
        <f t="shared" ref="J182:Q182" si="43">I182</f>
        <v>0.1002139557020811</v>
      </c>
      <c r="K182" s="93">
        <f t="shared" si="43"/>
        <v>0.1002139557020811</v>
      </c>
      <c r="L182" s="93">
        <f t="shared" si="43"/>
        <v>0.1002139557020811</v>
      </c>
      <c r="M182" s="93">
        <f t="shared" si="43"/>
        <v>0.1002139557020811</v>
      </c>
      <c r="N182" s="93">
        <f t="shared" si="43"/>
        <v>0.1002139557020811</v>
      </c>
      <c r="O182" s="93">
        <f t="shared" si="43"/>
        <v>0.1002139557020811</v>
      </c>
      <c r="P182" s="93">
        <f t="shared" si="43"/>
        <v>0.1002139557020811</v>
      </c>
      <c r="Q182" s="93">
        <f t="shared" si="43"/>
        <v>0.1002139557020811</v>
      </c>
      <c r="R182" s="13"/>
      <c r="S182" s="13"/>
      <c r="T182" s="13"/>
      <c r="U182" s="13"/>
      <c r="V182" s="13"/>
      <c r="W182" s="13"/>
      <c r="Y182" s="13"/>
      <c r="Z182" s="13"/>
      <c r="AA182" s="8"/>
      <c r="AB182" s="9"/>
      <c r="AC182" s="9"/>
      <c r="AD182" s="9"/>
      <c r="AE182" s="9"/>
      <c r="AF182" s="185"/>
      <c r="AJ182" s="185"/>
      <c r="AK182" s="185"/>
      <c r="AL182" s="185"/>
      <c r="AM182" s="185"/>
      <c r="AN182" s="185"/>
      <c r="AO182" s="185"/>
      <c r="AP182" s="185"/>
      <c r="AQ182" s="185"/>
      <c r="AR182" s="185"/>
      <c r="AS182" s="185"/>
      <c r="AT182" s="185"/>
      <c r="AU182" s="185"/>
      <c r="AV182" s="185"/>
    </row>
    <row r="183" spans="1:48">
      <c r="A183" s="11"/>
      <c r="B183" s="11"/>
      <c r="C183" s="11"/>
      <c r="D183" s="11"/>
      <c r="E183" s="11"/>
      <c r="F183" s="94" t="s">
        <v>89</v>
      </c>
      <c r="G183" s="189">
        <f>(1+G182)/(1+G179)-1</f>
        <v>7.0000000000000062E-2</v>
      </c>
      <c r="H183" s="40">
        <f>(1+H182)/(1+H179)-1</f>
        <v>7.3642901159835183E-2</v>
      </c>
      <c r="I183" s="40">
        <f>H183</f>
        <v>7.3642901159835183E-2</v>
      </c>
      <c r="J183" s="40">
        <f t="shared" ref="J183:Q183" si="44">I183</f>
        <v>7.3642901159835183E-2</v>
      </c>
      <c r="K183" s="40">
        <f t="shared" si="44"/>
        <v>7.3642901159835183E-2</v>
      </c>
      <c r="L183" s="40">
        <f t="shared" si="44"/>
        <v>7.3642901159835183E-2</v>
      </c>
      <c r="M183" s="40">
        <f>L183</f>
        <v>7.3642901159835183E-2</v>
      </c>
      <c r="N183" s="40">
        <f t="shared" si="44"/>
        <v>7.3642901159835183E-2</v>
      </c>
      <c r="O183" s="40">
        <f t="shared" si="44"/>
        <v>7.3642901159835183E-2</v>
      </c>
      <c r="P183" s="40">
        <f t="shared" si="44"/>
        <v>7.3642901159835183E-2</v>
      </c>
      <c r="Q183" s="40">
        <f t="shared" si="44"/>
        <v>7.3642901159835183E-2</v>
      </c>
      <c r="R183" s="9"/>
      <c r="S183" s="9"/>
      <c r="T183" s="9"/>
      <c r="U183" s="9"/>
      <c r="V183" s="9"/>
      <c r="W183" s="9"/>
      <c r="Y183" s="9"/>
      <c r="Z183" s="9"/>
      <c r="AA183" s="18"/>
      <c r="AB183" s="9"/>
      <c r="AC183" s="9"/>
      <c r="AD183" s="9"/>
      <c r="AE183" s="9"/>
      <c r="AF183" s="185"/>
      <c r="AJ183" s="185"/>
      <c r="AK183" s="185"/>
      <c r="AL183" s="185"/>
      <c r="AM183" s="185"/>
      <c r="AN183" s="185"/>
      <c r="AO183" s="185"/>
      <c r="AP183" s="185"/>
      <c r="AQ183" s="185"/>
      <c r="AR183" s="185"/>
      <c r="AS183" s="185"/>
      <c r="AT183" s="185"/>
      <c r="AU183" s="185"/>
      <c r="AV183" s="185"/>
    </row>
    <row r="184" spans="1:48" ht="24" customHeight="1">
      <c r="A184" s="11"/>
      <c r="B184" s="11"/>
      <c r="C184" s="11"/>
      <c r="D184" s="11"/>
      <c r="E184" s="11"/>
      <c r="F184" s="158" t="s">
        <v>90</v>
      </c>
      <c r="G184" s="189">
        <f t="shared" ref="G184:L184" si="45">(1+G183)*(1+G177)-1</f>
        <v>9.6387176325524182E-2</v>
      </c>
      <c r="H184" s="40">
        <f t="shared" si="45"/>
        <v>0.1046506383774477</v>
      </c>
      <c r="I184" s="40">
        <f t="shared" si="45"/>
        <v>0.10943099786516286</v>
      </c>
      <c r="J184" s="40">
        <f t="shared" si="45"/>
        <v>9.1118268828764393E-2</v>
      </c>
      <c r="K184" s="40">
        <f t="shared" si="45"/>
        <v>0.10051084162930057</v>
      </c>
      <c r="L184" s="40">
        <f t="shared" si="45"/>
        <v>0.10051084162930057</v>
      </c>
      <c r="M184" s="40">
        <f>IF(M177=0, 0, (1+M183)*(1+M177)-1)</f>
        <v>0</v>
      </c>
      <c r="N184" s="40">
        <f>IF(N177=0, 0, (1+N183)*(1+N177)-1)</f>
        <v>0</v>
      </c>
      <c r="O184" s="40">
        <f>IF(O177=0, 0, (1+O183)*(1+O177)-1)</f>
        <v>0</v>
      </c>
      <c r="P184" s="40">
        <f>IF(P177=0, 0, (1+P183)*(1+P177)-1)</f>
        <v>0</v>
      </c>
      <c r="Q184" s="40">
        <f>IF(Q177=0, 0, (1+Q183)*(1+Q177)-1)</f>
        <v>0</v>
      </c>
      <c r="R184" s="9"/>
      <c r="S184" s="9"/>
      <c r="T184" s="9"/>
      <c r="U184" s="9"/>
      <c r="V184" s="9"/>
      <c r="W184" s="9"/>
      <c r="Y184" s="9"/>
      <c r="Z184" s="9"/>
      <c r="AA184" s="18"/>
      <c r="AB184" s="9"/>
      <c r="AC184" s="9"/>
      <c r="AD184" s="9"/>
      <c r="AE184" s="9"/>
      <c r="AF184" s="185"/>
      <c r="AJ184" s="185"/>
      <c r="AK184" s="185"/>
      <c r="AL184" s="185"/>
      <c r="AM184" s="185"/>
      <c r="AN184" s="185"/>
      <c r="AO184" s="185"/>
      <c r="AP184" s="185"/>
      <c r="AQ184" s="185"/>
      <c r="AR184" s="185"/>
      <c r="AS184" s="185"/>
      <c r="AT184" s="185"/>
      <c r="AU184" s="185"/>
      <c r="AV184" s="185"/>
    </row>
    <row r="185" spans="1:48">
      <c r="A185" s="11"/>
      <c r="B185" s="11"/>
      <c r="C185" s="11"/>
      <c r="D185" s="11"/>
      <c r="E185" s="11"/>
      <c r="F185" s="94"/>
      <c r="G185" s="94"/>
      <c r="H185" s="142"/>
      <c r="I185" s="142"/>
      <c r="J185" s="142"/>
      <c r="K185" s="142"/>
      <c r="L185" s="142"/>
      <c r="M185" s="142"/>
      <c r="N185" s="11"/>
      <c r="O185" s="11"/>
      <c r="P185" s="11"/>
      <c r="Q185" s="11"/>
      <c r="R185" s="11"/>
      <c r="S185" s="11"/>
      <c r="T185" s="11"/>
      <c r="U185" s="11"/>
      <c r="V185" s="9"/>
      <c r="W185" s="9"/>
      <c r="Y185" s="9"/>
      <c r="Z185" s="9"/>
      <c r="AA185" s="9"/>
      <c r="AB185" s="18"/>
      <c r="AC185" s="9"/>
      <c r="AD185" s="9"/>
      <c r="AE185" s="9"/>
      <c r="AF185" s="185"/>
      <c r="AJ185" s="185"/>
      <c r="AK185" s="185"/>
      <c r="AL185" s="185"/>
      <c r="AM185" s="185"/>
      <c r="AN185" s="185"/>
      <c r="AO185" s="185"/>
      <c r="AP185" s="185"/>
      <c r="AQ185" s="185"/>
      <c r="AR185" s="185"/>
      <c r="AS185" s="185"/>
      <c r="AT185" s="185"/>
      <c r="AU185" s="185"/>
      <c r="AV185" s="185"/>
    </row>
    <row r="186" spans="1:48" s="9" customFormat="1" ht="22.5" customHeight="1">
      <c r="A186" s="11"/>
      <c r="B186" s="11"/>
      <c r="C186" s="11"/>
      <c r="D186" s="11"/>
      <c r="E186" s="11"/>
      <c r="H186" s="17"/>
      <c r="I186" s="19"/>
      <c r="X186" s="318"/>
      <c r="AB186" s="18"/>
      <c r="AF186" s="185"/>
      <c r="AJ186" s="185"/>
      <c r="AK186" s="185"/>
      <c r="AL186" s="185"/>
      <c r="AM186" s="185"/>
      <c r="AN186" s="185"/>
      <c r="AO186" s="185"/>
      <c r="AP186" s="185"/>
      <c r="AQ186" s="185"/>
      <c r="AR186" s="185"/>
      <c r="AS186" s="185"/>
      <c r="AT186" s="185"/>
      <c r="AU186" s="185"/>
      <c r="AV186" s="185"/>
    </row>
    <row r="187" spans="1:48">
      <c r="J187" s="273"/>
    </row>
  </sheetData>
  <mergeCells count="33">
    <mergeCell ref="G17:I17"/>
    <mergeCell ref="G27:I27"/>
    <mergeCell ref="AC5:AC6"/>
    <mergeCell ref="G2:H2"/>
    <mergeCell ref="G6:I6"/>
    <mergeCell ref="G25:I25"/>
    <mergeCell ref="G12:I12"/>
    <mergeCell ref="G11:I11"/>
    <mergeCell ref="G7:I7"/>
    <mergeCell ref="G8:I8"/>
    <mergeCell ref="G9:I9"/>
    <mergeCell ref="G10:I10"/>
    <mergeCell ref="G21:I21"/>
    <mergeCell ref="G13:I13"/>
    <mergeCell ref="G14:I14"/>
    <mergeCell ref="G15:I15"/>
    <mergeCell ref="G16:I16"/>
    <mergeCell ref="G18:I18"/>
    <mergeCell ref="G19:I19"/>
    <mergeCell ref="G20:I20"/>
    <mergeCell ref="G35:I35"/>
    <mergeCell ref="G36:I36"/>
    <mergeCell ref="G31:I31"/>
    <mergeCell ref="G32:I32"/>
    <mergeCell ref="G33:I33"/>
    <mergeCell ref="G34:I34"/>
    <mergeCell ref="G26:I26"/>
    <mergeCell ref="G22:I22"/>
    <mergeCell ref="G28:I28"/>
    <mergeCell ref="G29:I29"/>
    <mergeCell ref="G30:I30"/>
    <mergeCell ref="G23:I23"/>
    <mergeCell ref="G24:I24"/>
  </mergeCells>
  <phoneticPr fontId="0" type="noConversion"/>
  <dataValidations count="1">
    <dataValidation type="custom" showInputMessage="1" showErrorMessage="1" error="Invalid input, please try again." sqref="K7:L26 U7:U26 T7:T27">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4.xml><?xml version="1.0" encoding="utf-8"?>
<worksheet xmlns="http://schemas.openxmlformats.org/spreadsheetml/2006/main" xmlns:r="http://schemas.openxmlformats.org/officeDocument/2006/relationships">
  <sheetPr codeName="Sheet7"/>
  <dimension ref="A1:IV800"/>
  <sheetViews>
    <sheetView workbookViewId="0">
      <pane ySplit="4" topLeftCell="A5" activePane="bottomLeft" state="frozen"/>
      <selection activeCell="G22" sqref="G22:I22"/>
      <selection pane="bottomLeft" activeCell="F524" sqref="F52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254"/>
      <c r="I1" s="50"/>
      <c r="J1" s="50"/>
      <c r="K1" s="50"/>
      <c r="L1" s="50"/>
      <c r="M1" s="50"/>
      <c r="N1" s="50"/>
      <c r="O1" s="50"/>
      <c r="P1" s="50"/>
      <c r="Q1" s="50"/>
      <c r="R1" s="50"/>
      <c r="S1" s="50"/>
      <c r="T1" s="50"/>
      <c r="U1" s="50"/>
      <c r="V1" s="50"/>
      <c r="W1" s="50"/>
      <c r="X1" s="50"/>
      <c r="Y1" s="50"/>
      <c r="Z1" s="50"/>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19"/>
      <c r="BK1" s="219"/>
    </row>
    <row r="2" spans="1:256" ht="15.75">
      <c r="A2" s="9"/>
      <c r="B2" s="55" t="s">
        <v>77</v>
      </c>
      <c r="C2" s="9"/>
      <c r="D2" s="9"/>
      <c r="E2" s="9"/>
      <c r="F2" s="9"/>
      <c r="G2" s="9"/>
      <c r="H2" s="9"/>
      <c r="I2" s="9"/>
      <c r="J2" s="9"/>
      <c r="K2" s="9"/>
      <c r="L2" s="9"/>
      <c r="M2" s="9"/>
      <c r="N2" s="9"/>
      <c r="O2" s="9"/>
      <c r="P2" s="9"/>
      <c r="Q2" s="9"/>
      <c r="R2" s="11"/>
      <c r="S2" s="11"/>
      <c r="T2" s="11"/>
      <c r="U2" s="11"/>
      <c r="V2" s="11"/>
      <c r="W2" s="11"/>
      <c r="X2" s="11"/>
      <c r="Y2" s="11"/>
      <c r="Z2" s="11"/>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24"/>
      <c r="BK3" s="224"/>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4" t="str">
        <f>CONCATENATE(LEFT(G4, 4)-1 &amp;"-" &amp;IF(G4&gt;"2009-10",,"0") &amp;RIGHT(G4,2)-1)</f>
        <v>2007-08</v>
      </c>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c r="S4" s="50"/>
      <c r="T4" s="16"/>
      <c r="U4" s="16"/>
      <c r="V4" s="16"/>
      <c r="W4" s="16"/>
      <c r="X4" s="16"/>
      <c r="Y4" s="16"/>
      <c r="Z4" s="16"/>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9"/>
      <c r="BK4" s="21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9"/>
      <c r="BK5" s="21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234">
        <v>2.5000000000000001E-2</v>
      </c>
      <c r="G6" s="189">
        <f>Input!G177</f>
        <v>2.4660912453760897E-2</v>
      </c>
      <c r="H6" s="19"/>
      <c r="I6" s="19"/>
      <c r="J6" s="19"/>
      <c r="K6" s="19"/>
      <c r="L6" s="19"/>
      <c r="M6" s="19"/>
      <c r="N6" s="19"/>
      <c r="O6" s="19"/>
      <c r="P6" s="19"/>
      <c r="Q6" s="19"/>
      <c r="R6" s="40"/>
      <c r="S6" s="50"/>
      <c r="T6" s="40"/>
      <c r="U6" s="40"/>
      <c r="V6" s="40"/>
      <c r="W6" s="40"/>
      <c r="X6" s="40"/>
      <c r="Y6" s="40"/>
      <c r="Z6" s="40"/>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19"/>
      <c r="BK6" s="219"/>
    </row>
    <row r="7" spans="1:256">
      <c r="A7" s="9"/>
      <c r="B7" s="94" t="s">
        <v>84</v>
      </c>
      <c r="C7" s="9"/>
      <c r="D7" s="9"/>
      <c r="E7" s="9"/>
      <c r="F7" s="9"/>
      <c r="G7" s="189"/>
      <c r="H7" s="235">
        <f>vanilla1</f>
        <v>0.1046506383774477</v>
      </c>
      <c r="I7" s="93">
        <f>vanilla2</f>
        <v>0.10943099786516286</v>
      </c>
      <c r="J7" s="93">
        <f>vanilla3</f>
        <v>9.1118268828764393E-2</v>
      </c>
      <c r="K7" s="93">
        <f>vanilla4</f>
        <v>0.10051084162930057</v>
      </c>
      <c r="L7" s="93">
        <f>vanilla5</f>
        <v>0.10051084162930057</v>
      </c>
      <c r="M7" s="93">
        <f>vanilla6</f>
        <v>0</v>
      </c>
      <c r="N7" s="93">
        <f>vanilla7</f>
        <v>0</v>
      </c>
      <c r="O7" s="93">
        <f>vanilla8</f>
        <v>0</v>
      </c>
      <c r="P7" s="93">
        <f>vanilla9</f>
        <v>0</v>
      </c>
      <c r="Q7" s="93">
        <f>vanilla10</f>
        <v>0</v>
      </c>
      <c r="R7" s="93"/>
      <c r="S7" s="50"/>
      <c r="T7" s="137"/>
      <c r="U7" s="137"/>
      <c r="V7" s="137"/>
      <c r="W7" s="137"/>
      <c r="X7" s="137"/>
      <c r="Y7" s="137"/>
      <c r="Z7" s="137"/>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19"/>
      <c r="BK7" s="219"/>
    </row>
    <row r="8" spans="1:256">
      <c r="A8" s="9"/>
      <c r="B8" s="94"/>
      <c r="C8" s="9"/>
      <c r="D8" s="9"/>
      <c r="E8" s="9"/>
      <c r="F8" s="9"/>
      <c r="G8" s="142"/>
      <c r="H8" s="142"/>
      <c r="I8" s="142"/>
      <c r="J8" s="142"/>
      <c r="K8" s="142"/>
      <c r="L8" s="142"/>
      <c r="M8" s="136"/>
      <c r="N8" s="136"/>
      <c r="O8" s="136"/>
      <c r="P8" s="136"/>
      <c r="Q8" s="136"/>
      <c r="R8" s="137"/>
      <c r="S8" s="11"/>
      <c r="T8" s="137"/>
      <c r="U8" s="137"/>
      <c r="V8" s="137"/>
      <c r="W8" s="137"/>
      <c r="X8" s="137"/>
      <c r="Y8" s="137"/>
      <c r="Z8" s="137"/>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19"/>
      <c r="BK8" s="219"/>
    </row>
    <row r="9" spans="1:256">
      <c r="A9" s="79"/>
      <c r="B9" s="79" t="s">
        <v>42</v>
      </c>
      <c r="C9" s="107"/>
      <c r="D9" s="107"/>
      <c r="E9" s="107"/>
      <c r="F9" s="107"/>
      <c r="G9" s="107"/>
      <c r="H9" s="72"/>
      <c r="I9" s="72"/>
      <c r="J9" s="72"/>
      <c r="K9" s="72"/>
      <c r="L9" s="72"/>
      <c r="M9" s="72"/>
      <c r="N9" s="72"/>
      <c r="O9" s="72"/>
      <c r="P9" s="72"/>
      <c r="Q9" s="72"/>
      <c r="R9" s="72"/>
      <c r="S9" s="50"/>
      <c r="T9" s="137"/>
      <c r="U9" s="137"/>
      <c r="V9" s="137"/>
      <c r="W9" s="137"/>
      <c r="X9" s="137"/>
      <c r="Y9" s="137"/>
      <c r="Z9" s="137"/>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19"/>
      <c r="BK9" s="219"/>
    </row>
    <row r="10" spans="1:256">
      <c r="A10" s="16"/>
      <c r="B10" s="16"/>
      <c r="C10" s="121"/>
      <c r="D10" s="121"/>
      <c r="E10" s="121"/>
      <c r="F10" s="121"/>
      <c r="G10" s="121"/>
      <c r="H10" s="11"/>
      <c r="I10" s="11"/>
      <c r="J10" s="11"/>
      <c r="K10" s="11"/>
      <c r="L10" s="11"/>
      <c r="M10" s="11"/>
      <c r="N10" s="11"/>
      <c r="O10" s="11"/>
      <c r="P10" s="11"/>
      <c r="Q10" s="11"/>
      <c r="R10" s="137"/>
      <c r="S10" s="50"/>
      <c r="T10" s="137"/>
      <c r="U10" s="137"/>
      <c r="V10" s="137"/>
      <c r="W10" s="137"/>
      <c r="X10" s="137"/>
      <c r="Y10" s="137"/>
      <c r="Z10" s="137"/>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19"/>
      <c r="BK10" s="219"/>
    </row>
    <row r="11" spans="1:256">
      <c r="A11" s="9"/>
      <c r="B11" s="44" t="s">
        <v>80</v>
      </c>
      <c r="C11" s="9"/>
      <c r="D11" s="9"/>
      <c r="E11" s="9"/>
      <c r="F11" s="9"/>
      <c r="G11" s="190">
        <f>SUM(G12:G41)</f>
        <v>167.51856958615218</v>
      </c>
      <c r="H11" s="142"/>
      <c r="I11" s="142"/>
      <c r="J11" s="142"/>
      <c r="K11" s="142"/>
      <c r="L11" s="142"/>
      <c r="M11" s="136"/>
      <c r="N11" s="136"/>
      <c r="O11" s="136"/>
      <c r="P11" s="136"/>
      <c r="Q11" s="136"/>
      <c r="R11" s="137"/>
      <c r="S11" s="11"/>
      <c r="T11" s="137"/>
      <c r="U11" s="137"/>
      <c r="V11" s="137"/>
      <c r="W11" s="137"/>
      <c r="X11" s="137"/>
      <c r="Y11" s="137"/>
      <c r="Z11" s="137"/>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19"/>
      <c r="BK11" s="219"/>
    </row>
    <row r="12" spans="1:256" ht="12.75" customHeight="1" outlineLevel="1">
      <c r="A12" s="9"/>
      <c r="B12" s="9"/>
      <c r="C12" s="128" t="str">
        <f>Asset1</f>
        <v>Transmission &amp; Zone land &amp; easements</v>
      </c>
      <c r="D12" s="9"/>
      <c r="E12" s="9"/>
      <c r="F12" s="9"/>
      <c r="G12" s="191">
        <f>Input!M7</f>
        <v>52.005735832400816</v>
      </c>
      <c r="H12" s="142"/>
      <c r="I12" s="142"/>
      <c r="J12" s="142"/>
      <c r="K12" s="142"/>
      <c r="L12" s="142"/>
      <c r="M12" s="136"/>
      <c r="N12" s="136"/>
      <c r="O12" s="136"/>
      <c r="P12" s="136"/>
      <c r="Q12" s="136"/>
      <c r="R12" s="137"/>
      <c r="S12" s="50"/>
      <c r="T12" s="137"/>
      <c r="U12" s="137"/>
      <c r="V12" s="137"/>
      <c r="W12" s="137"/>
      <c r="X12" s="137"/>
      <c r="Y12" s="137"/>
      <c r="Z12" s="137"/>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19"/>
      <c r="BK12" s="219"/>
    </row>
    <row r="13" spans="1:256" ht="12.75" customHeight="1" outlineLevel="1">
      <c r="A13" s="9"/>
      <c r="B13" s="44"/>
      <c r="C13" s="128" t="str">
        <f>Asset2</f>
        <v>Transmission buildings 132/66kV</v>
      </c>
      <c r="D13" s="9"/>
      <c r="E13" s="9"/>
      <c r="F13" s="139"/>
      <c r="G13" s="191">
        <f>Input!M8</f>
        <v>14.828944755423525</v>
      </c>
      <c r="H13" s="142"/>
      <c r="I13" s="142"/>
      <c r="J13" s="142"/>
      <c r="K13" s="142"/>
      <c r="L13" s="142"/>
      <c r="M13" s="136"/>
      <c r="N13" s="136"/>
      <c r="O13" s="136"/>
      <c r="P13" s="136"/>
      <c r="Q13" s="136"/>
      <c r="R13" s="137"/>
      <c r="S13" s="50"/>
      <c r="T13" s="137"/>
      <c r="U13" s="137"/>
      <c r="V13" s="137"/>
      <c r="W13" s="137"/>
      <c r="X13" s="137"/>
      <c r="Y13" s="137"/>
      <c r="Z13" s="137"/>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19"/>
      <c r="BK13" s="219"/>
    </row>
    <row r="14" spans="1:256" ht="12.75" customHeight="1" outlineLevel="1">
      <c r="A14" s="9"/>
      <c r="B14" s="44"/>
      <c r="C14" s="128" t="str">
        <f>Asset3</f>
        <v>Zone buildings 132/66kV</v>
      </c>
      <c r="D14" s="9"/>
      <c r="E14" s="9"/>
      <c r="F14" s="139"/>
      <c r="G14" s="191">
        <f>Input!M9</f>
        <v>0</v>
      </c>
      <c r="H14" s="142"/>
      <c r="I14" s="142"/>
      <c r="J14" s="142"/>
      <c r="K14" s="142"/>
      <c r="L14" s="142"/>
      <c r="M14" s="136"/>
      <c r="N14" s="136"/>
      <c r="O14" s="136"/>
      <c r="P14" s="136"/>
      <c r="Q14" s="136"/>
      <c r="R14" s="137"/>
      <c r="S14" s="11"/>
      <c r="T14" s="137"/>
      <c r="U14" s="137"/>
      <c r="V14" s="137"/>
      <c r="W14" s="137"/>
      <c r="X14" s="137"/>
      <c r="Y14" s="137"/>
      <c r="Z14" s="137"/>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19"/>
      <c r="BK14" s="219"/>
    </row>
    <row r="15" spans="1:256" ht="12.75" customHeight="1" outlineLevel="1">
      <c r="A15" s="9"/>
      <c r="B15" s="44"/>
      <c r="C15" s="128" t="str">
        <f>Asset4</f>
        <v>Transmission transformers 132/66kV</v>
      </c>
      <c r="D15" s="9"/>
      <c r="E15" s="9"/>
      <c r="F15" s="139"/>
      <c r="G15" s="191">
        <f>Input!M10</f>
        <v>2.6107297104618885</v>
      </c>
      <c r="H15" s="142"/>
      <c r="I15" s="142"/>
      <c r="J15" s="142"/>
      <c r="K15" s="142"/>
      <c r="L15" s="142"/>
      <c r="M15" s="136"/>
      <c r="N15" s="136"/>
      <c r="O15" s="136"/>
      <c r="P15" s="136"/>
      <c r="Q15" s="136"/>
      <c r="R15" s="137"/>
      <c r="S15" s="50"/>
      <c r="T15" s="137"/>
      <c r="U15" s="137"/>
      <c r="V15" s="137"/>
      <c r="W15" s="137"/>
      <c r="X15" s="137"/>
      <c r="Y15" s="137"/>
      <c r="Z15" s="137"/>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19"/>
      <c r="BK15" s="219"/>
    </row>
    <row r="16" spans="1:256" ht="12.75" customHeight="1" outlineLevel="1">
      <c r="A16" s="9"/>
      <c r="B16" s="44"/>
      <c r="C16" s="128" t="str">
        <f>Asset5</f>
        <v>Zone transformers 132/66kV</v>
      </c>
      <c r="D16" s="9"/>
      <c r="E16" s="9"/>
      <c r="F16" s="168"/>
      <c r="G16" s="191">
        <f>Input!M11</f>
        <v>0.41771675367390215</v>
      </c>
      <c r="H16" s="142"/>
      <c r="I16" s="142"/>
      <c r="J16" s="142"/>
      <c r="K16" s="142"/>
      <c r="L16" s="142"/>
      <c r="M16" s="136"/>
      <c r="N16" s="136"/>
      <c r="O16" s="136"/>
      <c r="P16" s="136"/>
      <c r="Q16" s="136"/>
      <c r="R16" s="137"/>
      <c r="S16" s="50"/>
      <c r="T16" s="137"/>
      <c r="U16" s="137"/>
      <c r="V16" s="137"/>
      <c r="W16" s="137"/>
      <c r="X16" s="137"/>
      <c r="Y16" s="137"/>
      <c r="Z16" s="137"/>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19"/>
      <c r="BK16" s="219"/>
    </row>
    <row r="17" spans="1:63" ht="12.75" customHeight="1" outlineLevel="1">
      <c r="A17" s="9"/>
      <c r="B17" s="44"/>
      <c r="C17" s="128" t="str">
        <f>Asset6</f>
        <v>Transmission substation equip 132/66kV</v>
      </c>
      <c r="D17" s="9"/>
      <c r="E17" s="9"/>
      <c r="F17" s="139"/>
      <c r="G17" s="191">
        <f>Input!M12</f>
        <v>13.784652871238768</v>
      </c>
      <c r="H17" s="142"/>
      <c r="I17" s="142"/>
      <c r="J17" s="142"/>
      <c r="K17" s="142"/>
      <c r="L17" s="142"/>
      <c r="M17" s="136"/>
      <c r="N17" s="136"/>
      <c r="O17" s="136"/>
      <c r="P17" s="136"/>
      <c r="Q17" s="136"/>
      <c r="R17" s="137"/>
      <c r="S17" s="11"/>
      <c r="T17" s="137"/>
      <c r="U17" s="137"/>
      <c r="V17" s="137"/>
      <c r="W17" s="137"/>
      <c r="X17" s="137"/>
      <c r="Y17" s="137"/>
      <c r="Z17" s="137"/>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19"/>
      <c r="BK17" s="219"/>
    </row>
    <row r="18" spans="1:63" ht="12.75" customHeight="1" outlineLevel="1">
      <c r="A18" s="9"/>
      <c r="B18" s="44"/>
      <c r="C18" s="128" t="str">
        <f>Asset7</f>
        <v>Zone substation equip 132/66kV</v>
      </c>
      <c r="D18" s="9"/>
      <c r="E18" s="9"/>
      <c r="F18" s="139"/>
      <c r="G18" s="191">
        <f>Input!M13</f>
        <v>7.4144723777117623</v>
      </c>
      <c r="H18" s="142"/>
      <c r="I18" s="142"/>
      <c r="J18" s="142"/>
      <c r="K18" s="142"/>
      <c r="L18" s="142"/>
      <c r="M18" s="136"/>
      <c r="N18" s="136"/>
      <c r="O18" s="136"/>
      <c r="P18" s="136"/>
      <c r="Q18" s="136"/>
      <c r="R18" s="137"/>
      <c r="S18" s="50"/>
      <c r="T18" s="137"/>
      <c r="U18" s="137"/>
      <c r="V18" s="137"/>
      <c r="W18" s="137"/>
      <c r="X18" s="137"/>
      <c r="Y18" s="137"/>
      <c r="Z18" s="137"/>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19"/>
      <c r="BK18" s="219"/>
    </row>
    <row r="19" spans="1:63" ht="12.75" customHeight="1" outlineLevel="1">
      <c r="A19" s="9"/>
      <c r="B19" s="44"/>
      <c r="C19" s="128" t="str">
        <f>Asset8</f>
        <v>Transmission &amp; Zone emergency spares</v>
      </c>
      <c r="D19" s="9"/>
      <c r="E19" s="9"/>
      <c r="F19" s="139"/>
      <c r="G19" s="191">
        <f>Input!M14</f>
        <v>0</v>
      </c>
      <c r="H19" s="142"/>
      <c r="I19" s="142"/>
      <c r="J19" s="142"/>
      <c r="K19" s="142"/>
      <c r="L19" s="142"/>
      <c r="M19" s="136"/>
      <c r="N19" s="136"/>
      <c r="O19" s="136"/>
      <c r="P19" s="136"/>
      <c r="Q19" s="136"/>
      <c r="R19" s="137"/>
      <c r="S19" s="50"/>
      <c r="T19" s="137"/>
      <c r="U19" s="137"/>
      <c r="V19" s="137"/>
      <c r="W19" s="137"/>
      <c r="X19" s="137"/>
      <c r="Y19" s="137"/>
      <c r="Z19" s="137"/>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19"/>
      <c r="BK19" s="219"/>
    </row>
    <row r="20" spans="1:63" ht="12.75" customHeight="1" outlineLevel="1">
      <c r="A20" s="9"/>
      <c r="B20" s="44"/>
      <c r="C20" s="128" t="str">
        <f>Asset9</f>
        <v>Ancillary substation equipment (tx)</v>
      </c>
      <c r="D20" s="9"/>
      <c r="E20" s="9"/>
      <c r="F20" s="139"/>
      <c r="G20" s="191">
        <f>Input!M15</f>
        <v>0</v>
      </c>
      <c r="H20" s="142"/>
      <c r="I20" s="142"/>
      <c r="J20" s="142"/>
      <c r="K20" s="142"/>
      <c r="L20" s="142"/>
      <c r="M20" s="136"/>
      <c r="N20" s="136"/>
      <c r="O20" s="136"/>
      <c r="P20" s="136"/>
      <c r="Q20" s="136"/>
      <c r="R20" s="137"/>
      <c r="S20" s="11"/>
      <c r="T20" s="137"/>
      <c r="U20" s="137"/>
      <c r="V20" s="137"/>
      <c r="W20" s="137"/>
      <c r="X20" s="137"/>
      <c r="Y20" s="137"/>
      <c r="Z20" s="137"/>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19"/>
      <c r="BK20" s="219"/>
    </row>
    <row r="21" spans="1:63" ht="12.75" customHeight="1" outlineLevel="1">
      <c r="A21" s="9"/>
      <c r="B21" s="44"/>
      <c r="C21" s="128" t="str">
        <f>Asset10</f>
        <v>132kV tower lines</v>
      </c>
      <c r="D21" s="9"/>
      <c r="E21" s="9"/>
      <c r="F21" s="139"/>
      <c r="G21" s="191">
        <f>Input!M16</f>
        <v>0</v>
      </c>
      <c r="H21" s="142"/>
      <c r="I21" s="142"/>
      <c r="J21" s="142"/>
      <c r="K21" s="142"/>
      <c r="L21" s="142"/>
      <c r="M21" s="136"/>
      <c r="N21" s="136"/>
      <c r="O21" s="136"/>
      <c r="P21" s="136"/>
      <c r="Q21" s="136"/>
      <c r="R21" s="137"/>
      <c r="S21" s="50"/>
      <c r="T21" s="137"/>
      <c r="U21" s="137"/>
      <c r="V21" s="137"/>
      <c r="W21" s="137"/>
      <c r="X21" s="137"/>
      <c r="Y21" s="137"/>
      <c r="Z21" s="137"/>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19"/>
      <c r="BK21" s="219"/>
    </row>
    <row r="22" spans="1:63" ht="12.75" customHeight="1" outlineLevel="1">
      <c r="A22" s="9"/>
      <c r="B22" s="44"/>
      <c r="C22" s="128" t="str">
        <f>Asset11</f>
        <v>132kV concrete &amp; steel pole lines</v>
      </c>
      <c r="D22" s="9"/>
      <c r="E22" s="9"/>
      <c r="F22" s="139"/>
      <c r="G22" s="191">
        <f>Input!M17</f>
        <v>0.52214594209237764</v>
      </c>
      <c r="H22" s="142"/>
      <c r="I22" s="142"/>
      <c r="J22" s="142"/>
      <c r="K22" s="142"/>
      <c r="L22" s="142"/>
      <c r="M22" s="136"/>
      <c r="N22" s="136"/>
      <c r="O22" s="136"/>
      <c r="P22" s="136"/>
      <c r="Q22" s="136"/>
      <c r="R22" s="137"/>
      <c r="S22" s="50"/>
      <c r="T22" s="137"/>
      <c r="U22" s="137"/>
      <c r="V22" s="137"/>
      <c r="W22" s="137"/>
      <c r="X22" s="137"/>
      <c r="Y22" s="137"/>
      <c r="Z22" s="137"/>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19"/>
      <c r="BK22" s="219"/>
    </row>
    <row r="23" spans="1:63" ht="12.75" customHeight="1" outlineLevel="1">
      <c r="A23" s="9"/>
      <c r="B23" s="44"/>
      <c r="C23" s="128" t="str">
        <f>Asset12</f>
        <v>132kV wood pole lines</v>
      </c>
      <c r="D23" s="9"/>
      <c r="E23" s="9"/>
      <c r="F23" s="139"/>
      <c r="G23" s="191">
        <f>Input!M18</f>
        <v>0.41771675367390215</v>
      </c>
      <c r="H23" s="142"/>
      <c r="I23" s="142"/>
      <c r="J23" s="142"/>
      <c r="K23" s="142"/>
      <c r="L23" s="142"/>
      <c r="M23" s="136"/>
      <c r="N23" s="136"/>
      <c r="O23" s="136"/>
      <c r="P23" s="136"/>
      <c r="Q23" s="136"/>
      <c r="R23" s="137"/>
      <c r="S23" s="11"/>
      <c r="T23" s="137"/>
      <c r="U23" s="137"/>
      <c r="V23" s="137"/>
      <c r="W23" s="137"/>
      <c r="X23" s="137"/>
      <c r="Y23" s="137"/>
      <c r="Z23" s="137"/>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19"/>
      <c r="BK23" s="219"/>
    </row>
    <row r="24" spans="1:63" ht="12.75" customHeight="1" outlineLevel="1">
      <c r="A24" s="9"/>
      <c r="B24" s="44"/>
      <c r="C24" s="128" t="str">
        <f>Asset13</f>
        <v>132kV feeders underground</v>
      </c>
      <c r="D24" s="9"/>
      <c r="E24" s="9"/>
      <c r="F24" s="139"/>
      <c r="G24" s="191">
        <f>Input!M19</f>
        <v>51.379160701889965</v>
      </c>
      <c r="H24" s="142"/>
      <c r="I24" s="142"/>
      <c r="J24" s="142"/>
      <c r="K24" s="142"/>
      <c r="L24" s="142"/>
      <c r="M24" s="136"/>
      <c r="N24" s="136"/>
      <c r="O24" s="136"/>
      <c r="P24" s="136"/>
      <c r="Q24" s="136"/>
      <c r="R24" s="137"/>
      <c r="S24" s="50"/>
      <c r="T24" s="137"/>
      <c r="U24" s="137"/>
      <c r="V24" s="137"/>
      <c r="W24" s="137"/>
      <c r="X24" s="137"/>
      <c r="Y24" s="137"/>
      <c r="Z24" s="137"/>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19"/>
      <c r="BK24" s="219"/>
    </row>
    <row r="25" spans="1:63" ht="12.75" customHeight="1" outlineLevel="1">
      <c r="A25" s="9"/>
      <c r="B25" s="44"/>
      <c r="C25" s="128" t="str">
        <f>Asset14</f>
        <v>Cable tunnel (tx)</v>
      </c>
      <c r="D25" s="9"/>
      <c r="E25" s="9"/>
      <c r="F25" s="139"/>
      <c r="G25" s="191">
        <f>Input!M20</f>
        <v>0</v>
      </c>
      <c r="H25" s="142"/>
      <c r="I25" s="142"/>
      <c r="J25" s="142"/>
      <c r="K25" s="142"/>
      <c r="L25" s="142"/>
      <c r="M25" s="136"/>
      <c r="N25" s="136"/>
      <c r="O25" s="136"/>
      <c r="P25" s="136"/>
      <c r="Q25" s="136"/>
      <c r="R25" s="137"/>
      <c r="S25" s="50"/>
      <c r="T25" s="137"/>
      <c r="U25" s="137"/>
      <c r="V25" s="137"/>
      <c r="W25" s="137"/>
      <c r="X25" s="137"/>
      <c r="Y25" s="137"/>
      <c r="Z25" s="137"/>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19"/>
      <c r="BK25" s="219"/>
    </row>
    <row r="26" spans="1:63" ht="12.75" customHeight="1" outlineLevel="1">
      <c r="A26" s="9"/>
      <c r="B26" s="44"/>
      <c r="C26" s="128" t="str">
        <f>Asset15</f>
        <v>Network control &amp; com systems</v>
      </c>
      <c r="D26" s="9"/>
      <c r="E26" s="9"/>
      <c r="F26" s="139"/>
      <c r="G26" s="191">
        <f>Input!M21</f>
        <v>0.20885837683695108</v>
      </c>
      <c r="H26" s="142"/>
      <c r="I26" s="142"/>
      <c r="J26" s="142"/>
      <c r="K26" s="142"/>
      <c r="L26" s="142"/>
      <c r="M26" s="136"/>
      <c r="N26" s="136"/>
      <c r="O26" s="136"/>
      <c r="P26" s="136"/>
      <c r="Q26" s="136"/>
      <c r="R26" s="137"/>
      <c r="S26" s="11"/>
      <c r="T26" s="137"/>
      <c r="U26" s="137"/>
      <c r="V26" s="137"/>
      <c r="W26" s="137"/>
      <c r="X26" s="137"/>
      <c r="Y26" s="137"/>
      <c r="Z26" s="137"/>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19"/>
      <c r="BK26" s="219"/>
    </row>
    <row r="27" spans="1:63" ht="12.75" customHeight="1" outlineLevel="1">
      <c r="A27" s="9"/>
      <c r="B27" s="44"/>
      <c r="C27" s="128" t="str">
        <f>Asset16</f>
        <v>Communications (digital) - tx</v>
      </c>
      <c r="D27" s="9"/>
      <c r="E27" s="9"/>
      <c r="F27" s="139"/>
      <c r="G27" s="191">
        <f>Input!M22</f>
        <v>0</v>
      </c>
      <c r="H27" s="142"/>
      <c r="I27" s="142"/>
      <c r="J27" s="142"/>
      <c r="K27" s="142"/>
      <c r="L27" s="142"/>
      <c r="M27" s="136"/>
      <c r="N27" s="136"/>
      <c r="O27" s="136"/>
      <c r="P27" s="136"/>
      <c r="Q27" s="136"/>
      <c r="R27" s="137"/>
      <c r="S27" s="50"/>
      <c r="T27" s="137"/>
      <c r="U27" s="137"/>
      <c r="V27" s="137"/>
      <c r="W27" s="137"/>
      <c r="X27" s="137"/>
      <c r="Y27" s="137"/>
      <c r="Z27" s="137"/>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19"/>
      <c r="BK27" s="219"/>
    </row>
    <row r="28" spans="1:63" ht="12.75" customHeight="1" outlineLevel="1">
      <c r="A28" s="9"/>
      <c r="B28" s="44"/>
      <c r="C28" s="128" t="str">
        <f>Asset17</f>
        <v>System IT (tx)</v>
      </c>
      <c r="D28" s="9"/>
      <c r="E28" s="9"/>
      <c r="F28" s="139"/>
      <c r="G28" s="191">
        <f>Input!M23</f>
        <v>0</v>
      </c>
      <c r="H28" s="142"/>
      <c r="I28" s="142"/>
      <c r="J28" s="142"/>
      <c r="K28" s="142"/>
      <c r="L28" s="142"/>
      <c r="M28" s="136"/>
      <c r="N28" s="136"/>
      <c r="O28" s="136"/>
      <c r="P28" s="136"/>
      <c r="Q28" s="136"/>
      <c r="R28" s="137"/>
      <c r="S28" s="50"/>
      <c r="T28" s="137"/>
      <c r="U28" s="137"/>
      <c r="V28" s="137"/>
      <c r="W28" s="137"/>
      <c r="X28" s="137"/>
      <c r="Y28" s="137"/>
      <c r="Z28" s="137"/>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19"/>
      <c r="BK28" s="219"/>
    </row>
    <row r="29" spans="1:63" ht="12.75" customHeight="1" outlineLevel="1">
      <c r="A29" s="9"/>
      <c r="B29" s="44"/>
      <c r="C29" s="128" t="str">
        <f>Asset18</f>
        <v>IT systems</v>
      </c>
      <c r="D29" s="9"/>
      <c r="E29" s="9"/>
      <c r="F29" s="139"/>
      <c r="G29" s="191">
        <f>Input!M24</f>
        <v>5.4886479583516072</v>
      </c>
      <c r="H29" s="142"/>
      <c r="I29" s="142"/>
      <c r="J29" s="142"/>
      <c r="K29" s="142"/>
      <c r="L29" s="142"/>
      <c r="M29" s="136"/>
      <c r="N29" s="136"/>
      <c r="O29" s="136"/>
      <c r="P29" s="136"/>
      <c r="Q29" s="136"/>
      <c r="R29" s="137"/>
      <c r="S29" s="11"/>
      <c r="T29" s="137"/>
      <c r="U29" s="137"/>
      <c r="V29" s="137"/>
      <c r="W29" s="137"/>
      <c r="X29" s="137"/>
      <c r="Y29" s="137"/>
      <c r="Z29" s="137"/>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19"/>
      <c r="BK29" s="219"/>
    </row>
    <row r="30" spans="1:63" ht="12.75" customHeight="1" outlineLevel="1">
      <c r="A30" s="9"/>
      <c r="B30" s="44"/>
      <c r="C30" s="128" t="str">
        <f>Asset19</f>
        <v>Furniture, fittings, plant and equipment</v>
      </c>
      <c r="D30" s="9"/>
      <c r="E30" s="9"/>
      <c r="F30" s="139"/>
      <c r="G30" s="191">
        <f>Input!M25</f>
        <v>1.2936175040192597</v>
      </c>
      <c r="H30" s="142"/>
      <c r="I30" s="142"/>
      <c r="J30" s="142"/>
      <c r="K30" s="142"/>
      <c r="L30" s="142"/>
      <c r="M30" s="136"/>
      <c r="N30" s="136"/>
      <c r="O30" s="136"/>
      <c r="P30" s="136"/>
      <c r="Q30" s="136"/>
      <c r="R30" s="137"/>
      <c r="S30" s="50"/>
      <c r="T30" s="137"/>
      <c r="U30" s="137"/>
      <c r="V30" s="137"/>
      <c r="W30" s="137"/>
      <c r="X30" s="137"/>
      <c r="Y30" s="137"/>
      <c r="Z30" s="137"/>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19"/>
      <c r="BK30" s="219"/>
    </row>
    <row r="31" spans="1:63" ht="12.75" customHeight="1" outlineLevel="1">
      <c r="A31" s="9"/>
      <c r="B31" s="44"/>
      <c r="C31" s="128" t="str">
        <f>Asset20</f>
        <v>Motor vehicles</v>
      </c>
      <c r="D31" s="9"/>
      <c r="E31" s="9"/>
      <c r="F31" s="139"/>
      <c r="G31" s="191">
        <f>Input!M26</f>
        <v>4.2215721726244322</v>
      </c>
      <c r="H31" s="142"/>
      <c r="I31" s="142"/>
      <c r="J31" s="142"/>
      <c r="K31" s="142"/>
      <c r="L31" s="142"/>
      <c r="M31" s="136"/>
      <c r="N31" s="136"/>
      <c r="O31" s="136"/>
      <c r="P31" s="136"/>
      <c r="Q31" s="136"/>
      <c r="R31" s="137"/>
      <c r="S31" s="50"/>
      <c r="T31" s="137"/>
      <c r="U31" s="137"/>
      <c r="V31" s="137"/>
      <c r="W31" s="137"/>
      <c r="X31" s="137"/>
      <c r="Y31" s="137"/>
      <c r="Z31" s="137"/>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19"/>
      <c r="BK31" s="219"/>
    </row>
    <row r="32" spans="1:63" ht="12.75" customHeight="1" outlineLevel="1">
      <c r="A32" s="9"/>
      <c r="B32" s="44"/>
      <c r="C32" s="128" t="str">
        <f>Asset21</f>
        <v>Buildings</v>
      </c>
      <c r="D32" s="9"/>
      <c r="E32" s="9"/>
      <c r="F32" s="139"/>
      <c r="G32" s="191">
        <f>Input!M27</f>
        <v>5.7630118543162778</v>
      </c>
      <c r="H32" s="142"/>
      <c r="I32" s="142"/>
      <c r="J32" s="142"/>
      <c r="K32" s="142"/>
      <c r="L32" s="142"/>
      <c r="M32" s="136"/>
      <c r="N32" s="136"/>
      <c r="O32" s="136"/>
      <c r="P32" s="136"/>
      <c r="Q32" s="136"/>
      <c r="R32" s="137"/>
      <c r="S32" s="50"/>
      <c r="T32" s="137"/>
      <c r="U32" s="137"/>
      <c r="V32" s="137"/>
      <c r="W32" s="137"/>
      <c r="X32" s="137"/>
      <c r="Y32" s="137"/>
      <c r="Z32" s="137"/>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19"/>
      <c r="BK32" s="219"/>
    </row>
    <row r="33" spans="1:63" ht="12.75" customHeight="1" outlineLevel="1">
      <c r="A33" s="9"/>
      <c r="B33" s="44"/>
      <c r="C33" s="128" t="str">
        <f>Asset22</f>
        <v>Land (non-system)</v>
      </c>
      <c r="D33" s="9"/>
      <c r="E33" s="9"/>
      <c r="F33" s="139"/>
      <c r="G33" s="191">
        <f>Input!M28</f>
        <v>2.1802380946309641</v>
      </c>
      <c r="H33" s="142"/>
      <c r="I33" s="142"/>
      <c r="J33" s="142"/>
      <c r="K33" s="142"/>
      <c r="L33" s="142"/>
      <c r="M33" s="136"/>
      <c r="N33" s="136"/>
      <c r="O33" s="136"/>
      <c r="P33" s="136"/>
      <c r="Q33" s="136"/>
      <c r="R33" s="137"/>
      <c r="S33" s="50"/>
      <c r="T33" s="137"/>
      <c r="U33" s="137"/>
      <c r="V33" s="137"/>
      <c r="W33" s="137"/>
      <c r="X33" s="137"/>
      <c r="Y33" s="137"/>
      <c r="Z33" s="137"/>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19"/>
      <c r="BK33" s="219"/>
    </row>
    <row r="34" spans="1:63" ht="12.75" customHeight="1" outlineLevel="1">
      <c r="A34" s="9"/>
      <c r="B34" s="44"/>
      <c r="C34" s="128" t="str">
        <f>Asset23</f>
        <v>Other non system assets</v>
      </c>
      <c r="D34" s="9"/>
      <c r="E34" s="9"/>
      <c r="F34" s="139"/>
      <c r="G34" s="191">
        <f>Input!M29</f>
        <v>4.9813479268057739</v>
      </c>
      <c r="H34" s="142"/>
      <c r="I34" s="142"/>
      <c r="J34" s="142"/>
      <c r="K34" s="142"/>
      <c r="L34" s="142"/>
      <c r="M34" s="136"/>
      <c r="N34" s="136"/>
      <c r="O34" s="136"/>
      <c r="P34" s="136"/>
      <c r="Q34" s="136"/>
      <c r="R34" s="137"/>
      <c r="S34" s="50"/>
      <c r="T34" s="137"/>
      <c r="U34" s="137"/>
      <c r="V34" s="137"/>
      <c r="W34" s="137"/>
      <c r="X34" s="137"/>
      <c r="Y34" s="137"/>
      <c r="Z34" s="137"/>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19"/>
      <c r="BK34" s="219"/>
    </row>
    <row r="35" spans="1:63" ht="12.75" customHeight="1" outlineLevel="1">
      <c r="A35" s="9"/>
      <c r="B35" s="44"/>
      <c r="C35" s="128" t="str">
        <f>Asset24</f>
        <v>Equity raising costs</v>
      </c>
      <c r="D35" s="9"/>
      <c r="E35" s="9"/>
      <c r="F35" s="139"/>
      <c r="G35" s="191">
        <f>Input!M30</f>
        <v>0</v>
      </c>
      <c r="H35" s="142"/>
      <c r="I35" s="142"/>
      <c r="J35" s="142"/>
      <c r="K35" s="142"/>
      <c r="L35" s="142"/>
      <c r="M35" s="136"/>
      <c r="N35" s="136"/>
      <c r="O35" s="136"/>
      <c r="P35" s="136"/>
      <c r="Q35" s="136"/>
      <c r="R35" s="137"/>
      <c r="S35" s="50"/>
      <c r="T35" s="137"/>
      <c r="U35" s="137"/>
      <c r="V35" s="137"/>
      <c r="W35" s="137"/>
      <c r="X35" s="137"/>
      <c r="Y35" s="137"/>
      <c r="Z35" s="137"/>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19"/>
      <c r="BK35" s="219"/>
    </row>
    <row r="36" spans="1:63" ht="12.75" customHeight="1" outlineLevel="1">
      <c r="A36" s="9"/>
      <c r="B36" s="44"/>
      <c r="C36" s="128">
        <f>Asset25</f>
        <v>0</v>
      </c>
      <c r="D36" s="9"/>
      <c r="E36" s="9"/>
      <c r="F36" s="139"/>
      <c r="G36" s="191">
        <f>Input!M31</f>
        <v>0</v>
      </c>
      <c r="H36" s="142"/>
      <c r="I36" s="142"/>
      <c r="J36" s="142"/>
      <c r="K36" s="142"/>
      <c r="L36" s="142"/>
      <c r="M36" s="136"/>
      <c r="N36" s="136"/>
      <c r="O36" s="136"/>
      <c r="P36" s="136"/>
      <c r="Q36" s="136"/>
      <c r="R36" s="137"/>
      <c r="S36" s="50"/>
      <c r="T36" s="137"/>
      <c r="U36" s="137"/>
      <c r="V36" s="137"/>
      <c r="W36" s="137"/>
      <c r="X36" s="137"/>
      <c r="Y36" s="137"/>
      <c r="Z36" s="137"/>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19"/>
      <c r="BK36" s="219"/>
    </row>
    <row r="37" spans="1:63" ht="12.75" customHeight="1" outlineLevel="1">
      <c r="A37" s="9"/>
      <c r="B37" s="44"/>
      <c r="C37" s="128">
        <f>Asset26</f>
        <v>0</v>
      </c>
      <c r="D37" s="9"/>
      <c r="E37" s="9"/>
      <c r="F37" s="139"/>
      <c r="G37" s="191">
        <f>Input!M32</f>
        <v>0</v>
      </c>
      <c r="H37" s="142"/>
      <c r="I37" s="142"/>
      <c r="J37" s="142"/>
      <c r="K37" s="142"/>
      <c r="L37" s="142"/>
      <c r="M37" s="136"/>
      <c r="N37" s="136"/>
      <c r="O37" s="136"/>
      <c r="P37" s="136"/>
      <c r="Q37" s="136"/>
      <c r="R37" s="137"/>
      <c r="S37" s="50"/>
      <c r="T37" s="137"/>
      <c r="U37" s="137"/>
      <c r="V37" s="137"/>
      <c r="W37" s="137"/>
      <c r="X37" s="137"/>
      <c r="Y37" s="137"/>
      <c r="Z37" s="137"/>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19"/>
      <c r="BK37" s="219"/>
    </row>
    <row r="38" spans="1:63" ht="12.75" customHeight="1" outlineLevel="1">
      <c r="A38" s="9"/>
      <c r="B38" s="44"/>
      <c r="C38" s="128">
        <f>Asset27</f>
        <v>0</v>
      </c>
      <c r="D38" s="9"/>
      <c r="E38" s="9"/>
      <c r="F38" s="139"/>
      <c r="G38" s="191">
        <f>Input!M33</f>
        <v>0</v>
      </c>
      <c r="H38" s="142"/>
      <c r="I38" s="142"/>
      <c r="J38" s="142"/>
      <c r="K38" s="142"/>
      <c r="L38" s="142"/>
      <c r="M38" s="136"/>
      <c r="N38" s="136"/>
      <c r="O38" s="136"/>
      <c r="P38" s="136"/>
      <c r="Q38" s="136"/>
      <c r="R38" s="137"/>
      <c r="S38" s="50"/>
      <c r="T38" s="137"/>
      <c r="U38" s="137"/>
      <c r="V38" s="137"/>
      <c r="W38" s="137"/>
      <c r="X38" s="137"/>
      <c r="Y38" s="137"/>
      <c r="Z38" s="137"/>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19"/>
      <c r="BK38" s="219"/>
    </row>
    <row r="39" spans="1:63" ht="12.75" customHeight="1" outlineLevel="1">
      <c r="A39" s="9"/>
      <c r="B39" s="44"/>
      <c r="C39" s="128">
        <f>Asset28</f>
        <v>0</v>
      </c>
      <c r="D39" s="9"/>
      <c r="E39" s="9"/>
      <c r="F39" s="139"/>
      <c r="G39" s="191">
        <f>Input!M34</f>
        <v>0</v>
      </c>
      <c r="H39" s="142"/>
      <c r="I39" s="142"/>
      <c r="J39" s="142"/>
      <c r="K39" s="142"/>
      <c r="L39" s="142"/>
      <c r="M39" s="136"/>
      <c r="N39" s="136"/>
      <c r="O39" s="136"/>
      <c r="P39" s="136"/>
      <c r="Q39" s="136"/>
      <c r="R39" s="137"/>
      <c r="S39" s="50"/>
      <c r="T39" s="137"/>
      <c r="U39" s="137"/>
      <c r="V39" s="137"/>
      <c r="W39" s="137"/>
      <c r="X39" s="137"/>
      <c r="Y39" s="137"/>
      <c r="Z39" s="137"/>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19"/>
      <c r="BK39" s="219"/>
    </row>
    <row r="40" spans="1:63" ht="12.75" customHeight="1" outlineLevel="1">
      <c r="A40" s="9"/>
      <c r="B40" s="44"/>
      <c r="C40" s="128">
        <f>Asset29</f>
        <v>0</v>
      </c>
      <c r="D40" s="9"/>
      <c r="E40" s="9"/>
      <c r="F40" s="139"/>
      <c r="G40" s="191">
        <f>Input!M35</f>
        <v>0</v>
      </c>
      <c r="H40" s="142"/>
      <c r="I40" s="142"/>
      <c r="J40" s="142"/>
      <c r="K40" s="142"/>
      <c r="L40" s="142"/>
      <c r="M40" s="136"/>
      <c r="N40" s="136"/>
      <c r="O40" s="136"/>
      <c r="P40" s="136"/>
      <c r="Q40" s="136"/>
      <c r="R40" s="137"/>
      <c r="S40" s="50"/>
      <c r="T40" s="137"/>
      <c r="U40" s="137"/>
      <c r="V40" s="137"/>
      <c r="W40" s="137"/>
      <c r="X40" s="137"/>
      <c r="Y40" s="137"/>
      <c r="Z40" s="137"/>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19"/>
      <c r="BK40" s="219"/>
    </row>
    <row r="41" spans="1:63" ht="12.75" customHeight="1" outlineLevel="1">
      <c r="A41" s="9"/>
      <c r="B41" s="44"/>
      <c r="C41" s="128">
        <f>Asset30</f>
        <v>0</v>
      </c>
      <c r="D41" s="9"/>
      <c r="E41" s="9"/>
      <c r="F41" s="139"/>
      <c r="G41" s="191">
        <f>Input!M36</f>
        <v>0</v>
      </c>
      <c r="H41" s="142"/>
      <c r="I41" s="142"/>
      <c r="J41" s="142"/>
      <c r="K41" s="142"/>
      <c r="L41" s="142"/>
      <c r="M41" s="136"/>
      <c r="N41" s="136"/>
      <c r="O41" s="136"/>
      <c r="P41" s="136"/>
      <c r="Q41" s="136"/>
      <c r="R41" s="137"/>
      <c r="S41" s="50"/>
      <c r="T41" s="137"/>
      <c r="U41" s="137"/>
      <c r="V41" s="137"/>
      <c r="W41" s="137"/>
      <c r="X41" s="137"/>
      <c r="Y41" s="137"/>
      <c r="Z41" s="137"/>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19"/>
      <c r="BK41" s="219"/>
    </row>
    <row r="42" spans="1:63">
      <c r="A42" s="9"/>
      <c r="B42" s="44"/>
      <c r="C42" s="128"/>
      <c r="D42" s="9"/>
      <c r="E42" s="9"/>
      <c r="F42" s="139"/>
      <c r="G42" s="191"/>
      <c r="H42" s="142"/>
      <c r="I42" s="142"/>
      <c r="J42" s="142"/>
      <c r="K42" s="142"/>
      <c r="L42" s="142"/>
      <c r="M42" s="136"/>
      <c r="N42" s="136"/>
      <c r="O42" s="136"/>
      <c r="P42" s="136"/>
      <c r="Q42" s="136"/>
      <c r="R42" s="137"/>
      <c r="S42" s="11"/>
      <c r="T42" s="137"/>
      <c r="U42" s="137"/>
      <c r="V42" s="137"/>
      <c r="W42" s="137"/>
      <c r="X42" s="137"/>
      <c r="Y42" s="137"/>
      <c r="Z42" s="137"/>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19"/>
      <c r="BK42" s="219"/>
    </row>
    <row r="43" spans="1:63">
      <c r="A43" s="9"/>
      <c r="B43" s="44" t="s">
        <v>36</v>
      </c>
      <c r="C43" s="9"/>
      <c r="D43" s="9"/>
      <c r="E43" s="9"/>
      <c r="F43" s="9"/>
      <c r="G43" s="190">
        <f>SUM(G44:G73)</f>
        <v>101.37242262686385</v>
      </c>
      <c r="H43" s="138"/>
      <c r="I43" s="138"/>
      <c r="J43" s="138"/>
      <c r="K43" s="138"/>
      <c r="L43" s="138"/>
      <c r="M43" s="138"/>
      <c r="N43" s="136"/>
      <c r="O43" s="136"/>
      <c r="P43" s="136"/>
      <c r="Q43" s="136"/>
      <c r="R43" s="137"/>
      <c r="S43" s="137"/>
      <c r="T43" s="137"/>
      <c r="U43" s="137"/>
      <c r="V43" s="137"/>
      <c r="W43" s="137"/>
      <c r="X43" s="137"/>
      <c r="Y43" s="137"/>
      <c r="Z43" s="137"/>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19"/>
      <c r="BK43" s="219"/>
    </row>
    <row r="44" spans="1:63" outlineLevel="1">
      <c r="A44" s="9"/>
      <c r="B44" s="9"/>
      <c r="C44" s="128" t="str">
        <f>Asset1</f>
        <v>Transmission &amp; Zone land &amp; easements</v>
      </c>
      <c r="D44" s="9"/>
      <c r="E44" s="9"/>
      <c r="F44" s="9"/>
      <c r="G44" s="191">
        <f>Input!G143*(1+previous_vanilla)^0.5</f>
        <v>3.3403436902701822</v>
      </c>
      <c r="H44" s="109"/>
      <c r="I44" s="109"/>
      <c r="J44" s="109"/>
      <c r="K44" s="109"/>
      <c r="L44" s="109"/>
      <c r="M44" s="109"/>
      <c r="N44" s="9"/>
      <c r="O44" s="9"/>
      <c r="P44" s="9"/>
      <c r="Q44" s="9"/>
      <c r="R44" s="9"/>
      <c r="S44" s="9"/>
      <c r="T44" s="9"/>
      <c r="U44" s="9"/>
      <c r="V44" s="9"/>
      <c r="W44" s="9"/>
      <c r="X44" s="9"/>
      <c r="Y44" s="9"/>
      <c r="Z44" s="9"/>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row>
    <row r="45" spans="1:63" outlineLevel="1">
      <c r="A45" s="9"/>
      <c r="B45" s="44"/>
      <c r="C45" s="128" t="str">
        <f>Asset2</f>
        <v>Transmission buildings 132/66kV</v>
      </c>
      <c r="D45" s="9"/>
      <c r="E45" s="9"/>
      <c r="F45" s="139"/>
      <c r="G45" s="191">
        <f>Input!G144*(1+previous_vanilla)^0.5</f>
        <v>2.7444445162646307</v>
      </c>
      <c r="H45" s="109"/>
      <c r="I45" s="109"/>
      <c r="J45" s="109"/>
      <c r="K45" s="109"/>
      <c r="L45" s="109"/>
      <c r="M45" s="109"/>
      <c r="N45" s="28"/>
      <c r="O45" s="28"/>
      <c r="P45" s="28"/>
      <c r="Q45" s="28"/>
      <c r="R45" s="99"/>
      <c r="S45" s="99"/>
      <c r="T45" s="99"/>
      <c r="U45" s="99"/>
      <c r="V45" s="99"/>
      <c r="W45" s="99"/>
      <c r="X45" s="99"/>
      <c r="Y45" s="99"/>
      <c r="Z45" s="99"/>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19"/>
      <c r="BK45" s="219"/>
    </row>
    <row r="46" spans="1:63" outlineLevel="1">
      <c r="A46" s="9"/>
      <c r="B46" s="44"/>
      <c r="C46" s="128" t="str">
        <f>Asset3</f>
        <v>Zone buildings 132/66kV</v>
      </c>
      <c r="D46" s="9"/>
      <c r="E46" s="9"/>
      <c r="F46" s="139"/>
      <c r="G46" s="191">
        <f>Input!G145*(1+previous_vanilla)^0.5</f>
        <v>6.1726414038605917E-2</v>
      </c>
      <c r="H46" s="109"/>
      <c r="I46" s="109"/>
      <c r="J46" s="109"/>
      <c r="K46" s="109"/>
      <c r="L46" s="109"/>
      <c r="M46" s="109"/>
      <c r="N46" s="28"/>
      <c r="O46" s="28"/>
      <c r="P46" s="28"/>
      <c r="Q46" s="28"/>
      <c r="R46" s="99"/>
      <c r="S46" s="99"/>
      <c r="T46" s="99"/>
      <c r="U46" s="99"/>
      <c r="V46" s="99"/>
      <c r="W46" s="99"/>
      <c r="X46" s="99"/>
      <c r="Y46" s="99"/>
      <c r="Z46" s="99"/>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19"/>
      <c r="BK46" s="219"/>
    </row>
    <row r="47" spans="1:63" outlineLevel="1">
      <c r="A47" s="9"/>
      <c r="B47" s="44"/>
      <c r="C47" s="128" t="str">
        <f>Asset4</f>
        <v>Transmission transformers 132/66kV</v>
      </c>
      <c r="D47" s="9"/>
      <c r="E47" s="9"/>
      <c r="F47" s="139"/>
      <c r="G47" s="191">
        <f>Input!G146*(1+previous_vanilla)^0.5</f>
        <v>3.6622528276189463</v>
      </c>
      <c r="H47" s="109"/>
      <c r="I47" s="109"/>
      <c r="J47" s="109"/>
      <c r="K47" s="109"/>
      <c r="L47" s="109"/>
      <c r="M47" s="109"/>
      <c r="N47" s="28"/>
      <c r="O47" s="28"/>
      <c r="P47" s="28"/>
      <c r="Q47" s="28"/>
      <c r="R47" s="99"/>
      <c r="S47" s="99"/>
      <c r="T47" s="99"/>
      <c r="U47" s="99"/>
      <c r="V47" s="99"/>
      <c r="W47" s="99"/>
      <c r="X47" s="99"/>
      <c r="Y47" s="99"/>
      <c r="Z47" s="99"/>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19"/>
      <c r="BK47" s="219"/>
    </row>
    <row r="48" spans="1:63" outlineLevel="1">
      <c r="A48" s="9"/>
      <c r="B48" s="44"/>
      <c r="C48" s="128" t="str">
        <f>Asset5</f>
        <v>Zone transformers 132/66kV</v>
      </c>
      <c r="D48" s="9"/>
      <c r="E48" s="9"/>
      <c r="F48" s="139"/>
      <c r="G48" s="191">
        <f>Input!G147*(1+previous_vanilla)^0.5</f>
        <v>0.68257078209347755</v>
      </c>
      <c r="H48" s="109"/>
      <c r="I48" s="109"/>
      <c r="J48" s="109"/>
      <c r="K48" s="109"/>
      <c r="L48" s="109"/>
      <c r="M48" s="109"/>
      <c r="N48" s="28"/>
      <c r="O48" s="28"/>
      <c r="P48" s="28"/>
      <c r="Q48" s="28"/>
      <c r="R48" s="99"/>
      <c r="S48" s="99"/>
      <c r="T48" s="99"/>
      <c r="U48" s="99"/>
      <c r="V48" s="99"/>
      <c r="W48" s="99"/>
      <c r="X48" s="99"/>
      <c r="Y48" s="99"/>
      <c r="Z48" s="99"/>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19"/>
      <c r="BK48" s="219"/>
    </row>
    <row r="49" spans="1:63" outlineLevel="1">
      <c r="A49" s="9"/>
      <c r="B49" s="44"/>
      <c r="C49" s="128" t="str">
        <f>Asset6</f>
        <v>Transmission substation equip 132/66kV</v>
      </c>
      <c r="D49" s="9"/>
      <c r="E49" s="9"/>
      <c r="F49" s="139"/>
      <c r="G49" s="191">
        <f>Input!G148*(1+previous_vanilla)^0.5</f>
        <v>9.6978496983822069</v>
      </c>
      <c r="H49" s="109"/>
      <c r="I49" s="109"/>
      <c r="J49" s="109"/>
      <c r="K49" s="109"/>
      <c r="L49" s="109"/>
      <c r="M49" s="109"/>
      <c r="N49" s="28"/>
      <c r="O49" s="28"/>
      <c r="P49" s="28"/>
      <c r="Q49" s="28"/>
      <c r="R49" s="99"/>
      <c r="S49" s="99"/>
      <c r="T49" s="99"/>
      <c r="U49" s="99"/>
      <c r="V49" s="99"/>
      <c r="W49" s="99"/>
      <c r="X49" s="99"/>
      <c r="Y49" s="99"/>
      <c r="Z49" s="99"/>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19"/>
      <c r="BK49" s="219"/>
    </row>
    <row r="50" spans="1:63" outlineLevel="1">
      <c r="A50" s="9"/>
      <c r="B50" s="44"/>
      <c r="C50" s="128" t="str">
        <f>Asset7</f>
        <v>Zone substation equip 132/66kV</v>
      </c>
      <c r="D50" s="9"/>
      <c r="E50" s="9"/>
      <c r="F50" s="139"/>
      <c r="G50" s="191">
        <f>Input!G149*(1+previous_vanilla)^0.5</f>
        <v>3.3970898953999167</v>
      </c>
      <c r="H50" s="109"/>
      <c r="I50" s="109"/>
      <c r="J50" s="109"/>
      <c r="K50" s="109"/>
      <c r="L50" s="109"/>
      <c r="M50" s="109"/>
      <c r="N50" s="28"/>
      <c r="O50" s="28"/>
      <c r="P50" s="28"/>
      <c r="Q50" s="28"/>
      <c r="R50" s="99"/>
      <c r="S50" s="99"/>
      <c r="T50" s="99"/>
      <c r="U50" s="99"/>
      <c r="V50" s="99"/>
      <c r="W50" s="99"/>
      <c r="X50" s="99"/>
      <c r="Y50" s="99"/>
      <c r="Z50" s="99"/>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19"/>
      <c r="BK50" s="219"/>
    </row>
    <row r="51" spans="1:63" outlineLevel="1">
      <c r="A51" s="9"/>
      <c r="B51" s="44"/>
      <c r="C51" s="128" t="str">
        <f>Asset8</f>
        <v>Transmission &amp; Zone emergency spares</v>
      </c>
      <c r="D51" s="9"/>
      <c r="E51" s="9"/>
      <c r="F51" s="139"/>
      <c r="G51" s="191">
        <f>Input!G150*(1+previous_vanilla)^0.5</f>
        <v>0</v>
      </c>
      <c r="H51" s="109"/>
      <c r="I51" s="109"/>
      <c r="J51" s="109"/>
      <c r="K51" s="109"/>
      <c r="L51" s="109"/>
      <c r="M51" s="109"/>
      <c r="N51" s="28"/>
      <c r="O51" s="28"/>
      <c r="P51" s="28"/>
      <c r="Q51" s="28"/>
      <c r="R51" s="99"/>
      <c r="S51" s="99"/>
      <c r="T51" s="99"/>
      <c r="U51" s="99"/>
      <c r="V51" s="99"/>
      <c r="W51" s="99"/>
      <c r="X51" s="99"/>
      <c r="Y51" s="99"/>
      <c r="Z51" s="99"/>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19"/>
      <c r="BK51" s="219"/>
    </row>
    <row r="52" spans="1:63" outlineLevel="1">
      <c r="A52" s="9"/>
      <c r="B52" s="44"/>
      <c r="C52" s="128" t="str">
        <f>Asset9</f>
        <v>Ancillary substation equipment (tx)</v>
      </c>
      <c r="D52" s="9"/>
      <c r="E52" s="9"/>
      <c r="F52" s="139"/>
      <c r="G52" s="191">
        <f>Input!G151*(1+previous_vanilla)^0.5</f>
        <v>0.90227110894730855</v>
      </c>
      <c r="H52" s="109"/>
      <c r="I52" s="109"/>
      <c r="J52" s="109"/>
      <c r="K52" s="109"/>
      <c r="L52" s="109"/>
      <c r="M52" s="109"/>
      <c r="N52" s="28"/>
      <c r="O52" s="28"/>
      <c r="P52" s="28"/>
      <c r="Q52" s="28"/>
      <c r="R52" s="99"/>
      <c r="S52" s="99"/>
      <c r="T52" s="99"/>
      <c r="U52" s="99"/>
      <c r="V52" s="99"/>
      <c r="W52" s="99"/>
      <c r="X52" s="99"/>
      <c r="Y52" s="99"/>
      <c r="Z52" s="99"/>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19"/>
      <c r="BK52" s="219"/>
    </row>
    <row r="53" spans="1:63" outlineLevel="1">
      <c r="A53" s="9"/>
      <c r="B53" s="44"/>
      <c r="C53" s="128" t="str">
        <f>Asset10</f>
        <v>132kV tower lines</v>
      </c>
      <c r="D53" s="9"/>
      <c r="E53" s="9"/>
      <c r="F53" s="139"/>
      <c r="G53" s="191">
        <f>Input!G152*(1+previous_vanilla)^0.5</f>
        <v>1.1979428273705115</v>
      </c>
      <c r="H53" s="109"/>
      <c r="I53" s="109"/>
      <c r="J53" s="109"/>
      <c r="K53" s="109"/>
      <c r="L53" s="109"/>
      <c r="M53" s="109"/>
      <c r="N53" s="28"/>
      <c r="O53" s="28"/>
      <c r="P53" s="28"/>
      <c r="Q53" s="28"/>
      <c r="R53" s="99"/>
      <c r="S53" s="99"/>
      <c r="T53" s="99"/>
      <c r="U53" s="99"/>
      <c r="V53" s="99"/>
      <c r="W53" s="99"/>
      <c r="X53" s="99"/>
      <c r="Y53" s="99"/>
      <c r="Z53" s="99"/>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19"/>
      <c r="BK53" s="219"/>
    </row>
    <row r="54" spans="1:63" outlineLevel="1">
      <c r="A54" s="9"/>
      <c r="B54" s="44"/>
      <c r="C54" s="128" t="str">
        <f>Asset11</f>
        <v>132kV concrete &amp; steel pole lines</v>
      </c>
      <c r="D54" s="9"/>
      <c r="E54" s="9"/>
      <c r="F54" s="139"/>
      <c r="G54" s="191">
        <f>Input!G153*(1+previous_vanilla)^0.5</f>
        <v>3.6484612930068874</v>
      </c>
      <c r="H54" s="109"/>
      <c r="I54" s="109"/>
      <c r="J54" s="109"/>
      <c r="K54" s="109"/>
      <c r="L54" s="109"/>
      <c r="M54" s="109"/>
      <c r="N54" s="28"/>
      <c r="O54" s="28"/>
      <c r="P54" s="28"/>
      <c r="Q54" s="28"/>
      <c r="R54" s="99"/>
      <c r="S54" s="99"/>
      <c r="T54" s="99"/>
      <c r="U54" s="99"/>
      <c r="V54" s="99"/>
      <c r="W54" s="99"/>
      <c r="X54" s="99"/>
      <c r="Y54" s="99"/>
      <c r="Z54" s="99"/>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19"/>
      <c r="BK54" s="219"/>
    </row>
    <row r="55" spans="1:63" outlineLevel="1">
      <c r="A55" s="9"/>
      <c r="B55" s="44"/>
      <c r="C55" s="128" t="str">
        <f>Asset12</f>
        <v>132kV wood pole lines</v>
      </c>
      <c r="D55" s="9"/>
      <c r="E55" s="9"/>
      <c r="F55" s="139"/>
      <c r="G55" s="191">
        <f>Input!G154*(1+previous_vanilla)^0.5</f>
        <v>0.84741994981790669</v>
      </c>
      <c r="H55" s="109"/>
      <c r="I55" s="109"/>
      <c r="J55" s="109"/>
      <c r="K55" s="109"/>
      <c r="L55" s="109"/>
      <c r="M55" s="109"/>
      <c r="N55" s="28"/>
      <c r="O55" s="28"/>
      <c r="P55" s="28"/>
      <c r="Q55" s="28"/>
      <c r="R55" s="99"/>
      <c r="S55" s="99"/>
      <c r="T55" s="99"/>
      <c r="U55" s="99"/>
      <c r="V55" s="99"/>
      <c r="W55" s="99"/>
      <c r="X55" s="99"/>
      <c r="Y55" s="99"/>
      <c r="Z55" s="99"/>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19"/>
      <c r="BK55" s="219"/>
    </row>
    <row r="56" spans="1:63" outlineLevel="1">
      <c r="A56" s="9"/>
      <c r="B56" s="44"/>
      <c r="C56" s="128" t="str">
        <f>Asset13</f>
        <v>132kV feeders underground</v>
      </c>
      <c r="D56" s="9"/>
      <c r="E56" s="9"/>
      <c r="F56" s="139"/>
      <c r="G56" s="191">
        <f>Input!G155*(1+previous_vanilla)^0.5</f>
        <v>44.392357999598133</v>
      </c>
      <c r="H56" s="109"/>
      <c r="I56" s="109"/>
      <c r="J56" s="109"/>
      <c r="K56" s="109"/>
      <c r="L56" s="109"/>
      <c r="M56" s="109"/>
      <c r="N56" s="28"/>
      <c r="O56" s="28"/>
      <c r="P56" s="28"/>
      <c r="Q56" s="28"/>
      <c r="R56" s="99"/>
      <c r="S56" s="99"/>
      <c r="T56" s="99"/>
      <c r="U56" s="99"/>
      <c r="V56" s="99"/>
      <c r="W56" s="99"/>
      <c r="X56" s="99"/>
      <c r="Y56" s="99"/>
      <c r="Z56" s="99"/>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19"/>
      <c r="BK56" s="219"/>
    </row>
    <row r="57" spans="1:63" outlineLevel="1">
      <c r="A57" s="9"/>
      <c r="B57" s="44"/>
      <c r="C57" s="128" t="str">
        <f>Asset14</f>
        <v>Cable tunnel (tx)</v>
      </c>
      <c r="D57" s="9"/>
      <c r="E57" s="9"/>
      <c r="F57" s="139"/>
      <c r="G57" s="191">
        <f>Input!G156*(1+previous_vanilla)^0.5</f>
        <v>3.3488974644548843E-3</v>
      </c>
      <c r="H57" s="109"/>
      <c r="I57" s="109"/>
      <c r="J57" s="109"/>
      <c r="K57" s="109"/>
      <c r="L57" s="109"/>
      <c r="M57" s="109"/>
      <c r="N57" s="28"/>
      <c r="O57" s="28"/>
      <c r="P57" s="28"/>
      <c r="Q57" s="28"/>
      <c r="R57" s="99"/>
      <c r="S57" s="99"/>
      <c r="T57" s="99"/>
      <c r="U57" s="99"/>
      <c r="V57" s="99"/>
      <c r="W57" s="99"/>
      <c r="X57" s="99"/>
      <c r="Y57" s="99"/>
      <c r="Z57" s="99"/>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19"/>
      <c r="BK57" s="219"/>
    </row>
    <row r="58" spans="1:63" outlineLevel="1">
      <c r="A58" s="9"/>
      <c r="B58" s="44"/>
      <c r="C58" s="128" t="str">
        <f>Asset15</f>
        <v>Network control &amp; com systems</v>
      </c>
      <c r="D58" s="9"/>
      <c r="E58" s="9"/>
      <c r="F58" s="139"/>
      <c r="G58" s="191">
        <f>Input!G157*(1+previous_vanilla)^0.5</f>
        <v>0</v>
      </c>
      <c r="H58" s="109"/>
      <c r="I58" s="109"/>
      <c r="J58" s="109"/>
      <c r="K58" s="109"/>
      <c r="L58" s="109"/>
      <c r="M58" s="109"/>
      <c r="N58" s="28"/>
      <c r="O58" s="28"/>
      <c r="P58" s="28"/>
      <c r="Q58" s="28"/>
      <c r="R58" s="99"/>
      <c r="S58" s="99"/>
      <c r="T58" s="99"/>
      <c r="U58" s="99"/>
      <c r="V58" s="99"/>
      <c r="W58" s="99"/>
      <c r="X58" s="99"/>
      <c r="Y58" s="99"/>
      <c r="Z58" s="99"/>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19"/>
      <c r="BK58" s="219"/>
    </row>
    <row r="59" spans="1:63" outlineLevel="1">
      <c r="A59" s="9"/>
      <c r="B59" s="44"/>
      <c r="C59" s="128" t="str">
        <f>Asset16</f>
        <v>Communications (digital) - tx</v>
      </c>
      <c r="D59" s="9"/>
      <c r="E59" s="9"/>
      <c r="F59" s="139"/>
      <c r="G59" s="191">
        <f>Input!G158*(1+previous_vanilla)^0.5</f>
        <v>0</v>
      </c>
      <c r="H59" s="109"/>
      <c r="I59" s="109"/>
      <c r="J59" s="109"/>
      <c r="K59" s="109"/>
      <c r="L59" s="109"/>
      <c r="M59" s="109"/>
      <c r="N59" s="28"/>
      <c r="O59" s="28"/>
      <c r="P59" s="28"/>
      <c r="Q59" s="28"/>
      <c r="R59" s="99"/>
      <c r="S59" s="99"/>
      <c r="T59" s="99"/>
      <c r="U59" s="99"/>
      <c r="V59" s="99"/>
      <c r="W59" s="99"/>
      <c r="X59" s="99"/>
      <c r="Y59" s="99"/>
      <c r="Z59" s="99"/>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19"/>
      <c r="BK59" s="219"/>
    </row>
    <row r="60" spans="1:63" outlineLevel="1">
      <c r="A60" s="9"/>
      <c r="B60" s="44"/>
      <c r="C60" s="128" t="str">
        <f>Asset17</f>
        <v>System IT (tx)</v>
      </c>
      <c r="D60" s="9"/>
      <c r="E60" s="9"/>
      <c r="F60" s="139"/>
      <c r="G60" s="191">
        <f>Input!G159*(1+previous_vanilla)^0.5</f>
        <v>0</v>
      </c>
      <c r="H60" s="109"/>
      <c r="I60" s="109"/>
      <c r="J60" s="109"/>
      <c r="K60" s="109"/>
      <c r="L60" s="109"/>
      <c r="M60" s="109"/>
      <c r="N60" s="28"/>
      <c r="O60" s="28"/>
      <c r="P60" s="28"/>
      <c r="Q60" s="28"/>
      <c r="R60" s="99"/>
      <c r="S60" s="99"/>
      <c r="T60" s="99"/>
      <c r="U60" s="99"/>
      <c r="V60" s="99"/>
      <c r="W60" s="99"/>
      <c r="X60" s="99"/>
      <c r="Y60" s="99"/>
      <c r="Z60" s="99"/>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19"/>
      <c r="BK60" s="219"/>
    </row>
    <row r="61" spans="1:63" outlineLevel="1">
      <c r="A61" s="9"/>
      <c r="B61" s="44"/>
      <c r="C61" s="128" t="str">
        <f>Asset18</f>
        <v>IT systems</v>
      </c>
      <c r="D61" s="9"/>
      <c r="E61" s="9"/>
      <c r="F61" s="139"/>
      <c r="G61" s="191">
        <f>Input!G160*(1+previous_vanilla)^0.5</f>
        <v>12.725774750114782</v>
      </c>
      <c r="H61" s="109"/>
      <c r="I61" s="109"/>
      <c r="J61" s="109"/>
      <c r="K61" s="109"/>
      <c r="L61" s="109"/>
      <c r="M61" s="109"/>
      <c r="N61" s="28"/>
      <c r="O61" s="28"/>
      <c r="P61" s="28"/>
      <c r="Q61" s="28"/>
      <c r="R61" s="99"/>
      <c r="S61" s="99"/>
      <c r="T61" s="99"/>
      <c r="U61" s="99"/>
      <c r="V61" s="99"/>
      <c r="W61" s="99"/>
      <c r="X61" s="99"/>
      <c r="Y61" s="99"/>
      <c r="Z61" s="99"/>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19"/>
      <c r="BK61" s="219"/>
    </row>
    <row r="62" spans="1:63" outlineLevel="1">
      <c r="A62" s="9"/>
      <c r="B62" s="44"/>
      <c r="C62" s="128" t="str">
        <f>Asset19</f>
        <v>Furniture, fittings, plant and equipment</v>
      </c>
      <c r="D62" s="9"/>
      <c r="E62" s="9"/>
      <c r="F62" s="139"/>
      <c r="G62" s="191">
        <f>Input!G161*(1+previous_vanilla)^0.5</f>
        <v>0.86612341229066847</v>
      </c>
      <c r="H62" s="109"/>
      <c r="I62" s="109"/>
      <c r="J62" s="109"/>
      <c r="K62" s="109"/>
      <c r="L62" s="109"/>
      <c r="M62" s="109"/>
      <c r="N62" s="28"/>
      <c r="O62" s="28"/>
      <c r="P62" s="28"/>
      <c r="Q62" s="28"/>
      <c r="R62" s="99"/>
      <c r="S62" s="99"/>
      <c r="T62" s="99"/>
      <c r="U62" s="99"/>
      <c r="V62" s="99"/>
      <c r="W62" s="99"/>
      <c r="X62" s="99"/>
      <c r="Y62" s="99"/>
      <c r="Z62" s="99"/>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19"/>
      <c r="BK62" s="219"/>
    </row>
    <row r="63" spans="1:63" outlineLevel="1">
      <c r="A63" s="9"/>
      <c r="B63" s="44"/>
      <c r="C63" s="128" t="str">
        <f>Asset20</f>
        <v>Motor vehicles</v>
      </c>
      <c r="D63" s="9"/>
      <c r="E63" s="9"/>
      <c r="F63" s="139"/>
      <c r="G63" s="191">
        <f>Input!G162*(1+previous_vanilla)^0.5</f>
        <v>3.3851115354574217</v>
      </c>
      <c r="H63" s="109"/>
      <c r="I63" s="109"/>
      <c r="J63" s="109"/>
      <c r="K63" s="109"/>
      <c r="L63" s="109"/>
      <c r="M63" s="109"/>
      <c r="N63" s="28"/>
      <c r="O63" s="28"/>
      <c r="P63" s="28"/>
      <c r="Q63" s="28"/>
      <c r="R63" s="99"/>
      <c r="S63" s="99"/>
      <c r="T63" s="99"/>
      <c r="U63" s="99"/>
      <c r="V63" s="99"/>
      <c r="W63" s="99"/>
      <c r="X63" s="99"/>
      <c r="Y63" s="99"/>
      <c r="Z63" s="99"/>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19"/>
      <c r="BK63" s="219"/>
    </row>
    <row r="64" spans="1:63" outlineLevel="1">
      <c r="A64" s="9"/>
      <c r="B64" s="44"/>
      <c r="C64" s="128" t="str">
        <f>Asset21</f>
        <v>Buildings</v>
      </c>
      <c r="D64" s="9"/>
      <c r="E64" s="9"/>
      <c r="F64" s="139"/>
      <c r="G64" s="191">
        <f>Input!G163*(1+previous_vanilla)^0.5</f>
        <v>8.1540334247725941</v>
      </c>
      <c r="H64" s="109"/>
      <c r="I64" s="109"/>
      <c r="J64" s="109"/>
      <c r="K64" s="109"/>
      <c r="L64" s="109"/>
      <c r="M64" s="109"/>
      <c r="N64" s="28"/>
      <c r="O64" s="28"/>
      <c r="P64" s="28"/>
      <c r="Q64" s="28"/>
      <c r="R64" s="99"/>
      <c r="S64" s="99"/>
      <c r="T64" s="99"/>
      <c r="U64" s="99"/>
      <c r="V64" s="99"/>
      <c r="W64" s="99"/>
      <c r="X64" s="99"/>
      <c r="Y64" s="99"/>
      <c r="Z64" s="99"/>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19"/>
      <c r="BK64" s="219"/>
    </row>
    <row r="65" spans="1:63" outlineLevel="1">
      <c r="A65" s="9"/>
      <c r="B65" s="44"/>
      <c r="C65" s="128" t="str">
        <f>Asset22</f>
        <v>Land (non-system)</v>
      </c>
      <c r="D65" s="9"/>
      <c r="E65" s="9"/>
      <c r="F65" s="139"/>
      <c r="G65" s="191">
        <f>Input!G164*(1+previous_vanilla)^0.5</f>
        <v>1.663299603955227</v>
      </c>
      <c r="H65" s="109"/>
      <c r="I65" s="109"/>
      <c r="J65" s="109"/>
      <c r="K65" s="109"/>
      <c r="L65" s="109"/>
      <c r="M65" s="109"/>
      <c r="N65" s="28"/>
      <c r="O65" s="28"/>
      <c r="P65" s="28"/>
      <c r="Q65" s="28"/>
      <c r="R65" s="99"/>
      <c r="S65" s="99"/>
      <c r="T65" s="99"/>
      <c r="U65" s="99"/>
      <c r="V65" s="99"/>
      <c r="W65" s="99"/>
      <c r="X65" s="99"/>
      <c r="Y65" s="99"/>
      <c r="Z65" s="99"/>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19"/>
      <c r="BK65" s="219"/>
    </row>
    <row r="66" spans="1:63" outlineLevel="1">
      <c r="A66" s="9"/>
      <c r="B66" s="44"/>
      <c r="C66" s="128" t="str">
        <f>Asset23</f>
        <v>Other non system assets</v>
      </c>
      <c r="D66" s="9"/>
      <c r="E66" s="9"/>
      <c r="F66" s="139"/>
      <c r="G66" s="191">
        <f>Input!G165*(1+previous_vanilla)^0.5</f>
        <v>0</v>
      </c>
      <c r="H66" s="109"/>
      <c r="I66" s="109"/>
      <c r="J66" s="109"/>
      <c r="K66" s="109"/>
      <c r="L66" s="109"/>
      <c r="M66" s="109"/>
      <c r="N66" s="28"/>
      <c r="O66" s="28"/>
      <c r="P66" s="28"/>
      <c r="Q66" s="28"/>
      <c r="R66" s="99"/>
      <c r="S66" s="99"/>
      <c r="T66" s="99"/>
      <c r="U66" s="99"/>
      <c r="V66" s="99"/>
      <c r="W66" s="99"/>
      <c r="X66" s="99"/>
      <c r="Y66" s="99"/>
      <c r="Z66" s="99"/>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19"/>
      <c r="BK66" s="219"/>
    </row>
    <row r="67" spans="1:63" outlineLevel="1">
      <c r="A67" s="9"/>
      <c r="B67" s="44"/>
      <c r="C67" s="128" t="str">
        <f>Asset24</f>
        <v>Equity raising costs</v>
      </c>
      <c r="D67" s="9"/>
      <c r="E67" s="9"/>
      <c r="F67" s="139"/>
      <c r="G67" s="191">
        <f>Input!G166*(1+previous_vanilla)^0.5</f>
        <v>0</v>
      </c>
      <c r="H67" s="109"/>
      <c r="I67" s="109"/>
      <c r="J67" s="109"/>
      <c r="K67" s="109"/>
      <c r="L67" s="109"/>
      <c r="M67" s="109"/>
      <c r="N67" s="28"/>
      <c r="O67" s="28"/>
      <c r="P67" s="28"/>
      <c r="Q67" s="28"/>
      <c r="R67" s="99"/>
      <c r="S67" s="99"/>
      <c r="T67" s="99"/>
      <c r="U67" s="99"/>
      <c r="V67" s="99"/>
      <c r="W67" s="99"/>
      <c r="X67" s="99"/>
      <c r="Y67" s="99"/>
      <c r="Z67" s="99"/>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19"/>
      <c r="BK67" s="219"/>
    </row>
    <row r="68" spans="1:63" outlineLevel="1">
      <c r="A68" s="9"/>
      <c r="B68" s="44"/>
      <c r="C68" s="128">
        <f>Asset25</f>
        <v>0</v>
      </c>
      <c r="D68" s="9"/>
      <c r="E68" s="9"/>
      <c r="F68" s="139"/>
      <c r="G68" s="191">
        <f>Input!G167*(1+previous_vanilla)^0.5</f>
        <v>0</v>
      </c>
      <c r="H68" s="109"/>
      <c r="I68" s="109"/>
      <c r="J68" s="109"/>
      <c r="K68" s="109"/>
      <c r="L68" s="109"/>
      <c r="M68" s="109"/>
      <c r="N68" s="28"/>
      <c r="O68" s="28"/>
      <c r="P68" s="28"/>
      <c r="Q68" s="28"/>
      <c r="R68" s="99"/>
      <c r="S68" s="99"/>
      <c r="T68" s="99"/>
      <c r="U68" s="99"/>
      <c r="V68" s="99"/>
      <c r="W68" s="99"/>
      <c r="X68" s="99"/>
      <c r="Y68" s="99"/>
      <c r="Z68" s="99"/>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19"/>
      <c r="BK68" s="219"/>
    </row>
    <row r="69" spans="1:63" outlineLevel="1">
      <c r="A69" s="9"/>
      <c r="B69" s="44"/>
      <c r="C69" s="128">
        <f>Asset26</f>
        <v>0</v>
      </c>
      <c r="D69" s="9"/>
      <c r="E69" s="9"/>
      <c r="F69" s="139"/>
      <c r="G69" s="191">
        <f>Input!G168*(1+previous_vanilla)^0.5</f>
        <v>0</v>
      </c>
      <c r="H69" s="109"/>
      <c r="I69" s="109"/>
      <c r="J69" s="109"/>
      <c r="K69" s="109"/>
      <c r="L69" s="109"/>
      <c r="M69" s="109"/>
      <c r="N69" s="28"/>
      <c r="O69" s="28"/>
      <c r="P69" s="28"/>
      <c r="Q69" s="28"/>
      <c r="R69" s="99"/>
      <c r="S69" s="99"/>
      <c r="T69" s="99"/>
      <c r="U69" s="99"/>
      <c r="V69" s="99"/>
      <c r="W69" s="99"/>
      <c r="X69" s="99"/>
      <c r="Y69" s="99"/>
      <c r="Z69" s="99"/>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19"/>
      <c r="BK69" s="219"/>
    </row>
    <row r="70" spans="1:63" outlineLevel="1">
      <c r="A70" s="9"/>
      <c r="B70" s="44"/>
      <c r="C70" s="128">
        <f>Asset27</f>
        <v>0</v>
      </c>
      <c r="D70" s="9"/>
      <c r="E70" s="9"/>
      <c r="F70" s="139"/>
      <c r="G70" s="191">
        <f>Input!G169*(1+previous_vanilla)^0.5</f>
        <v>0</v>
      </c>
      <c r="H70" s="109"/>
      <c r="I70" s="109"/>
      <c r="J70" s="109"/>
      <c r="K70" s="109"/>
      <c r="L70" s="109"/>
      <c r="M70" s="109"/>
      <c r="N70" s="28"/>
      <c r="O70" s="28"/>
      <c r="P70" s="28"/>
      <c r="Q70" s="28"/>
      <c r="R70" s="99"/>
      <c r="S70" s="99"/>
      <c r="T70" s="99"/>
      <c r="U70" s="99"/>
      <c r="V70" s="99"/>
      <c r="W70" s="99"/>
      <c r="X70" s="99"/>
      <c r="Y70" s="99"/>
      <c r="Z70" s="99"/>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19"/>
      <c r="BK70" s="219"/>
    </row>
    <row r="71" spans="1:63" outlineLevel="1">
      <c r="A71" s="9"/>
      <c r="B71" s="44"/>
      <c r="C71" s="128">
        <f>Asset28</f>
        <v>0</v>
      </c>
      <c r="D71" s="9"/>
      <c r="E71" s="9"/>
      <c r="F71" s="139"/>
      <c r="G71" s="191">
        <f>Input!G170*(1+previous_vanilla)^0.5</f>
        <v>0</v>
      </c>
      <c r="H71" s="109"/>
      <c r="I71" s="109"/>
      <c r="J71" s="109"/>
      <c r="K71" s="109"/>
      <c r="L71" s="109"/>
      <c r="M71" s="109"/>
      <c r="N71" s="28"/>
      <c r="O71" s="28"/>
      <c r="P71" s="28"/>
      <c r="Q71" s="28"/>
      <c r="R71" s="99"/>
      <c r="S71" s="99"/>
      <c r="T71" s="99"/>
      <c r="U71" s="99"/>
      <c r="V71" s="99"/>
      <c r="W71" s="99"/>
      <c r="X71" s="99"/>
      <c r="Y71" s="99"/>
      <c r="Z71" s="99"/>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19"/>
      <c r="BK71" s="219"/>
    </row>
    <row r="72" spans="1:63" outlineLevel="1">
      <c r="A72" s="9"/>
      <c r="B72" s="44"/>
      <c r="C72" s="128">
        <f>Asset29</f>
        <v>0</v>
      </c>
      <c r="D72" s="9"/>
      <c r="E72" s="9"/>
      <c r="F72" s="139"/>
      <c r="G72" s="191">
        <f>Input!G171*(1+previous_vanilla)^0.5</f>
        <v>0</v>
      </c>
      <c r="H72" s="109"/>
      <c r="I72" s="109"/>
      <c r="J72" s="109"/>
      <c r="K72" s="109"/>
      <c r="L72" s="109"/>
      <c r="M72" s="109"/>
      <c r="N72" s="28"/>
      <c r="O72" s="28"/>
      <c r="P72" s="28"/>
      <c r="Q72" s="28"/>
      <c r="R72" s="99"/>
      <c r="S72" s="99"/>
      <c r="T72" s="99"/>
      <c r="U72" s="99"/>
      <c r="V72" s="99"/>
      <c r="W72" s="99"/>
      <c r="X72" s="99"/>
      <c r="Y72" s="99"/>
      <c r="Z72" s="99"/>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19"/>
      <c r="BK72" s="219"/>
    </row>
    <row r="73" spans="1:63" outlineLevel="1">
      <c r="A73" s="9"/>
      <c r="B73" s="44"/>
      <c r="C73" s="128">
        <f>Asset30</f>
        <v>0</v>
      </c>
      <c r="D73" s="9"/>
      <c r="E73" s="9"/>
      <c r="F73" s="139"/>
      <c r="G73" s="191">
        <f>Input!G172*(1+previous_vanilla)^0.5</f>
        <v>0</v>
      </c>
      <c r="H73" s="109"/>
      <c r="I73" s="109"/>
      <c r="J73" s="109"/>
      <c r="K73" s="109"/>
      <c r="L73" s="109"/>
      <c r="M73" s="109"/>
      <c r="N73" s="28"/>
      <c r="O73" s="28"/>
      <c r="P73" s="28"/>
      <c r="Q73" s="28"/>
      <c r="R73" s="99"/>
      <c r="S73" s="99"/>
      <c r="T73" s="99"/>
      <c r="U73" s="99"/>
      <c r="V73" s="99"/>
      <c r="W73" s="99"/>
      <c r="X73" s="99"/>
      <c r="Y73" s="99"/>
      <c r="Z73" s="99"/>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19"/>
      <c r="BK73" s="219"/>
    </row>
    <row r="74" spans="1:63">
      <c r="A74" s="9"/>
      <c r="B74" s="44"/>
      <c r="C74" s="112"/>
      <c r="D74" s="9"/>
      <c r="E74" s="9"/>
      <c r="F74" s="139"/>
      <c r="G74" s="192"/>
      <c r="H74" s="36"/>
      <c r="I74" s="36"/>
      <c r="J74" s="36"/>
      <c r="K74" s="36"/>
      <c r="L74" s="36"/>
      <c r="M74" s="36"/>
      <c r="N74" s="28"/>
      <c r="O74" s="28"/>
      <c r="P74" s="28"/>
      <c r="Q74" s="28"/>
      <c r="R74" s="99"/>
      <c r="S74" s="99"/>
      <c r="T74" s="99"/>
      <c r="U74" s="99"/>
      <c r="V74" s="99"/>
      <c r="W74" s="99"/>
      <c r="X74" s="99"/>
      <c r="Y74" s="99"/>
      <c r="Z74" s="99"/>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19"/>
      <c r="BK74" s="219"/>
    </row>
    <row r="75" spans="1:63">
      <c r="A75" s="9"/>
      <c r="B75" s="44" t="s">
        <v>43</v>
      </c>
      <c r="C75" s="9"/>
      <c r="D75" s="9"/>
      <c r="E75" s="9"/>
      <c r="F75" s="139"/>
      <c r="G75" s="192">
        <f>SUM(G76:G105)</f>
        <v>-66.112600128695803</v>
      </c>
      <c r="H75" s="255"/>
      <c r="I75" s="255"/>
      <c r="J75" s="255"/>
      <c r="K75" s="255"/>
      <c r="L75" s="255"/>
      <c r="M75" s="108"/>
      <c r="N75" s="28"/>
      <c r="O75" s="28"/>
      <c r="P75" s="28"/>
      <c r="Q75" s="28"/>
      <c r="R75" s="99"/>
      <c r="S75" s="99"/>
      <c r="T75" s="99"/>
      <c r="U75" s="99"/>
      <c r="V75" s="99"/>
      <c r="W75" s="99"/>
      <c r="X75" s="99"/>
      <c r="Y75" s="99"/>
      <c r="Z75" s="99"/>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19"/>
      <c r="BK75" s="219"/>
    </row>
    <row r="76" spans="1:63" outlineLevel="1">
      <c r="A76" s="9"/>
      <c r="B76" s="44"/>
      <c r="C76" s="128" t="str">
        <f>Asset1</f>
        <v>Transmission &amp; Zone land &amp; easements</v>
      </c>
      <c r="D76" s="9"/>
      <c r="E76" s="9"/>
      <c r="F76" s="139"/>
      <c r="G76" s="191">
        <f>G44*(1+$F$6)/(1+$G$6)-G12</f>
        <v>-48.664286733568872</v>
      </c>
      <c r="H76" s="115"/>
      <c r="I76" s="115"/>
      <c r="J76" s="115"/>
      <c r="K76" s="115"/>
      <c r="L76" s="115"/>
      <c r="M76" s="149"/>
      <c r="N76" s="150"/>
      <c r="O76" s="150"/>
      <c r="P76" s="150"/>
      <c r="Q76" s="150"/>
      <c r="R76" s="99"/>
      <c r="S76" s="99"/>
      <c r="T76" s="99"/>
      <c r="U76" s="99"/>
      <c r="V76" s="99"/>
      <c r="W76" s="99"/>
      <c r="X76" s="99"/>
      <c r="Y76" s="99"/>
      <c r="Z76" s="99"/>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19"/>
      <c r="BK76" s="219"/>
    </row>
    <row r="77" spans="1:63" outlineLevel="1">
      <c r="A77" s="9"/>
      <c r="B77" s="44"/>
      <c r="C77" s="128" t="str">
        <f>Asset2</f>
        <v>Transmission buildings 132/66kV</v>
      </c>
      <c r="D77" s="9"/>
      <c r="E77" s="9"/>
      <c r="F77" s="139"/>
      <c r="G77" s="191">
        <f>G45*(1+$F$6)/(1+$G$6)-G13</f>
        <v>-12.08359202948143</v>
      </c>
      <c r="H77" s="115"/>
      <c r="I77" s="115"/>
      <c r="J77" s="115"/>
      <c r="K77" s="115"/>
      <c r="L77" s="115"/>
      <c r="M77" s="149"/>
      <c r="N77" s="150"/>
      <c r="O77" s="150"/>
      <c r="P77" s="150"/>
      <c r="Q77" s="150"/>
      <c r="R77" s="99"/>
      <c r="S77" s="99"/>
      <c r="T77" s="99"/>
      <c r="U77" s="99"/>
      <c r="V77" s="99"/>
      <c r="W77" s="99"/>
      <c r="X77" s="99"/>
      <c r="Y77" s="99"/>
      <c r="Z77" s="99"/>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19"/>
      <c r="BK77" s="219"/>
    </row>
    <row r="78" spans="1:63" outlineLevel="1">
      <c r="A78" s="9"/>
      <c r="B78" s="44"/>
      <c r="C78" s="128" t="str">
        <f>Asset3</f>
        <v>Zone buildings 132/66kV</v>
      </c>
      <c r="D78" s="9"/>
      <c r="E78" s="9"/>
      <c r="F78" s="139"/>
      <c r="G78" s="191">
        <f t="shared" ref="G78:G95" si="0">G46*(1+$F$6)/(1+$G$6)-G14</f>
        <v>6.1746840950592213E-2</v>
      </c>
      <c r="H78" s="115"/>
      <c r="I78" s="115"/>
      <c r="J78" s="115"/>
      <c r="K78" s="115"/>
      <c r="L78" s="115"/>
      <c r="M78" s="149"/>
      <c r="N78" s="150"/>
      <c r="O78" s="150"/>
      <c r="P78" s="150"/>
      <c r="Q78" s="150"/>
      <c r="R78" s="99"/>
      <c r="S78" s="99"/>
      <c r="T78" s="99"/>
      <c r="U78" s="99"/>
      <c r="V78" s="99"/>
      <c r="W78" s="99"/>
      <c r="X78" s="99"/>
      <c r="Y78" s="99"/>
      <c r="Z78" s="99"/>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19"/>
      <c r="BK78" s="219"/>
    </row>
    <row r="79" spans="1:63" outlineLevel="1">
      <c r="A79" s="9"/>
      <c r="B79" s="44"/>
      <c r="C79" s="128" t="str">
        <f>Asset4</f>
        <v>Transmission transformers 132/66kV</v>
      </c>
      <c r="D79" s="9"/>
      <c r="E79" s="9"/>
      <c r="F79" s="139"/>
      <c r="G79" s="191">
        <f t="shared" si="0"/>
        <v>1.0527350540133691</v>
      </c>
      <c r="H79" s="115"/>
      <c r="I79" s="115"/>
      <c r="J79" s="115"/>
      <c r="K79" s="115"/>
      <c r="L79" s="115"/>
      <c r="M79" s="149"/>
      <c r="N79" s="150"/>
      <c r="O79" s="150"/>
      <c r="P79" s="150"/>
      <c r="Q79" s="150"/>
      <c r="R79" s="99"/>
      <c r="S79" s="99"/>
      <c r="T79" s="99"/>
      <c r="U79" s="99"/>
      <c r="V79" s="99"/>
      <c r="W79" s="99"/>
      <c r="X79" s="99"/>
      <c r="Y79" s="99"/>
      <c r="Z79" s="99"/>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19"/>
      <c r="BK79" s="219"/>
    </row>
    <row r="80" spans="1:63" outlineLevel="1">
      <c r="A80" s="9"/>
      <c r="B80" s="44"/>
      <c r="C80" s="128" t="str">
        <f>Asset5</f>
        <v>Zone transformers 132/66kV</v>
      </c>
      <c r="D80" s="9"/>
      <c r="E80" s="9"/>
      <c r="F80" s="139"/>
      <c r="G80" s="191">
        <f t="shared" si="0"/>
        <v>0.2650799092439744</v>
      </c>
      <c r="H80" s="115"/>
      <c r="I80" s="115"/>
      <c r="J80" s="115"/>
      <c r="K80" s="115"/>
      <c r="L80" s="115"/>
      <c r="M80" s="149"/>
      <c r="N80" s="150"/>
      <c r="O80" s="150"/>
      <c r="P80" s="150"/>
      <c r="Q80" s="150"/>
      <c r="R80" s="99"/>
      <c r="S80" s="99"/>
      <c r="T80" s="99"/>
      <c r="U80" s="99"/>
      <c r="V80" s="99"/>
      <c r="W80" s="99"/>
      <c r="X80" s="99"/>
      <c r="Y80" s="99"/>
      <c r="Z80" s="99"/>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19"/>
      <c r="BK80" s="219"/>
    </row>
    <row r="81" spans="1:63" outlineLevel="1">
      <c r="A81" s="9"/>
      <c r="B81" s="44"/>
      <c r="C81" s="128" t="str">
        <f>Asset6</f>
        <v>Transmission substation equip 132/66kV</v>
      </c>
      <c r="D81" s="9"/>
      <c r="E81" s="9"/>
      <c r="F81" s="139"/>
      <c r="G81" s="191">
        <f t="shared" si="0"/>
        <v>-4.0835938964822489</v>
      </c>
      <c r="H81" s="115"/>
      <c r="I81" s="115"/>
      <c r="J81" s="115"/>
      <c r="K81" s="115"/>
      <c r="L81" s="115"/>
      <c r="M81" s="149"/>
      <c r="N81" s="150"/>
      <c r="O81" s="150"/>
      <c r="P81" s="150"/>
      <c r="Q81" s="150"/>
      <c r="R81" s="99"/>
      <c r="S81" s="99"/>
      <c r="T81" s="99"/>
      <c r="U81" s="99"/>
      <c r="V81" s="99"/>
      <c r="W81" s="99"/>
      <c r="X81" s="99"/>
      <c r="Y81" s="99"/>
      <c r="Z81" s="99"/>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19"/>
      <c r="BK81" s="219"/>
    </row>
    <row r="82" spans="1:63" outlineLevel="1">
      <c r="A82" s="9"/>
      <c r="B82" s="44"/>
      <c r="C82" s="128" t="str">
        <f>Asset7</f>
        <v>Zone substation equip 132/66kV</v>
      </c>
      <c r="D82" s="9"/>
      <c r="E82" s="9"/>
      <c r="F82" s="139"/>
      <c r="G82" s="191">
        <f t="shared" si="0"/>
        <v>-4.0162582949216716</v>
      </c>
      <c r="H82" s="115"/>
      <c r="I82" s="115"/>
      <c r="J82" s="115"/>
      <c r="K82" s="115"/>
      <c r="L82" s="115"/>
      <c r="M82" s="149"/>
      <c r="N82" s="150"/>
      <c r="O82" s="150"/>
      <c r="P82" s="150"/>
      <c r="Q82" s="150"/>
      <c r="R82" s="99"/>
      <c r="S82" s="99"/>
      <c r="T82" s="99"/>
      <c r="U82" s="99"/>
      <c r="V82" s="99"/>
      <c r="W82" s="99"/>
      <c r="X82" s="99"/>
      <c r="Y82" s="99"/>
      <c r="Z82" s="99"/>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19"/>
      <c r="BK82" s="219"/>
    </row>
    <row r="83" spans="1:63" outlineLevel="1">
      <c r="A83" s="9"/>
      <c r="B83" s="44"/>
      <c r="C83" s="128" t="str">
        <f>Asset8</f>
        <v>Transmission &amp; Zone emergency spares</v>
      </c>
      <c r="D83" s="9"/>
      <c r="E83" s="9"/>
      <c r="F83" s="139"/>
      <c r="G83" s="191">
        <f t="shared" si="0"/>
        <v>0</v>
      </c>
      <c r="H83" s="115"/>
      <c r="I83" s="115"/>
      <c r="J83" s="115"/>
      <c r="K83" s="115"/>
      <c r="L83" s="115"/>
      <c r="M83" s="149"/>
      <c r="N83" s="150"/>
      <c r="O83" s="150"/>
      <c r="P83" s="150"/>
      <c r="Q83" s="150"/>
      <c r="R83" s="99"/>
      <c r="S83" s="99"/>
      <c r="T83" s="99"/>
      <c r="U83" s="99"/>
      <c r="V83" s="99"/>
      <c r="W83" s="99"/>
      <c r="X83" s="99"/>
      <c r="Y83" s="99"/>
      <c r="Z83" s="99"/>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19"/>
      <c r="BK83" s="219"/>
    </row>
    <row r="84" spans="1:63" outlineLevel="1">
      <c r="A84" s="9"/>
      <c r="B84" s="44"/>
      <c r="C84" s="128" t="str">
        <f>Asset9</f>
        <v>Ancillary substation equipment (tx)</v>
      </c>
      <c r="D84" s="9"/>
      <c r="E84" s="9"/>
      <c r="F84" s="139"/>
      <c r="G84" s="191">
        <f t="shared" si="0"/>
        <v>0.90256969445267599</v>
      </c>
      <c r="H84" s="115"/>
      <c r="I84" s="115"/>
      <c r="J84" s="115"/>
      <c r="K84" s="115"/>
      <c r="L84" s="115"/>
      <c r="M84" s="149"/>
      <c r="N84" s="150"/>
      <c r="O84" s="150"/>
      <c r="P84" s="150"/>
      <c r="Q84" s="150"/>
      <c r="R84" s="99"/>
      <c r="S84" s="99"/>
      <c r="T84" s="99"/>
      <c r="U84" s="99"/>
      <c r="V84" s="99"/>
      <c r="W84" s="99"/>
      <c r="X84" s="99"/>
      <c r="Y84" s="99"/>
      <c r="Z84" s="99"/>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19"/>
      <c r="BK84" s="219"/>
    </row>
    <row r="85" spans="1:63" outlineLevel="1">
      <c r="A85" s="9"/>
      <c r="B85" s="44"/>
      <c r="C85" s="128" t="str">
        <f>Asset10</f>
        <v>132kV tower lines</v>
      </c>
      <c r="D85" s="9"/>
      <c r="E85" s="9"/>
      <c r="F85" s="139"/>
      <c r="G85" s="191">
        <f t="shared" si="0"/>
        <v>1.1983392585107362</v>
      </c>
      <c r="H85" s="115"/>
      <c r="I85" s="115"/>
      <c r="J85" s="115"/>
      <c r="K85" s="115"/>
      <c r="L85" s="115"/>
      <c r="M85" s="149"/>
      <c r="N85" s="150"/>
      <c r="O85" s="150"/>
      <c r="P85" s="150"/>
      <c r="Q85" s="150"/>
      <c r="R85" s="99"/>
      <c r="S85" s="99"/>
      <c r="T85" s="99"/>
      <c r="U85" s="99"/>
      <c r="V85" s="99"/>
      <c r="W85" s="99"/>
      <c r="X85" s="99"/>
      <c r="Y85" s="99"/>
      <c r="Z85" s="99"/>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19"/>
      <c r="BK85" s="219"/>
    </row>
    <row r="86" spans="1:63" outlineLevel="1">
      <c r="A86" s="9"/>
      <c r="B86" s="44"/>
      <c r="C86" s="128" t="str">
        <f>Asset11</f>
        <v>132kV concrete &amp; steel pole lines</v>
      </c>
      <c r="D86" s="9"/>
      <c r="E86" s="9"/>
      <c r="F86" s="139"/>
      <c r="G86" s="191">
        <f t="shared" si="0"/>
        <v>3.1275227237852397</v>
      </c>
      <c r="H86" s="115"/>
      <c r="I86" s="115"/>
      <c r="J86" s="115"/>
      <c r="K86" s="115"/>
      <c r="L86" s="115"/>
      <c r="M86" s="149"/>
      <c r="N86" s="150"/>
      <c r="O86" s="150"/>
      <c r="P86" s="150"/>
      <c r="Q86" s="150"/>
      <c r="R86" s="99"/>
      <c r="S86" s="99"/>
      <c r="T86" s="99"/>
      <c r="U86" s="99"/>
      <c r="V86" s="99"/>
      <c r="W86" s="99"/>
      <c r="X86" s="99"/>
      <c r="Y86" s="99"/>
      <c r="Z86" s="99"/>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19"/>
      <c r="BK86" s="219"/>
    </row>
    <row r="87" spans="1:63" outlineLevel="1">
      <c r="A87" s="9"/>
      <c r="B87" s="44"/>
      <c r="C87" s="128" t="str">
        <f>Asset12</f>
        <v>132kV wood pole lines</v>
      </c>
      <c r="D87" s="9"/>
      <c r="E87" s="9"/>
      <c r="F87" s="139"/>
      <c r="G87" s="191">
        <f t="shared" si="0"/>
        <v>0.42998362994207895</v>
      </c>
      <c r="H87" s="115"/>
      <c r="I87" s="115"/>
      <c r="J87" s="115"/>
      <c r="K87" s="115"/>
      <c r="L87" s="115"/>
      <c r="M87" s="149"/>
      <c r="N87" s="150"/>
      <c r="O87" s="150"/>
      <c r="P87" s="150"/>
      <c r="Q87" s="150"/>
      <c r="R87" s="99"/>
      <c r="S87" s="99"/>
      <c r="T87" s="99"/>
      <c r="U87" s="99"/>
      <c r="V87" s="99"/>
      <c r="W87" s="99"/>
      <c r="X87" s="99"/>
      <c r="Y87" s="99"/>
      <c r="Z87" s="99"/>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19"/>
      <c r="BK87" s="219"/>
    </row>
    <row r="88" spans="1:63" outlineLevel="1">
      <c r="A88" s="9"/>
      <c r="B88" s="44"/>
      <c r="C88" s="128" t="str">
        <f>Asset13</f>
        <v>132kV feeders underground</v>
      </c>
      <c r="D88" s="9"/>
      <c r="E88" s="9"/>
      <c r="F88" s="139"/>
      <c r="G88" s="191">
        <f t="shared" si="0"/>
        <v>-6.9721120904387845</v>
      </c>
      <c r="H88" s="115"/>
      <c r="I88" s="115"/>
      <c r="J88" s="115"/>
      <c r="K88" s="115"/>
      <c r="L88" s="115"/>
      <c r="M88" s="149"/>
      <c r="N88" s="150"/>
      <c r="O88" s="150"/>
      <c r="P88" s="150"/>
      <c r="Q88" s="150"/>
      <c r="R88" s="99"/>
      <c r="S88" s="99"/>
      <c r="T88" s="99"/>
      <c r="U88" s="99"/>
      <c r="V88" s="99"/>
      <c r="W88" s="99"/>
      <c r="X88" s="99"/>
      <c r="Y88" s="99"/>
      <c r="Z88" s="99"/>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19"/>
      <c r="BK88" s="219"/>
    </row>
    <row r="89" spans="1:63" outlineLevel="1">
      <c r="A89" s="9"/>
      <c r="B89" s="44"/>
      <c r="C89" s="128" t="str">
        <f>Asset14</f>
        <v>Cable tunnel (tx)</v>
      </c>
      <c r="D89" s="9"/>
      <c r="E89" s="9"/>
      <c r="F89" s="139"/>
      <c r="G89" s="191">
        <f t="shared" si="0"/>
        <v>3.3500057036880064E-3</v>
      </c>
      <c r="H89" s="115"/>
      <c r="I89" s="115"/>
      <c r="J89" s="115"/>
      <c r="K89" s="115"/>
      <c r="L89" s="115"/>
      <c r="M89" s="149"/>
      <c r="N89" s="150"/>
      <c r="O89" s="150"/>
      <c r="P89" s="150"/>
      <c r="Q89" s="150"/>
      <c r="R89" s="99"/>
      <c r="S89" s="99"/>
      <c r="T89" s="99"/>
      <c r="U89" s="99"/>
      <c r="V89" s="99"/>
      <c r="W89" s="99"/>
      <c r="X89" s="99"/>
      <c r="Y89" s="99"/>
      <c r="Z89" s="99"/>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19"/>
      <c r="BK89" s="219"/>
    </row>
    <row r="90" spans="1:63" outlineLevel="1">
      <c r="A90" s="9"/>
      <c r="B90" s="44"/>
      <c r="C90" s="128" t="str">
        <f>Asset15</f>
        <v>Network control &amp; com systems</v>
      </c>
      <c r="D90" s="9"/>
      <c r="E90" s="9"/>
      <c r="F90" s="139"/>
      <c r="G90" s="191">
        <f t="shared" si="0"/>
        <v>-0.20885837683695108</v>
      </c>
      <c r="H90" s="115"/>
      <c r="I90" s="115"/>
      <c r="J90" s="115"/>
      <c r="K90" s="115"/>
      <c r="L90" s="115"/>
      <c r="M90" s="149"/>
      <c r="N90" s="150"/>
      <c r="O90" s="150"/>
      <c r="P90" s="150"/>
      <c r="Q90" s="150"/>
      <c r="R90" s="99"/>
      <c r="S90" s="99"/>
      <c r="T90" s="99"/>
      <c r="U90" s="99"/>
      <c r="V90" s="99"/>
      <c r="W90" s="99"/>
      <c r="X90" s="99"/>
      <c r="Y90" s="99"/>
      <c r="Z90" s="99"/>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19"/>
      <c r="BK90" s="219"/>
    </row>
    <row r="91" spans="1:63" outlineLevel="1">
      <c r="A91" s="9"/>
      <c r="B91" s="44"/>
      <c r="C91" s="128" t="str">
        <f>Asset16</f>
        <v>Communications (digital) - tx</v>
      </c>
      <c r="D91" s="9"/>
      <c r="E91" s="9"/>
      <c r="F91" s="139"/>
      <c r="G91" s="191">
        <f t="shared" si="0"/>
        <v>0</v>
      </c>
      <c r="H91" s="115"/>
      <c r="I91" s="115"/>
      <c r="J91" s="115"/>
      <c r="K91" s="115"/>
      <c r="L91" s="115"/>
      <c r="M91" s="149"/>
      <c r="N91" s="150"/>
      <c r="O91" s="150"/>
      <c r="P91" s="150"/>
      <c r="Q91" s="150"/>
      <c r="R91" s="99"/>
      <c r="S91" s="99"/>
      <c r="T91" s="99"/>
      <c r="U91" s="99"/>
      <c r="V91" s="99"/>
      <c r="W91" s="99"/>
      <c r="X91" s="99"/>
      <c r="Y91" s="99"/>
      <c r="Z91" s="99"/>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19"/>
      <c r="BK91" s="219"/>
    </row>
    <row r="92" spans="1:63" outlineLevel="1">
      <c r="A92" s="9"/>
      <c r="B92" s="44"/>
      <c r="C92" s="128" t="str">
        <f>Asset17</f>
        <v>System IT (tx)</v>
      </c>
      <c r="D92" s="9"/>
      <c r="E92" s="9"/>
      <c r="F92" s="139"/>
      <c r="G92" s="191">
        <f t="shared" si="0"/>
        <v>0</v>
      </c>
      <c r="H92" s="115"/>
      <c r="I92" s="115"/>
      <c r="J92" s="115"/>
      <c r="K92" s="115"/>
      <c r="L92" s="115"/>
      <c r="M92" s="149"/>
      <c r="N92" s="150"/>
      <c r="O92" s="150"/>
      <c r="P92" s="150"/>
      <c r="Q92" s="150"/>
      <c r="R92" s="99"/>
      <c r="S92" s="99"/>
      <c r="T92" s="99"/>
      <c r="U92" s="99"/>
      <c r="V92" s="99"/>
      <c r="W92" s="99"/>
      <c r="X92" s="99"/>
      <c r="Y92" s="99"/>
      <c r="Z92" s="99"/>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19"/>
      <c r="BK92" s="219"/>
    </row>
    <row r="93" spans="1:63" outlineLevel="1">
      <c r="A93" s="9"/>
      <c r="B93" s="44"/>
      <c r="C93" s="128" t="str">
        <f>Asset18</f>
        <v>IT systems</v>
      </c>
      <c r="D93" s="9"/>
      <c r="E93" s="9"/>
      <c r="F93" s="139"/>
      <c r="G93" s="191">
        <f t="shared" si="0"/>
        <v>7.2413380890631496</v>
      </c>
      <c r="H93" s="115"/>
      <c r="I93" s="115"/>
      <c r="J93" s="115"/>
      <c r="K93" s="115"/>
      <c r="L93" s="115"/>
      <c r="M93" s="149"/>
      <c r="N93" s="150"/>
      <c r="O93" s="150"/>
      <c r="P93" s="150"/>
      <c r="Q93" s="150"/>
      <c r="R93" s="99"/>
      <c r="S93" s="99"/>
      <c r="T93" s="99"/>
      <c r="U93" s="99"/>
      <c r="V93" s="99"/>
      <c r="W93" s="99"/>
      <c r="X93" s="99"/>
      <c r="Y93" s="99"/>
      <c r="Z93" s="99"/>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19"/>
      <c r="BK93" s="219"/>
    </row>
    <row r="94" spans="1:63" outlineLevel="1">
      <c r="A94" s="9"/>
      <c r="B94" s="44"/>
      <c r="C94" s="128" t="str">
        <f>Asset19</f>
        <v>Furniture, fittings, plant and equipment</v>
      </c>
      <c r="D94" s="9"/>
      <c r="E94" s="9"/>
      <c r="F94" s="139"/>
      <c r="G94" s="191">
        <f t="shared" si="0"/>
        <v>-0.42720746845737612</v>
      </c>
      <c r="H94" s="115"/>
      <c r="I94" s="115"/>
      <c r="J94" s="115"/>
      <c r="K94" s="115"/>
      <c r="L94" s="115"/>
      <c r="M94" s="149"/>
      <c r="N94" s="150"/>
      <c r="O94" s="150"/>
      <c r="P94" s="150"/>
      <c r="Q94" s="150"/>
      <c r="R94" s="99"/>
      <c r="S94" s="99"/>
      <c r="T94" s="99"/>
      <c r="U94" s="99"/>
      <c r="V94" s="99"/>
      <c r="W94" s="99"/>
      <c r="X94" s="99"/>
      <c r="Y94" s="99"/>
      <c r="Z94" s="99"/>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19"/>
      <c r="BK94" s="219"/>
    </row>
    <row r="95" spans="1:63" outlineLevel="1">
      <c r="A95" s="9"/>
      <c r="B95" s="44"/>
      <c r="C95" s="128" t="str">
        <f>Asset20</f>
        <v>Motor vehicles</v>
      </c>
      <c r="D95" s="9"/>
      <c r="E95" s="9"/>
      <c r="F95" s="139"/>
      <c r="G95" s="191">
        <f t="shared" si="0"/>
        <v>-0.8353404137346998</v>
      </c>
      <c r="H95" s="115"/>
      <c r="I95" s="115"/>
      <c r="J95" s="115"/>
      <c r="K95" s="115"/>
      <c r="L95" s="115"/>
      <c r="M95" s="149"/>
      <c r="N95" s="150"/>
      <c r="O95" s="150"/>
      <c r="P95" s="150"/>
      <c r="Q95" s="150"/>
      <c r="R95" s="99"/>
      <c r="S95" s="99"/>
      <c r="T95" s="99"/>
      <c r="U95" s="99"/>
      <c r="V95" s="99"/>
      <c r="W95" s="99"/>
      <c r="X95" s="99"/>
      <c r="Y95" s="99"/>
      <c r="Z95" s="99"/>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19"/>
      <c r="BK95" s="219"/>
    </row>
    <row r="96" spans="1:63" outlineLevel="1">
      <c r="A96" s="9"/>
      <c r="B96" s="44"/>
      <c r="C96" s="128" t="str">
        <f>Asset21</f>
        <v>Buildings</v>
      </c>
      <c r="D96" s="9"/>
      <c r="E96" s="9"/>
      <c r="F96" s="139"/>
      <c r="G96" s="191">
        <f t="shared" ref="G96:G105" si="1">G64*(1+$F$6)/(1+$G$6)-G32</f>
        <v>2.3937199569687229</v>
      </c>
      <c r="H96" s="115"/>
      <c r="I96" s="115"/>
      <c r="J96" s="115"/>
      <c r="K96" s="115"/>
      <c r="L96" s="115"/>
      <c r="M96" s="149"/>
      <c r="N96" s="150"/>
      <c r="O96" s="150"/>
      <c r="P96" s="150"/>
      <c r="Q96" s="150"/>
      <c r="R96" s="99"/>
      <c r="S96" s="99"/>
      <c r="T96" s="99"/>
      <c r="U96" s="99"/>
      <c r="V96" s="99"/>
      <c r="W96" s="99"/>
      <c r="X96" s="99"/>
      <c r="Y96" s="99"/>
      <c r="Z96" s="99"/>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19"/>
      <c r="BK96" s="219"/>
    </row>
    <row r="97" spans="1:63" outlineLevel="1">
      <c r="A97" s="9"/>
      <c r="B97" s="44"/>
      <c r="C97" s="128" t="str">
        <f>Asset22</f>
        <v>Land (non-system)</v>
      </c>
      <c r="D97" s="9"/>
      <c r="E97" s="9"/>
      <c r="F97" s="139"/>
      <c r="G97" s="191">
        <f t="shared" si="1"/>
        <v>-0.5163880606022262</v>
      </c>
      <c r="H97" s="115"/>
      <c r="I97" s="115"/>
      <c r="J97" s="115"/>
      <c r="K97" s="115"/>
      <c r="L97" s="115"/>
      <c r="M97" s="149"/>
      <c r="N97" s="150"/>
      <c r="O97" s="150"/>
      <c r="P97" s="150"/>
      <c r="Q97" s="150"/>
      <c r="R97" s="99"/>
      <c r="S97" s="99"/>
      <c r="T97" s="99"/>
      <c r="U97" s="99"/>
      <c r="V97" s="99"/>
      <c r="W97" s="99"/>
      <c r="X97" s="99"/>
      <c r="Y97" s="99"/>
      <c r="Z97" s="99"/>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19"/>
      <c r="BK97" s="219"/>
    </row>
    <row r="98" spans="1:63" outlineLevel="1">
      <c r="A98" s="9"/>
      <c r="B98" s="44"/>
      <c r="C98" s="128" t="str">
        <f>Asset23</f>
        <v>Other non system assets</v>
      </c>
      <c r="D98" s="9"/>
      <c r="E98" s="9"/>
      <c r="F98" s="139"/>
      <c r="G98" s="191">
        <f t="shared" si="1"/>
        <v>-4.9813479268057739</v>
      </c>
      <c r="H98" s="115"/>
      <c r="I98" s="115"/>
      <c r="J98" s="115"/>
      <c r="K98" s="115"/>
      <c r="L98" s="115"/>
      <c r="M98" s="149"/>
      <c r="N98" s="150"/>
      <c r="O98" s="150"/>
      <c r="P98" s="150"/>
      <c r="Q98" s="150"/>
      <c r="R98" s="99"/>
      <c r="S98" s="99"/>
      <c r="T98" s="99"/>
      <c r="U98" s="99"/>
      <c r="V98" s="99"/>
      <c r="W98" s="99"/>
      <c r="X98" s="99"/>
      <c r="Y98" s="99"/>
      <c r="Z98" s="99"/>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19"/>
      <c r="BK98" s="219"/>
    </row>
    <row r="99" spans="1:63" outlineLevel="1">
      <c r="A99" s="9"/>
      <c r="B99" s="44"/>
      <c r="C99" s="128" t="str">
        <f>Asset24</f>
        <v>Equity raising costs</v>
      </c>
      <c r="D99" s="9"/>
      <c r="E99" s="9"/>
      <c r="F99" s="139"/>
      <c r="G99" s="191">
        <f t="shared" si="1"/>
        <v>0</v>
      </c>
      <c r="H99" s="115"/>
      <c r="I99" s="115"/>
      <c r="J99" s="115"/>
      <c r="K99" s="115"/>
      <c r="L99" s="115"/>
      <c r="M99" s="149"/>
      <c r="N99" s="150"/>
      <c r="O99" s="150"/>
      <c r="P99" s="150"/>
      <c r="Q99" s="150"/>
      <c r="R99" s="99"/>
      <c r="S99" s="99"/>
      <c r="T99" s="99"/>
      <c r="U99" s="99"/>
      <c r="V99" s="99"/>
      <c r="W99" s="99"/>
      <c r="X99" s="99"/>
      <c r="Y99" s="99"/>
      <c r="Z99" s="99"/>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19"/>
      <c r="BK99" s="219"/>
    </row>
    <row r="100" spans="1:63" outlineLevel="1">
      <c r="A100" s="9"/>
      <c r="B100" s="44"/>
      <c r="C100" s="128">
        <f>Asset25</f>
        <v>0</v>
      </c>
      <c r="D100" s="9"/>
      <c r="E100" s="9"/>
      <c r="F100" s="139"/>
      <c r="G100" s="191">
        <f t="shared" si="1"/>
        <v>0</v>
      </c>
      <c r="H100" s="115"/>
      <c r="I100" s="115"/>
      <c r="J100" s="115"/>
      <c r="K100" s="115"/>
      <c r="L100" s="115"/>
      <c r="M100" s="149"/>
      <c r="N100" s="150"/>
      <c r="O100" s="150"/>
      <c r="P100" s="150"/>
      <c r="Q100" s="150"/>
      <c r="R100" s="99"/>
      <c r="S100" s="99"/>
      <c r="T100" s="99"/>
      <c r="U100" s="99"/>
      <c r="V100" s="99"/>
      <c r="W100" s="99"/>
      <c r="X100" s="99"/>
      <c r="Y100" s="99"/>
      <c r="Z100" s="99"/>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19"/>
      <c r="BK100" s="219"/>
    </row>
    <row r="101" spans="1:63" outlineLevel="1">
      <c r="A101" s="9"/>
      <c r="B101" s="44"/>
      <c r="C101" s="128">
        <f>Asset26</f>
        <v>0</v>
      </c>
      <c r="D101" s="9"/>
      <c r="E101" s="9"/>
      <c r="F101" s="139"/>
      <c r="G101" s="191">
        <f t="shared" si="1"/>
        <v>0</v>
      </c>
      <c r="H101" s="115"/>
      <c r="I101" s="115"/>
      <c r="J101" s="115"/>
      <c r="K101" s="115"/>
      <c r="L101" s="115"/>
      <c r="M101" s="149"/>
      <c r="N101" s="150"/>
      <c r="O101" s="150"/>
      <c r="P101" s="150"/>
      <c r="Q101" s="150"/>
      <c r="R101" s="99"/>
      <c r="S101" s="99"/>
      <c r="T101" s="99"/>
      <c r="U101" s="99"/>
      <c r="V101" s="99"/>
      <c r="W101" s="99"/>
      <c r="X101" s="99"/>
      <c r="Y101" s="99"/>
      <c r="Z101" s="99"/>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19"/>
      <c r="BK101" s="219"/>
    </row>
    <row r="102" spans="1:63" outlineLevel="1">
      <c r="A102" s="9"/>
      <c r="B102" s="44"/>
      <c r="C102" s="128">
        <f>Asset27</f>
        <v>0</v>
      </c>
      <c r="D102" s="9"/>
      <c r="E102" s="9"/>
      <c r="F102" s="139"/>
      <c r="G102" s="191">
        <f t="shared" si="1"/>
        <v>0</v>
      </c>
      <c r="H102" s="115"/>
      <c r="I102" s="115"/>
      <c r="J102" s="115"/>
      <c r="K102" s="115"/>
      <c r="L102" s="115"/>
      <c r="M102" s="149"/>
      <c r="N102" s="150"/>
      <c r="O102" s="150"/>
      <c r="P102" s="150"/>
      <c r="Q102" s="150"/>
      <c r="R102" s="99"/>
      <c r="S102" s="99"/>
      <c r="T102" s="99"/>
      <c r="U102" s="99"/>
      <c r="V102" s="99"/>
      <c r="W102" s="99"/>
      <c r="X102" s="99"/>
      <c r="Y102" s="99"/>
      <c r="Z102" s="99"/>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19"/>
      <c r="BK102" s="219"/>
    </row>
    <row r="103" spans="1:63" outlineLevel="1">
      <c r="A103" s="9"/>
      <c r="B103" s="44"/>
      <c r="C103" s="128">
        <f>Asset28</f>
        <v>0</v>
      </c>
      <c r="D103" s="9"/>
      <c r="E103" s="9"/>
      <c r="F103" s="139"/>
      <c r="G103" s="191">
        <f t="shared" si="1"/>
        <v>0</v>
      </c>
      <c r="H103" s="115"/>
      <c r="I103" s="115"/>
      <c r="J103" s="115"/>
      <c r="K103" s="115"/>
      <c r="L103" s="115"/>
      <c r="M103" s="149"/>
      <c r="N103" s="150"/>
      <c r="O103" s="150"/>
      <c r="P103" s="150"/>
      <c r="Q103" s="150"/>
      <c r="R103" s="99"/>
      <c r="S103" s="99"/>
      <c r="T103" s="99"/>
      <c r="U103" s="99"/>
      <c r="V103" s="99"/>
      <c r="W103" s="99"/>
      <c r="X103" s="99"/>
      <c r="Y103" s="99"/>
      <c r="Z103" s="99"/>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19"/>
      <c r="BK103" s="219"/>
    </row>
    <row r="104" spans="1:63" outlineLevel="1">
      <c r="A104" s="9"/>
      <c r="B104" s="44"/>
      <c r="C104" s="128">
        <f>Asset29</f>
        <v>0</v>
      </c>
      <c r="D104" s="9"/>
      <c r="E104" s="9"/>
      <c r="F104" s="139"/>
      <c r="G104" s="191">
        <f t="shared" si="1"/>
        <v>0</v>
      </c>
      <c r="H104" s="115"/>
      <c r="I104" s="115"/>
      <c r="J104" s="115"/>
      <c r="K104" s="115"/>
      <c r="L104" s="115"/>
      <c r="M104" s="149"/>
      <c r="N104" s="150"/>
      <c r="O104" s="150"/>
      <c r="P104" s="150"/>
      <c r="Q104" s="150"/>
      <c r="R104" s="99"/>
      <c r="S104" s="99"/>
      <c r="T104" s="99"/>
      <c r="U104" s="99"/>
      <c r="V104" s="99"/>
      <c r="W104" s="99"/>
      <c r="X104" s="99"/>
      <c r="Y104" s="99"/>
      <c r="Z104" s="99"/>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19"/>
      <c r="BK104" s="219"/>
    </row>
    <row r="105" spans="1:63" outlineLevel="1">
      <c r="A105" s="9"/>
      <c r="B105" s="44"/>
      <c r="C105" s="128">
        <f>Asset30</f>
        <v>0</v>
      </c>
      <c r="D105" s="9"/>
      <c r="E105" s="9"/>
      <c r="F105" s="139"/>
      <c r="G105" s="191">
        <f t="shared" si="1"/>
        <v>0</v>
      </c>
      <c r="H105" s="115"/>
      <c r="I105" s="115"/>
      <c r="J105" s="115"/>
      <c r="K105" s="115"/>
      <c r="L105" s="115"/>
      <c r="M105" s="149"/>
      <c r="N105" s="150"/>
      <c r="O105" s="150"/>
      <c r="P105" s="150"/>
      <c r="Q105" s="150"/>
      <c r="R105" s="99"/>
      <c r="S105" s="99"/>
      <c r="T105" s="99"/>
      <c r="U105" s="99"/>
      <c r="V105" s="99"/>
      <c r="W105" s="99"/>
      <c r="X105" s="99"/>
      <c r="Y105" s="99"/>
      <c r="Z105" s="99"/>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19"/>
      <c r="BK105" s="219"/>
    </row>
    <row r="106" spans="1:63">
      <c r="A106" s="9"/>
      <c r="B106" s="44"/>
      <c r="C106" s="128"/>
      <c r="D106" s="9"/>
      <c r="E106" s="9"/>
      <c r="F106" s="139"/>
      <c r="G106" s="191"/>
      <c r="H106" s="115"/>
      <c r="I106" s="115"/>
      <c r="J106" s="115"/>
      <c r="K106" s="115"/>
      <c r="L106" s="115"/>
      <c r="M106" s="149"/>
      <c r="N106" s="150"/>
      <c r="O106" s="150"/>
      <c r="P106" s="150"/>
      <c r="Q106" s="150"/>
      <c r="R106" s="99"/>
      <c r="S106" s="99"/>
      <c r="T106" s="99"/>
      <c r="U106" s="99"/>
      <c r="V106" s="99"/>
      <c r="W106" s="99"/>
      <c r="X106" s="99"/>
      <c r="Y106" s="99"/>
      <c r="Z106" s="99"/>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19"/>
      <c r="BK106" s="219"/>
    </row>
    <row r="107" spans="1:63">
      <c r="A107" s="9"/>
      <c r="B107" s="44" t="s">
        <v>61</v>
      </c>
      <c r="C107" s="9"/>
      <c r="D107" s="9"/>
      <c r="E107" s="9"/>
      <c r="F107" s="139"/>
      <c r="G107" s="192"/>
      <c r="H107" s="36">
        <f>SUM(H108,H110,H112,H114,H116,H118,H120,H122,H124,H126,H128,H130,H132,H134,H136,H138,H140,H142,H144,H146,H148,H150,H152,H154,H156,H158,H160,H162,H164,H166)</f>
        <v>-6.9187258082609446</v>
      </c>
      <c r="I107" s="36">
        <f t="shared" ref="I107:Q107" si="2">SUM(I108,I110,I112,I114,I116,I118,I120,I122,I124,I126,I128,I130,I132,I134,I136,I138,I140,I142,I144,I146,I148,I150,I152,I154,I156,I158,I160,I162,I164,I166)</f>
        <v>-7.9918908726971285</v>
      </c>
      <c r="J107" s="36">
        <f t="shared" si="2"/>
        <v>-7.3826952506333043</v>
      </c>
      <c r="K107" s="36">
        <f t="shared" si="2"/>
        <v>-8.885752626185397</v>
      </c>
      <c r="L107" s="36">
        <f t="shared" si="2"/>
        <v>-9.7788671011530592</v>
      </c>
      <c r="M107" s="36">
        <f t="shared" si="2"/>
        <v>0</v>
      </c>
      <c r="N107" s="36">
        <f t="shared" si="2"/>
        <v>0</v>
      </c>
      <c r="O107" s="36">
        <f t="shared" si="2"/>
        <v>0</v>
      </c>
      <c r="P107" s="36">
        <f t="shared" si="2"/>
        <v>0</v>
      </c>
      <c r="Q107" s="36">
        <f t="shared" si="2"/>
        <v>0</v>
      </c>
      <c r="R107" s="99"/>
      <c r="S107" s="99"/>
      <c r="T107" s="99"/>
      <c r="U107" s="99"/>
      <c r="V107" s="99"/>
      <c r="W107" s="99"/>
      <c r="X107" s="99"/>
      <c r="Y107" s="99"/>
      <c r="Z107" s="99"/>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19"/>
      <c r="BK107" s="219"/>
    </row>
    <row r="108" spans="1:63" outlineLevel="1">
      <c r="A108" s="9"/>
      <c r="B108" s="44"/>
      <c r="C108" s="128" t="str">
        <f>Asset1</f>
        <v>Transmission &amp; Zone land &amp; easements</v>
      </c>
      <c r="D108" s="9"/>
      <c r="E108" s="9"/>
      <c r="F108" s="139"/>
      <c r="G108" s="191"/>
      <c r="H108" s="109">
        <f>($G76+(SUM($G108:G108)))*H$7</f>
        <v>-5.0927486728511413</v>
      </c>
      <c r="I108" s="109">
        <f>($G76+(SUM($G108:H108)))*I$7</f>
        <v>-5.8826860267974332</v>
      </c>
      <c r="J108" s="109">
        <f>($G76+(SUM($G108:I108)))*J$7</f>
        <v>-5.434268170424529</v>
      </c>
      <c r="K108" s="109">
        <f>($G76+(SUM($G108:J108)))*K$7</f>
        <v>-6.5406414632384111</v>
      </c>
      <c r="L108" s="109">
        <f>($G76+(SUM($G108:K108)))*L$7</f>
        <v>-7.198046841504004</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19"/>
      <c r="BK108" s="219"/>
    </row>
    <row r="109" spans="1:63" outlineLevel="1">
      <c r="A109" s="9"/>
      <c r="B109" s="44"/>
      <c r="C109" s="152" t="s">
        <v>29</v>
      </c>
      <c r="D109" s="9"/>
      <c r="E109" s="9"/>
      <c r="F109" s="139"/>
      <c r="G109" s="191"/>
      <c r="H109" s="109"/>
      <c r="I109" s="109"/>
      <c r="J109" s="109"/>
      <c r="K109" s="109"/>
      <c r="L109" s="109">
        <f>IF(M108=0, SUM($G108:L108), 0)</f>
        <v>-30.148391174815522</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19"/>
      <c r="BK109" s="219"/>
    </row>
    <row r="110" spans="1:63" outlineLevel="1">
      <c r="A110" s="9"/>
      <c r="B110" s="44"/>
      <c r="C110" s="128" t="str">
        <f>Asset2</f>
        <v>Transmission buildings 132/66kV</v>
      </c>
      <c r="D110" s="9"/>
      <c r="E110" s="9"/>
      <c r="F110" s="139"/>
      <c r="G110" s="191"/>
      <c r="H110" s="109">
        <f>($G77+(SUM($G110:G110)))*H$7</f>
        <v>-1.2645556197778705</v>
      </c>
      <c r="I110" s="109">
        <f>($G77+(SUM($G110:H110)))*I$7</f>
        <v>-1.4607011169099731</v>
      </c>
      <c r="J110" s="109">
        <f>($G77+(SUM($G110:I110)))*J$7</f>
        <v>-1.3493566629203277</v>
      </c>
      <c r="K110" s="109">
        <f>($G77+(SUM($G110:J110)))*K$7</f>
        <v>-1.6240748268969296</v>
      </c>
      <c r="L110" s="109">
        <f>($G77+(SUM($G110:K110)))*L$7</f>
        <v>-1.7873119546173006</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19"/>
      <c r="BK110" s="219"/>
    </row>
    <row r="111" spans="1:63" outlineLevel="1">
      <c r="A111" s="9"/>
      <c r="B111" s="44"/>
      <c r="C111" s="152" t="s">
        <v>29</v>
      </c>
      <c r="D111" s="9"/>
      <c r="E111" s="9"/>
      <c r="F111" s="139"/>
      <c r="G111" s="191"/>
      <c r="H111" s="109"/>
      <c r="I111" s="109"/>
      <c r="J111" s="109"/>
      <c r="K111" s="109"/>
      <c r="L111" s="109">
        <f>IF(M110=0, SUM($G110:L110), 0)</f>
        <v>-7.4860001811224022</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19"/>
      <c r="BK111" s="219"/>
    </row>
    <row r="112" spans="1:63" outlineLevel="1">
      <c r="A112" s="9"/>
      <c r="B112" s="44"/>
      <c r="C112" s="128" t="str">
        <f>Asset3</f>
        <v>Zone buildings 132/66kV</v>
      </c>
      <c r="D112" s="9"/>
      <c r="E112" s="9"/>
      <c r="F112" s="139"/>
      <c r="G112" s="191"/>
      <c r="H112" s="109">
        <f>($G78+(SUM($G112:G112)))*H$7</f>
        <v>6.4618463232702051E-3</v>
      </c>
      <c r="I112" s="109">
        <f>($G78+(SUM($G112:H112)))*I$7</f>
        <v>7.4641447114515997E-3</v>
      </c>
      <c r="J112" s="109">
        <f>($G78+(SUM($G112:I112)))*J$7</f>
        <v>6.8951774478717637E-3</v>
      </c>
      <c r="K112" s="109">
        <f>($G78+(SUM($G112:J112)))*K$7</f>
        <v>8.2989801197855314E-3</v>
      </c>
      <c r="L112" s="109">
        <f>($G78+(SUM($G112:K112)))*L$7</f>
        <v>9.13311759629001E-3</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19"/>
      <c r="BK112" s="219"/>
    </row>
    <row r="113" spans="1:63" outlineLevel="1">
      <c r="A113" s="9"/>
      <c r="B113" s="44"/>
      <c r="C113" s="152" t="s">
        <v>29</v>
      </c>
      <c r="D113" s="9"/>
      <c r="E113" s="9"/>
      <c r="F113" s="139"/>
      <c r="G113" s="191"/>
      <c r="H113" s="109"/>
      <c r="I113" s="109"/>
      <c r="J113" s="109"/>
      <c r="K113" s="109"/>
      <c r="L113" s="109">
        <f>IF(M112=0, SUM($G112:L112), 0)</f>
        <v>3.8253266198669103E-2</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19"/>
      <c r="BK113" s="219"/>
    </row>
    <row r="114" spans="1:63" outlineLevel="1">
      <c r="A114" s="9"/>
      <c r="B114" s="44"/>
      <c r="C114" s="128" t="str">
        <f>Asset4</f>
        <v>Transmission transformers 132/66kV</v>
      </c>
      <c r="D114" s="9"/>
      <c r="E114" s="9"/>
      <c r="F114" s="139"/>
      <c r="G114" s="191"/>
      <c r="H114" s="109">
        <f>($G79+(SUM($G114:G114)))*H$7</f>
        <v>0.11016939544481597</v>
      </c>
      <c r="I114" s="109">
        <f>($G79+(SUM($G114:H114)))*I$7</f>
        <v>0.12725779432604703</v>
      </c>
      <c r="J114" s="109">
        <f>($G79+(SUM($G114:I114)))*J$7</f>
        <v>0.11755735016185354</v>
      </c>
      <c r="K114" s="109">
        <f>($G79+(SUM($G114:J114)))*K$7</f>
        <v>0.14149108116557832</v>
      </c>
      <c r="L114" s="109">
        <f>($G79+(SUM($G114:K114)))*L$7</f>
        <v>0.15571246881657028</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19"/>
      <c r="BK114" s="219"/>
    </row>
    <row r="115" spans="1:63" outlineLevel="1">
      <c r="A115" s="9"/>
      <c r="B115" s="44"/>
      <c r="C115" s="152" t="s">
        <v>29</v>
      </c>
      <c r="D115" s="9"/>
      <c r="E115" s="9"/>
      <c r="F115" s="139"/>
      <c r="G115" s="191"/>
      <c r="H115" s="109"/>
      <c r="I115" s="109"/>
      <c r="J115" s="109"/>
      <c r="K115" s="109"/>
      <c r="L115" s="109">
        <f>IF(M114=0, SUM($G114:L114), 0)</f>
        <v>0.6521880899148651</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19"/>
      <c r="BK115" s="219"/>
    </row>
    <row r="116" spans="1:63" outlineLevel="1">
      <c r="A116" s="9"/>
      <c r="B116" s="44"/>
      <c r="C116" s="128" t="str">
        <f>Asset5</f>
        <v>Zone transformers 132/66kV</v>
      </c>
      <c r="D116" s="9"/>
      <c r="E116" s="9"/>
      <c r="F116" s="139"/>
      <c r="G116" s="191"/>
      <c r="H116" s="109">
        <f>($G80+(SUM($G116:G116)))*H$7</f>
        <v>2.7740781723417821E-2</v>
      </c>
      <c r="I116" s="109">
        <f>($G80+(SUM($G116:H116)))*I$7</f>
        <v>3.2043660408128213E-2</v>
      </c>
      <c r="J116" s="109">
        <f>($G80+(SUM($G116:I116)))*J$7</f>
        <v>2.9601077301516846E-2</v>
      </c>
      <c r="K116" s="109">
        <f>($G80+(SUM($G116:J116)))*K$7</f>
        <v>3.562761856481983E-2</v>
      </c>
      <c r="L116" s="109">
        <f>($G80+(SUM($G116:K116)))*L$7</f>
        <v>3.9208580492017565E-2</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19"/>
      <c r="BK116" s="219"/>
    </row>
    <row r="117" spans="1:63" outlineLevel="1">
      <c r="A117" s="9"/>
      <c r="B117" s="44"/>
      <c r="C117" s="152" t="s">
        <v>29</v>
      </c>
      <c r="D117" s="9"/>
      <c r="E117" s="9"/>
      <c r="F117" s="139"/>
      <c r="G117" s="191"/>
      <c r="H117" s="109"/>
      <c r="I117" s="109"/>
      <c r="J117" s="109"/>
      <c r="K117" s="109"/>
      <c r="L117" s="109">
        <f>IF(M116=0, SUM($G116:L116), 0)</f>
        <v>0.16422171848990028</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19"/>
      <c r="BK117" s="219"/>
    </row>
    <row r="118" spans="1:63" outlineLevel="1">
      <c r="A118" s="9"/>
      <c r="B118" s="44"/>
      <c r="C118" s="128" t="str">
        <f>Asset6</f>
        <v>Transmission substation equip 132/66kV</v>
      </c>
      <c r="D118" s="9"/>
      <c r="E118" s="9"/>
      <c r="F118" s="139"/>
      <c r="G118" s="191"/>
      <c r="H118" s="109">
        <f>($G81+(SUM($G118:G118)))*H$7</f>
        <v>-0.42735070814111642</v>
      </c>
      <c r="I118" s="109">
        <f>($G81+(SUM($G118:H118)))*I$7</f>
        <v>-0.49363716939840735</v>
      </c>
      <c r="J118" s="109">
        <f>($G81+(SUM($G118:I118)))*J$7</f>
        <v>-0.45600882746085053</v>
      </c>
      <c r="K118" s="109">
        <f>($G81+(SUM($G118:J118)))*K$7</f>
        <v>-0.54884855714806713</v>
      </c>
      <c r="L118" s="109">
        <f>($G81+(SUM($G118:K118)))*L$7</f>
        <v>-0.60401378755404656</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19"/>
      <c r="BK118" s="219"/>
    </row>
    <row r="119" spans="1:63" outlineLevel="1">
      <c r="A119" s="9"/>
      <c r="B119" s="44"/>
      <c r="C119" s="152" t="s">
        <v>29</v>
      </c>
      <c r="D119" s="9"/>
      <c r="E119" s="9"/>
      <c r="F119" s="139"/>
      <c r="G119" s="191"/>
      <c r="H119" s="109"/>
      <c r="I119" s="109"/>
      <c r="J119" s="109"/>
      <c r="K119" s="109"/>
      <c r="L119" s="109">
        <f>IF(M118=0, SUM($G118:L118), 0)</f>
        <v>-2.529859049702488</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19"/>
      <c r="BK119" s="219"/>
    </row>
    <row r="120" spans="1:63" outlineLevel="1">
      <c r="A120" s="9"/>
      <c r="B120" s="44"/>
      <c r="C120" s="128" t="str">
        <f>Asset7</f>
        <v>Zone substation equip 132/66kV</v>
      </c>
      <c r="D120" s="9"/>
      <c r="E120" s="9"/>
      <c r="F120" s="139"/>
      <c r="G120" s="191"/>
      <c r="H120" s="109">
        <f>($G82+(SUM($G120:G120)))*H$7</f>
        <v>-0.42030399445227257</v>
      </c>
      <c r="I120" s="109">
        <f>($G82+(SUM($G120:H120)))*I$7</f>
        <v>-0.4854974384171421</v>
      </c>
      <c r="J120" s="109">
        <f>($G82+(SUM($G120:I120)))*J$7</f>
        <v>-0.44848956146810309</v>
      </c>
      <c r="K120" s="109">
        <f>($G82+(SUM($G120:J120)))*K$7</f>
        <v>-0.53979842907508313</v>
      </c>
      <c r="L120" s="109">
        <f>($G82+(SUM($G120:K120)))*L$7</f>
        <v>-0.59405402349159397</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19"/>
      <c r="BK120" s="219"/>
    </row>
    <row r="121" spans="1:63" outlineLevel="1">
      <c r="A121" s="9"/>
      <c r="B121" s="44"/>
      <c r="C121" s="152" t="s">
        <v>29</v>
      </c>
      <c r="D121" s="9"/>
      <c r="E121" s="9"/>
      <c r="F121" s="139"/>
      <c r="G121" s="191"/>
      <c r="H121" s="109"/>
      <c r="I121" s="109"/>
      <c r="J121" s="109"/>
      <c r="K121" s="109"/>
      <c r="L121" s="109">
        <f>IF(M120=0, SUM($G120:L120), 0)</f>
        <v>-2.4881434469041945</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19"/>
      <c r="BK121" s="219"/>
    </row>
    <row r="122" spans="1:63" outlineLevel="1">
      <c r="A122" s="9"/>
      <c r="B122" s="44"/>
      <c r="C122" s="128" t="str">
        <f>Asset8</f>
        <v>Transmission &amp; Zone emergency spares</v>
      </c>
      <c r="D122" s="9"/>
      <c r="E122" s="9"/>
      <c r="F122" s="139"/>
      <c r="G122" s="191"/>
      <c r="H122" s="109">
        <f>($G83+(SUM($G122:G122)))*H$7</f>
        <v>0</v>
      </c>
      <c r="I122" s="109">
        <f>($G83+(SUM($G122:H122)))*I$7</f>
        <v>0</v>
      </c>
      <c r="J122" s="109">
        <f>($G83+(SUM($G122:I122)))*J$7</f>
        <v>0</v>
      </c>
      <c r="K122" s="109">
        <f>($G83+(SUM($G122:J122)))*K$7</f>
        <v>0</v>
      </c>
      <c r="L122" s="109">
        <f>($G83+(SUM($G122:K122)))*L$7</f>
        <v>0</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19"/>
      <c r="BK122" s="219"/>
    </row>
    <row r="123" spans="1:63" outlineLevel="1">
      <c r="A123" s="9"/>
      <c r="B123" s="44"/>
      <c r="C123" s="152" t="s">
        <v>29</v>
      </c>
      <c r="D123" s="9"/>
      <c r="E123" s="9"/>
      <c r="F123" s="139"/>
      <c r="G123" s="191"/>
      <c r="H123" s="109"/>
      <c r="I123" s="109"/>
      <c r="J123" s="109"/>
      <c r="K123" s="109"/>
      <c r="L123" s="109">
        <f>IF(M122=0, SUM($G122:L122), 0)</f>
        <v>0</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19"/>
      <c r="BK123" s="219"/>
    </row>
    <row r="124" spans="1:63" outlineLevel="1">
      <c r="A124" s="9"/>
      <c r="B124" s="44"/>
      <c r="C124" s="128" t="str">
        <f>Asset9</f>
        <v>Ancillary substation equipment (tx)</v>
      </c>
      <c r="D124" s="9"/>
      <c r="E124" s="9"/>
      <c r="F124" s="139"/>
      <c r="G124" s="191"/>
      <c r="H124" s="109">
        <f>($G84+(SUM($G124:G124)))*H$7</f>
        <v>9.4454494704610453E-2</v>
      </c>
      <c r="I124" s="109">
        <f>($G84+(SUM($G124:H124)))*I$7</f>
        <v>0.10910535191518674</v>
      </c>
      <c r="J124" s="109">
        <f>($G84+(SUM($G124:I124)))*J$7</f>
        <v>0.1007886088828794</v>
      </c>
      <c r="K124" s="109">
        <f>($G84+(SUM($G124:J124)))*K$7</f>
        <v>0.12130835902969088</v>
      </c>
      <c r="L124" s="109">
        <f>($G84+(SUM($G124:K124)))*L$7</f>
        <v>0.13350116429243447</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19"/>
      <c r="BK124" s="219"/>
    </row>
    <row r="125" spans="1:63" outlineLevel="1">
      <c r="A125" s="9"/>
      <c r="B125" s="44"/>
      <c r="C125" s="152" t="s">
        <v>29</v>
      </c>
      <c r="D125" s="9"/>
      <c r="E125" s="9"/>
      <c r="F125" s="139"/>
      <c r="G125" s="191"/>
      <c r="H125" s="109"/>
      <c r="I125" s="109"/>
      <c r="J125" s="109"/>
      <c r="K125" s="109"/>
      <c r="L125" s="109">
        <f>IF(M124=0, SUM($G124:L124), 0)</f>
        <v>0.559157978824802</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19"/>
      <c r="BK125" s="219"/>
    </row>
    <row r="126" spans="1:63" outlineLevel="1">
      <c r="A126" s="9"/>
      <c r="B126" s="44"/>
      <c r="C126" s="128" t="str">
        <f>Asset10</f>
        <v>132kV tower lines</v>
      </c>
      <c r="D126" s="9"/>
      <c r="E126" s="9"/>
      <c r="F126" s="139"/>
      <c r="G126" s="191"/>
      <c r="H126" s="109">
        <f>($G85+(SUM($G126:G126)))*H$7</f>
        <v>0.12540696839590587</v>
      </c>
      <c r="I126" s="109">
        <f>($G85+(SUM($G126:H126)))*I$7</f>
        <v>0.14485887053063815</v>
      </c>
      <c r="J126" s="109">
        <f>($G85+(SUM($G126:I126)))*J$7</f>
        <v>0.13381675407158383</v>
      </c>
      <c r="K126" s="109">
        <f>($G85+(SUM($G126:J126)))*K$7</f>
        <v>0.16106076894033802</v>
      </c>
      <c r="L126" s="109">
        <f>($G85+(SUM($G126:K126)))*L$7</f>
        <v>0.17724912237999371</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19"/>
      <c r="BK126" s="219"/>
    </row>
    <row r="127" spans="1:63" outlineLevel="1">
      <c r="A127" s="9"/>
      <c r="B127" s="44"/>
      <c r="C127" s="152" t="s">
        <v>29</v>
      </c>
      <c r="D127" s="9"/>
      <c r="E127" s="9"/>
      <c r="F127" s="139"/>
      <c r="G127" s="191"/>
      <c r="H127" s="109"/>
      <c r="I127" s="109"/>
      <c r="J127" s="109"/>
      <c r="K127" s="109"/>
      <c r="L127" s="109">
        <f>IF(M126=0, SUM($G126:L126), 0)</f>
        <v>0.7423924843184595</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19"/>
      <c r="BK127" s="219"/>
    </row>
    <row r="128" spans="1:63" outlineLevel="1">
      <c r="A128" s="9"/>
      <c r="B128" s="44"/>
      <c r="C128" s="128" t="str">
        <f>Asset11</f>
        <v>132kV concrete &amp; steel pole lines</v>
      </c>
      <c r="D128" s="9"/>
      <c r="E128" s="9"/>
      <c r="F128" s="139"/>
      <c r="G128" s="191"/>
      <c r="H128" s="109">
        <f>($G86+(SUM($G128:G128)))*H$7</f>
        <v>0.32729724958409939</v>
      </c>
      <c r="I128" s="109">
        <f>($G86+(SUM($G128:H128)))*I$7</f>
        <v>0.37806439713030215</v>
      </c>
      <c r="J128" s="109">
        <f>($G86+(SUM($G128:I128)))*J$7</f>
        <v>0.34924578846075566</v>
      </c>
      <c r="K128" s="109">
        <f>($G86+(SUM($G128:J128)))*K$7</f>
        <v>0.42034942208039006</v>
      </c>
      <c r="L128" s="109">
        <f>($G86+(SUM($G128:K128)))*L$7</f>
        <v>0.46259909627208018</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19"/>
      <c r="BK128" s="219"/>
    </row>
    <row r="129" spans="1:63" outlineLevel="1">
      <c r="A129" s="9"/>
      <c r="B129" s="44"/>
      <c r="C129" s="152" t="s">
        <v>29</v>
      </c>
      <c r="D129" s="9"/>
      <c r="E129" s="9"/>
      <c r="F129" s="139"/>
      <c r="G129" s="191"/>
      <c r="H129" s="109"/>
      <c r="I129" s="109"/>
      <c r="J129" s="109"/>
      <c r="K129" s="109"/>
      <c r="L129" s="109">
        <f>IF(M128=0, SUM($G128:L128), 0)</f>
        <v>1.9375559535276272</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19"/>
      <c r="BK129" s="219"/>
    </row>
    <row r="130" spans="1:63" outlineLevel="1">
      <c r="A130" s="9"/>
      <c r="B130" s="44"/>
      <c r="C130" s="128" t="str">
        <f>Asset12</f>
        <v>132kV wood pole lines</v>
      </c>
      <c r="D130" s="9"/>
      <c r="E130" s="9"/>
      <c r="F130" s="139"/>
      <c r="G130" s="191"/>
      <c r="H130" s="109">
        <f>($G87+(SUM($G130:G130)))*H$7</f>
        <v>4.4998061365290797E-2</v>
      </c>
      <c r="I130" s="109">
        <f>($G87+(SUM($G130:H130)))*I$7</f>
        <v>5.1977720447448222E-2</v>
      </c>
      <c r="J130" s="109">
        <f>($G87+(SUM($G130:I130)))*J$7</f>
        <v>4.8015629342123049E-2</v>
      </c>
      <c r="K130" s="109">
        <f>($G87+(SUM($G130:J130)))*K$7</f>
        <v>5.7791225296495226E-2</v>
      </c>
      <c r="L130" s="109">
        <f>($G87+(SUM($G130:K130)))*L$7</f>
        <v>6.3599869989834495E-2</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19"/>
      <c r="BK130" s="219"/>
    </row>
    <row r="131" spans="1:63" outlineLevel="1">
      <c r="A131" s="9"/>
      <c r="B131" s="44"/>
      <c r="C131" s="152" t="s">
        <v>29</v>
      </c>
      <c r="D131" s="9"/>
      <c r="E131" s="9"/>
      <c r="F131" s="139"/>
      <c r="G131" s="191"/>
      <c r="H131" s="109"/>
      <c r="I131" s="109"/>
      <c r="J131" s="109"/>
      <c r="K131" s="109"/>
      <c r="L131" s="109">
        <f>IF(M130=0, SUM($G130:L130), 0)</f>
        <v>0.26638250644119177</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19"/>
      <c r="BK131" s="219"/>
    </row>
    <row r="132" spans="1:63" outlineLevel="1">
      <c r="A132" s="9"/>
      <c r="B132" s="44"/>
      <c r="C132" s="128" t="str">
        <f>Asset13</f>
        <v>132kV feeders underground</v>
      </c>
      <c r="D132" s="9"/>
      <c r="E132" s="9"/>
      <c r="F132" s="139"/>
      <c r="G132" s="191"/>
      <c r="H132" s="109">
        <f>($G88+(SUM($G132:G132)))*H$7</f>
        <v>-0.72963598110354022</v>
      </c>
      <c r="I132" s="109">
        <f>($G88+(SUM($G132:H132)))*I$7</f>
        <v>-0.84280997677497027</v>
      </c>
      <c r="J132" s="109">
        <f>($G88+(SUM($G132:I132)))*J$7</f>
        <v>-0.77856533726955768</v>
      </c>
      <c r="K132" s="109">
        <f>($G88+(SUM($G132:J132)))*K$7</f>
        <v>-0.93707497809914864</v>
      </c>
      <c r="L132" s="109">
        <f>($G88+(SUM($G132:K132)))*L$7</f>
        <v>-1.0312611728176526</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19"/>
      <c r="BK132" s="219"/>
    </row>
    <row r="133" spans="1:63" outlineLevel="1">
      <c r="A133" s="9"/>
      <c r="B133" s="44"/>
      <c r="C133" s="152" t="s">
        <v>29</v>
      </c>
      <c r="D133" s="9"/>
      <c r="E133" s="9"/>
      <c r="F133" s="139"/>
      <c r="G133" s="191"/>
      <c r="H133" s="109"/>
      <c r="I133" s="109"/>
      <c r="J133" s="109"/>
      <c r="K133" s="109"/>
      <c r="L133" s="109">
        <f>IF(M132=0, SUM($G132:L132), 0)</f>
        <v>-4.3193474460648691</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19"/>
      <c r="BK133" s="219"/>
    </row>
    <row r="134" spans="1:63" outlineLevel="1">
      <c r="A134" s="9"/>
      <c r="B134" s="44"/>
      <c r="C134" s="128" t="str">
        <f>Asset14</f>
        <v>Cable tunnel (tx)</v>
      </c>
      <c r="D134" s="9"/>
      <c r="E134" s="9"/>
      <c r="F134" s="139"/>
      <c r="G134" s="191"/>
      <c r="H134" s="109">
        <f>($G89+(SUM($G134:G134)))*H$7</f>
        <v>3.505802354590408E-4</v>
      </c>
      <c r="I134" s="109">
        <f>($G89+(SUM($G134:H134)))*I$7</f>
        <v>4.0495881200665221E-4</v>
      </c>
      <c r="J134" s="109">
        <f>($G89+(SUM($G134:I134)))*J$7</f>
        <v>3.7409013032414535E-4</v>
      </c>
      <c r="K134" s="109">
        <f>($G89+(SUM($G134:J134)))*K$7</f>
        <v>4.5025187212931038E-4</v>
      </c>
      <c r="L134" s="109">
        <f>($G89+(SUM($G134:K134)))*L$7</f>
        <v>4.9550706674219549E-4</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19"/>
      <c r="BK134" s="219"/>
    </row>
    <row r="135" spans="1:63" outlineLevel="1">
      <c r="A135" s="9"/>
      <c r="B135" s="44"/>
      <c r="C135" s="152" t="s">
        <v>29</v>
      </c>
      <c r="D135" s="9"/>
      <c r="E135" s="9"/>
      <c r="F135" s="139"/>
      <c r="G135" s="191"/>
      <c r="H135" s="109"/>
      <c r="I135" s="109"/>
      <c r="J135" s="109"/>
      <c r="K135" s="109"/>
      <c r="L135" s="109">
        <f>IF(M134=0, SUM($G134:L134), 0)</f>
        <v>2.0753881166613443E-3</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19"/>
      <c r="BK135" s="219"/>
    </row>
    <row r="136" spans="1:63" outlineLevel="1">
      <c r="A136" s="9"/>
      <c r="B136" s="44"/>
      <c r="C136" s="128" t="str">
        <f>Asset15</f>
        <v>Network control &amp; com systems</v>
      </c>
      <c r="D136" s="9"/>
      <c r="E136" s="9"/>
      <c r="F136" s="139"/>
      <c r="G136" s="191"/>
      <c r="H136" s="109">
        <f>($G90+(SUM($G136:G136)))*H$7</f>
        <v>-2.1857162466464467E-2</v>
      </c>
      <c r="I136" s="109">
        <f>($G90+(SUM($G136:H136)))*I$7</f>
        <v>-2.5247431688971964E-2</v>
      </c>
      <c r="J136" s="109">
        <f>($G90+(SUM($G136:I136)))*J$7</f>
        <v>-2.3322902801093587E-2</v>
      </c>
      <c r="K136" s="109">
        <f>($G90+(SUM($G136:J136)))*K$7</f>
        <v>-2.8071258230157405E-2</v>
      </c>
      <c r="L136" s="109">
        <f>($G90+(SUM($G136:K136)))*L$7</f>
        <v>-3.0892724020463957E-2</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19"/>
      <c r="BK136" s="219"/>
    </row>
    <row r="137" spans="1:63" outlineLevel="1">
      <c r="A137" s="9"/>
      <c r="B137" s="44"/>
      <c r="C137" s="152" t="s">
        <v>29</v>
      </c>
      <c r="D137" s="9"/>
      <c r="E137" s="9"/>
      <c r="F137" s="139"/>
      <c r="G137" s="191"/>
      <c r="H137" s="109"/>
      <c r="I137" s="109"/>
      <c r="J137" s="109"/>
      <c r="K137" s="109"/>
      <c r="L137" s="109">
        <f>IF(M136=0, SUM($G136:L136), 0)</f>
        <v>-0.12939147920715138</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19"/>
      <c r="BK137" s="219"/>
    </row>
    <row r="138" spans="1:63" outlineLevel="1">
      <c r="A138" s="9"/>
      <c r="B138" s="44"/>
      <c r="C138" s="128" t="str">
        <f>Asset16</f>
        <v>Communications (digital) - tx</v>
      </c>
      <c r="D138" s="9"/>
      <c r="E138" s="9"/>
      <c r="F138" s="139"/>
      <c r="G138" s="191"/>
      <c r="H138" s="109">
        <f>($G91+(SUM($G138:G138)))*H$7</f>
        <v>0</v>
      </c>
      <c r="I138" s="109">
        <f>($G91+(SUM($G138:H138)))*I$7</f>
        <v>0</v>
      </c>
      <c r="J138" s="109">
        <f>($G91+(SUM($G138:I138)))*J$7</f>
        <v>0</v>
      </c>
      <c r="K138" s="109">
        <f>($G91+(SUM($G138:J138)))*K$7</f>
        <v>0</v>
      </c>
      <c r="L138" s="109">
        <f>($G91+(SUM($G138:K138)))*L$7</f>
        <v>0</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19"/>
      <c r="BK138" s="219"/>
    </row>
    <row r="139" spans="1:63" outlineLevel="1">
      <c r="A139" s="9"/>
      <c r="B139" s="44"/>
      <c r="C139" s="152" t="s">
        <v>29</v>
      </c>
      <c r="D139" s="9"/>
      <c r="E139" s="9"/>
      <c r="F139" s="139"/>
      <c r="G139" s="191"/>
      <c r="H139" s="109"/>
      <c r="I139" s="109"/>
      <c r="J139" s="109"/>
      <c r="K139" s="109"/>
      <c r="L139" s="109">
        <f>IF(M138=0, SUM($G138:L138), 0)</f>
        <v>0</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19"/>
      <c r="BK139" s="219"/>
    </row>
    <row r="140" spans="1:63" outlineLevel="1">
      <c r="A140" s="9"/>
      <c r="B140" s="44"/>
      <c r="C140" s="128" t="str">
        <f>Asset17</f>
        <v>System IT (tx)</v>
      </c>
      <c r="D140" s="9"/>
      <c r="E140" s="9"/>
      <c r="F140" s="139"/>
      <c r="G140" s="191"/>
      <c r="H140" s="109">
        <f>($G92+(SUM($G140:G140)))*H$7</f>
        <v>0</v>
      </c>
      <c r="I140" s="109">
        <f>($G92+(SUM($G140:H140)))*I$7</f>
        <v>0</v>
      </c>
      <c r="J140" s="109">
        <f>($G92+(SUM($G140:I140)))*J$7</f>
        <v>0</v>
      </c>
      <c r="K140" s="109">
        <f>($G92+(SUM($G140:J140)))*K$7</f>
        <v>0</v>
      </c>
      <c r="L140" s="109">
        <f>($G92+(SUM($G140:K140)))*L$7</f>
        <v>0</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19"/>
      <c r="BK140" s="219"/>
    </row>
    <row r="141" spans="1:63" outlineLevel="1">
      <c r="A141" s="9"/>
      <c r="B141" s="44"/>
      <c r="C141" s="152" t="s">
        <v>29</v>
      </c>
      <c r="D141" s="9"/>
      <c r="E141" s="9"/>
      <c r="F141" s="139"/>
      <c r="G141" s="191"/>
      <c r="H141" s="109"/>
      <c r="I141" s="109"/>
      <c r="J141" s="109"/>
      <c r="K141" s="109"/>
      <c r="L141" s="109">
        <f>IF(M140=0, SUM($G140:L140), 0)</f>
        <v>0</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19"/>
      <c r="BK141" s="219"/>
    </row>
    <row r="142" spans="1:63" outlineLevel="1">
      <c r="A142" s="9"/>
      <c r="B142" s="44"/>
      <c r="C142" s="128" t="str">
        <f>Asset18</f>
        <v>IT systems</v>
      </c>
      <c r="D142" s="9"/>
      <c r="E142" s="9"/>
      <c r="F142" s="139"/>
      <c r="G142" s="191"/>
      <c r="H142" s="109">
        <f>($G93+(SUM($G142:G142)))*H$7</f>
        <v>0.75781065372738587</v>
      </c>
      <c r="I142" s="109">
        <f>($G93+(SUM($G142:H142)))*I$7</f>
        <v>0.87535482899543127</v>
      </c>
      <c r="J142" s="109">
        <f>($G93+(SUM($G142:I142)))*J$7</f>
        <v>0.80862940217582358</v>
      </c>
      <c r="K142" s="109">
        <f>($G93+(SUM($G142:J142)))*K$7</f>
        <v>0.97325984482133177</v>
      </c>
      <c r="L142" s="109">
        <f>($G93+(SUM($G142:K142)))*L$7</f>
        <v>1.0710830109483263</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19"/>
      <c r="BK142" s="219"/>
    </row>
    <row r="143" spans="1:63" outlineLevel="1">
      <c r="A143" s="9"/>
      <c r="B143" s="44"/>
      <c r="C143" s="152" t="s">
        <v>29</v>
      </c>
      <c r="D143" s="9"/>
      <c r="E143" s="9"/>
      <c r="F143" s="139"/>
      <c r="G143" s="191"/>
      <c r="H143" s="109"/>
      <c r="I143" s="109"/>
      <c r="J143" s="109"/>
      <c r="K143" s="109"/>
      <c r="L143" s="109">
        <f>IF(M142=0, SUM($G142:L142), 0)</f>
        <v>4.4861377406682985</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19"/>
      <c r="BK143" s="219"/>
    </row>
    <row r="144" spans="1:63" outlineLevel="1">
      <c r="A144" s="9"/>
      <c r="B144" s="44"/>
      <c r="C144" s="128" t="str">
        <f>Asset19</f>
        <v>Furniture, fittings, plant and equipment</v>
      </c>
      <c r="D144" s="9"/>
      <c r="E144" s="9"/>
      <c r="F144" s="139"/>
      <c r="G144" s="191"/>
      <c r="H144" s="109">
        <f>($G94+(SUM($G144:G144)))*H$7</f>
        <v>-4.4707534293677763E-2</v>
      </c>
      <c r="I144" s="109">
        <f>($G94+(SUM($G144:H144)))*I$7</f>
        <v>-5.1642129658588901E-2</v>
      </c>
      <c r="J144" s="109">
        <f>($G94+(SUM($G144:I144)))*J$7</f>
        <v>-4.7705619538118825E-2</v>
      </c>
      <c r="K144" s="109">
        <f>($G94+(SUM($G144:J144)))*K$7</f>
        <v>-5.7418099989739881E-2</v>
      </c>
      <c r="L144" s="109">
        <f>($G94+(SUM($G144:K144)))*L$7</f>
        <v>-6.3189241544463967E-2</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6"/>
      <c r="AY144" s="226"/>
      <c r="AZ144" s="226"/>
      <c r="BA144" s="226"/>
      <c r="BB144" s="226"/>
      <c r="BC144" s="226"/>
      <c r="BD144" s="226"/>
      <c r="BE144" s="226"/>
      <c r="BF144" s="226"/>
      <c r="BG144" s="226"/>
      <c r="BH144" s="226"/>
      <c r="BI144" s="226"/>
      <c r="BJ144" s="219"/>
      <c r="BK144" s="219"/>
    </row>
    <row r="145" spans="1:63" outlineLevel="1">
      <c r="A145" s="9"/>
      <c r="B145" s="44"/>
      <c r="C145" s="152" t="s">
        <v>29</v>
      </c>
      <c r="D145" s="9"/>
      <c r="E145" s="9"/>
      <c r="F145" s="139"/>
      <c r="G145" s="191"/>
      <c r="H145" s="109"/>
      <c r="I145" s="109"/>
      <c r="J145" s="109"/>
      <c r="K145" s="109"/>
      <c r="L145" s="109">
        <f>IF(M144=0, SUM($G144:L144), 0)</f>
        <v>-0.26466262502458932</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19"/>
      <c r="BK145" s="219"/>
    </row>
    <row r="146" spans="1:63" outlineLevel="1">
      <c r="A146" s="9"/>
      <c r="B146" s="44"/>
      <c r="C146" s="128" t="str">
        <f>Asset20</f>
        <v>Motor vehicles</v>
      </c>
      <c r="D146" s="9"/>
      <c r="E146" s="9"/>
      <c r="F146" s="139"/>
      <c r="G146" s="191"/>
      <c r="H146" s="109">
        <f>($G95+(SUM($G146:G146)))*H$7</f>
        <v>-8.7418907559817613E-2</v>
      </c>
      <c r="I146" s="109">
        <f>($G95+(SUM($G146:H146)))*I$7</f>
        <v>-0.10097847331863946</v>
      </c>
      <c r="J146" s="109">
        <f>($G95+(SUM($G146:I146)))*J$7</f>
        <v>-9.3281215579728016E-2</v>
      </c>
      <c r="K146" s="109">
        <f>($G95+(SUM($G146:J146)))*K$7</f>
        <v>-0.11227252083041514</v>
      </c>
      <c r="L146" s="109">
        <f>($G95+(SUM($G146:K146)))*L$7</f>
        <v>-0.12355712639092332</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19"/>
      <c r="BK146" s="219"/>
    </row>
    <row r="147" spans="1:63" outlineLevel="1">
      <c r="A147" s="9"/>
      <c r="B147" s="44"/>
      <c r="C147" s="152" t="s">
        <v>29</v>
      </c>
      <c r="D147" s="9"/>
      <c r="E147" s="9"/>
      <c r="F147" s="139"/>
      <c r="G147" s="191"/>
      <c r="H147" s="109"/>
      <c r="I147" s="109"/>
      <c r="J147" s="109"/>
      <c r="K147" s="109"/>
      <c r="L147" s="109">
        <f>IF(M146=0, SUM($G146:L146), 0)</f>
        <v>-0.51750824367952353</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19"/>
      <c r="BK147" s="219"/>
    </row>
    <row r="148" spans="1:63" outlineLevel="1">
      <c r="A148" s="9"/>
      <c r="B148" s="44"/>
      <c r="C148" s="128" t="str">
        <f>Asset21</f>
        <v>Buildings</v>
      </c>
      <c r="D148" s="9"/>
      <c r="E148" s="9"/>
      <c r="F148" s="139"/>
      <c r="G148" s="191"/>
      <c r="H148" s="109">
        <f>($G96+(SUM($G148:G148)))*H$7</f>
        <v>0.25050432159361347</v>
      </c>
      <c r="I148" s="109">
        <f>($G96+(SUM($G148:H148)))*I$7</f>
        <v>0.28936010138236684</v>
      </c>
      <c r="J148" s="109">
        <f>($G96+(SUM($G148:I148)))*J$7</f>
        <v>0.26730313016366553</v>
      </c>
      <c r="K148" s="109">
        <f>($G96+(SUM($G148:J148)))*K$7</f>
        <v>0.3217238976017085</v>
      </c>
      <c r="L148" s="109">
        <f>($G96+(SUM($G148:K148)))*L$7</f>
        <v>0.35406063732191512</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19"/>
      <c r="BK148" s="219"/>
    </row>
    <row r="149" spans="1:63" outlineLevel="1">
      <c r="A149" s="9"/>
      <c r="B149" s="44"/>
      <c r="C149" s="152" t="s">
        <v>29</v>
      </c>
      <c r="D149" s="9"/>
      <c r="E149" s="9"/>
      <c r="F149" s="139"/>
      <c r="G149" s="191"/>
      <c r="H149" s="109"/>
      <c r="I149" s="109"/>
      <c r="J149" s="109"/>
      <c r="K149" s="109"/>
      <c r="L149" s="109">
        <f>IF(M148=0, SUM($G148:L148), 0)</f>
        <v>1.4829520880632694</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19"/>
      <c r="BK149" s="219"/>
    </row>
    <row r="150" spans="1:63" outlineLevel="1">
      <c r="A150" s="9"/>
      <c r="B150" s="44"/>
      <c r="C150" s="128" t="str">
        <f>Asset22</f>
        <v>Land (non-system)</v>
      </c>
      <c r="D150" s="9"/>
      <c r="E150" s="9"/>
      <c r="F150" s="139"/>
      <c r="G150" s="191"/>
      <c r="H150" s="109">
        <f>($G97+(SUM($G150:G150)))*H$7</f>
        <v>-5.4040340192515121E-2</v>
      </c>
      <c r="I150" s="109">
        <f>($G97+(SUM($G150:H150)))*I$7</f>
        <v>-6.2422549109597603E-2</v>
      </c>
      <c r="J150" s="109">
        <f>($G97+(SUM($G150:I150)))*J$7</f>
        <v>-5.7664282981922457E-2</v>
      </c>
      <c r="K150" s="109">
        <f>($G97+(SUM($G150:J150)))*K$7</f>
        <v>-6.9404267215250615E-2</v>
      </c>
      <c r="L150" s="109">
        <f>($G97+(SUM($G150:K150)))*L$7</f>
        <v>-7.6380148525720337E-2</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19"/>
      <c r="BK150" s="219"/>
    </row>
    <row r="151" spans="1:63" outlineLevel="1">
      <c r="A151" s="9"/>
      <c r="B151" s="44"/>
      <c r="C151" s="152" t="s">
        <v>29</v>
      </c>
      <c r="D151" s="9"/>
      <c r="E151" s="9"/>
      <c r="F151" s="139"/>
      <c r="G151" s="191"/>
      <c r="H151" s="109"/>
      <c r="I151" s="109"/>
      <c r="J151" s="109"/>
      <c r="K151" s="109"/>
      <c r="L151" s="109">
        <f>IF(M150=0, SUM($G150:L150), 0)</f>
        <v>-0.31991158802500613</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19"/>
      <c r="BK151" s="219"/>
    </row>
    <row r="152" spans="1:63" outlineLevel="1">
      <c r="A152" s="9"/>
      <c r="B152" s="44"/>
      <c r="C152" s="128" t="str">
        <f>Asset23</f>
        <v>Other non system assets</v>
      </c>
      <c r="D152" s="9"/>
      <c r="E152" s="9"/>
      <c r="F152" s="139"/>
      <c r="G152" s="191"/>
      <c r="H152" s="109">
        <f>($G98+(SUM($G152:G152)))*H$7</f>
        <v>-0.52130124052039983</v>
      </c>
      <c r="I152" s="109">
        <f>($G98+(SUM($G152:H152)))*I$7</f>
        <v>-0.60216038928241078</v>
      </c>
      <c r="J152" s="109">
        <f>($G98+(SUM($G152:I152)))*J$7</f>
        <v>-0.55625967832747092</v>
      </c>
      <c r="K152" s="109">
        <f>($G98+(SUM($G152:J152)))*K$7</f>
        <v>-0.66950967495446423</v>
      </c>
      <c r="L152" s="109">
        <f>($G98+(SUM($G152:K152)))*L$7</f>
        <v>-0.73680265586309679</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19"/>
      <c r="BK152" s="219"/>
    </row>
    <row r="153" spans="1:63" outlineLevel="1">
      <c r="A153" s="9"/>
      <c r="B153" s="44"/>
      <c r="C153" s="152" t="s">
        <v>29</v>
      </c>
      <c r="D153" s="9"/>
      <c r="E153" s="9"/>
      <c r="F153" s="139"/>
      <c r="G153" s="191"/>
      <c r="H153" s="109"/>
      <c r="I153" s="109"/>
      <c r="J153" s="109"/>
      <c r="K153" s="109"/>
      <c r="L153" s="109">
        <f>IF(M152=0, SUM($G152:L152), 0)</f>
        <v>-3.0860336389478422</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19"/>
      <c r="BK153" s="219"/>
    </row>
    <row r="154" spans="1:63" outlineLevel="1">
      <c r="A154" s="9"/>
      <c r="B154" s="44"/>
      <c r="C154" s="128" t="str">
        <f>Asset24</f>
        <v>Equity raising costs</v>
      </c>
      <c r="D154" s="9"/>
      <c r="E154" s="9"/>
      <c r="F154" s="139"/>
      <c r="G154" s="191"/>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19"/>
      <c r="BK154" s="219"/>
    </row>
    <row r="155" spans="1:63" outlineLevel="1">
      <c r="A155" s="9"/>
      <c r="B155" s="44"/>
      <c r="C155" s="152" t="s">
        <v>29</v>
      </c>
      <c r="D155" s="9"/>
      <c r="E155" s="9"/>
      <c r="F155" s="139"/>
      <c r="G155" s="191"/>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19"/>
      <c r="BK155" s="219"/>
    </row>
    <row r="156" spans="1:63" outlineLevel="1">
      <c r="A156" s="9"/>
      <c r="B156" s="44"/>
      <c r="C156" s="128">
        <f>Asset25</f>
        <v>0</v>
      </c>
      <c r="D156" s="9"/>
      <c r="E156" s="9"/>
      <c r="F156" s="139"/>
      <c r="G156" s="191"/>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19"/>
      <c r="BK156" s="219"/>
    </row>
    <row r="157" spans="1:63" outlineLevel="1">
      <c r="A157" s="9"/>
      <c r="B157" s="44"/>
      <c r="C157" s="152" t="s">
        <v>29</v>
      </c>
      <c r="D157" s="9"/>
      <c r="E157" s="9"/>
      <c r="F157" s="139"/>
      <c r="G157" s="191"/>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19"/>
      <c r="BK157" s="219"/>
    </row>
    <row r="158" spans="1:63" outlineLevel="1">
      <c r="A158" s="9"/>
      <c r="B158" s="44"/>
      <c r="C158" s="128">
        <f>Asset26</f>
        <v>0</v>
      </c>
      <c r="D158" s="9"/>
      <c r="E158" s="9"/>
      <c r="F158" s="139"/>
      <c r="G158" s="191"/>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19"/>
      <c r="BK158" s="219"/>
    </row>
    <row r="159" spans="1:63" outlineLevel="1">
      <c r="A159" s="9"/>
      <c r="B159" s="44"/>
      <c r="C159" s="152" t="s">
        <v>29</v>
      </c>
      <c r="D159" s="9"/>
      <c r="E159" s="9"/>
      <c r="F159" s="139"/>
      <c r="G159" s="191"/>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19"/>
      <c r="BK159" s="219"/>
    </row>
    <row r="160" spans="1:63" outlineLevel="1">
      <c r="A160" s="9"/>
      <c r="B160" s="44"/>
      <c r="C160" s="128">
        <f>Asset27</f>
        <v>0</v>
      </c>
      <c r="D160" s="9"/>
      <c r="E160" s="9"/>
      <c r="F160" s="139"/>
      <c r="G160" s="191"/>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19"/>
      <c r="BK160" s="219"/>
    </row>
    <row r="161" spans="1:63" outlineLevel="1">
      <c r="A161" s="9"/>
      <c r="B161" s="44"/>
      <c r="C161" s="152" t="s">
        <v>29</v>
      </c>
      <c r="D161" s="9"/>
      <c r="E161" s="9"/>
      <c r="F161" s="139"/>
      <c r="G161" s="191"/>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19"/>
      <c r="BK161" s="219"/>
    </row>
    <row r="162" spans="1:63" outlineLevel="1">
      <c r="A162" s="9"/>
      <c r="B162" s="44"/>
      <c r="C162" s="128">
        <f>Asset28</f>
        <v>0</v>
      </c>
      <c r="D162" s="9"/>
      <c r="E162" s="9"/>
      <c r="F162" s="139"/>
      <c r="G162" s="191"/>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19"/>
      <c r="BK162" s="219"/>
    </row>
    <row r="163" spans="1:63" outlineLevel="1">
      <c r="A163" s="9"/>
      <c r="B163" s="44"/>
      <c r="C163" s="152" t="s">
        <v>29</v>
      </c>
      <c r="D163" s="9"/>
      <c r="E163" s="9"/>
      <c r="F163" s="139"/>
      <c r="G163" s="191"/>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19"/>
      <c r="BK163" s="219"/>
    </row>
    <row r="164" spans="1:63" outlineLevel="1">
      <c r="A164" s="9"/>
      <c r="B164" s="44"/>
      <c r="C164" s="128">
        <f>Asset29</f>
        <v>0</v>
      </c>
      <c r="D164" s="9"/>
      <c r="E164" s="9"/>
      <c r="F164" s="139"/>
      <c r="G164" s="191"/>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19"/>
      <c r="BK164" s="219"/>
    </row>
    <row r="165" spans="1:63" outlineLevel="1">
      <c r="A165" s="9"/>
      <c r="B165" s="44"/>
      <c r="C165" s="152" t="s">
        <v>29</v>
      </c>
      <c r="D165" s="9"/>
      <c r="E165" s="9"/>
      <c r="F165" s="139"/>
      <c r="G165" s="191"/>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19"/>
      <c r="BK165" s="219"/>
    </row>
    <row r="166" spans="1:63" outlineLevel="1">
      <c r="A166" s="9"/>
      <c r="B166" s="44"/>
      <c r="C166" s="128">
        <f>Asset30</f>
        <v>0</v>
      </c>
      <c r="D166" s="9"/>
      <c r="E166" s="9"/>
      <c r="F166" s="139"/>
      <c r="G166" s="191"/>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19"/>
      <c r="BK166" s="219"/>
    </row>
    <row r="167" spans="1:63" outlineLevel="1">
      <c r="A167" s="9"/>
      <c r="B167" s="44"/>
      <c r="C167" s="152" t="s">
        <v>29</v>
      </c>
      <c r="D167" s="9"/>
      <c r="E167" s="9"/>
      <c r="F167" s="139"/>
      <c r="G167" s="191"/>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19"/>
      <c r="BK167" s="219"/>
    </row>
    <row r="168" spans="1:63">
      <c r="A168" s="9"/>
      <c r="B168" s="182" t="s">
        <v>44</v>
      </c>
      <c r="D168" s="9"/>
      <c r="E168" s="9"/>
      <c r="F168" s="139"/>
      <c r="G168" s="193"/>
      <c r="H168" s="115"/>
      <c r="I168" s="115"/>
      <c r="J168" s="115"/>
      <c r="K168" s="115"/>
      <c r="L168" s="115">
        <f>IF(M107=0, SUM($G107:L107), 0)</f>
        <v>-40.95793165892983</v>
      </c>
      <c r="M168" s="115">
        <f>IF(N107=0, IF(M107=0, 0, SUM($G107:M107)), 0)</f>
        <v>0</v>
      </c>
      <c r="N168" s="115">
        <f>IF(O107=0, IF(N107=0, 0, SUM($G107:N107)), 0)</f>
        <v>0</v>
      </c>
      <c r="O168" s="115">
        <f>IF(P107=0, IF(O107=0, 0, SUM($G107:O107)), 0)</f>
        <v>0</v>
      </c>
      <c r="P168" s="115">
        <f>IF(Q107=0, IF(P107=0, 0, SUM($G107:P107)), 0)</f>
        <v>0</v>
      </c>
      <c r="Q168" s="115">
        <f>IF(R107=0, IF(Q107=0, 0, SUM($G107:Q107)), 0)</f>
        <v>0</v>
      </c>
      <c r="R168" s="99"/>
      <c r="S168" s="99"/>
      <c r="T168" s="99"/>
      <c r="U168" s="99"/>
      <c r="V168" s="99"/>
      <c r="W168" s="99"/>
      <c r="X168" s="99"/>
      <c r="Y168" s="99"/>
      <c r="Z168" s="99"/>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19"/>
      <c r="BK168" s="219"/>
    </row>
    <row r="169" spans="1:63">
      <c r="A169" s="9"/>
      <c r="B169" s="151"/>
      <c r="C169" s="25"/>
      <c r="D169" s="9"/>
      <c r="E169" s="9"/>
      <c r="F169" s="139"/>
      <c r="G169" s="115"/>
      <c r="H169" s="115"/>
      <c r="I169" s="115"/>
      <c r="J169" s="115"/>
      <c r="K169" s="115"/>
      <c r="L169" s="115"/>
      <c r="M169" s="9"/>
      <c r="N169" s="109"/>
      <c r="O169" s="150"/>
      <c r="P169" s="150"/>
      <c r="Q169" s="150"/>
      <c r="R169" s="99"/>
      <c r="S169" s="99"/>
      <c r="T169" s="99"/>
      <c r="U169" s="99"/>
      <c r="V169" s="99"/>
      <c r="W169" s="99"/>
      <c r="X169" s="99"/>
      <c r="Y169" s="99"/>
      <c r="Z169" s="99"/>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19"/>
      <c r="BK169" s="219"/>
    </row>
    <row r="170" spans="1:63">
      <c r="A170" s="72"/>
      <c r="B170" s="176" t="s">
        <v>54</v>
      </c>
      <c r="C170" s="177"/>
      <c r="D170" s="72"/>
      <c r="E170" s="72"/>
      <c r="F170" s="178"/>
      <c r="G170" s="179"/>
      <c r="H170" s="179"/>
      <c r="I170" s="179"/>
      <c r="J170" s="179"/>
      <c r="K170" s="179"/>
      <c r="L170" s="179"/>
      <c r="M170" s="72"/>
      <c r="N170" s="180"/>
      <c r="O170" s="181"/>
      <c r="P170" s="181"/>
      <c r="Q170" s="181"/>
      <c r="R170" s="181"/>
      <c r="S170" s="99"/>
      <c r="T170" s="99"/>
      <c r="U170" s="99"/>
      <c r="V170" s="99"/>
      <c r="W170" s="99"/>
      <c r="X170" s="99"/>
      <c r="Y170" s="99"/>
      <c r="Z170" s="99"/>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19"/>
      <c r="BK170" s="219"/>
    </row>
    <row r="171" spans="1:63">
      <c r="A171" s="9"/>
      <c r="B171" s="151"/>
      <c r="C171" s="25"/>
      <c r="D171" s="9"/>
      <c r="E171" s="9"/>
      <c r="F171" s="139"/>
      <c r="G171" s="115"/>
      <c r="H171" s="115"/>
      <c r="I171" s="115"/>
      <c r="J171" s="115"/>
      <c r="K171" s="115"/>
      <c r="L171" s="115"/>
      <c r="M171" s="9"/>
      <c r="N171" s="109"/>
      <c r="O171" s="150"/>
      <c r="P171" s="150"/>
      <c r="Q171" s="150"/>
      <c r="R171" s="99"/>
      <c r="S171" s="99"/>
      <c r="T171" s="99"/>
      <c r="U171" s="99"/>
      <c r="V171" s="99"/>
      <c r="W171" s="99"/>
      <c r="X171" s="99"/>
      <c r="Y171" s="99"/>
      <c r="Z171" s="99"/>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19"/>
      <c r="BK171" s="219"/>
    </row>
    <row r="172" spans="1:63">
      <c r="A172" s="9"/>
      <c r="B172" s="44" t="s">
        <v>55</v>
      </c>
      <c r="C172" s="9"/>
      <c r="D172" s="9"/>
      <c r="E172" s="9"/>
      <c r="F172" s="139"/>
      <c r="G172" s="193">
        <f>SUM(G173:G202)</f>
        <v>0</v>
      </c>
      <c r="H172" s="115"/>
      <c r="I172" s="115"/>
      <c r="J172" s="115"/>
      <c r="K172" s="115"/>
      <c r="L172" s="115"/>
      <c r="M172" s="9"/>
      <c r="N172" s="109"/>
      <c r="O172" s="150"/>
      <c r="P172" s="150"/>
      <c r="Q172" s="150"/>
      <c r="R172" s="99"/>
      <c r="S172" s="99"/>
      <c r="T172" s="99"/>
      <c r="U172" s="99"/>
      <c r="V172" s="99"/>
      <c r="W172" s="99"/>
      <c r="X172" s="99"/>
      <c r="Y172" s="99"/>
      <c r="Z172" s="99"/>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19"/>
      <c r="BK172" s="219"/>
    </row>
    <row r="173" spans="1:63" hidden="1" outlineLevel="1">
      <c r="A173" s="9"/>
      <c r="B173" s="9"/>
      <c r="C173" s="128" t="str">
        <f>Asset1</f>
        <v>Transmission &amp; Zone land &amp; easements</v>
      </c>
      <c r="D173" s="9"/>
      <c r="E173" s="9"/>
      <c r="F173" s="139"/>
      <c r="G173" s="191">
        <f>Input!Q7</f>
        <v>0</v>
      </c>
      <c r="H173" s="115"/>
      <c r="I173" s="115"/>
      <c r="J173" s="115"/>
      <c r="K173" s="115"/>
      <c r="L173" s="115"/>
      <c r="M173" s="9"/>
      <c r="N173" s="109"/>
      <c r="O173" s="150"/>
      <c r="P173" s="150"/>
      <c r="Q173" s="150"/>
      <c r="R173" s="99"/>
      <c r="S173" s="99"/>
      <c r="T173" s="99"/>
      <c r="U173" s="99"/>
      <c r="V173" s="99"/>
      <c r="W173" s="99"/>
      <c r="X173" s="99"/>
      <c r="Y173" s="99"/>
      <c r="Z173" s="99"/>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19"/>
      <c r="BK173" s="219"/>
    </row>
    <row r="174" spans="1:63" hidden="1" outlineLevel="1">
      <c r="A174" s="9"/>
      <c r="B174" s="44"/>
      <c r="C174" s="128" t="str">
        <f>Asset2</f>
        <v>Transmission buildings 132/66kV</v>
      </c>
      <c r="D174" s="9"/>
      <c r="E174" s="9"/>
      <c r="F174" s="139"/>
      <c r="G174" s="191">
        <f>Input!Q8</f>
        <v>0</v>
      </c>
      <c r="H174" s="115"/>
      <c r="I174" s="115"/>
      <c r="J174" s="115"/>
      <c r="K174" s="115"/>
      <c r="L174" s="115"/>
      <c r="M174" s="9"/>
      <c r="N174" s="109"/>
      <c r="O174" s="150"/>
      <c r="P174" s="150"/>
      <c r="Q174" s="150"/>
      <c r="R174" s="99"/>
      <c r="S174" s="99"/>
      <c r="T174" s="99"/>
      <c r="U174" s="99"/>
      <c r="V174" s="99"/>
      <c r="W174" s="99"/>
      <c r="X174" s="99"/>
      <c r="Y174" s="99"/>
      <c r="Z174" s="99"/>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19"/>
      <c r="BK174" s="219"/>
    </row>
    <row r="175" spans="1:63" hidden="1" outlineLevel="1">
      <c r="A175" s="9"/>
      <c r="B175" s="44"/>
      <c r="C175" s="128" t="str">
        <f>Asset3</f>
        <v>Zone buildings 132/66kV</v>
      </c>
      <c r="D175" s="9"/>
      <c r="E175" s="9"/>
      <c r="F175" s="139"/>
      <c r="G175" s="191">
        <f>Input!Q9</f>
        <v>0</v>
      </c>
      <c r="H175" s="115"/>
      <c r="I175" s="115"/>
      <c r="J175" s="115"/>
      <c r="K175" s="115"/>
      <c r="L175" s="115"/>
      <c r="M175" s="9"/>
      <c r="N175" s="109"/>
      <c r="O175" s="150"/>
      <c r="P175" s="150"/>
      <c r="Q175" s="150"/>
      <c r="R175" s="99"/>
      <c r="S175" s="99"/>
      <c r="T175" s="99"/>
      <c r="U175" s="99"/>
      <c r="V175" s="99"/>
      <c r="W175" s="99"/>
      <c r="X175" s="99"/>
      <c r="Y175" s="99"/>
      <c r="Z175" s="99"/>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19"/>
      <c r="BK175" s="219"/>
    </row>
    <row r="176" spans="1:63" hidden="1" outlineLevel="1">
      <c r="A176" s="9"/>
      <c r="B176" s="44"/>
      <c r="C176" s="128" t="str">
        <f>Asset4</f>
        <v>Transmission transformers 132/66kV</v>
      </c>
      <c r="D176" s="9"/>
      <c r="E176" s="9"/>
      <c r="F176" s="139"/>
      <c r="G176" s="191">
        <f>Input!Q10</f>
        <v>0</v>
      </c>
      <c r="H176" s="115"/>
      <c r="I176" s="115"/>
      <c r="J176" s="115"/>
      <c r="K176" s="115"/>
      <c r="L176" s="115"/>
      <c r="M176" s="9"/>
      <c r="N176" s="109"/>
      <c r="O176" s="150"/>
      <c r="P176" s="150"/>
      <c r="Q176" s="150"/>
      <c r="R176" s="99"/>
      <c r="S176" s="99"/>
      <c r="T176" s="99"/>
      <c r="U176" s="99"/>
      <c r="V176" s="99"/>
      <c r="W176" s="99"/>
      <c r="X176" s="99"/>
      <c r="Y176" s="99"/>
      <c r="Z176" s="99"/>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19"/>
      <c r="BK176" s="219"/>
    </row>
    <row r="177" spans="1:63" hidden="1" outlineLevel="1">
      <c r="A177" s="9"/>
      <c r="B177" s="44"/>
      <c r="C177" s="128" t="str">
        <f>Asset5</f>
        <v>Zone transformers 132/66kV</v>
      </c>
      <c r="D177" s="9"/>
      <c r="E177" s="9"/>
      <c r="F177" s="139"/>
      <c r="G177" s="191">
        <f>Input!Q11</f>
        <v>0</v>
      </c>
      <c r="H177" s="115"/>
      <c r="I177" s="115"/>
      <c r="J177" s="115"/>
      <c r="K177" s="115"/>
      <c r="L177" s="115"/>
      <c r="M177" s="9"/>
      <c r="N177" s="109"/>
      <c r="O177" s="150"/>
      <c r="P177" s="150"/>
      <c r="Q177" s="150"/>
      <c r="R177" s="99"/>
      <c r="S177" s="99"/>
      <c r="T177" s="99"/>
      <c r="U177" s="99"/>
      <c r="V177" s="99"/>
      <c r="W177" s="99"/>
      <c r="X177" s="99"/>
      <c r="Y177" s="99"/>
      <c r="Z177" s="99"/>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19"/>
      <c r="BK177" s="219"/>
    </row>
    <row r="178" spans="1:63" hidden="1" outlineLevel="1">
      <c r="A178" s="9"/>
      <c r="B178" s="44"/>
      <c r="C178" s="128" t="str">
        <f>Asset6</f>
        <v>Transmission substation equip 132/66kV</v>
      </c>
      <c r="D178" s="9"/>
      <c r="E178" s="9"/>
      <c r="F178" s="139"/>
      <c r="G178" s="191">
        <f>Input!Q12</f>
        <v>0</v>
      </c>
      <c r="H178" s="115"/>
      <c r="I178" s="115"/>
      <c r="J178" s="115"/>
      <c r="K178" s="115"/>
      <c r="L178" s="115"/>
      <c r="M178" s="9"/>
      <c r="N178" s="109"/>
      <c r="O178" s="150"/>
      <c r="P178" s="150"/>
      <c r="Q178" s="150"/>
      <c r="R178" s="99"/>
      <c r="S178" s="99"/>
      <c r="T178" s="99"/>
      <c r="U178" s="99"/>
      <c r="V178" s="99"/>
      <c r="W178" s="99"/>
      <c r="X178" s="99"/>
      <c r="Y178" s="99"/>
      <c r="Z178" s="99"/>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19"/>
      <c r="BK178" s="219"/>
    </row>
    <row r="179" spans="1:63" hidden="1" outlineLevel="1">
      <c r="A179" s="9"/>
      <c r="B179" s="44"/>
      <c r="C179" s="128" t="str">
        <f>Asset7</f>
        <v>Zone substation equip 132/66kV</v>
      </c>
      <c r="D179" s="9"/>
      <c r="E179" s="9"/>
      <c r="F179" s="139"/>
      <c r="G179" s="191">
        <f>Input!Q13</f>
        <v>0</v>
      </c>
      <c r="H179" s="115"/>
      <c r="I179" s="115"/>
      <c r="J179" s="115"/>
      <c r="K179" s="115"/>
      <c r="L179" s="115"/>
      <c r="M179" s="9"/>
      <c r="N179" s="109"/>
      <c r="O179" s="150"/>
      <c r="P179" s="150"/>
      <c r="Q179" s="150"/>
      <c r="R179" s="99"/>
      <c r="S179" s="99"/>
      <c r="T179" s="99"/>
      <c r="U179" s="99"/>
      <c r="V179" s="99"/>
      <c r="W179" s="99"/>
      <c r="X179" s="99"/>
      <c r="Y179" s="99"/>
      <c r="Z179" s="99"/>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19"/>
      <c r="BK179" s="219"/>
    </row>
    <row r="180" spans="1:63" hidden="1" outlineLevel="1">
      <c r="A180" s="9"/>
      <c r="B180" s="44"/>
      <c r="C180" s="128" t="str">
        <f>Asset8</f>
        <v>Transmission &amp; Zone emergency spares</v>
      </c>
      <c r="D180" s="9"/>
      <c r="E180" s="9"/>
      <c r="F180" s="139"/>
      <c r="G180" s="191">
        <f>Input!Q14</f>
        <v>0</v>
      </c>
      <c r="H180" s="115"/>
      <c r="I180" s="115"/>
      <c r="J180" s="115"/>
      <c r="K180" s="115"/>
      <c r="L180" s="115"/>
      <c r="M180" s="9"/>
      <c r="N180" s="109"/>
      <c r="O180" s="150"/>
      <c r="P180" s="150"/>
      <c r="Q180" s="150"/>
      <c r="R180" s="99"/>
      <c r="S180" s="99"/>
      <c r="T180" s="99"/>
      <c r="U180" s="99"/>
      <c r="V180" s="99"/>
      <c r="W180" s="99"/>
      <c r="X180" s="99"/>
      <c r="Y180" s="99"/>
      <c r="Z180" s="99"/>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19"/>
      <c r="BK180" s="219"/>
    </row>
    <row r="181" spans="1:63" hidden="1" outlineLevel="1">
      <c r="A181" s="9"/>
      <c r="B181" s="44"/>
      <c r="C181" s="128" t="str">
        <f>Asset9</f>
        <v>Ancillary substation equipment (tx)</v>
      </c>
      <c r="D181" s="9"/>
      <c r="E181" s="9"/>
      <c r="F181" s="139"/>
      <c r="G181" s="191">
        <f>Input!Q15</f>
        <v>0</v>
      </c>
      <c r="H181" s="115"/>
      <c r="I181" s="115"/>
      <c r="J181" s="115"/>
      <c r="K181" s="115"/>
      <c r="L181" s="115"/>
      <c r="M181" s="9"/>
      <c r="N181" s="109"/>
      <c r="O181" s="150"/>
      <c r="P181" s="150"/>
      <c r="Q181" s="150"/>
      <c r="R181" s="99"/>
      <c r="S181" s="99"/>
      <c r="T181" s="99"/>
      <c r="U181" s="99"/>
      <c r="V181" s="99"/>
      <c r="W181" s="99"/>
      <c r="X181" s="99"/>
      <c r="Y181" s="99"/>
      <c r="Z181" s="99"/>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19"/>
      <c r="BK181" s="219"/>
    </row>
    <row r="182" spans="1:63" hidden="1" outlineLevel="1">
      <c r="A182" s="9"/>
      <c r="B182" s="44"/>
      <c r="C182" s="128" t="str">
        <f>Asset10</f>
        <v>132kV tower lines</v>
      </c>
      <c r="D182" s="9"/>
      <c r="E182" s="9"/>
      <c r="F182" s="139"/>
      <c r="G182" s="191">
        <f>Input!Q16</f>
        <v>0</v>
      </c>
      <c r="H182" s="115"/>
      <c r="I182" s="115"/>
      <c r="J182" s="115"/>
      <c r="K182" s="115"/>
      <c r="L182" s="115"/>
      <c r="M182" s="9"/>
      <c r="N182" s="109"/>
      <c r="O182" s="150"/>
      <c r="P182" s="150"/>
      <c r="Q182" s="150"/>
      <c r="R182" s="99"/>
      <c r="S182" s="99"/>
      <c r="T182" s="99"/>
      <c r="U182" s="99"/>
      <c r="V182" s="99"/>
      <c r="W182" s="99"/>
      <c r="X182" s="99"/>
      <c r="Y182" s="99"/>
      <c r="Z182" s="99"/>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19"/>
      <c r="BK182" s="219"/>
    </row>
    <row r="183" spans="1:63" hidden="1" outlineLevel="1">
      <c r="A183" s="9"/>
      <c r="B183" s="44"/>
      <c r="C183" s="128" t="str">
        <f>Asset11</f>
        <v>132kV concrete &amp; steel pole lines</v>
      </c>
      <c r="D183" s="9"/>
      <c r="E183" s="9"/>
      <c r="F183" s="139"/>
      <c r="G183" s="191">
        <f>Input!Q17</f>
        <v>0</v>
      </c>
      <c r="H183" s="115"/>
      <c r="I183" s="115"/>
      <c r="J183" s="115"/>
      <c r="K183" s="115"/>
      <c r="L183" s="115"/>
      <c r="M183" s="9"/>
      <c r="N183" s="109"/>
      <c r="O183" s="150"/>
      <c r="P183" s="150"/>
      <c r="Q183" s="150"/>
      <c r="R183" s="99"/>
      <c r="S183" s="99"/>
      <c r="T183" s="99"/>
      <c r="U183" s="99"/>
      <c r="V183" s="99"/>
      <c r="W183" s="99"/>
      <c r="X183" s="99"/>
      <c r="Y183" s="99"/>
      <c r="Z183" s="99"/>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19"/>
      <c r="BK183" s="219"/>
    </row>
    <row r="184" spans="1:63" hidden="1" outlineLevel="1">
      <c r="A184" s="9"/>
      <c r="B184" s="44"/>
      <c r="C184" s="128" t="str">
        <f>Asset12</f>
        <v>132kV wood pole lines</v>
      </c>
      <c r="D184" s="9"/>
      <c r="E184" s="9"/>
      <c r="F184" s="139"/>
      <c r="G184" s="191">
        <f>Input!Q18</f>
        <v>0</v>
      </c>
      <c r="H184" s="115"/>
      <c r="I184" s="115"/>
      <c r="J184" s="115"/>
      <c r="K184" s="115"/>
      <c r="L184" s="115"/>
      <c r="M184" s="9"/>
      <c r="N184" s="109"/>
      <c r="O184" s="150"/>
      <c r="P184" s="150"/>
      <c r="Q184" s="150"/>
      <c r="R184" s="99"/>
      <c r="S184" s="99"/>
      <c r="T184" s="99"/>
      <c r="U184" s="99"/>
      <c r="V184" s="99"/>
      <c r="W184" s="99"/>
      <c r="X184" s="99"/>
      <c r="Y184" s="99"/>
      <c r="Z184" s="99"/>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19"/>
      <c r="BK184" s="219"/>
    </row>
    <row r="185" spans="1:63" hidden="1" outlineLevel="1">
      <c r="A185" s="9"/>
      <c r="B185" s="44"/>
      <c r="C185" s="128" t="str">
        <f>Asset13</f>
        <v>132kV feeders underground</v>
      </c>
      <c r="D185" s="9"/>
      <c r="E185" s="9"/>
      <c r="F185" s="139"/>
      <c r="G185" s="191">
        <f>Input!Q19</f>
        <v>0</v>
      </c>
      <c r="H185" s="115"/>
      <c r="I185" s="115"/>
      <c r="J185" s="115"/>
      <c r="K185" s="115"/>
      <c r="L185" s="115"/>
      <c r="M185" s="9"/>
      <c r="N185" s="109"/>
      <c r="O185" s="150"/>
      <c r="P185" s="150"/>
      <c r="Q185" s="150"/>
      <c r="R185" s="99"/>
      <c r="S185" s="99"/>
      <c r="T185" s="99"/>
      <c r="U185" s="99"/>
      <c r="V185" s="99"/>
      <c r="W185" s="99"/>
      <c r="X185" s="99"/>
      <c r="Y185" s="99"/>
      <c r="Z185" s="99"/>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19"/>
      <c r="BK185" s="219"/>
    </row>
    <row r="186" spans="1:63" hidden="1" outlineLevel="1">
      <c r="A186" s="9"/>
      <c r="B186" s="44"/>
      <c r="C186" s="128" t="str">
        <f>Asset14</f>
        <v>Cable tunnel (tx)</v>
      </c>
      <c r="D186" s="9"/>
      <c r="E186" s="9"/>
      <c r="F186" s="139"/>
      <c r="G186" s="191">
        <f>Input!Q20</f>
        <v>0</v>
      </c>
      <c r="H186" s="115"/>
      <c r="I186" s="115"/>
      <c r="J186" s="115"/>
      <c r="K186" s="115"/>
      <c r="L186" s="115"/>
      <c r="M186" s="9"/>
      <c r="N186" s="109"/>
      <c r="O186" s="150"/>
      <c r="P186" s="150"/>
      <c r="Q186" s="150"/>
      <c r="R186" s="99"/>
      <c r="S186" s="99"/>
      <c r="T186" s="99"/>
      <c r="U186" s="99"/>
      <c r="V186" s="99"/>
      <c r="W186" s="99"/>
      <c r="X186" s="99"/>
      <c r="Y186" s="99"/>
      <c r="Z186" s="99"/>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19"/>
      <c r="BK186" s="219"/>
    </row>
    <row r="187" spans="1:63" hidden="1" outlineLevel="1">
      <c r="A187" s="9"/>
      <c r="B187" s="44"/>
      <c r="C187" s="128" t="str">
        <f>Asset15</f>
        <v>Network control &amp; com systems</v>
      </c>
      <c r="D187" s="9"/>
      <c r="E187" s="9"/>
      <c r="F187" s="139"/>
      <c r="G187" s="191">
        <f>Input!Q21</f>
        <v>0</v>
      </c>
      <c r="H187" s="115"/>
      <c r="I187" s="115"/>
      <c r="J187" s="115"/>
      <c r="K187" s="115"/>
      <c r="L187" s="115"/>
      <c r="M187" s="9"/>
      <c r="N187" s="109"/>
      <c r="O187" s="150"/>
      <c r="P187" s="150"/>
      <c r="Q187" s="150"/>
      <c r="R187" s="99"/>
      <c r="S187" s="99"/>
      <c r="T187" s="99"/>
      <c r="U187" s="99"/>
      <c r="V187" s="99"/>
      <c r="W187" s="99"/>
      <c r="X187" s="99"/>
      <c r="Y187" s="99"/>
      <c r="Z187" s="99"/>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19"/>
      <c r="BK187" s="219"/>
    </row>
    <row r="188" spans="1:63" hidden="1" outlineLevel="1">
      <c r="A188" s="9"/>
      <c r="B188" s="44"/>
      <c r="C188" s="128" t="str">
        <f>Asset16</f>
        <v>Communications (digital) - tx</v>
      </c>
      <c r="D188" s="9"/>
      <c r="E188" s="9"/>
      <c r="F188" s="139"/>
      <c r="G188" s="191">
        <f>Input!Q22</f>
        <v>0</v>
      </c>
      <c r="H188" s="115"/>
      <c r="I188" s="115"/>
      <c r="J188" s="115"/>
      <c r="K188" s="115"/>
      <c r="L188" s="115"/>
      <c r="M188" s="9"/>
      <c r="N188" s="109"/>
      <c r="O188" s="150"/>
      <c r="P188" s="150"/>
      <c r="Q188" s="150"/>
      <c r="R188" s="99"/>
      <c r="S188" s="99"/>
      <c r="T188" s="99"/>
      <c r="U188" s="99"/>
      <c r="V188" s="99"/>
      <c r="W188" s="99"/>
      <c r="X188" s="99"/>
      <c r="Y188" s="99"/>
      <c r="Z188" s="99"/>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19"/>
      <c r="BK188" s="219"/>
    </row>
    <row r="189" spans="1:63" hidden="1" outlineLevel="1">
      <c r="A189" s="9"/>
      <c r="B189" s="44"/>
      <c r="C189" s="128" t="str">
        <f>Asset17</f>
        <v>System IT (tx)</v>
      </c>
      <c r="D189" s="9"/>
      <c r="E189" s="9"/>
      <c r="F189" s="139"/>
      <c r="G189" s="191">
        <f>Input!Q23</f>
        <v>0</v>
      </c>
      <c r="H189" s="115"/>
      <c r="I189" s="115"/>
      <c r="J189" s="115"/>
      <c r="K189" s="115"/>
      <c r="L189" s="115"/>
      <c r="M189" s="9"/>
      <c r="N189" s="109"/>
      <c r="O189" s="150"/>
      <c r="P189" s="150"/>
      <c r="Q189" s="150"/>
      <c r="R189" s="99"/>
      <c r="S189" s="99"/>
      <c r="T189" s="99"/>
      <c r="U189" s="99"/>
      <c r="V189" s="99"/>
      <c r="W189" s="99"/>
      <c r="X189" s="99"/>
      <c r="Y189" s="99"/>
      <c r="Z189" s="99"/>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19"/>
      <c r="BK189" s="219"/>
    </row>
    <row r="190" spans="1:63" hidden="1" outlineLevel="1">
      <c r="A190" s="9"/>
      <c r="B190" s="44"/>
      <c r="C190" s="128" t="str">
        <f>Asset18</f>
        <v>IT systems</v>
      </c>
      <c r="D190" s="9"/>
      <c r="E190" s="9"/>
      <c r="F190" s="139"/>
      <c r="G190" s="191">
        <f>Input!Q24</f>
        <v>0</v>
      </c>
      <c r="H190" s="115"/>
      <c r="I190" s="115"/>
      <c r="J190" s="115"/>
      <c r="K190" s="115"/>
      <c r="L190" s="115"/>
      <c r="M190" s="9"/>
      <c r="N190" s="109"/>
      <c r="O190" s="150"/>
      <c r="P190" s="150"/>
      <c r="Q190" s="150"/>
      <c r="R190" s="99"/>
      <c r="S190" s="99"/>
      <c r="T190" s="99"/>
      <c r="U190" s="99"/>
      <c r="V190" s="99"/>
      <c r="W190" s="99"/>
      <c r="X190" s="99"/>
      <c r="Y190" s="99"/>
      <c r="Z190" s="99"/>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19"/>
      <c r="BK190" s="219"/>
    </row>
    <row r="191" spans="1:63" hidden="1" outlineLevel="1">
      <c r="A191" s="9"/>
      <c r="B191" s="44"/>
      <c r="C191" s="128" t="str">
        <f>Asset19</f>
        <v>Furniture, fittings, plant and equipment</v>
      </c>
      <c r="D191" s="9"/>
      <c r="E191" s="9"/>
      <c r="F191" s="139"/>
      <c r="G191" s="191">
        <f>Input!Q25</f>
        <v>0</v>
      </c>
      <c r="H191" s="115"/>
      <c r="I191" s="115"/>
      <c r="J191" s="115"/>
      <c r="K191" s="115"/>
      <c r="L191" s="115"/>
      <c r="M191" s="9"/>
      <c r="N191" s="109"/>
      <c r="O191" s="150"/>
      <c r="P191" s="150"/>
      <c r="Q191" s="150"/>
      <c r="R191" s="99"/>
      <c r="S191" s="99"/>
      <c r="T191" s="99"/>
      <c r="U191" s="99"/>
      <c r="V191" s="99"/>
      <c r="W191" s="99"/>
      <c r="X191" s="99"/>
      <c r="Y191" s="99"/>
      <c r="Z191" s="99"/>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19"/>
      <c r="BK191" s="219"/>
    </row>
    <row r="192" spans="1:63" hidden="1" outlineLevel="1">
      <c r="A192" s="9"/>
      <c r="B192" s="44"/>
      <c r="C192" s="128" t="str">
        <f>Asset20</f>
        <v>Motor vehicles</v>
      </c>
      <c r="D192" s="9"/>
      <c r="E192" s="9"/>
      <c r="F192" s="139"/>
      <c r="G192" s="191">
        <f>Input!Q26</f>
        <v>0</v>
      </c>
      <c r="H192" s="115"/>
      <c r="I192" s="115"/>
      <c r="J192" s="115"/>
      <c r="K192" s="115"/>
      <c r="L192" s="115"/>
      <c r="M192" s="9"/>
      <c r="N192" s="109"/>
      <c r="O192" s="150"/>
      <c r="P192" s="150"/>
      <c r="Q192" s="150"/>
      <c r="R192" s="99"/>
      <c r="S192" s="99"/>
      <c r="T192" s="99"/>
      <c r="U192" s="99"/>
      <c r="V192" s="99"/>
      <c r="W192" s="99"/>
      <c r="X192" s="99"/>
      <c r="Y192" s="99"/>
      <c r="Z192" s="99"/>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19"/>
      <c r="BK192" s="219"/>
    </row>
    <row r="193" spans="1:63" hidden="1" outlineLevel="1">
      <c r="A193" s="9"/>
      <c r="B193" s="44"/>
      <c r="C193" s="128" t="str">
        <f>Asset21</f>
        <v>Buildings</v>
      </c>
      <c r="D193" s="9"/>
      <c r="E193" s="9"/>
      <c r="F193" s="139"/>
      <c r="G193" s="191">
        <f>Input!Q27</f>
        <v>0</v>
      </c>
      <c r="H193" s="115"/>
      <c r="I193" s="115"/>
      <c r="J193" s="115"/>
      <c r="K193" s="115"/>
      <c r="L193" s="115"/>
      <c r="M193" s="9"/>
      <c r="N193" s="109"/>
      <c r="O193" s="150"/>
      <c r="P193" s="150"/>
      <c r="Q193" s="150"/>
      <c r="R193" s="99"/>
      <c r="S193" s="99"/>
      <c r="T193" s="99"/>
      <c r="U193" s="99"/>
      <c r="V193" s="99"/>
      <c r="W193" s="99"/>
      <c r="X193" s="99"/>
      <c r="Y193" s="99"/>
      <c r="Z193" s="99"/>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19"/>
      <c r="BK193" s="219"/>
    </row>
    <row r="194" spans="1:63" hidden="1" outlineLevel="1">
      <c r="A194" s="9"/>
      <c r="B194" s="44"/>
      <c r="C194" s="128" t="str">
        <f>Asset22</f>
        <v>Land (non-system)</v>
      </c>
      <c r="D194" s="9"/>
      <c r="E194" s="9"/>
      <c r="F194" s="139"/>
      <c r="G194" s="191">
        <f>Input!Q28</f>
        <v>0</v>
      </c>
      <c r="H194" s="115"/>
      <c r="I194" s="115"/>
      <c r="J194" s="115"/>
      <c r="K194" s="115"/>
      <c r="L194" s="115"/>
      <c r="M194" s="9"/>
      <c r="N194" s="109"/>
      <c r="O194" s="150"/>
      <c r="P194" s="150"/>
      <c r="Q194" s="150"/>
      <c r="R194" s="99"/>
      <c r="S194" s="99"/>
      <c r="T194" s="99"/>
      <c r="U194" s="99"/>
      <c r="V194" s="99"/>
      <c r="W194" s="99"/>
      <c r="X194" s="99"/>
      <c r="Y194" s="99"/>
      <c r="Z194" s="99"/>
      <c r="AA194" s="226"/>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19"/>
      <c r="BK194" s="219"/>
    </row>
    <row r="195" spans="1:63" hidden="1" outlineLevel="1">
      <c r="A195" s="9"/>
      <c r="B195" s="44"/>
      <c r="C195" s="128" t="str">
        <f>Asset23</f>
        <v>Other non system assets</v>
      </c>
      <c r="D195" s="9"/>
      <c r="E195" s="9"/>
      <c r="F195" s="139"/>
      <c r="G195" s="191">
        <f>Input!Q29</f>
        <v>0</v>
      </c>
      <c r="H195" s="115"/>
      <c r="I195" s="115"/>
      <c r="J195" s="115"/>
      <c r="K195" s="115"/>
      <c r="L195" s="115"/>
      <c r="M195" s="9"/>
      <c r="N195" s="109"/>
      <c r="O195" s="150"/>
      <c r="P195" s="150"/>
      <c r="Q195" s="150"/>
      <c r="R195" s="99"/>
      <c r="S195" s="99"/>
      <c r="T195" s="99"/>
      <c r="U195" s="99"/>
      <c r="V195" s="99"/>
      <c r="W195" s="99"/>
      <c r="X195" s="99"/>
      <c r="Y195" s="99"/>
      <c r="Z195" s="99"/>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19"/>
      <c r="BK195" s="219"/>
    </row>
    <row r="196" spans="1:63" hidden="1" outlineLevel="1">
      <c r="A196" s="9"/>
      <c r="B196" s="44"/>
      <c r="C196" s="128" t="str">
        <f>Asset24</f>
        <v>Equity raising costs</v>
      </c>
      <c r="D196" s="9"/>
      <c r="E196" s="9"/>
      <c r="F196" s="139"/>
      <c r="G196" s="191">
        <f>Input!Q30</f>
        <v>0</v>
      </c>
      <c r="H196" s="115"/>
      <c r="I196" s="115"/>
      <c r="J196" s="115"/>
      <c r="K196" s="115"/>
      <c r="L196" s="115"/>
      <c r="M196" s="9"/>
      <c r="N196" s="109"/>
      <c r="O196" s="150"/>
      <c r="P196" s="150"/>
      <c r="Q196" s="150"/>
      <c r="R196" s="99"/>
      <c r="S196" s="99"/>
      <c r="T196" s="99"/>
      <c r="U196" s="99"/>
      <c r="V196" s="99"/>
      <c r="W196" s="99"/>
      <c r="X196" s="99"/>
      <c r="Y196" s="99"/>
      <c r="Z196" s="99"/>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19"/>
      <c r="BK196" s="219"/>
    </row>
    <row r="197" spans="1:63" hidden="1" outlineLevel="1">
      <c r="A197" s="9"/>
      <c r="B197" s="44"/>
      <c r="C197" s="128">
        <f>Asset25</f>
        <v>0</v>
      </c>
      <c r="D197" s="9"/>
      <c r="E197" s="9"/>
      <c r="F197" s="139"/>
      <c r="G197" s="191">
        <f>Input!Q31</f>
        <v>0</v>
      </c>
      <c r="H197" s="115"/>
      <c r="I197" s="115"/>
      <c r="J197" s="115"/>
      <c r="K197" s="115"/>
      <c r="L197" s="115"/>
      <c r="M197" s="9"/>
      <c r="N197" s="109"/>
      <c r="O197" s="150"/>
      <c r="P197" s="150"/>
      <c r="Q197" s="150"/>
      <c r="R197" s="99"/>
      <c r="S197" s="99"/>
      <c r="T197" s="99"/>
      <c r="U197" s="99"/>
      <c r="V197" s="99"/>
      <c r="W197" s="99"/>
      <c r="X197" s="99"/>
      <c r="Y197" s="99"/>
      <c r="Z197" s="99"/>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19"/>
      <c r="BK197" s="219"/>
    </row>
    <row r="198" spans="1:63" hidden="1" outlineLevel="1">
      <c r="A198" s="9"/>
      <c r="B198" s="44"/>
      <c r="C198" s="128">
        <f>Asset26</f>
        <v>0</v>
      </c>
      <c r="D198" s="9"/>
      <c r="E198" s="9"/>
      <c r="F198" s="139"/>
      <c r="G198" s="191">
        <f>Input!Q32</f>
        <v>0</v>
      </c>
      <c r="H198" s="115"/>
      <c r="I198" s="115"/>
      <c r="J198" s="115"/>
      <c r="K198" s="115"/>
      <c r="L198" s="115"/>
      <c r="M198" s="9"/>
      <c r="N198" s="109"/>
      <c r="O198" s="150"/>
      <c r="P198" s="150"/>
      <c r="Q198" s="150"/>
      <c r="R198" s="99"/>
      <c r="S198" s="99"/>
      <c r="T198" s="99"/>
      <c r="U198" s="99"/>
      <c r="V198" s="99"/>
      <c r="W198" s="99"/>
      <c r="X198" s="99"/>
      <c r="Y198" s="99"/>
      <c r="Z198" s="99"/>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19"/>
      <c r="BK198" s="219"/>
    </row>
    <row r="199" spans="1:63" hidden="1" outlineLevel="1">
      <c r="A199" s="9"/>
      <c r="B199" s="44"/>
      <c r="C199" s="128">
        <f>Asset27</f>
        <v>0</v>
      </c>
      <c r="D199" s="9"/>
      <c r="E199" s="9"/>
      <c r="F199" s="139"/>
      <c r="G199" s="191">
        <f>Input!Q33</f>
        <v>0</v>
      </c>
      <c r="H199" s="115"/>
      <c r="I199" s="115"/>
      <c r="J199" s="115"/>
      <c r="K199" s="115"/>
      <c r="L199" s="115"/>
      <c r="M199" s="9"/>
      <c r="N199" s="109"/>
      <c r="O199" s="150"/>
      <c r="P199" s="150"/>
      <c r="Q199" s="150"/>
      <c r="R199" s="99"/>
      <c r="S199" s="99"/>
      <c r="T199" s="99"/>
      <c r="U199" s="99"/>
      <c r="V199" s="99"/>
      <c r="W199" s="99"/>
      <c r="X199" s="99"/>
      <c r="Y199" s="99"/>
      <c r="Z199" s="99"/>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19"/>
      <c r="BK199" s="219"/>
    </row>
    <row r="200" spans="1:63" hidden="1" outlineLevel="1">
      <c r="A200" s="9"/>
      <c r="B200" s="44"/>
      <c r="C200" s="128">
        <f>Asset28</f>
        <v>0</v>
      </c>
      <c r="D200" s="9"/>
      <c r="E200" s="9"/>
      <c r="F200" s="139"/>
      <c r="G200" s="191">
        <f>Input!Q34</f>
        <v>0</v>
      </c>
      <c r="H200" s="115"/>
      <c r="I200" s="115"/>
      <c r="J200" s="115"/>
      <c r="K200" s="115"/>
      <c r="L200" s="115"/>
      <c r="M200" s="9"/>
      <c r="N200" s="109"/>
      <c r="O200" s="150"/>
      <c r="P200" s="150"/>
      <c r="Q200" s="150"/>
      <c r="R200" s="99"/>
      <c r="S200" s="99"/>
      <c r="T200" s="99"/>
      <c r="U200" s="99"/>
      <c r="V200" s="99"/>
      <c r="W200" s="99"/>
      <c r="X200" s="99"/>
      <c r="Y200" s="99"/>
      <c r="Z200" s="99"/>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6"/>
      <c r="BC200" s="226"/>
      <c r="BD200" s="226"/>
      <c r="BE200" s="226"/>
      <c r="BF200" s="226"/>
      <c r="BG200" s="226"/>
      <c r="BH200" s="226"/>
      <c r="BI200" s="226"/>
      <c r="BJ200" s="219"/>
      <c r="BK200" s="219"/>
    </row>
    <row r="201" spans="1:63" hidden="1" outlineLevel="1">
      <c r="A201" s="9"/>
      <c r="B201" s="44"/>
      <c r="C201" s="128">
        <f>Asset29</f>
        <v>0</v>
      </c>
      <c r="D201" s="9"/>
      <c r="E201" s="9"/>
      <c r="F201" s="139"/>
      <c r="G201" s="191">
        <f>Input!Q35</f>
        <v>0</v>
      </c>
      <c r="H201" s="115"/>
      <c r="I201" s="115"/>
      <c r="J201" s="115"/>
      <c r="K201" s="115"/>
      <c r="L201" s="115"/>
      <c r="M201" s="9"/>
      <c r="N201" s="109"/>
      <c r="O201" s="150"/>
      <c r="P201" s="150"/>
      <c r="Q201" s="150"/>
      <c r="R201" s="99"/>
      <c r="S201" s="99"/>
      <c r="T201" s="99"/>
      <c r="U201" s="99"/>
      <c r="V201" s="99"/>
      <c r="W201" s="99"/>
      <c r="X201" s="99"/>
      <c r="Y201" s="99"/>
      <c r="Z201" s="99"/>
      <c r="AA201" s="226"/>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19"/>
      <c r="BK201" s="219"/>
    </row>
    <row r="202" spans="1:63" hidden="1" outlineLevel="1">
      <c r="A202" s="9"/>
      <c r="B202" s="44"/>
      <c r="C202" s="128">
        <f>Asset30</f>
        <v>0</v>
      </c>
      <c r="D202" s="9"/>
      <c r="E202" s="9"/>
      <c r="F202" s="139"/>
      <c r="G202" s="191">
        <f>Input!Q36</f>
        <v>0</v>
      </c>
      <c r="H202" s="115"/>
      <c r="I202" s="115"/>
      <c r="J202" s="115"/>
      <c r="K202" s="115"/>
      <c r="L202" s="115"/>
      <c r="M202" s="9"/>
      <c r="N202" s="109"/>
      <c r="O202" s="150"/>
      <c r="P202" s="150"/>
      <c r="Q202" s="150"/>
      <c r="R202" s="99"/>
      <c r="S202" s="99"/>
      <c r="T202" s="99"/>
      <c r="U202" s="99"/>
      <c r="V202" s="99"/>
      <c r="W202" s="99"/>
      <c r="X202" s="99"/>
      <c r="Y202" s="99"/>
      <c r="Z202" s="99"/>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19"/>
      <c r="BK202" s="219"/>
    </row>
    <row r="203" spans="1:63" collapsed="1">
      <c r="A203" s="9"/>
      <c r="B203" s="151"/>
      <c r="C203" s="25"/>
      <c r="D203" s="9"/>
      <c r="E203" s="9"/>
      <c r="F203" s="139"/>
      <c r="G203" s="193"/>
      <c r="H203" s="115"/>
      <c r="I203" s="115"/>
      <c r="J203" s="115"/>
      <c r="K203" s="115"/>
      <c r="L203" s="115"/>
      <c r="M203" s="9"/>
      <c r="N203" s="109"/>
      <c r="O203" s="150"/>
      <c r="P203" s="150"/>
      <c r="Q203" s="150"/>
      <c r="R203" s="99"/>
      <c r="S203" s="99"/>
      <c r="T203" s="99"/>
      <c r="U203" s="99"/>
      <c r="V203" s="99"/>
      <c r="W203" s="99"/>
      <c r="X203" s="99"/>
      <c r="Y203" s="99"/>
      <c r="Z203" s="99"/>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19"/>
      <c r="BK203" s="219"/>
    </row>
    <row r="204" spans="1:63">
      <c r="A204" s="9"/>
      <c r="B204" s="151" t="s">
        <v>56</v>
      </c>
      <c r="C204" s="25"/>
      <c r="D204" s="9"/>
      <c r="E204" s="9"/>
      <c r="F204" s="139"/>
      <c r="G204" s="193">
        <f>SUM(G205:G234)</f>
        <v>0</v>
      </c>
      <c r="H204" s="115"/>
      <c r="I204" s="115"/>
      <c r="J204" s="115"/>
      <c r="K204" s="115"/>
      <c r="L204" s="115"/>
      <c r="M204" s="9"/>
      <c r="N204" s="109"/>
      <c r="O204" s="150"/>
      <c r="P204" s="150"/>
      <c r="Q204" s="150"/>
      <c r="R204" s="99"/>
      <c r="S204" s="99"/>
      <c r="T204" s="99"/>
      <c r="U204" s="99"/>
      <c r="V204" s="99"/>
      <c r="W204" s="99"/>
      <c r="X204" s="99"/>
      <c r="Y204" s="99"/>
      <c r="Z204" s="99"/>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19"/>
      <c r="BK204" s="219"/>
    </row>
    <row r="205" spans="1:63" hidden="1" outlineLevel="1">
      <c r="A205" s="9"/>
      <c r="B205" s="9"/>
      <c r="C205" s="128" t="str">
        <f>Asset1</f>
        <v>Transmission &amp; Zone land &amp; easements</v>
      </c>
      <c r="D205" s="9"/>
      <c r="E205" s="9"/>
      <c r="F205" s="139"/>
      <c r="G205" s="191">
        <f>Input!R7</f>
        <v>0</v>
      </c>
      <c r="H205" s="115"/>
      <c r="I205" s="115"/>
      <c r="J205" s="115"/>
      <c r="K205" s="115"/>
      <c r="L205" s="115"/>
      <c r="M205" s="9"/>
      <c r="N205" s="109"/>
      <c r="O205" s="150"/>
      <c r="P205" s="150"/>
      <c r="Q205" s="150"/>
      <c r="R205" s="99"/>
      <c r="S205" s="99"/>
      <c r="T205" s="99"/>
      <c r="U205" s="99"/>
      <c r="V205" s="99"/>
      <c r="W205" s="99"/>
      <c r="X205" s="99"/>
      <c r="Y205" s="99"/>
      <c r="Z205" s="99"/>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19"/>
      <c r="BK205" s="219"/>
    </row>
    <row r="206" spans="1:63" hidden="1" outlineLevel="1">
      <c r="A206" s="9"/>
      <c r="B206" s="44"/>
      <c r="C206" s="128" t="str">
        <f>Asset2</f>
        <v>Transmission buildings 132/66kV</v>
      </c>
      <c r="D206" s="9"/>
      <c r="E206" s="9"/>
      <c r="F206" s="139"/>
      <c r="G206" s="191">
        <f>Input!R8</f>
        <v>0</v>
      </c>
      <c r="H206" s="115"/>
      <c r="I206" s="115"/>
      <c r="J206" s="115"/>
      <c r="K206" s="115"/>
      <c r="L206" s="115"/>
      <c r="M206" s="9"/>
      <c r="N206" s="109"/>
      <c r="O206" s="150"/>
      <c r="P206" s="150"/>
      <c r="Q206" s="150"/>
      <c r="R206" s="99"/>
      <c r="S206" s="99"/>
      <c r="T206" s="99"/>
      <c r="U206" s="99"/>
      <c r="V206" s="99"/>
      <c r="W206" s="99"/>
      <c r="X206" s="99"/>
      <c r="Y206" s="99"/>
      <c r="Z206" s="99"/>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19"/>
      <c r="BK206" s="219"/>
    </row>
    <row r="207" spans="1:63" hidden="1" outlineLevel="1">
      <c r="A207" s="9"/>
      <c r="B207" s="44"/>
      <c r="C207" s="128" t="str">
        <f>Asset3</f>
        <v>Zone buildings 132/66kV</v>
      </c>
      <c r="D207" s="9"/>
      <c r="E207" s="9"/>
      <c r="F207" s="139"/>
      <c r="G207" s="191">
        <f>Input!R9</f>
        <v>0</v>
      </c>
      <c r="H207" s="115"/>
      <c r="I207" s="115"/>
      <c r="J207" s="115"/>
      <c r="K207" s="115"/>
      <c r="L207" s="115"/>
      <c r="M207" s="9"/>
      <c r="N207" s="109"/>
      <c r="O207" s="150"/>
      <c r="P207" s="150"/>
      <c r="Q207" s="150"/>
      <c r="R207" s="99"/>
      <c r="S207" s="99"/>
      <c r="T207" s="99"/>
      <c r="U207" s="99"/>
      <c r="V207" s="99"/>
      <c r="W207" s="99"/>
      <c r="X207" s="99"/>
      <c r="Y207" s="99"/>
      <c r="Z207" s="99"/>
      <c r="AA207" s="226"/>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26"/>
      <c r="BF207" s="226"/>
      <c r="BG207" s="226"/>
      <c r="BH207" s="226"/>
      <c r="BI207" s="226"/>
      <c r="BJ207" s="219"/>
      <c r="BK207" s="219"/>
    </row>
    <row r="208" spans="1:63" hidden="1" outlineLevel="1">
      <c r="A208" s="9"/>
      <c r="B208" s="44"/>
      <c r="C208" s="128" t="str">
        <f>Asset4</f>
        <v>Transmission transformers 132/66kV</v>
      </c>
      <c r="D208" s="9"/>
      <c r="E208" s="9"/>
      <c r="F208" s="139"/>
      <c r="G208" s="191">
        <f>Input!R10</f>
        <v>0</v>
      </c>
      <c r="H208" s="115"/>
      <c r="I208" s="115"/>
      <c r="J208" s="115"/>
      <c r="K208" s="115"/>
      <c r="L208" s="115"/>
      <c r="M208" s="9"/>
      <c r="N208" s="109"/>
      <c r="O208" s="150"/>
      <c r="P208" s="150"/>
      <c r="Q208" s="150"/>
      <c r="R208" s="99"/>
      <c r="S208" s="99"/>
      <c r="T208" s="99"/>
      <c r="U208" s="99"/>
      <c r="V208" s="99"/>
      <c r="W208" s="99"/>
      <c r="X208" s="99"/>
      <c r="Y208" s="99"/>
      <c r="Z208" s="99"/>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c r="BD208" s="226"/>
      <c r="BE208" s="226"/>
      <c r="BF208" s="226"/>
      <c r="BG208" s="226"/>
      <c r="BH208" s="226"/>
      <c r="BI208" s="226"/>
      <c r="BJ208" s="219"/>
      <c r="BK208" s="219"/>
    </row>
    <row r="209" spans="1:63" hidden="1" outlineLevel="1">
      <c r="A209" s="9"/>
      <c r="B209" s="44"/>
      <c r="C209" s="128" t="str">
        <f>Asset5</f>
        <v>Zone transformers 132/66kV</v>
      </c>
      <c r="D209" s="9"/>
      <c r="E209" s="9"/>
      <c r="F209" s="139"/>
      <c r="G209" s="191">
        <f>Input!R11</f>
        <v>0</v>
      </c>
      <c r="H209" s="115"/>
      <c r="I209" s="115"/>
      <c r="J209" s="115"/>
      <c r="K209" s="115"/>
      <c r="L209" s="115"/>
      <c r="M209" s="9"/>
      <c r="N209" s="109"/>
      <c r="O209" s="150"/>
      <c r="P209" s="150"/>
      <c r="Q209" s="150"/>
      <c r="R209" s="99"/>
      <c r="S209" s="99"/>
      <c r="T209" s="99"/>
      <c r="U209" s="99"/>
      <c r="V209" s="99"/>
      <c r="W209" s="99"/>
      <c r="X209" s="99"/>
      <c r="Y209" s="99"/>
      <c r="Z209" s="99"/>
      <c r="AA209" s="226"/>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19"/>
      <c r="BK209" s="219"/>
    </row>
    <row r="210" spans="1:63" hidden="1" outlineLevel="1">
      <c r="A210" s="9"/>
      <c r="B210" s="44"/>
      <c r="C210" s="128" t="str">
        <f>Asset6</f>
        <v>Transmission substation equip 132/66kV</v>
      </c>
      <c r="D210" s="9"/>
      <c r="E210" s="9"/>
      <c r="F210" s="139"/>
      <c r="G210" s="191">
        <f>Input!R12</f>
        <v>0</v>
      </c>
      <c r="H210" s="115"/>
      <c r="I210" s="115"/>
      <c r="J210" s="115"/>
      <c r="K210" s="115"/>
      <c r="L210" s="115"/>
      <c r="M210" s="9"/>
      <c r="N210" s="109"/>
      <c r="O210" s="150"/>
      <c r="P210" s="150"/>
      <c r="Q210" s="150"/>
      <c r="R210" s="99"/>
      <c r="S210" s="99"/>
      <c r="T210" s="99"/>
      <c r="U210" s="99"/>
      <c r="V210" s="99"/>
      <c r="W210" s="99"/>
      <c r="X210" s="99"/>
      <c r="Y210" s="99"/>
      <c r="Z210" s="99"/>
      <c r="AA210" s="226"/>
      <c r="AB210" s="226"/>
      <c r="AC210" s="226"/>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19"/>
      <c r="BK210" s="219"/>
    </row>
    <row r="211" spans="1:63" hidden="1" outlineLevel="1">
      <c r="A211" s="9"/>
      <c r="B211" s="44"/>
      <c r="C211" s="128" t="str">
        <f>Asset7</f>
        <v>Zone substation equip 132/66kV</v>
      </c>
      <c r="D211" s="9"/>
      <c r="E211" s="9"/>
      <c r="F211" s="139"/>
      <c r="G211" s="191">
        <f>Input!R13</f>
        <v>0</v>
      </c>
      <c r="H211" s="115"/>
      <c r="I211" s="115"/>
      <c r="J211" s="115"/>
      <c r="K211" s="115"/>
      <c r="L211" s="115"/>
      <c r="M211" s="9"/>
      <c r="N211" s="109"/>
      <c r="O211" s="150"/>
      <c r="P211" s="150"/>
      <c r="Q211" s="150"/>
      <c r="R211" s="99"/>
      <c r="S211" s="99"/>
      <c r="T211" s="99"/>
      <c r="U211" s="99"/>
      <c r="V211" s="99"/>
      <c r="W211" s="99"/>
      <c r="X211" s="99"/>
      <c r="Y211" s="99"/>
      <c r="Z211" s="99"/>
      <c r="AA211" s="226"/>
      <c r="AB211" s="226"/>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226"/>
      <c r="AY211" s="226"/>
      <c r="AZ211" s="226"/>
      <c r="BA211" s="226"/>
      <c r="BB211" s="226"/>
      <c r="BC211" s="226"/>
      <c r="BD211" s="226"/>
      <c r="BE211" s="226"/>
      <c r="BF211" s="226"/>
      <c r="BG211" s="226"/>
      <c r="BH211" s="226"/>
      <c r="BI211" s="226"/>
      <c r="BJ211" s="219"/>
      <c r="BK211" s="219"/>
    </row>
    <row r="212" spans="1:63" hidden="1" outlineLevel="1">
      <c r="A212" s="9"/>
      <c r="B212" s="44"/>
      <c r="C212" s="128" t="str">
        <f>Asset8</f>
        <v>Transmission &amp; Zone emergency spares</v>
      </c>
      <c r="D212" s="9"/>
      <c r="E212" s="9"/>
      <c r="F212" s="139"/>
      <c r="G212" s="191">
        <f>Input!R14</f>
        <v>0</v>
      </c>
      <c r="H212" s="115"/>
      <c r="I212" s="115"/>
      <c r="J212" s="115"/>
      <c r="K212" s="115"/>
      <c r="L212" s="115"/>
      <c r="M212" s="9"/>
      <c r="N212" s="109"/>
      <c r="O212" s="150"/>
      <c r="P212" s="150"/>
      <c r="Q212" s="150"/>
      <c r="R212" s="99"/>
      <c r="S212" s="99"/>
      <c r="T212" s="99"/>
      <c r="U212" s="99"/>
      <c r="V212" s="99"/>
      <c r="W212" s="99"/>
      <c r="X212" s="99"/>
      <c r="Y212" s="99"/>
      <c r="Z212" s="99"/>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19"/>
      <c r="BK212" s="219"/>
    </row>
    <row r="213" spans="1:63" hidden="1" outlineLevel="1">
      <c r="A213" s="9"/>
      <c r="B213" s="44"/>
      <c r="C213" s="128" t="str">
        <f>Asset9</f>
        <v>Ancillary substation equipment (tx)</v>
      </c>
      <c r="D213" s="9"/>
      <c r="E213" s="9"/>
      <c r="F213" s="139"/>
      <c r="G213" s="191">
        <f>Input!R15</f>
        <v>0</v>
      </c>
      <c r="H213" s="115"/>
      <c r="I213" s="115"/>
      <c r="J213" s="115"/>
      <c r="K213" s="115"/>
      <c r="L213" s="115"/>
      <c r="M213" s="9"/>
      <c r="N213" s="109"/>
      <c r="O213" s="150"/>
      <c r="P213" s="150"/>
      <c r="Q213" s="150"/>
      <c r="R213" s="99"/>
      <c r="S213" s="99"/>
      <c r="T213" s="99"/>
      <c r="U213" s="99"/>
      <c r="V213" s="99"/>
      <c r="W213" s="99"/>
      <c r="X213" s="99"/>
      <c r="Y213" s="99"/>
      <c r="Z213" s="99"/>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c r="BA213" s="226"/>
      <c r="BB213" s="226"/>
      <c r="BC213" s="226"/>
      <c r="BD213" s="226"/>
      <c r="BE213" s="226"/>
      <c r="BF213" s="226"/>
      <c r="BG213" s="226"/>
      <c r="BH213" s="226"/>
      <c r="BI213" s="226"/>
      <c r="BJ213" s="219"/>
      <c r="BK213" s="219"/>
    </row>
    <row r="214" spans="1:63" hidden="1" outlineLevel="1">
      <c r="A214" s="9"/>
      <c r="B214" s="44"/>
      <c r="C214" s="128" t="str">
        <f>Asset10</f>
        <v>132kV tower lines</v>
      </c>
      <c r="D214" s="9"/>
      <c r="E214" s="9"/>
      <c r="F214" s="139"/>
      <c r="G214" s="191">
        <f>Input!R16</f>
        <v>0</v>
      </c>
      <c r="H214" s="115"/>
      <c r="I214" s="115"/>
      <c r="J214" s="115"/>
      <c r="K214" s="115"/>
      <c r="L214" s="115"/>
      <c r="M214" s="9"/>
      <c r="N214" s="109"/>
      <c r="O214" s="150"/>
      <c r="P214" s="150"/>
      <c r="Q214" s="150"/>
      <c r="R214" s="99"/>
      <c r="S214" s="99"/>
      <c r="T214" s="99"/>
      <c r="U214" s="99"/>
      <c r="V214" s="99"/>
      <c r="W214" s="99"/>
      <c r="X214" s="99"/>
      <c r="Y214" s="99"/>
      <c r="Z214" s="99"/>
      <c r="AA214" s="226"/>
      <c r="AB214" s="226"/>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226"/>
      <c r="AY214" s="226"/>
      <c r="AZ214" s="226"/>
      <c r="BA214" s="226"/>
      <c r="BB214" s="226"/>
      <c r="BC214" s="226"/>
      <c r="BD214" s="226"/>
      <c r="BE214" s="226"/>
      <c r="BF214" s="226"/>
      <c r="BG214" s="226"/>
      <c r="BH214" s="226"/>
      <c r="BI214" s="226"/>
      <c r="BJ214" s="219"/>
      <c r="BK214" s="219"/>
    </row>
    <row r="215" spans="1:63" hidden="1" outlineLevel="1">
      <c r="A215" s="9"/>
      <c r="B215" s="44"/>
      <c r="C215" s="128" t="str">
        <f>Asset11</f>
        <v>132kV concrete &amp; steel pole lines</v>
      </c>
      <c r="D215" s="9"/>
      <c r="E215" s="9"/>
      <c r="F215" s="139"/>
      <c r="G215" s="191">
        <f>Input!R17</f>
        <v>0</v>
      </c>
      <c r="H215" s="115"/>
      <c r="I215" s="115"/>
      <c r="J215" s="115"/>
      <c r="K215" s="115"/>
      <c r="L215" s="115"/>
      <c r="M215" s="9"/>
      <c r="N215" s="109"/>
      <c r="O215" s="150"/>
      <c r="P215" s="150"/>
      <c r="Q215" s="150"/>
      <c r="R215" s="99"/>
      <c r="S215" s="99"/>
      <c r="T215" s="99"/>
      <c r="U215" s="99"/>
      <c r="V215" s="99"/>
      <c r="W215" s="99"/>
      <c r="X215" s="99"/>
      <c r="Y215" s="99"/>
      <c r="Z215" s="99"/>
      <c r="AA215" s="226"/>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19"/>
      <c r="BK215" s="219"/>
    </row>
    <row r="216" spans="1:63" hidden="1" outlineLevel="1">
      <c r="A216" s="9"/>
      <c r="B216" s="44"/>
      <c r="C216" s="128" t="str">
        <f>Asset12</f>
        <v>132kV wood pole lines</v>
      </c>
      <c r="D216" s="9"/>
      <c r="E216" s="9"/>
      <c r="F216" s="139"/>
      <c r="G216" s="191">
        <f>Input!R18</f>
        <v>0</v>
      </c>
      <c r="H216" s="115"/>
      <c r="I216" s="115"/>
      <c r="J216" s="115"/>
      <c r="K216" s="115"/>
      <c r="L216" s="115"/>
      <c r="M216" s="9"/>
      <c r="N216" s="109"/>
      <c r="O216" s="150"/>
      <c r="P216" s="150"/>
      <c r="Q216" s="150"/>
      <c r="R216" s="99"/>
      <c r="S216" s="99"/>
      <c r="T216" s="99"/>
      <c r="U216" s="99"/>
      <c r="V216" s="99"/>
      <c r="W216" s="99"/>
      <c r="X216" s="99"/>
      <c r="Y216" s="99"/>
      <c r="Z216" s="99"/>
      <c r="AA216" s="226"/>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c r="BI216" s="226"/>
      <c r="BJ216" s="219"/>
      <c r="BK216" s="219"/>
    </row>
    <row r="217" spans="1:63" hidden="1" outlineLevel="1">
      <c r="A217" s="9"/>
      <c r="B217" s="44"/>
      <c r="C217" s="128" t="str">
        <f>Asset13</f>
        <v>132kV feeders underground</v>
      </c>
      <c r="D217" s="9"/>
      <c r="E217" s="9"/>
      <c r="F217" s="139"/>
      <c r="G217" s="191">
        <f>Input!R19</f>
        <v>0</v>
      </c>
      <c r="H217" s="115"/>
      <c r="I217" s="115"/>
      <c r="J217" s="115"/>
      <c r="K217" s="115"/>
      <c r="L217" s="115"/>
      <c r="M217" s="9"/>
      <c r="N217" s="109"/>
      <c r="O217" s="150"/>
      <c r="P217" s="150"/>
      <c r="Q217" s="150"/>
      <c r="R217" s="99"/>
      <c r="S217" s="99"/>
      <c r="T217" s="99"/>
      <c r="U217" s="99"/>
      <c r="V217" s="99"/>
      <c r="W217" s="99"/>
      <c r="X217" s="99"/>
      <c r="Y217" s="99"/>
      <c r="Z217" s="99"/>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19"/>
      <c r="BK217" s="219"/>
    </row>
    <row r="218" spans="1:63" hidden="1" outlineLevel="1">
      <c r="A218" s="9"/>
      <c r="B218" s="44"/>
      <c r="C218" s="128" t="str">
        <f>Asset14</f>
        <v>Cable tunnel (tx)</v>
      </c>
      <c r="D218" s="9"/>
      <c r="E218" s="9"/>
      <c r="F218" s="139"/>
      <c r="G218" s="191">
        <f>Input!R20</f>
        <v>0</v>
      </c>
      <c r="H218" s="115"/>
      <c r="I218" s="115"/>
      <c r="J218" s="115"/>
      <c r="K218" s="115"/>
      <c r="L218" s="115"/>
      <c r="M218" s="9"/>
      <c r="N218" s="109"/>
      <c r="O218" s="150"/>
      <c r="P218" s="150"/>
      <c r="Q218" s="150"/>
      <c r="R218" s="99"/>
      <c r="S218" s="99"/>
      <c r="T218" s="99"/>
      <c r="U218" s="99"/>
      <c r="V218" s="99"/>
      <c r="W218" s="99"/>
      <c r="X218" s="99"/>
      <c r="Y218" s="99"/>
      <c r="Z218" s="99"/>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19"/>
      <c r="BK218" s="219"/>
    </row>
    <row r="219" spans="1:63" hidden="1" outlineLevel="1">
      <c r="A219" s="9"/>
      <c r="B219" s="44"/>
      <c r="C219" s="128" t="str">
        <f>Asset15</f>
        <v>Network control &amp; com systems</v>
      </c>
      <c r="D219" s="9"/>
      <c r="E219" s="9"/>
      <c r="F219" s="139"/>
      <c r="G219" s="191">
        <f>Input!R21</f>
        <v>0</v>
      </c>
      <c r="H219" s="115"/>
      <c r="I219" s="115"/>
      <c r="J219" s="115"/>
      <c r="K219" s="115"/>
      <c r="L219" s="115"/>
      <c r="M219" s="9"/>
      <c r="N219" s="109"/>
      <c r="O219" s="150"/>
      <c r="P219" s="150"/>
      <c r="Q219" s="150"/>
      <c r="R219" s="99"/>
      <c r="S219" s="99"/>
      <c r="T219" s="99"/>
      <c r="U219" s="99"/>
      <c r="V219" s="99"/>
      <c r="W219" s="99"/>
      <c r="X219" s="99"/>
      <c r="Y219" s="99"/>
      <c r="Z219" s="99"/>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19"/>
      <c r="BK219" s="219"/>
    </row>
    <row r="220" spans="1:63" hidden="1" outlineLevel="1">
      <c r="A220" s="9"/>
      <c r="B220" s="44"/>
      <c r="C220" s="128" t="str">
        <f>Asset16</f>
        <v>Communications (digital) - tx</v>
      </c>
      <c r="D220" s="9"/>
      <c r="E220" s="9"/>
      <c r="F220" s="139"/>
      <c r="G220" s="191">
        <f>Input!R22</f>
        <v>0</v>
      </c>
      <c r="H220" s="115"/>
      <c r="I220" s="115"/>
      <c r="J220" s="115"/>
      <c r="K220" s="115"/>
      <c r="L220" s="115"/>
      <c r="M220" s="9"/>
      <c r="N220" s="109"/>
      <c r="O220" s="150"/>
      <c r="P220" s="150"/>
      <c r="Q220" s="150"/>
      <c r="R220" s="99"/>
      <c r="S220" s="99"/>
      <c r="T220" s="99"/>
      <c r="U220" s="99"/>
      <c r="V220" s="99"/>
      <c r="W220" s="99"/>
      <c r="X220" s="99"/>
      <c r="Y220" s="99"/>
      <c r="Z220" s="99"/>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19"/>
      <c r="BK220" s="219"/>
    </row>
    <row r="221" spans="1:63" hidden="1" outlineLevel="1">
      <c r="A221" s="9"/>
      <c r="B221" s="44"/>
      <c r="C221" s="128" t="str">
        <f>Asset17</f>
        <v>System IT (tx)</v>
      </c>
      <c r="D221" s="9"/>
      <c r="E221" s="9"/>
      <c r="F221" s="139"/>
      <c r="G221" s="191">
        <f>Input!R23</f>
        <v>0</v>
      </c>
      <c r="H221" s="115"/>
      <c r="I221" s="115"/>
      <c r="J221" s="115"/>
      <c r="K221" s="115"/>
      <c r="L221" s="115"/>
      <c r="M221" s="9"/>
      <c r="N221" s="109"/>
      <c r="O221" s="150"/>
      <c r="P221" s="150"/>
      <c r="Q221" s="150"/>
      <c r="R221" s="99"/>
      <c r="S221" s="99"/>
      <c r="T221" s="99"/>
      <c r="U221" s="99"/>
      <c r="V221" s="99"/>
      <c r="W221" s="99"/>
      <c r="X221" s="99"/>
      <c r="Y221" s="99"/>
      <c r="Z221" s="99"/>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19"/>
      <c r="BK221" s="219"/>
    </row>
    <row r="222" spans="1:63" hidden="1" outlineLevel="1">
      <c r="A222" s="9"/>
      <c r="B222" s="44"/>
      <c r="C222" s="128" t="str">
        <f>Asset18</f>
        <v>IT systems</v>
      </c>
      <c r="D222" s="9"/>
      <c r="E222" s="9"/>
      <c r="F222" s="139"/>
      <c r="G222" s="191">
        <f>Input!R24</f>
        <v>0</v>
      </c>
      <c r="H222" s="115"/>
      <c r="I222" s="115"/>
      <c r="J222" s="115"/>
      <c r="K222" s="115"/>
      <c r="L222" s="115"/>
      <c r="M222" s="9"/>
      <c r="N222" s="109"/>
      <c r="O222" s="150"/>
      <c r="P222" s="150"/>
      <c r="Q222" s="150"/>
      <c r="R222" s="99"/>
      <c r="S222" s="99"/>
      <c r="T222" s="99"/>
      <c r="U222" s="99"/>
      <c r="V222" s="99"/>
      <c r="W222" s="99"/>
      <c r="X222" s="99"/>
      <c r="Y222" s="99"/>
      <c r="Z222" s="99"/>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19"/>
      <c r="BK222" s="219"/>
    </row>
    <row r="223" spans="1:63" hidden="1" outlineLevel="1">
      <c r="A223" s="9"/>
      <c r="B223" s="44"/>
      <c r="C223" s="128" t="str">
        <f>Asset19</f>
        <v>Furniture, fittings, plant and equipment</v>
      </c>
      <c r="D223" s="9"/>
      <c r="E223" s="9"/>
      <c r="F223" s="139"/>
      <c r="G223" s="191">
        <f>Input!R25</f>
        <v>0</v>
      </c>
      <c r="H223" s="115"/>
      <c r="I223" s="115"/>
      <c r="J223" s="115"/>
      <c r="K223" s="115"/>
      <c r="L223" s="115"/>
      <c r="M223" s="9"/>
      <c r="N223" s="109"/>
      <c r="O223" s="150"/>
      <c r="P223" s="150"/>
      <c r="Q223" s="150"/>
      <c r="R223" s="99"/>
      <c r="S223" s="99"/>
      <c r="T223" s="99"/>
      <c r="U223" s="99"/>
      <c r="V223" s="99"/>
      <c r="W223" s="99"/>
      <c r="X223" s="99"/>
      <c r="Y223" s="99"/>
      <c r="Z223" s="99"/>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19"/>
      <c r="BK223" s="219"/>
    </row>
    <row r="224" spans="1:63" hidden="1" outlineLevel="1">
      <c r="A224" s="9"/>
      <c r="B224" s="44"/>
      <c r="C224" s="128" t="str">
        <f>Asset20</f>
        <v>Motor vehicles</v>
      </c>
      <c r="D224" s="9"/>
      <c r="E224" s="9"/>
      <c r="F224" s="139"/>
      <c r="G224" s="193">
        <f>Input!R26</f>
        <v>0</v>
      </c>
      <c r="H224" s="115"/>
      <c r="I224" s="115"/>
      <c r="J224" s="115"/>
      <c r="K224" s="115"/>
      <c r="L224" s="115"/>
      <c r="M224" s="9"/>
      <c r="N224" s="109"/>
      <c r="O224" s="150"/>
      <c r="P224" s="150"/>
      <c r="Q224" s="150"/>
      <c r="R224" s="99"/>
      <c r="S224" s="99"/>
      <c r="T224" s="99"/>
      <c r="U224" s="99"/>
      <c r="V224" s="99"/>
      <c r="W224" s="99"/>
      <c r="X224" s="99"/>
      <c r="Y224" s="99"/>
      <c r="Z224" s="99"/>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19"/>
      <c r="BK224" s="219"/>
    </row>
    <row r="225" spans="1:63" hidden="1" outlineLevel="1">
      <c r="A225" s="9"/>
      <c r="B225" s="44"/>
      <c r="C225" s="128" t="str">
        <f>Asset21</f>
        <v>Buildings</v>
      </c>
      <c r="D225" s="9"/>
      <c r="E225" s="9"/>
      <c r="F225" s="139"/>
      <c r="G225" s="193">
        <f>Input!R27</f>
        <v>0</v>
      </c>
      <c r="H225" s="115"/>
      <c r="I225" s="115"/>
      <c r="J225" s="115"/>
      <c r="K225" s="115"/>
      <c r="L225" s="115"/>
      <c r="M225" s="9"/>
      <c r="N225" s="109"/>
      <c r="O225" s="150"/>
      <c r="P225" s="150"/>
      <c r="Q225" s="150"/>
      <c r="R225" s="99"/>
      <c r="S225" s="99"/>
      <c r="T225" s="99"/>
      <c r="U225" s="99"/>
      <c r="V225" s="99"/>
      <c r="W225" s="99"/>
      <c r="X225" s="99"/>
      <c r="Y225" s="99"/>
      <c r="Z225" s="99"/>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19"/>
      <c r="BK225" s="219"/>
    </row>
    <row r="226" spans="1:63" hidden="1" outlineLevel="1">
      <c r="A226" s="9"/>
      <c r="B226" s="44"/>
      <c r="C226" s="128" t="str">
        <f>Asset22</f>
        <v>Land (non-system)</v>
      </c>
      <c r="D226" s="9"/>
      <c r="E226" s="9"/>
      <c r="F226" s="139"/>
      <c r="G226" s="193">
        <f>Input!R28</f>
        <v>0</v>
      </c>
      <c r="H226" s="115"/>
      <c r="I226" s="115"/>
      <c r="J226" s="115"/>
      <c r="K226" s="115"/>
      <c r="L226" s="115"/>
      <c r="M226" s="9"/>
      <c r="N226" s="109"/>
      <c r="O226" s="150"/>
      <c r="P226" s="150"/>
      <c r="Q226" s="150"/>
      <c r="R226" s="99"/>
      <c r="S226" s="99"/>
      <c r="T226" s="99"/>
      <c r="U226" s="99"/>
      <c r="V226" s="99"/>
      <c r="W226" s="99"/>
      <c r="X226" s="99"/>
      <c r="Y226" s="99"/>
      <c r="Z226" s="99"/>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19"/>
      <c r="BK226" s="219"/>
    </row>
    <row r="227" spans="1:63" hidden="1" outlineLevel="1">
      <c r="A227" s="9"/>
      <c r="B227" s="44"/>
      <c r="C227" s="128" t="str">
        <f>Asset23</f>
        <v>Other non system assets</v>
      </c>
      <c r="D227" s="9"/>
      <c r="E227" s="9"/>
      <c r="F227" s="139"/>
      <c r="G227" s="193">
        <f>Input!R29</f>
        <v>0</v>
      </c>
      <c r="H227" s="115"/>
      <c r="I227" s="115"/>
      <c r="J227" s="115"/>
      <c r="K227" s="115"/>
      <c r="L227" s="115"/>
      <c r="M227" s="9"/>
      <c r="N227" s="109"/>
      <c r="O227" s="150"/>
      <c r="P227" s="150"/>
      <c r="Q227" s="150"/>
      <c r="R227" s="99"/>
      <c r="S227" s="99"/>
      <c r="T227" s="99"/>
      <c r="U227" s="99"/>
      <c r="V227" s="99"/>
      <c r="W227" s="99"/>
      <c r="X227" s="99"/>
      <c r="Y227" s="99"/>
      <c r="Z227" s="99"/>
      <c r="AA227" s="226"/>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19"/>
      <c r="BK227" s="219"/>
    </row>
    <row r="228" spans="1:63" hidden="1" outlineLevel="1">
      <c r="A228" s="9"/>
      <c r="B228" s="44"/>
      <c r="C228" s="128" t="str">
        <f>Asset24</f>
        <v>Equity raising costs</v>
      </c>
      <c r="D228" s="9"/>
      <c r="E228" s="9"/>
      <c r="F228" s="139"/>
      <c r="G228" s="193">
        <f>Input!R30</f>
        <v>0</v>
      </c>
      <c r="H228" s="115"/>
      <c r="I228" s="115"/>
      <c r="J228" s="115"/>
      <c r="K228" s="115"/>
      <c r="L228" s="115"/>
      <c r="M228" s="9"/>
      <c r="N228" s="109"/>
      <c r="O228" s="150"/>
      <c r="P228" s="150"/>
      <c r="Q228" s="150"/>
      <c r="R228" s="99"/>
      <c r="S228" s="99"/>
      <c r="T228" s="99"/>
      <c r="U228" s="99"/>
      <c r="V228" s="99"/>
      <c r="W228" s="99"/>
      <c r="X228" s="99"/>
      <c r="Y228" s="99"/>
      <c r="Z228" s="99"/>
      <c r="AA228" s="226"/>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226"/>
      <c r="BE228" s="226"/>
      <c r="BF228" s="226"/>
      <c r="BG228" s="226"/>
      <c r="BH228" s="226"/>
      <c r="BI228" s="226"/>
      <c r="BJ228" s="219"/>
      <c r="BK228" s="219"/>
    </row>
    <row r="229" spans="1:63" hidden="1" outlineLevel="1">
      <c r="A229" s="9"/>
      <c r="B229" s="44"/>
      <c r="C229" s="128">
        <f>Asset25</f>
        <v>0</v>
      </c>
      <c r="D229" s="9"/>
      <c r="E229" s="9"/>
      <c r="F229" s="139"/>
      <c r="G229" s="193">
        <f>Input!R31</f>
        <v>0</v>
      </c>
      <c r="H229" s="115"/>
      <c r="I229" s="115"/>
      <c r="J229" s="115"/>
      <c r="K229" s="115"/>
      <c r="L229" s="115"/>
      <c r="M229" s="9"/>
      <c r="N229" s="109"/>
      <c r="O229" s="150"/>
      <c r="P229" s="150"/>
      <c r="Q229" s="150"/>
      <c r="R229" s="99"/>
      <c r="S229" s="99"/>
      <c r="T229" s="99"/>
      <c r="U229" s="99"/>
      <c r="V229" s="99"/>
      <c r="W229" s="99"/>
      <c r="X229" s="99"/>
      <c r="Y229" s="99"/>
      <c r="Z229" s="99"/>
      <c r="AA229" s="226"/>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19"/>
      <c r="BK229" s="219"/>
    </row>
    <row r="230" spans="1:63" hidden="1" outlineLevel="1">
      <c r="A230" s="9"/>
      <c r="B230" s="44"/>
      <c r="C230" s="128">
        <f>Asset26</f>
        <v>0</v>
      </c>
      <c r="D230" s="9"/>
      <c r="E230" s="9"/>
      <c r="F230" s="139"/>
      <c r="G230" s="193">
        <f>Input!R32</f>
        <v>0</v>
      </c>
      <c r="H230" s="115"/>
      <c r="I230" s="115"/>
      <c r="J230" s="115"/>
      <c r="K230" s="115"/>
      <c r="L230" s="115"/>
      <c r="M230" s="9"/>
      <c r="N230" s="109"/>
      <c r="O230" s="150"/>
      <c r="P230" s="150"/>
      <c r="Q230" s="150"/>
      <c r="R230" s="99"/>
      <c r="S230" s="99"/>
      <c r="T230" s="99"/>
      <c r="U230" s="99"/>
      <c r="V230" s="99"/>
      <c r="W230" s="99"/>
      <c r="X230" s="99"/>
      <c r="Y230" s="99"/>
      <c r="Z230" s="99"/>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19"/>
      <c r="BK230" s="219"/>
    </row>
    <row r="231" spans="1:63" hidden="1" outlineLevel="1">
      <c r="A231" s="9"/>
      <c r="B231" s="44"/>
      <c r="C231" s="128">
        <f>Asset27</f>
        <v>0</v>
      </c>
      <c r="D231" s="9"/>
      <c r="E231" s="9"/>
      <c r="F231" s="139"/>
      <c r="G231" s="193">
        <f>Input!R33</f>
        <v>0</v>
      </c>
      <c r="H231" s="115"/>
      <c r="I231" s="115"/>
      <c r="J231" s="115"/>
      <c r="K231" s="115"/>
      <c r="L231" s="115"/>
      <c r="M231" s="9"/>
      <c r="N231" s="109"/>
      <c r="O231" s="150"/>
      <c r="P231" s="150"/>
      <c r="Q231" s="150"/>
      <c r="R231" s="99"/>
      <c r="S231" s="99"/>
      <c r="T231" s="99"/>
      <c r="U231" s="99"/>
      <c r="V231" s="99"/>
      <c r="W231" s="99"/>
      <c r="X231" s="99"/>
      <c r="Y231" s="99"/>
      <c r="Z231" s="99"/>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19"/>
      <c r="BK231" s="219"/>
    </row>
    <row r="232" spans="1:63" hidden="1" outlineLevel="1">
      <c r="A232" s="9"/>
      <c r="B232" s="44"/>
      <c r="C232" s="128">
        <f>Asset28</f>
        <v>0</v>
      </c>
      <c r="D232" s="9"/>
      <c r="E232" s="9"/>
      <c r="F232" s="139"/>
      <c r="G232" s="193">
        <f>Input!R34</f>
        <v>0</v>
      </c>
      <c r="H232" s="115"/>
      <c r="I232" s="115"/>
      <c r="J232" s="115"/>
      <c r="K232" s="115"/>
      <c r="L232" s="115"/>
      <c r="M232" s="9"/>
      <c r="N232" s="109"/>
      <c r="O232" s="150"/>
      <c r="P232" s="150"/>
      <c r="Q232" s="150"/>
      <c r="R232" s="99"/>
      <c r="S232" s="99"/>
      <c r="T232" s="99"/>
      <c r="U232" s="99"/>
      <c r="V232" s="99"/>
      <c r="W232" s="99"/>
      <c r="X232" s="99"/>
      <c r="Y232" s="99"/>
      <c r="Z232" s="99"/>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19"/>
      <c r="BK232" s="219"/>
    </row>
    <row r="233" spans="1:63" hidden="1" outlineLevel="1">
      <c r="A233" s="9"/>
      <c r="B233" s="44"/>
      <c r="C233" s="128">
        <f>Asset29</f>
        <v>0</v>
      </c>
      <c r="D233" s="9"/>
      <c r="E233" s="9"/>
      <c r="F233" s="139"/>
      <c r="G233" s="193">
        <f>Input!R35</f>
        <v>0</v>
      </c>
      <c r="H233" s="115"/>
      <c r="I233" s="115"/>
      <c r="J233" s="115"/>
      <c r="K233" s="115"/>
      <c r="L233" s="115"/>
      <c r="M233" s="9"/>
      <c r="N233" s="109"/>
      <c r="O233" s="150"/>
      <c r="P233" s="150"/>
      <c r="Q233" s="150"/>
      <c r="R233" s="99"/>
      <c r="S233" s="99"/>
      <c r="T233" s="99"/>
      <c r="U233" s="99"/>
      <c r="V233" s="99"/>
      <c r="W233" s="99"/>
      <c r="X233" s="99"/>
      <c r="Y233" s="99"/>
      <c r="Z233" s="99"/>
      <c r="AA233" s="226"/>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226"/>
      <c r="BH233" s="226"/>
      <c r="BI233" s="226"/>
      <c r="BJ233" s="219"/>
      <c r="BK233" s="219"/>
    </row>
    <row r="234" spans="1:63" hidden="1" outlineLevel="1">
      <c r="A234" s="9"/>
      <c r="B234" s="44"/>
      <c r="C234" s="128">
        <f>Asset30</f>
        <v>0</v>
      </c>
      <c r="D234" s="9"/>
      <c r="E234" s="9"/>
      <c r="F234" s="139"/>
      <c r="G234" s="193">
        <f>Input!R36</f>
        <v>0</v>
      </c>
      <c r="H234" s="115"/>
      <c r="I234" s="115"/>
      <c r="J234" s="115"/>
      <c r="K234" s="115"/>
      <c r="L234" s="115"/>
      <c r="M234" s="9"/>
      <c r="N234" s="109"/>
      <c r="O234" s="150"/>
      <c r="P234" s="150"/>
      <c r="Q234" s="150"/>
      <c r="R234" s="99"/>
      <c r="S234" s="99"/>
      <c r="T234" s="99"/>
      <c r="U234" s="99"/>
      <c r="V234" s="99"/>
      <c r="W234" s="99"/>
      <c r="X234" s="99"/>
      <c r="Y234" s="99"/>
      <c r="Z234" s="99"/>
      <c r="AA234" s="226"/>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226"/>
      <c r="BH234" s="226"/>
      <c r="BI234" s="226"/>
      <c r="BJ234" s="219"/>
      <c r="BK234" s="219"/>
    </row>
    <row r="235" spans="1:63" collapsed="1">
      <c r="A235" s="9"/>
      <c r="B235" s="151"/>
      <c r="C235" s="25"/>
      <c r="D235" s="9"/>
      <c r="E235" s="9"/>
      <c r="F235" s="139"/>
      <c r="G235" s="193"/>
      <c r="H235" s="115"/>
      <c r="I235" s="115"/>
      <c r="J235" s="115"/>
      <c r="K235" s="115"/>
      <c r="L235" s="115"/>
      <c r="M235" s="9"/>
      <c r="N235" s="109"/>
      <c r="O235" s="150"/>
      <c r="P235" s="150"/>
      <c r="Q235" s="150"/>
      <c r="R235" s="99"/>
      <c r="S235" s="99"/>
      <c r="T235" s="99"/>
      <c r="U235" s="99"/>
      <c r="V235" s="99"/>
      <c r="W235" s="99"/>
      <c r="X235" s="99"/>
      <c r="Y235" s="99"/>
      <c r="Z235" s="99"/>
      <c r="AA235" s="226"/>
      <c r="AB235" s="226"/>
      <c r="AC235" s="226"/>
      <c r="AD235" s="226"/>
      <c r="AE235" s="226"/>
      <c r="AF235" s="226"/>
      <c r="AG235" s="226"/>
      <c r="AH235" s="226"/>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226"/>
      <c r="BH235" s="226"/>
      <c r="BI235" s="226"/>
      <c r="BJ235" s="219"/>
      <c r="BK235" s="219"/>
    </row>
    <row r="236" spans="1:63">
      <c r="A236" s="9"/>
      <c r="B236" s="151" t="s">
        <v>57</v>
      </c>
      <c r="C236" s="25"/>
      <c r="D236" s="9"/>
      <c r="E236" s="9"/>
      <c r="F236" s="139"/>
      <c r="G236" s="193">
        <f>SUM(G237:G266)</f>
        <v>0</v>
      </c>
      <c r="H236" s="115"/>
      <c r="I236" s="115"/>
      <c r="J236" s="115"/>
      <c r="K236" s="115"/>
      <c r="L236" s="115"/>
      <c r="M236" s="9"/>
      <c r="N236" s="109"/>
      <c r="O236" s="150"/>
      <c r="P236" s="150"/>
      <c r="Q236" s="150"/>
      <c r="R236" s="99"/>
      <c r="S236" s="99"/>
      <c r="T236" s="99"/>
      <c r="U236" s="99"/>
      <c r="V236" s="99"/>
      <c r="W236" s="99"/>
      <c r="X236" s="99"/>
      <c r="Y236" s="99"/>
      <c r="Z236" s="99"/>
      <c r="AA236" s="226"/>
      <c r="AB236" s="226"/>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19"/>
      <c r="BK236" s="219"/>
    </row>
    <row r="237" spans="1:63" ht="12.75" hidden="1" customHeight="1" outlineLevel="1">
      <c r="A237" s="9"/>
      <c r="B237" s="9"/>
      <c r="C237" s="128" t="str">
        <f>Asset1</f>
        <v>Transmission &amp; Zone land &amp; easements</v>
      </c>
      <c r="D237" s="9"/>
      <c r="E237" s="9"/>
      <c r="F237" s="139"/>
      <c r="G237" s="191">
        <f t="shared" ref="G237:G256" si="3">G205-G173</f>
        <v>0</v>
      </c>
      <c r="H237" s="115"/>
      <c r="I237" s="115"/>
      <c r="J237" s="115"/>
      <c r="K237" s="115"/>
      <c r="L237" s="115"/>
      <c r="M237" s="9"/>
      <c r="N237" s="109"/>
      <c r="O237" s="150"/>
      <c r="P237" s="150"/>
      <c r="Q237" s="150"/>
      <c r="R237" s="99"/>
      <c r="S237" s="99"/>
      <c r="T237" s="99"/>
      <c r="U237" s="99"/>
      <c r="V237" s="99"/>
      <c r="W237" s="99"/>
      <c r="X237" s="99"/>
      <c r="Y237" s="99"/>
      <c r="Z237" s="99"/>
      <c r="AA237" s="226"/>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19"/>
      <c r="BK237" s="219"/>
    </row>
    <row r="238" spans="1:63" ht="12.75" hidden="1" customHeight="1" outlineLevel="1">
      <c r="A238" s="9"/>
      <c r="B238" s="44"/>
      <c r="C238" s="128" t="str">
        <f>Asset2</f>
        <v>Transmission buildings 132/66kV</v>
      </c>
      <c r="D238" s="9"/>
      <c r="E238" s="9"/>
      <c r="F238" s="139"/>
      <c r="G238" s="191">
        <f t="shared" si="3"/>
        <v>0</v>
      </c>
      <c r="H238" s="115"/>
      <c r="I238" s="115"/>
      <c r="J238" s="115"/>
      <c r="K238" s="115"/>
      <c r="L238" s="115"/>
      <c r="M238" s="9"/>
      <c r="N238" s="109"/>
      <c r="O238" s="150"/>
      <c r="P238" s="150"/>
      <c r="Q238" s="150"/>
      <c r="R238" s="99"/>
      <c r="S238" s="99"/>
      <c r="T238" s="99"/>
      <c r="U238" s="99"/>
      <c r="V238" s="99"/>
      <c r="W238" s="99"/>
      <c r="X238" s="99"/>
      <c r="Y238" s="99"/>
      <c r="Z238" s="99"/>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19"/>
      <c r="BK238" s="219"/>
    </row>
    <row r="239" spans="1:63" ht="12.75" hidden="1" customHeight="1" outlineLevel="1">
      <c r="A239" s="9"/>
      <c r="B239" s="44"/>
      <c r="C239" s="128" t="str">
        <f>Asset3</f>
        <v>Zone buildings 132/66kV</v>
      </c>
      <c r="D239" s="9"/>
      <c r="E239" s="9"/>
      <c r="F239" s="139"/>
      <c r="G239" s="191">
        <f t="shared" si="3"/>
        <v>0</v>
      </c>
      <c r="H239" s="115"/>
      <c r="I239" s="115"/>
      <c r="J239" s="115"/>
      <c r="K239" s="115"/>
      <c r="L239" s="115"/>
      <c r="M239" s="9"/>
      <c r="N239" s="109"/>
      <c r="O239" s="150"/>
      <c r="P239" s="150"/>
      <c r="Q239" s="150"/>
      <c r="R239" s="99"/>
      <c r="S239" s="99"/>
      <c r="T239" s="99"/>
      <c r="U239" s="99"/>
      <c r="V239" s="99"/>
      <c r="W239" s="99"/>
      <c r="X239" s="99"/>
      <c r="Y239" s="99"/>
      <c r="Z239" s="99"/>
      <c r="AA239" s="226"/>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19"/>
      <c r="BK239" s="219"/>
    </row>
    <row r="240" spans="1:63" ht="12.75" hidden="1" customHeight="1" outlineLevel="1">
      <c r="A240" s="9"/>
      <c r="B240" s="44"/>
      <c r="C240" s="128" t="str">
        <f>Asset4</f>
        <v>Transmission transformers 132/66kV</v>
      </c>
      <c r="D240" s="9"/>
      <c r="E240" s="9"/>
      <c r="F240" s="139"/>
      <c r="G240" s="191">
        <f t="shared" si="3"/>
        <v>0</v>
      </c>
      <c r="H240" s="115"/>
      <c r="I240" s="115"/>
      <c r="J240" s="115"/>
      <c r="K240" s="115"/>
      <c r="L240" s="115"/>
      <c r="M240" s="9"/>
      <c r="N240" s="109"/>
      <c r="O240" s="150"/>
      <c r="P240" s="150"/>
      <c r="Q240" s="150"/>
      <c r="R240" s="99"/>
      <c r="S240" s="99"/>
      <c r="T240" s="99"/>
      <c r="U240" s="99"/>
      <c r="V240" s="99"/>
      <c r="W240" s="99"/>
      <c r="X240" s="99"/>
      <c r="Y240" s="99"/>
      <c r="Z240" s="99"/>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19"/>
      <c r="BK240" s="219"/>
    </row>
    <row r="241" spans="1:63" ht="12.75" hidden="1" customHeight="1" outlineLevel="1">
      <c r="A241" s="9"/>
      <c r="B241" s="44"/>
      <c r="C241" s="128" t="str">
        <f>Asset5</f>
        <v>Zone transformers 132/66kV</v>
      </c>
      <c r="D241" s="9"/>
      <c r="E241" s="9"/>
      <c r="F241" s="139"/>
      <c r="G241" s="191">
        <f t="shared" si="3"/>
        <v>0</v>
      </c>
      <c r="H241" s="115"/>
      <c r="I241" s="115"/>
      <c r="J241" s="115"/>
      <c r="K241" s="115"/>
      <c r="L241" s="115"/>
      <c r="M241" s="9"/>
      <c r="N241" s="109"/>
      <c r="O241" s="150"/>
      <c r="P241" s="150"/>
      <c r="Q241" s="150"/>
      <c r="R241" s="99"/>
      <c r="S241" s="99"/>
      <c r="T241" s="99"/>
      <c r="U241" s="99"/>
      <c r="V241" s="99"/>
      <c r="W241" s="99"/>
      <c r="X241" s="99"/>
      <c r="Y241" s="99"/>
      <c r="Z241" s="99"/>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19"/>
      <c r="BK241" s="219"/>
    </row>
    <row r="242" spans="1:63" ht="12.75" hidden="1" customHeight="1" outlineLevel="1">
      <c r="A242" s="9"/>
      <c r="B242" s="44"/>
      <c r="C242" s="128" t="str">
        <f>Asset6</f>
        <v>Transmission substation equip 132/66kV</v>
      </c>
      <c r="D242" s="9"/>
      <c r="E242" s="9"/>
      <c r="F242" s="139"/>
      <c r="G242" s="191">
        <f t="shared" si="3"/>
        <v>0</v>
      </c>
      <c r="H242" s="115"/>
      <c r="I242" s="115"/>
      <c r="J242" s="115"/>
      <c r="K242" s="115"/>
      <c r="L242" s="115"/>
      <c r="M242" s="9"/>
      <c r="N242" s="109"/>
      <c r="O242" s="150"/>
      <c r="P242" s="150"/>
      <c r="Q242" s="150"/>
      <c r="R242" s="99"/>
      <c r="S242" s="99"/>
      <c r="T242" s="99"/>
      <c r="U242" s="99"/>
      <c r="V242" s="99"/>
      <c r="W242" s="99"/>
      <c r="X242" s="99"/>
      <c r="Y242" s="99"/>
      <c r="Z242" s="99"/>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19"/>
      <c r="BK242" s="219"/>
    </row>
    <row r="243" spans="1:63" ht="12.75" hidden="1" customHeight="1" outlineLevel="1">
      <c r="A243" s="9"/>
      <c r="B243" s="44"/>
      <c r="C243" s="128" t="str">
        <f>Asset7</f>
        <v>Zone substation equip 132/66kV</v>
      </c>
      <c r="D243" s="9"/>
      <c r="E243" s="9"/>
      <c r="F243" s="139"/>
      <c r="G243" s="191">
        <f t="shared" si="3"/>
        <v>0</v>
      </c>
      <c r="H243" s="115"/>
      <c r="I243" s="115"/>
      <c r="J243" s="115"/>
      <c r="K243" s="115"/>
      <c r="L243" s="115"/>
      <c r="M243" s="9"/>
      <c r="N243" s="109"/>
      <c r="O243" s="150"/>
      <c r="P243" s="150"/>
      <c r="Q243" s="150"/>
      <c r="R243" s="99"/>
      <c r="S243" s="99"/>
      <c r="T243" s="99"/>
      <c r="U243" s="99"/>
      <c r="V243" s="99"/>
      <c r="W243" s="99"/>
      <c r="X243" s="99"/>
      <c r="Y243" s="99"/>
      <c r="Z243" s="99"/>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19"/>
      <c r="BK243" s="219"/>
    </row>
    <row r="244" spans="1:63" ht="12.75" hidden="1" customHeight="1" outlineLevel="1">
      <c r="A244" s="9"/>
      <c r="B244" s="44"/>
      <c r="C244" s="128" t="str">
        <f>Asset8</f>
        <v>Transmission &amp; Zone emergency spares</v>
      </c>
      <c r="D244" s="9"/>
      <c r="E244" s="9"/>
      <c r="F244" s="139"/>
      <c r="G244" s="191">
        <f t="shared" si="3"/>
        <v>0</v>
      </c>
      <c r="H244" s="115"/>
      <c r="I244" s="115"/>
      <c r="J244" s="115"/>
      <c r="K244" s="115"/>
      <c r="L244" s="115"/>
      <c r="M244" s="9"/>
      <c r="N244" s="109"/>
      <c r="O244" s="150"/>
      <c r="P244" s="150"/>
      <c r="Q244" s="150"/>
      <c r="R244" s="99"/>
      <c r="S244" s="99"/>
      <c r="T244" s="99"/>
      <c r="U244" s="99"/>
      <c r="V244" s="99"/>
      <c r="W244" s="99"/>
      <c r="X244" s="99"/>
      <c r="Y244" s="99"/>
      <c r="Z244" s="99"/>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19"/>
      <c r="BK244" s="219"/>
    </row>
    <row r="245" spans="1:63" ht="12.75" hidden="1" customHeight="1" outlineLevel="1">
      <c r="A245" s="9"/>
      <c r="B245" s="44"/>
      <c r="C245" s="128" t="str">
        <f>Asset9</f>
        <v>Ancillary substation equipment (tx)</v>
      </c>
      <c r="D245" s="9"/>
      <c r="E245" s="9"/>
      <c r="F245" s="139"/>
      <c r="G245" s="191">
        <f t="shared" si="3"/>
        <v>0</v>
      </c>
      <c r="H245" s="115"/>
      <c r="I245" s="115"/>
      <c r="J245" s="115"/>
      <c r="K245" s="115"/>
      <c r="L245" s="115"/>
      <c r="M245" s="9"/>
      <c r="N245" s="109"/>
      <c r="O245" s="150"/>
      <c r="P245" s="150"/>
      <c r="Q245" s="150"/>
      <c r="R245" s="99"/>
      <c r="S245" s="99"/>
      <c r="T245" s="99"/>
      <c r="U245" s="99"/>
      <c r="V245" s="99"/>
      <c r="W245" s="99"/>
      <c r="X245" s="99"/>
      <c r="Y245" s="99"/>
      <c r="Z245" s="99"/>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19"/>
      <c r="BK245" s="219"/>
    </row>
    <row r="246" spans="1:63" ht="12.75" hidden="1" customHeight="1" outlineLevel="1">
      <c r="A246" s="9"/>
      <c r="B246" s="44"/>
      <c r="C246" s="128" t="str">
        <f>Asset10</f>
        <v>132kV tower lines</v>
      </c>
      <c r="D246" s="9"/>
      <c r="E246" s="9"/>
      <c r="F246" s="139"/>
      <c r="G246" s="191">
        <f t="shared" si="3"/>
        <v>0</v>
      </c>
      <c r="H246" s="115"/>
      <c r="I246" s="115"/>
      <c r="J246" s="115"/>
      <c r="K246" s="115"/>
      <c r="L246" s="115"/>
      <c r="M246" s="9"/>
      <c r="N246" s="109"/>
      <c r="O246" s="150"/>
      <c r="P246" s="150"/>
      <c r="Q246" s="150"/>
      <c r="R246" s="99"/>
      <c r="S246" s="99"/>
      <c r="T246" s="99"/>
      <c r="U246" s="99"/>
      <c r="V246" s="99"/>
      <c r="W246" s="99"/>
      <c r="X246" s="99"/>
      <c r="Y246" s="99"/>
      <c r="Z246" s="99"/>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19"/>
      <c r="BK246" s="219"/>
    </row>
    <row r="247" spans="1:63" ht="12.75" hidden="1" customHeight="1" outlineLevel="1">
      <c r="A247" s="9"/>
      <c r="B247" s="44"/>
      <c r="C247" s="128" t="str">
        <f>Asset11</f>
        <v>132kV concrete &amp; steel pole lines</v>
      </c>
      <c r="D247" s="9"/>
      <c r="E247" s="9"/>
      <c r="F247" s="139"/>
      <c r="G247" s="191">
        <f t="shared" si="3"/>
        <v>0</v>
      </c>
      <c r="H247" s="115"/>
      <c r="I247" s="115"/>
      <c r="J247" s="115"/>
      <c r="K247" s="115"/>
      <c r="L247" s="115"/>
      <c r="M247" s="9"/>
      <c r="N247" s="109"/>
      <c r="O247" s="150"/>
      <c r="P247" s="150"/>
      <c r="Q247" s="150"/>
      <c r="R247" s="99"/>
      <c r="S247" s="99"/>
      <c r="T247" s="99"/>
      <c r="U247" s="99"/>
      <c r="V247" s="99"/>
      <c r="W247" s="99"/>
      <c r="X247" s="99"/>
      <c r="Y247" s="99"/>
      <c r="Z247" s="99"/>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19"/>
      <c r="BK247" s="219"/>
    </row>
    <row r="248" spans="1:63" ht="12.75" hidden="1" customHeight="1" outlineLevel="1">
      <c r="A248" s="9"/>
      <c r="B248" s="44"/>
      <c r="C248" s="128" t="str">
        <f>Asset12</f>
        <v>132kV wood pole lines</v>
      </c>
      <c r="D248" s="9"/>
      <c r="E248" s="9"/>
      <c r="F248" s="139"/>
      <c r="G248" s="191">
        <f t="shared" si="3"/>
        <v>0</v>
      </c>
      <c r="H248" s="115"/>
      <c r="I248" s="115"/>
      <c r="J248" s="115"/>
      <c r="K248" s="115"/>
      <c r="L248" s="115"/>
      <c r="M248" s="9"/>
      <c r="N248" s="109"/>
      <c r="O248" s="150"/>
      <c r="P248" s="150"/>
      <c r="Q248" s="150"/>
      <c r="R248" s="99"/>
      <c r="S248" s="99"/>
      <c r="T248" s="99"/>
      <c r="U248" s="99"/>
      <c r="V248" s="99"/>
      <c r="W248" s="99"/>
      <c r="X248" s="99"/>
      <c r="Y248" s="99"/>
      <c r="Z248" s="99"/>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19"/>
      <c r="BK248" s="219"/>
    </row>
    <row r="249" spans="1:63" ht="12.75" hidden="1" customHeight="1" outlineLevel="1">
      <c r="A249" s="9"/>
      <c r="B249" s="44"/>
      <c r="C249" s="128" t="str">
        <f>Asset13</f>
        <v>132kV feeders underground</v>
      </c>
      <c r="D249" s="9"/>
      <c r="E249" s="9"/>
      <c r="F249" s="139"/>
      <c r="G249" s="191">
        <f t="shared" si="3"/>
        <v>0</v>
      </c>
      <c r="H249" s="115"/>
      <c r="I249" s="115"/>
      <c r="J249" s="115"/>
      <c r="K249" s="115"/>
      <c r="L249" s="115"/>
      <c r="M249" s="9"/>
      <c r="N249" s="109"/>
      <c r="O249" s="150"/>
      <c r="P249" s="150"/>
      <c r="Q249" s="150"/>
      <c r="R249" s="99"/>
      <c r="S249" s="99"/>
      <c r="T249" s="99"/>
      <c r="U249" s="99"/>
      <c r="V249" s="99"/>
      <c r="W249" s="99"/>
      <c r="X249" s="99"/>
      <c r="Y249" s="99"/>
      <c r="Z249" s="99"/>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19"/>
      <c r="BK249" s="219"/>
    </row>
    <row r="250" spans="1:63" ht="12.75" hidden="1" customHeight="1" outlineLevel="1">
      <c r="A250" s="9"/>
      <c r="B250" s="44"/>
      <c r="C250" s="128" t="str">
        <f>Asset14</f>
        <v>Cable tunnel (tx)</v>
      </c>
      <c r="D250" s="9"/>
      <c r="E250" s="9"/>
      <c r="F250" s="139"/>
      <c r="G250" s="191">
        <f t="shared" si="3"/>
        <v>0</v>
      </c>
      <c r="H250" s="115"/>
      <c r="I250" s="115"/>
      <c r="J250" s="115"/>
      <c r="K250" s="115"/>
      <c r="L250" s="115"/>
      <c r="M250" s="9"/>
      <c r="N250" s="109"/>
      <c r="O250" s="150"/>
      <c r="P250" s="150"/>
      <c r="Q250" s="150"/>
      <c r="R250" s="99"/>
      <c r="S250" s="99"/>
      <c r="T250" s="99"/>
      <c r="U250" s="99"/>
      <c r="V250" s="99"/>
      <c r="W250" s="99"/>
      <c r="X250" s="99"/>
      <c r="Y250" s="99"/>
      <c r="Z250" s="99"/>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19"/>
      <c r="BK250" s="219"/>
    </row>
    <row r="251" spans="1:63" ht="12.75" hidden="1" customHeight="1" outlineLevel="1">
      <c r="A251" s="9"/>
      <c r="B251" s="44"/>
      <c r="C251" s="128" t="str">
        <f>Asset15</f>
        <v>Network control &amp; com systems</v>
      </c>
      <c r="D251" s="9"/>
      <c r="E251" s="9"/>
      <c r="F251" s="139"/>
      <c r="G251" s="191">
        <f t="shared" si="3"/>
        <v>0</v>
      </c>
      <c r="H251" s="115"/>
      <c r="I251" s="115"/>
      <c r="J251" s="115"/>
      <c r="K251" s="115"/>
      <c r="L251" s="115"/>
      <c r="M251" s="9"/>
      <c r="N251" s="109"/>
      <c r="O251" s="150"/>
      <c r="P251" s="150"/>
      <c r="Q251" s="150"/>
      <c r="R251" s="99"/>
      <c r="S251" s="99"/>
      <c r="T251" s="99"/>
      <c r="U251" s="99"/>
      <c r="V251" s="99"/>
      <c r="W251" s="99"/>
      <c r="X251" s="99"/>
      <c r="Y251" s="99"/>
      <c r="Z251" s="99"/>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19"/>
      <c r="BK251" s="219"/>
    </row>
    <row r="252" spans="1:63" ht="12.75" hidden="1" customHeight="1" outlineLevel="1">
      <c r="A252" s="9"/>
      <c r="B252" s="44"/>
      <c r="C252" s="128" t="str">
        <f>Asset16</f>
        <v>Communications (digital) - tx</v>
      </c>
      <c r="D252" s="9"/>
      <c r="E252" s="9"/>
      <c r="F252" s="139"/>
      <c r="G252" s="191">
        <f t="shared" si="3"/>
        <v>0</v>
      </c>
      <c r="H252" s="115"/>
      <c r="I252" s="115"/>
      <c r="J252" s="115"/>
      <c r="K252" s="115"/>
      <c r="L252" s="115"/>
      <c r="M252" s="9"/>
      <c r="N252" s="109"/>
      <c r="O252" s="150"/>
      <c r="P252" s="150"/>
      <c r="Q252" s="150"/>
      <c r="R252" s="99"/>
      <c r="S252" s="99"/>
      <c r="T252" s="99"/>
      <c r="U252" s="99"/>
      <c r="V252" s="99"/>
      <c r="W252" s="99"/>
      <c r="X252" s="99"/>
      <c r="Y252" s="99"/>
      <c r="Z252" s="99"/>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19"/>
      <c r="BK252" s="219"/>
    </row>
    <row r="253" spans="1:63" ht="12.75" hidden="1" customHeight="1" outlineLevel="1">
      <c r="A253" s="9"/>
      <c r="B253" s="44"/>
      <c r="C253" s="128" t="str">
        <f>Asset17</f>
        <v>System IT (tx)</v>
      </c>
      <c r="D253" s="9"/>
      <c r="E253" s="9"/>
      <c r="F253" s="139"/>
      <c r="G253" s="191">
        <f t="shared" si="3"/>
        <v>0</v>
      </c>
      <c r="H253" s="115"/>
      <c r="I253" s="115"/>
      <c r="J253" s="115"/>
      <c r="K253" s="115"/>
      <c r="L253" s="115"/>
      <c r="M253" s="9"/>
      <c r="N253" s="109"/>
      <c r="O253" s="150"/>
      <c r="P253" s="150"/>
      <c r="Q253" s="150"/>
      <c r="R253" s="99"/>
      <c r="S253" s="99"/>
      <c r="T253" s="99"/>
      <c r="U253" s="99"/>
      <c r="V253" s="99"/>
      <c r="W253" s="99"/>
      <c r="X253" s="99"/>
      <c r="Y253" s="99"/>
      <c r="Z253" s="99"/>
      <c r="AA253" s="226"/>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19"/>
      <c r="BK253" s="219"/>
    </row>
    <row r="254" spans="1:63" ht="12.75" hidden="1" customHeight="1" outlineLevel="1">
      <c r="A254" s="9"/>
      <c r="B254" s="44"/>
      <c r="C254" s="128" t="str">
        <f>Asset18</f>
        <v>IT systems</v>
      </c>
      <c r="D254" s="9"/>
      <c r="E254" s="9"/>
      <c r="F254" s="139"/>
      <c r="G254" s="191">
        <f t="shared" si="3"/>
        <v>0</v>
      </c>
      <c r="H254" s="115"/>
      <c r="I254" s="115"/>
      <c r="J254" s="115"/>
      <c r="K254" s="115"/>
      <c r="L254" s="115"/>
      <c r="M254" s="9"/>
      <c r="N254" s="109"/>
      <c r="O254" s="150"/>
      <c r="P254" s="150"/>
      <c r="Q254" s="150"/>
      <c r="R254" s="99"/>
      <c r="S254" s="99"/>
      <c r="T254" s="99"/>
      <c r="U254" s="99"/>
      <c r="V254" s="99"/>
      <c r="W254" s="99"/>
      <c r="X254" s="99"/>
      <c r="Y254" s="99"/>
      <c r="Z254" s="99"/>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19"/>
      <c r="BK254" s="219"/>
    </row>
    <row r="255" spans="1:63" ht="12.75" hidden="1" customHeight="1" outlineLevel="1">
      <c r="A255" s="9"/>
      <c r="B255" s="44"/>
      <c r="C255" s="128" t="str">
        <f>Asset19</f>
        <v>Furniture, fittings, plant and equipment</v>
      </c>
      <c r="D255" s="9"/>
      <c r="E255" s="9"/>
      <c r="F255" s="139"/>
      <c r="G255" s="191">
        <f t="shared" si="3"/>
        <v>0</v>
      </c>
      <c r="H255" s="115"/>
      <c r="I255" s="115"/>
      <c r="J255" s="115"/>
      <c r="K255" s="115"/>
      <c r="L255" s="115"/>
      <c r="M255" s="9"/>
      <c r="N255" s="109"/>
      <c r="O255" s="150"/>
      <c r="P255" s="150"/>
      <c r="Q255" s="150"/>
      <c r="R255" s="99"/>
      <c r="S255" s="99"/>
      <c r="T255" s="99"/>
      <c r="U255" s="99"/>
      <c r="V255" s="99"/>
      <c r="W255" s="99"/>
      <c r="X255" s="99"/>
      <c r="Y255" s="99"/>
      <c r="Z255" s="99"/>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19"/>
      <c r="BK255" s="219"/>
    </row>
    <row r="256" spans="1:63" ht="12.75" hidden="1" customHeight="1" outlineLevel="1">
      <c r="A256" s="9"/>
      <c r="B256" s="44"/>
      <c r="C256" s="128" t="str">
        <f>Asset20</f>
        <v>Motor vehicles</v>
      </c>
      <c r="D256" s="9"/>
      <c r="E256" s="9"/>
      <c r="F256" s="139"/>
      <c r="G256" s="191">
        <f t="shared" si="3"/>
        <v>0</v>
      </c>
      <c r="H256" s="115"/>
      <c r="I256" s="115"/>
      <c r="J256" s="115"/>
      <c r="K256" s="115"/>
      <c r="L256" s="115"/>
      <c r="M256" s="9"/>
      <c r="N256" s="109"/>
      <c r="O256" s="150"/>
      <c r="P256" s="150"/>
      <c r="Q256" s="150"/>
      <c r="R256" s="99"/>
      <c r="S256" s="99"/>
      <c r="T256" s="99"/>
      <c r="U256" s="99"/>
      <c r="V256" s="99"/>
      <c r="W256" s="99"/>
      <c r="X256" s="99"/>
      <c r="Y256" s="99"/>
      <c r="Z256" s="99"/>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19"/>
      <c r="BK256" s="219"/>
    </row>
    <row r="257" spans="1:63" ht="12.75" hidden="1" customHeight="1" outlineLevel="1">
      <c r="A257" s="9"/>
      <c r="B257" s="44"/>
      <c r="C257" s="128" t="str">
        <f>Asset21</f>
        <v>Buildings</v>
      </c>
      <c r="D257" s="9"/>
      <c r="E257" s="9"/>
      <c r="F257" s="139"/>
      <c r="G257" s="191">
        <f t="shared" ref="G257:G266" si="4">G225-G193</f>
        <v>0</v>
      </c>
      <c r="H257" s="115"/>
      <c r="I257" s="115"/>
      <c r="J257" s="115"/>
      <c r="K257" s="115"/>
      <c r="L257" s="115"/>
      <c r="M257" s="9"/>
      <c r="N257" s="109"/>
      <c r="O257" s="150"/>
      <c r="P257" s="150"/>
      <c r="Q257" s="150"/>
      <c r="R257" s="99"/>
      <c r="S257" s="99"/>
      <c r="T257" s="99"/>
      <c r="U257" s="99"/>
      <c r="V257" s="99"/>
      <c r="W257" s="99"/>
      <c r="X257" s="99"/>
      <c r="Y257" s="99"/>
      <c r="Z257" s="99"/>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19"/>
      <c r="BK257" s="219"/>
    </row>
    <row r="258" spans="1:63" ht="12.75" hidden="1" customHeight="1" outlineLevel="1">
      <c r="A258" s="9"/>
      <c r="B258" s="44"/>
      <c r="C258" s="128" t="str">
        <f>Asset22</f>
        <v>Land (non-system)</v>
      </c>
      <c r="D258" s="9"/>
      <c r="E258" s="9"/>
      <c r="F258" s="139"/>
      <c r="G258" s="191">
        <f t="shared" si="4"/>
        <v>0</v>
      </c>
      <c r="H258" s="115"/>
      <c r="I258" s="115"/>
      <c r="J258" s="115"/>
      <c r="K258" s="115"/>
      <c r="L258" s="115"/>
      <c r="M258" s="9"/>
      <c r="N258" s="109"/>
      <c r="O258" s="150"/>
      <c r="P258" s="150"/>
      <c r="Q258" s="150"/>
      <c r="R258" s="99"/>
      <c r="S258" s="99"/>
      <c r="T258" s="99"/>
      <c r="U258" s="99"/>
      <c r="V258" s="99"/>
      <c r="W258" s="99"/>
      <c r="X258" s="99"/>
      <c r="Y258" s="99"/>
      <c r="Z258" s="99"/>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19"/>
      <c r="BK258" s="219"/>
    </row>
    <row r="259" spans="1:63" ht="12.75" hidden="1" customHeight="1" outlineLevel="1">
      <c r="A259" s="9"/>
      <c r="B259" s="44"/>
      <c r="C259" s="128" t="str">
        <f>Asset23</f>
        <v>Other non system assets</v>
      </c>
      <c r="D259" s="9"/>
      <c r="E259" s="9"/>
      <c r="F259" s="139"/>
      <c r="G259" s="191">
        <f t="shared" si="4"/>
        <v>0</v>
      </c>
      <c r="H259" s="115"/>
      <c r="I259" s="115"/>
      <c r="J259" s="115"/>
      <c r="K259" s="115"/>
      <c r="L259" s="115"/>
      <c r="M259" s="9"/>
      <c r="N259" s="109"/>
      <c r="O259" s="150"/>
      <c r="P259" s="150"/>
      <c r="Q259" s="150"/>
      <c r="R259" s="99"/>
      <c r="S259" s="99"/>
      <c r="T259" s="99"/>
      <c r="U259" s="99"/>
      <c r="V259" s="99"/>
      <c r="W259" s="99"/>
      <c r="X259" s="99"/>
      <c r="Y259" s="99"/>
      <c r="Z259" s="99"/>
      <c r="AA259" s="226"/>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19"/>
      <c r="BK259" s="219"/>
    </row>
    <row r="260" spans="1:63" ht="12.75" hidden="1" customHeight="1" outlineLevel="1">
      <c r="A260" s="9"/>
      <c r="B260" s="44"/>
      <c r="C260" s="128" t="str">
        <f>Asset24</f>
        <v>Equity raising costs</v>
      </c>
      <c r="D260" s="9"/>
      <c r="E260" s="9"/>
      <c r="F260" s="139"/>
      <c r="G260" s="191">
        <f t="shared" si="4"/>
        <v>0</v>
      </c>
      <c r="H260" s="115"/>
      <c r="I260" s="115"/>
      <c r="J260" s="115"/>
      <c r="K260" s="115"/>
      <c r="L260" s="115"/>
      <c r="M260" s="9"/>
      <c r="N260" s="109"/>
      <c r="O260" s="150"/>
      <c r="P260" s="150"/>
      <c r="Q260" s="150"/>
      <c r="R260" s="99"/>
      <c r="S260" s="99"/>
      <c r="T260" s="99"/>
      <c r="U260" s="99"/>
      <c r="V260" s="99"/>
      <c r="W260" s="99"/>
      <c r="X260" s="99"/>
      <c r="Y260" s="99"/>
      <c r="Z260" s="99"/>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19"/>
      <c r="BK260" s="219"/>
    </row>
    <row r="261" spans="1:63" ht="12.75" hidden="1" customHeight="1" outlineLevel="1">
      <c r="A261" s="9"/>
      <c r="B261" s="44"/>
      <c r="C261" s="128">
        <f>Asset25</f>
        <v>0</v>
      </c>
      <c r="D261" s="9"/>
      <c r="E261" s="9"/>
      <c r="F261" s="139"/>
      <c r="G261" s="191">
        <f t="shared" si="4"/>
        <v>0</v>
      </c>
      <c r="H261" s="115"/>
      <c r="I261" s="115"/>
      <c r="J261" s="115"/>
      <c r="K261" s="115"/>
      <c r="L261" s="115"/>
      <c r="M261" s="9"/>
      <c r="N261" s="109"/>
      <c r="O261" s="150"/>
      <c r="P261" s="150"/>
      <c r="Q261" s="150"/>
      <c r="R261" s="99"/>
      <c r="S261" s="99"/>
      <c r="T261" s="99"/>
      <c r="U261" s="99"/>
      <c r="V261" s="99"/>
      <c r="W261" s="99"/>
      <c r="X261" s="99"/>
      <c r="Y261" s="99"/>
      <c r="Z261" s="99"/>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19"/>
      <c r="BK261" s="219"/>
    </row>
    <row r="262" spans="1:63" ht="12.75" hidden="1" customHeight="1" outlineLevel="1">
      <c r="A262" s="9"/>
      <c r="B262" s="44"/>
      <c r="C262" s="128">
        <f>Asset26</f>
        <v>0</v>
      </c>
      <c r="D262" s="9"/>
      <c r="E262" s="9"/>
      <c r="F262" s="139"/>
      <c r="G262" s="191">
        <f t="shared" si="4"/>
        <v>0</v>
      </c>
      <c r="H262" s="115"/>
      <c r="I262" s="115"/>
      <c r="J262" s="115"/>
      <c r="K262" s="115"/>
      <c r="L262" s="115"/>
      <c r="M262" s="9"/>
      <c r="N262" s="109"/>
      <c r="O262" s="150"/>
      <c r="P262" s="150"/>
      <c r="Q262" s="150"/>
      <c r="R262" s="99"/>
      <c r="S262" s="99"/>
      <c r="T262" s="99"/>
      <c r="U262" s="99"/>
      <c r="V262" s="99"/>
      <c r="W262" s="99"/>
      <c r="X262" s="99"/>
      <c r="Y262" s="99"/>
      <c r="Z262" s="99"/>
      <c r="AA262" s="226"/>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19"/>
      <c r="BK262" s="219"/>
    </row>
    <row r="263" spans="1:63" ht="12.75" hidden="1" customHeight="1" outlineLevel="1">
      <c r="A263" s="9"/>
      <c r="B263" s="44"/>
      <c r="C263" s="128">
        <f>Asset27</f>
        <v>0</v>
      </c>
      <c r="D263" s="9"/>
      <c r="E263" s="9"/>
      <c r="F263" s="139"/>
      <c r="G263" s="191">
        <f t="shared" si="4"/>
        <v>0</v>
      </c>
      <c r="H263" s="115"/>
      <c r="I263" s="115"/>
      <c r="J263" s="115"/>
      <c r="K263" s="115"/>
      <c r="L263" s="115"/>
      <c r="M263" s="9"/>
      <c r="N263" s="109"/>
      <c r="O263" s="150"/>
      <c r="P263" s="150"/>
      <c r="Q263" s="150"/>
      <c r="R263" s="99"/>
      <c r="S263" s="99"/>
      <c r="T263" s="99"/>
      <c r="U263" s="99"/>
      <c r="V263" s="99"/>
      <c r="W263" s="99"/>
      <c r="X263" s="99"/>
      <c r="Y263" s="99"/>
      <c r="Z263" s="99"/>
      <c r="AA263" s="226"/>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19"/>
      <c r="BK263" s="219"/>
    </row>
    <row r="264" spans="1:63" ht="12.75" hidden="1" customHeight="1" outlineLevel="1">
      <c r="A264" s="9"/>
      <c r="B264" s="44"/>
      <c r="C264" s="128">
        <f>Asset28</f>
        <v>0</v>
      </c>
      <c r="D264" s="9"/>
      <c r="E264" s="9"/>
      <c r="F264" s="139"/>
      <c r="G264" s="191">
        <f t="shared" si="4"/>
        <v>0</v>
      </c>
      <c r="H264" s="115"/>
      <c r="I264" s="115"/>
      <c r="J264" s="115"/>
      <c r="K264" s="115"/>
      <c r="L264" s="115"/>
      <c r="M264" s="9"/>
      <c r="N264" s="109"/>
      <c r="O264" s="150"/>
      <c r="P264" s="150"/>
      <c r="Q264" s="150"/>
      <c r="R264" s="99"/>
      <c r="S264" s="99"/>
      <c r="T264" s="99"/>
      <c r="U264" s="99"/>
      <c r="V264" s="99"/>
      <c r="W264" s="99"/>
      <c r="X264" s="99"/>
      <c r="Y264" s="99"/>
      <c r="Z264" s="99"/>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19"/>
      <c r="BK264" s="219"/>
    </row>
    <row r="265" spans="1:63" ht="12.75" hidden="1" customHeight="1" outlineLevel="1">
      <c r="A265" s="9"/>
      <c r="B265" s="44"/>
      <c r="C265" s="128">
        <f>Asset29</f>
        <v>0</v>
      </c>
      <c r="D265" s="9"/>
      <c r="E265" s="9"/>
      <c r="F265" s="139"/>
      <c r="G265" s="191">
        <f t="shared" si="4"/>
        <v>0</v>
      </c>
      <c r="H265" s="115"/>
      <c r="I265" s="115"/>
      <c r="J265" s="115"/>
      <c r="K265" s="115"/>
      <c r="L265" s="115"/>
      <c r="M265" s="9"/>
      <c r="N265" s="109"/>
      <c r="O265" s="150"/>
      <c r="P265" s="150"/>
      <c r="Q265" s="150"/>
      <c r="R265" s="99"/>
      <c r="S265" s="99"/>
      <c r="T265" s="99"/>
      <c r="U265" s="99"/>
      <c r="V265" s="99"/>
      <c r="W265" s="99"/>
      <c r="X265" s="99"/>
      <c r="Y265" s="99"/>
      <c r="Z265" s="99"/>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19"/>
      <c r="BK265" s="219"/>
    </row>
    <row r="266" spans="1:63" ht="12.75" hidden="1" customHeight="1" outlineLevel="1">
      <c r="A266" s="9"/>
      <c r="B266" s="44"/>
      <c r="C266" s="128">
        <f>Asset30</f>
        <v>0</v>
      </c>
      <c r="D266" s="9"/>
      <c r="E266" s="9"/>
      <c r="F266" s="139"/>
      <c r="G266" s="191">
        <f t="shared" si="4"/>
        <v>0</v>
      </c>
      <c r="H266" s="115"/>
      <c r="I266" s="115"/>
      <c r="J266" s="115"/>
      <c r="K266" s="115"/>
      <c r="L266" s="115"/>
      <c r="M266" s="9"/>
      <c r="N266" s="109"/>
      <c r="O266" s="150"/>
      <c r="P266" s="150"/>
      <c r="Q266" s="150"/>
      <c r="R266" s="99"/>
      <c r="S266" s="99"/>
      <c r="T266" s="99"/>
      <c r="U266" s="99"/>
      <c r="V266" s="99"/>
      <c r="W266" s="99"/>
      <c r="X266" s="99"/>
      <c r="Y266" s="99"/>
      <c r="Z266" s="99"/>
      <c r="AA266" s="226"/>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19"/>
      <c r="BK266" s="219"/>
    </row>
    <row r="267" spans="1:63" collapsed="1">
      <c r="A267" s="9"/>
      <c r="B267" s="151"/>
      <c r="C267" s="25"/>
      <c r="D267" s="9"/>
      <c r="E267" s="9"/>
      <c r="F267" s="139"/>
      <c r="G267" s="193"/>
      <c r="H267" s="115"/>
      <c r="I267" s="115"/>
      <c r="J267" s="115"/>
      <c r="K267" s="115"/>
      <c r="L267" s="115"/>
      <c r="M267" s="9"/>
      <c r="N267" s="109"/>
      <c r="O267" s="150"/>
      <c r="P267" s="150"/>
      <c r="Q267" s="150"/>
      <c r="R267" s="99"/>
      <c r="S267" s="99"/>
      <c r="T267" s="99"/>
      <c r="U267" s="99"/>
      <c r="V267" s="99"/>
      <c r="W267" s="99"/>
      <c r="X267" s="99"/>
      <c r="Y267" s="99"/>
      <c r="Z267" s="99"/>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19"/>
      <c r="BK267" s="219"/>
    </row>
    <row r="268" spans="1:63">
      <c r="A268" s="9"/>
      <c r="B268" s="151" t="s">
        <v>63</v>
      </c>
      <c r="C268" s="25"/>
      <c r="D268" s="9"/>
      <c r="E268" s="9"/>
      <c r="F268" s="139"/>
      <c r="G268" s="193"/>
      <c r="H268" s="115">
        <f>SUM(H269,H271,H273,H275,H277,H279,H281,H283,H285,H287,H289,H291,H293,H295,H297,H299,H301,H303,H305,H307,H309,H311,H313,H315,H317,H319,H321,H323,H325,H327)</f>
        <v>0</v>
      </c>
      <c r="I268" s="115">
        <f t="shared" ref="I268:Q268" si="5">SUM(I269,I271,I273,I275,I277,I279,I281,I283,I285,I287,I289,I291,I293,I295,I297,I299,I301,I303,I305,I307,I309,I311,I313,I315,I317,I319,I321,I323,I325,I327)</f>
        <v>0</v>
      </c>
      <c r="J268" s="115">
        <f t="shared" si="5"/>
        <v>0</v>
      </c>
      <c r="K268" s="115">
        <f t="shared" si="5"/>
        <v>0</v>
      </c>
      <c r="L268" s="115">
        <f t="shared" si="5"/>
        <v>0</v>
      </c>
      <c r="M268" s="115">
        <f t="shared" si="5"/>
        <v>0</v>
      </c>
      <c r="N268" s="115">
        <f t="shared" si="5"/>
        <v>0</v>
      </c>
      <c r="O268" s="115">
        <f t="shared" si="5"/>
        <v>0</v>
      </c>
      <c r="P268" s="115">
        <f t="shared" si="5"/>
        <v>0</v>
      </c>
      <c r="Q268" s="115">
        <f t="shared" si="5"/>
        <v>0</v>
      </c>
      <c r="R268" s="99"/>
      <c r="S268" s="99"/>
      <c r="T268" s="99"/>
      <c r="U268" s="99"/>
      <c r="V268" s="99"/>
      <c r="W268" s="99"/>
      <c r="X268" s="99"/>
      <c r="Y268" s="99"/>
      <c r="Z268" s="99"/>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19"/>
      <c r="BK268" s="219"/>
    </row>
    <row r="269" spans="1:63" hidden="1" outlineLevel="1">
      <c r="A269" s="9"/>
      <c r="B269" s="44"/>
      <c r="C269" s="128" t="str">
        <f>Asset1</f>
        <v>Transmission &amp; Zone land &amp; easements</v>
      </c>
      <c r="D269" s="9"/>
      <c r="E269" s="9"/>
      <c r="F269" s="139"/>
      <c r="G269" s="193"/>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19"/>
      <c r="BK269" s="219"/>
    </row>
    <row r="270" spans="1:63" hidden="1" outlineLevel="1">
      <c r="A270" s="9"/>
      <c r="B270" s="44"/>
      <c r="C270" s="152" t="s">
        <v>29</v>
      </c>
      <c r="D270" s="9"/>
      <c r="E270" s="9"/>
      <c r="F270" s="139"/>
      <c r="G270" s="193"/>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19"/>
      <c r="BK270" s="219"/>
    </row>
    <row r="271" spans="1:63" hidden="1" outlineLevel="1">
      <c r="A271" s="9"/>
      <c r="B271" s="44"/>
      <c r="C271" s="128" t="str">
        <f>Asset2</f>
        <v>Transmission buildings 132/66kV</v>
      </c>
      <c r="D271" s="9"/>
      <c r="E271" s="9"/>
      <c r="F271" s="139"/>
      <c r="G271" s="193"/>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19"/>
      <c r="BK271" s="219"/>
    </row>
    <row r="272" spans="1:63" hidden="1" outlineLevel="1">
      <c r="A272" s="9"/>
      <c r="B272" s="44"/>
      <c r="C272" s="152" t="s">
        <v>29</v>
      </c>
      <c r="D272" s="9"/>
      <c r="E272" s="9"/>
      <c r="F272" s="139"/>
      <c r="G272" s="193"/>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19"/>
      <c r="BK272" s="219"/>
    </row>
    <row r="273" spans="1:63" hidden="1" outlineLevel="1">
      <c r="A273" s="9"/>
      <c r="B273" s="44"/>
      <c r="C273" s="128" t="str">
        <f>Asset3</f>
        <v>Zone buildings 132/66kV</v>
      </c>
      <c r="D273" s="9"/>
      <c r="E273" s="9"/>
      <c r="F273" s="139"/>
      <c r="G273" s="193"/>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19"/>
      <c r="BK273" s="219"/>
    </row>
    <row r="274" spans="1:63" hidden="1" outlineLevel="1">
      <c r="A274" s="9"/>
      <c r="B274" s="44"/>
      <c r="C274" s="152" t="s">
        <v>29</v>
      </c>
      <c r="D274" s="9"/>
      <c r="E274" s="9"/>
      <c r="F274" s="139"/>
      <c r="G274" s="193"/>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19"/>
      <c r="BK274" s="219"/>
    </row>
    <row r="275" spans="1:63" hidden="1" outlineLevel="1">
      <c r="A275" s="9"/>
      <c r="B275" s="44"/>
      <c r="C275" s="128" t="str">
        <f>Asset4</f>
        <v>Transmission transformers 132/66kV</v>
      </c>
      <c r="D275" s="9"/>
      <c r="E275" s="9"/>
      <c r="F275" s="139"/>
      <c r="G275" s="193"/>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19"/>
      <c r="BK275" s="219"/>
    </row>
    <row r="276" spans="1:63" hidden="1" outlineLevel="1">
      <c r="A276" s="9"/>
      <c r="B276" s="44"/>
      <c r="C276" s="152" t="s">
        <v>29</v>
      </c>
      <c r="D276" s="9"/>
      <c r="E276" s="9"/>
      <c r="F276" s="139"/>
      <c r="G276" s="193"/>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19"/>
      <c r="BK276" s="219"/>
    </row>
    <row r="277" spans="1:63" hidden="1" outlineLevel="1">
      <c r="A277" s="9"/>
      <c r="B277" s="44"/>
      <c r="C277" s="128" t="str">
        <f>Asset5</f>
        <v>Zone transformers 132/66kV</v>
      </c>
      <c r="D277" s="9"/>
      <c r="E277" s="9"/>
      <c r="F277" s="139"/>
      <c r="G277" s="193"/>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19"/>
      <c r="BK277" s="219"/>
    </row>
    <row r="278" spans="1:63" hidden="1" outlineLevel="1">
      <c r="A278" s="9"/>
      <c r="B278" s="44"/>
      <c r="C278" s="152" t="s">
        <v>29</v>
      </c>
      <c r="D278" s="9"/>
      <c r="E278" s="9"/>
      <c r="F278" s="139"/>
      <c r="G278" s="193"/>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19"/>
      <c r="BK278" s="219"/>
    </row>
    <row r="279" spans="1:63" hidden="1" outlineLevel="1">
      <c r="A279" s="9"/>
      <c r="B279" s="44"/>
      <c r="C279" s="128" t="str">
        <f>Asset6</f>
        <v>Transmission substation equip 132/66kV</v>
      </c>
      <c r="D279" s="9"/>
      <c r="E279" s="9"/>
      <c r="F279" s="139"/>
      <c r="G279" s="193"/>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19"/>
      <c r="BK279" s="219"/>
    </row>
    <row r="280" spans="1:63" hidden="1" outlineLevel="1">
      <c r="A280" s="9"/>
      <c r="B280" s="44"/>
      <c r="C280" s="152" t="s">
        <v>29</v>
      </c>
      <c r="D280" s="9"/>
      <c r="E280" s="9"/>
      <c r="F280" s="139"/>
      <c r="G280" s="193"/>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19"/>
      <c r="BK280" s="219"/>
    </row>
    <row r="281" spans="1:63" hidden="1" outlineLevel="1">
      <c r="A281" s="9"/>
      <c r="B281" s="44"/>
      <c r="C281" s="128" t="str">
        <f>Asset7</f>
        <v>Zone substation equip 132/66kV</v>
      </c>
      <c r="D281" s="9"/>
      <c r="E281" s="9"/>
      <c r="F281" s="139"/>
      <c r="G281" s="193"/>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19"/>
      <c r="BK281" s="219"/>
    </row>
    <row r="282" spans="1:63" hidden="1" outlineLevel="1">
      <c r="A282" s="9"/>
      <c r="B282" s="44"/>
      <c r="C282" s="152" t="s">
        <v>29</v>
      </c>
      <c r="D282" s="9"/>
      <c r="E282" s="9"/>
      <c r="F282" s="139"/>
      <c r="G282" s="193"/>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26"/>
      <c r="AB282" s="226"/>
      <c r="AC282" s="226"/>
      <c r="AD282" s="226"/>
      <c r="AE282" s="226"/>
      <c r="AF282" s="226"/>
      <c r="AG282" s="226"/>
      <c r="AH282" s="226"/>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226"/>
      <c r="BH282" s="226"/>
      <c r="BI282" s="226"/>
      <c r="BJ282" s="219"/>
      <c r="BK282" s="219"/>
    </row>
    <row r="283" spans="1:63" hidden="1" outlineLevel="1">
      <c r="A283" s="9"/>
      <c r="B283" s="44"/>
      <c r="C283" s="128" t="str">
        <f>Asset8</f>
        <v>Transmission &amp; Zone emergency spares</v>
      </c>
      <c r="D283" s="9"/>
      <c r="E283" s="9"/>
      <c r="F283" s="139"/>
      <c r="G283" s="193"/>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19"/>
      <c r="BK283" s="219"/>
    </row>
    <row r="284" spans="1:63" hidden="1" outlineLevel="1">
      <c r="A284" s="9"/>
      <c r="B284" s="44"/>
      <c r="C284" s="152" t="s">
        <v>29</v>
      </c>
      <c r="D284" s="9"/>
      <c r="E284" s="9"/>
      <c r="F284" s="139"/>
      <c r="G284" s="193"/>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19"/>
      <c r="BK284" s="219"/>
    </row>
    <row r="285" spans="1:63" hidden="1" outlineLevel="1">
      <c r="A285" s="9"/>
      <c r="B285" s="44"/>
      <c r="C285" s="128" t="str">
        <f>Asset9</f>
        <v>Ancillary substation equipment (tx)</v>
      </c>
      <c r="D285" s="9"/>
      <c r="E285" s="9"/>
      <c r="F285" s="139"/>
      <c r="G285" s="193"/>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19"/>
      <c r="BK285" s="219"/>
    </row>
    <row r="286" spans="1:63" hidden="1" outlineLevel="1">
      <c r="A286" s="9"/>
      <c r="B286" s="44"/>
      <c r="C286" s="152" t="s">
        <v>29</v>
      </c>
      <c r="D286" s="9"/>
      <c r="E286" s="9"/>
      <c r="F286" s="139"/>
      <c r="G286" s="193"/>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19"/>
      <c r="BK286" s="219"/>
    </row>
    <row r="287" spans="1:63" hidden="1" outlineLevel="1">
      <c r="A287" s="9"/>
      <c r="B287" s="44"/>
      <c r="C287" s="128" t="str">
        <f>Asset10</f>
        <v>132kV tower lines</v>
      </c>
      <c r="D287" s="9"/>
      <c r="E287" s="9"/>
      <c r="F287" s="139"/>
      <c r="G287" s="193"/>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19"/>
      <c r="BK287" s="219"/>
    </row>
    <row r="288" spans="1:63" hidden="1" outlineLevel="1">
      <c r="A288" s="9"/>
      <c r="B288" s="44"/>
      <c r="C288" s="152" t="s">
        <v>29</v>
      </c>
      <c r="D288" s="9"/>
      <c r="E288" s="9"/>
      <c r="F288" s="139"/>
      <c r="G288" s="193"/>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19"/>
      <c r="BK288" s="219"/>
    </row>
    <row r="289" spans="1:63" hidden="1" outlineLevel="1">
      <c r="A289" s="9"/>
      <c r="B289" s="44"/>
      <c r="C289" s="128" t="str">
        <f>Asset11</f>
        <v>132kV concrete &amp; steel pole lines</v>
      </c>
      <c r="D289" s="9"/>
      <c r="E289" s="9"/>
      <c r="F289" s="139"/>
      <c r="G289" s="193"/>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19"/>
      <c r="BK289" s="219"/>
    </row>
    <row r="290" spans="1:63" hidden="1" outlineLevel="1">
      <c r="A290" s="9"/>
      <c r="B290" s="44"/>
      <c r="C290" s="152" t="s">
        <v>29</v>
      </c>
      <c r="D290" s="9"/>
      <c r="E290" s="9"/>
      <c r="F290" s="139"/>
      <c r="G290" s="193"/>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19"/>
      <c r="BK290" s="219"/>
    </row>
    <row r="291" spans="1:63" hidden="1" outlineLevel="1">
      <c r="A291" s="9"/>
      <c r="B291" s="44"/>
      <c r="C291" s="128" t="str">
        <f>Asset12</f>
        <v>132kV wood pole lines</v>
      </c>
      <c r="D291" s="9"/>
      <c r="E291" s="9"/>
      <c r="F291" s="139"/>
      <c r="G291" s="193"/>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19"/>
      <c r="BK291" s="219"/>
    </row>
    <row r="292" spans="1:63" hidden="1" outlineLevel="1">
      <c r="A292" s="9"/>
      <c r="B292" s="44"/>
      <c r="C292" s="152" t="s">
        <v>29</v>
      </c>
      <c r="D292" s="9"/>
      <c r="E292" s="9"/>
      <c r="F292" s="139"/>
      <c r="G292" s="193"/>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226"/>
      <c r="BH292" s="226"/>
      <c r="BI292" s="226"/>
      <c r="BJ292" s="219"/>
      <c r="BK292" s="219"/>
    </row>
    <row r="293" spans="1:63" hidden="1" outlineLevel="1">
      <c r="A293" s="9"/>
      <c r="B293" s="44"/>
      <c r="C293" s="128" t="str">
        <f>Asset13</f>
        <v>132kV feeders underground</v>
      </c>
      <c r="D293" s="9"/>
      <c r="E293" s="9"/>
      <c r="F293" s="139"/>
      <c r="G293" s="193"/>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19"/>
      <c r="BK293" s="219"/>
    </row>
    <row r="294" spans="1:63" hidden="1" outlineLevel="1">
      <c r="A294" s="9"/>
      <c r="B294" s="44"/>
      <c r="C294" s="152" t="s">
        <v>29</v>
      </c>
      <c r="D294" s="9"/>
      <c r="E294" s="9"/>
      <c r="F294" s="139"/>
      <c r="G294" s="193"/>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219"/>
      <c r="BK294" s="219"/>
    </row>
    <row r="295" spans="1:63" hidden="1" outlineLevel="1">
      <c r="A295" s="9"/>
      <c r="B295" s="44"/>
      <c r="C295" s="128" t="str">
        <f>Asset14</f>
        <v>Cable tunnel (tx)</v>
      </c>
      <c r="D295" s="9"/>
      <c r="E295" s="9"/>
      <c r="F295" s="139"/>
      <c r="G295" s="193"/>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19"/>
      <c r="BK295" s="219"/>
    </row>
    <row r="296" spans="1:63" hidden="1" outlineLevel="1">
      <c r="A296" s="9"/>
      <c r="B296" s="44"/>
      <c r="C296" s="152" t="s">
        <v>29</v>
      </c>
      <c r="D296" s="9"/>
      <c r="E296" s="9"/>
      <c r="F296" s="139"/>
      <c r="G296" s="193"/>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19"/>
      <c r="BK296" s="219"/>
    </row>
    <row r="297" spans="1:63" hidden="1" outlineLevel="1">
      <c r="A297" s="9"/>
      <c r="B297" s="44"/>
      <c r="C297" s="128" t="str">
        <f>Asset15</f>
        <v>Network control &amp; com systems</v>
      </c>
      <c r="D297" s="9"/>
      <c r="E297" s="9"/>
      <c r="F297" s="139"/>
      <c r="G297" s="193"/>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19"/>
      <c r="BK297" s="219"/>
    </row>
    <row r="298" spans="1:63" hidden="1" outlineLevel="1">
      <c r="A298" s="9"/>
      <c r="B298" s="44"/>
      <c r="C298" s="152" t="s">
        <v>29</v>
      </c>
      <c r="D298" s="9"/>
      <c r="E298" s="9"/>
      <c r="F298" s="139"/>
      <c r="G298" s="193"/>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19"/>
      <c r="BK298" s="219"/>
    </row>
    <row r="299" spans="1:63" hidden="1" outlineLevel="1">
      <c r="A299" s="9"/>
      <c r="B299" s="44"/>
      <c r="C299" s="128" t="str">
        <f>Asset16</f>
        <v>Communications (digital) - tx</v>
      </c>
      <c r="D299" s="9"/>
      <c r="E299" s="9"/>
      <c r="F299" s="139"/>
      <c r="G299" s="193"/>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19"/>
      <c r="BK299" s="219"/>
    </row>
    <row r="300" spans="1:63" hidden="1" outlineLevel="1">
      <c r="A300" s="9"/>
      <c r="B300" s="44"/>
      <c r="C300" s="152" t="s">
        <v>29</v>
      </c>
      <c r="D300" s="9"/>
      <c r="E300" s="9"/>
      <c r="F300" s="139"/>
      <c r="G300" s="193"/>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19"/>
      <c r="BK300" s="219"/>
    </row>
    <row r="301" spans="1:63" hidden="1" outlineLevel="1">
      <c r="A301" s="9"/>
      <c r="B301" s="44"/>
      <c r="C301" s="128" t="str">
        <f>Asset17</f>
        <v>System IT (tx)</v>
      </c>
      <c r="D301" s="9"/>
      <c r="E301" s="9"/>
      <c r="F301" s="139"/>
      <c r="G301" s="193"/>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19"/>
      <c r="BK301" s="219"/>
    </row>
    <row r="302" spans="1:63" hidden="1" outlineLevel="1">
      <c r="A302" s="9"/>
      <c r="B302" s="44"/>
      <c r="C302" s="152" t="s">
        <v>29</v>
      </c>
      <c r="D302" s="9"/>
      <c r="E302" s="9"/>
      <c r="F302" s="139"/>
      <c r="G302" s="193"/>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19"/>
      <c r="BK302" s="219"/>
    </row>
    <row r="303" spans="1:63" hidden="1" outlineLevel="1">
      <c r="A303" s="9"/>
      <c r="B303" s="44"/>
      <c r="C303" s="128" t="str">
        <f>Asset18</f>
        <v>IT systems</v>
      </c>
      <c r="D303" s="9"/>
      <c r="E303" s="9"/>
      <c r="F303" s="139"/>
      <c r="G303" s="193"/>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19"/>
      <c r="BK303" s="219"/>
    </row>
    <row r="304" spans="1:63" hidden="1" outlineLevel="1">
      <c r="A304" s="9"/>
      <c r="B304" s="44"/>
      <c r="C304" s="152" t="s">
        <v>29</v>
      </c>
      <c r="D304" s="9"/>
      <c r="E304" s="9"/>
      <c r="F304" s="139"/>
      <c r="G304" s="193"/>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19"/>
      <c r="BK304" s="219"/>
    </row>
    <row r="305" spans="1:63" hidden="1" outlineLevel="1">
      <c r="A305" s="9"/>
      <c r="B305" s="44"/>
      <c r="C305" s="128" t="str">
        <f>Asset19</f>
        <v>Furniture, fittings, plant and equipment</v>
      </c>
      <c r="D305" s="9"/>
      <c r="E305" s="9"/>
      <c r="F305" s="139"/>
      <c r="G305" s="193"/>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19"/>
      <c r="BK305" s="219"/>
    </row>
    <row r="306" spans="1:63" hidden="1" outlineLevel="1">
      <c r="A306" s="9"/>
      <c r="B306" s="44"/>
      <c r="C306" s="152" t="s">
        <v>29</v>
      </c>
      <c r="D306" s="9"/>
      <c r="E306" s="9"/>
      <c r="F306" s="139"/>
      <c r="G306" s="193"/>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26"/>
      <c r="AB306" s="226"/>
      <c r="AC306" s="226"/>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c r="BJ306" s="219"/>
      <c r="BK306" s="219"/>
    </row>
    <row r="307" spans="1:63" hidden="1" outlineLevel="1">
      <c r="A307" s="9"/>
      <c r="B307" s="44"/>
      <c r="C307" s="128" t="str">
        <f>Asset20</f>
        <v>Motor vehicles</v>
      </c>
      <c r="D307" s="9"/>
      <c r="E307" s="9"/>
      <c r="F307" s="139"/>
      <c r="G307" s="193"/>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19"/>
      <c r="BK307" s="219"/>
    </row>
    <row r="308" spans="1:63" hidden="1" outlineLevel="1">
      <c r="A308" s="9"/>
      <c r="B308" s="44"/>
      <c r="C308" s="152" t="s">
        <v>29</v>
      </c>
      <c r="D308" s="9"/>
      <c r="E308" s="9"/>
      <c r="F308" s="139"/>
      <c r="G308" s="193"/>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226"/>
      <c r="BH308" s="226"/>
      <c r="BI308" s="226"/>
      <c r="BJ308" s="219"/>
      <c r="BK308" s="219"/>
    </row>
    <row r="309" spans="1:63" hidden="1" outlineLevel="1">
      <c r="A309" s="9"/>
      <c r="B309" s="44"/>
      <c r="C309" s="128" t="str">
        <f>Asset21</f>
        <v>Buildings</v>
      </c>
      <c r="D309" s="9"/>
      <c r="E309" s="9"/>
      <c r="F309" s="139"/>
      <c r="G309" s="191"/>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19"/>
      <c r="BK309" s="219"/>
    </row>
    <row r="310" spans="1:63" hidden="1" outlineLevel="1">
      <c r="A310" s="9"/>
      <c r="B310" s="44"/>
      <c r="C310" s="152" t="s">
        <v>29</v>
      </c>
      <c r="D310" s="9"/>
      <c r="E310" s="9"/>
      <c r="F310" s="139"/>
      <c r="G310" s="191"/>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226"/>
      <c r="BH310" s="226"/>
      <c r="BI310" s="226"/>
      <c r="BJ310" s="219"/>
      <c r="BK310" s="219"/>
    </row>
    <row r="311" spans="1:63" hidden="1" outlineLevel="1">
      <c r="A311" s="9"/>
      <c r="B311" s="44"/>
      <c r="C311" s="128" t="str">
        <f>Asset22</f>
        <v>Land (non-system)</v>
      </c>
      <c r="D311" s="9"/>
      <c r="E311" s="9"/>
      <c r="F311" s="139"/>
      <c r="G311" s="191"/>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19"/>
      <c r="BK311" s="219"/>
    </row>
    <row r="312" spans="1:63" hidden="1" outlineLevel="1">
      <c r="A312" s="9"/>
      <c r="B312" s="44"/>
      <c r="C312" s="152" t="s">
        <v>29</v>
      </c>
      <c r="D312" s="9"/>
      <c r="E312" s="9"/>
      <c r="F312" s="139"/>
      <c r="G312" s="191"/>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226"/>
      <c r="BH312" s="226"/>
      <c r="BI312" s="226"/>
      <c r="BJ312" s="219"/>
      <c r="BK312" s="219"/>
    </row>
    <row r="313" spans="1:63" hidden="1" outlineLevel="1">
      <c r="A313" s="9"/>
      <c r="B313" s="44"/>
      <c r="C313" s="128" t="str">
        <f>Asset23</f>
        <v>Other non system assets</v>
      </c>
      <c r="D313" s="9"/>
      <c r="E313" s="9"/>
      <c r="F313" s="139"/>
      <c r="G313" s="191"/>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19"/>
      <c r="BK313" s="219"/>
    </row>
    <row r="314" spans="1:63" hidden="1" outlineLevel="1">
      <c r="A314" s="9"/>
      <c r="B314" s="44"/>
      <c r="C314" s="152" t="s">
        <v>29</v>
      </c>
      <c r="D314" s="9"/>
      <c r="E314" s="9"/>
      <c r="F314" s="139"/>
      <c r="G314" s="191"/>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226"/>
      <c r="BH314" s="226"/>
      <c r="BI314" s="226"/>
      <c r="BJ314" s="219"/>
      <c r="BK314" s="219"/>
    </row>
    <row r="315" spans="1:63" hidden="1" outlineLevel="1">
      <c r="A315" s="9"/>
      <c r="B315" s="44"/>
      <c r="C315" s="128" t="str">
        <f>Asset24</f>
        <v>Equity raising costs</v>
      </c>
      <c r="D315" s="9"/>
      <c r="E315" s="9"/>
      <c r="F315" s="139"/>
      <c r="G315" s="191"/>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19"/>
      <c r="BK315" s="219"/>
    </row>
    <row r="316" spans="1:63" hidden="1" outlineLevel="1">
      <c r="A316" s="9"/>
      <c r="B316" s="44"/>
      <c r="C316" s="152" t="s">
        <v>29</v>
      </c>
      <c r="D316" s="9"/>
      <c r="E316" s="9"/>
      <c r="F316" s="139"/>
      <c r="G316" s="191"/>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226"/>
      <c r="BH316" s="226"/>
      <c r="BI316" s="226"/>
      <c r="BJ316" s="219"/>
      <c r="BK316" s="219"/>
    </row>
    <row r="317" spans="1:63" hidden="1" outlineLevel="1">
      <c r="A317" s="9"/>
      <c r="B317" s="44"/>
      <c r="C317" s="128">
        <f>Asset25</f>
        <v>0</v>
      </c>
      <c r="D317" s="9"/>
      <c r="E317" s="9"/>
      <c r="F317" s="139"/>
      <c r="G317" s="191"/>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19"/>
      <c r="BK317" s="219"/>
    </row>
    <row r="318" spans="1:63" hidden="1" outlineLevel="1">
      <c r="A318" s="9"/>
      <c r="B318" s="44"/>
      <c r="C318" s="152" t="s">
        <v>29</v>
      </c>
      <c r="D318" s="9"/>
      <c r="E318" s="9"/>
      <c r="F318" s="139"/>
      <c r="G318" s="191"/>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19"/>
      <c r="BK318" s="219"/>
    </row>
    <row r="319" spans="1:63" hidden="1" outlineLevel="1">
      <c r="A319" s="9"/>
      <c r="B319" s="44"/>
      <c r="C319" s="128">
        <f>Asset26</f>
        <v>0</v>
      </c>
      <c r="D319" s="9"/>
      <c r="E319" s="9"/>
      <c r="F319" s="139"/>
      <c r="G319" s="191"/>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19"/>
      <c r="BK319" s="219"/>
    </row>
    <row r="320" spans="1:63" hidden="1" outlineLevel="1">
      <c r="A320" s="9"/>
      <c r="B320" s="44"/>
      <c r="C320" s="152" t="s">
        <v>29</v>
      </c>
      <c r="D320" s="9"/>
      <c r="E320" s="9"/>
      <c r="F320" s="139"/>
      <c r="G320" s="191"/>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19"/>
      <c r="BK320" s="219"/>
    </row>
    <row r="321" spans="1:63" hidden="1" outlineLevel="1">
      <c r="A321" s="9"/>
      <c r="B321" s="44"/>
      <c r="C321" s="128">
        <f>Asset27</f>
        <v>0</v>
      </c>
      <c r="D321" s="9"/>
      <c r="E321" s="9"/>
      <c r="F321" s="139"/>
      <c r="G321" s="191"/>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19"/>
      <c r="BK321" s="219"/>
    </row>
    <row r="322" spans="1:63" hidden="1" outlineLevel="1">
      <c r="A322" s="9"/>
      <c r="B322" s="44"/>
      <c r="C322" s="152" t="s">
        <v>29</v>
      </c>
      <c r="D322" s="9"/>
      <c r="E322" s="9"/>
      <c r="F322" s="139"/>
      <c r="G322" s="191"/>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226"/>
      <c r="BH322" s="226"/>
      <c r="BI322" s="226"/>
      <c r="BJ322" s="219"/>
      <c r="BK322" s="219"/>
    </row>
    <row r="323" spans="1:63" hidden="1" outlineLevel="1">
      <c r="A323" s="9"/>
      <c r="B323" s="44"/>
      <c r="C323" s="128">
        <f>Asset28</f>
        <v>0</v>
      </c>
      <c r="D323" s="9"/>
      <c r="E323" s="9"/>
      <c r="F323" s="139"/>
      <c r="G323" s="191"/>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19"/>
      <c r="BK323" s="219"/>
    </row>
    <row r="324" spans="1:63" hidden="1" outlineLevel="1">
      <c r="A324" s="9"/>
      <c r="B324" s="44"/>
      <c r="C324" s="152" t="s">
        <v>29</v>
      </c>
      <c r="D324" s="9"/>
      <c r="E324" s="9"/>
      <c r="F324" s="139"/>
      <c r="G324" s="191"/>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226"/>
      <c r="BH324" s="226"/>
      <c r="BI324" s="226"/>
      <c r="BJ324" s="219"/>
      <c r="BK324" s="219"/>
    </row>
    <row r="325" spans="1:63" hidden="1" outlineLevel="1">
      <c r="A325" s="9"/>
      <c r="B325" s="44"/>
      <c r="C325" s="128">
        <f>Asset29</f>
        <v>0</v>
      </c>
      <c r="D325" s="9"/>
      <c r="E325" s="9"/>
      <c r="F325" s="139"/>
      <c r="G325" s="191"/>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19"/>
      <c r="BK325" s="219"/>
    </row>
    <row r="326" spans="1:63" hidden="1" outlineLevel="1">
      <c r="A326" s="9"/>
      <c r="B326" s="44"/>
      <c r="C326" s="152" t="s">
        <v>29</v>
      </c>
      <c r="D326" s="9"/>
      <c r="E326" s="9"/>
      <c r="F326" s="139"/>
      <c r="G326" s="191"/>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26"/>
      <c r="AB326" s="226"/>
      <c r="AC326" s="226"/>
      <c r="AD326" s="226"/>
      <c r="AE326" s="226"/>
      <c r="AF326" s="226"/>
      <c r="AG326" s="226"/>
      <c r="AH326" s="226"/>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226"/>
      <c r="BH326" s="226"/>
      <c r="BI326" s="226"/>
      <c r="BJ326" s="219"/>
      <c r="BK326" s="219"/>
    </row>
    <row r="327" spans="1:63" hidden="1" outlineLevel="1">
      <c r="A327" s="9"/>
      <c r="B327" s="44"/>
      <c r="C327" s="128">
        <f>Asset30</f>
        <v>0</v>
      </c>
      <c r="D327" s="9"/>
      <c r="E327" s="9"/>
      <c r="F327" s="139"/>
      <c r="G327" s="191"/>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19"/>
      <c r="BK327" s="219"/>
    </row>
    <row r="328" spans="1:63" hidden="1" outlineLevel="1">
      <c r="A328" s="9"/>
      <c r="B328" s="44"/>
      <c r="C328" s="152" t="s">
        <v>29</v>
      </c>
      <c r="D328" s="9"/>
      <c r="E328" s="9"/>
      <c r="F328" s="139"/>
      <c r="G328" s="191"/>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26"/>
      <c r="AB328" s="226"/>
      <c r="AC328" s="226"/>
      <c r="AD328" s="226"/>
      <c r="AE328" s="226"/>
      <c r="AF328" s="226"/>
      <c r="AG328" s="226"/>
      <c r="AH328" s="226"/>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226"/>
      <c r="BH328" s="226"/>
      <c r="BI328" s="226"/>
      <c r="BJ328" s="219"/>
      <c r="BK328" s="219"/>
    </row>
    <row r="329" spans="1:63" collapsed="1">
      <c r="A329" s="9"/>
      <c r="B329" s="182" t="s">
        <v>44</v>
      </c>
      <c r="D329" s="9"/>
      <c r="E329" s="9"/>
      <c r="F329" s="139"/>
      <c r="G329" s="193"/>
      <c r="H329" s="115"/>
      <c r="I329" s="115"/>
      <c r="J329" s="115"/>
      <c r="K329" s="115"/>
      <c r="L329" s="115">
        <f>IF(M268=0, SUM($G268:L268), 0)</f>
        <v>0</v>
      </c>
      <c r="M329" s="115">
        <f>IF(N268=0, IF(M268=0, 0, SUM($G268:M268)), 0)</f>
        <v>0</v>
      </c>
      <c r="N329" s="115">
        <f>IF(O268=0, IF(N268=0, 0, SUM($G268:N268)), 0)</f>
        <v>0</v>
      </c>
      <c r="O329" s="115">
        <f>IF(P268=0, IF(O268=0, 0, SUM($G268:O268)), 0)</f>
        <v>0</v>
      </c>
      <c r="P329" s="115">
        <f>IF(Q268=0, IF(P268=0, 0, SUM($G268:P268)), 0)</f>
        <v>0</v>
      </c>
      <c r="Q329" s="115">
        <f>IF(R268=0, IF(Q268=0, 0, SUM($G268:Q268)), 0)</f>
        <v>0</v>
      </c>
      <c r="R329" s="99"/>
      <c r="S329" s="99"/>
      <c r="T329" s="99"/>
      <c r="U329" s="99"/>
      <c r="V329" s="99"/>
      <c r="W329" s="99"/>
      <c r="X329" s="99"/>
      <c r="Y329" s="99"/>
      <c r="Z329" s="99"/>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19"/>
      <c r="BK329" s="219"/>
    </row>
    <row r="330" spans="1:63">
      <c r="A330" s="9"/>
      <c r="B330" s="151"/>
      <c r="C330" s="25"/>
      <c r="D330" s="9"/>
      <c r="E330" s="9"/>
      <c r="F330" s="139"/>
      <c r="G330" s="115"/>
      <c r="H330" s="115"/>
      <c r="I330" s="115"/>
      <c r="J330" s="115"/>
      <c r="K330" s="115"/>
      <c r="L330" s="115"/>
      <c r="M330" s="9"/>
      <c r="N330" s="109"/>
      <c r="O330" s="150"/>
      <c r="P330" s="150"/>
      <c r="Q330" s="150"/>
      <c r="R330" s="99"/>
      <c r="S330" s="99"/>
      <c r="T330" s="99"/>
      <c r="U330" s="99"/>
      <c r="V330" s="99"/>
      <c r="W330" s="99"/>
      <c r="X330" s="99"/>
      <c r="Y330" s="99"/>
      <c r="Z330" s="99"/>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226"/>
      <c r="BH330" s="226"/>
      <c r="BI330" s="226"/>
      <c r="BJ330" s="219"/>
      <c r="BK330" s="219"/>
    </row>
    <row r="331" spans="1:63">
      <c r="A331" s="79"/>
      <c r="B331" s="79" t="s">
        <v>81</v>
      </c>
      <c r="C331" s="107"/>
      <c r="D331" s="107"/>
      <c r="E331" s="107"/>
      <c r="F331" s="107"/>
      <c r="G331" s="107"/>
      <c r="H331" s="107"/>
      <c r="I331" s="107"/>
      <c r="J331" s="107"/>
      <c r="K331" s="107"/>
      <c r="L331" s="107"/>
      <c r="M331" s="107"/>
      <c r="N331" s="107"/>
      <c r="O331" s="107"/>
      <c r="P331" s="107"/>
      <c r="Q331" s="107"/>
      <c r="R331" s="107"/>
      <c r="S331" s="99"/>
      <c r="T331" s="105"/>
      <c r="U331" s="105"/>
      <c r="V331" s="105"/>
      <c r="W331" s="105"/>
      <c r="X331" s="105"/>
      <c r="Y331" s="105"/>
      <c r="Z331" s="105"/>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9"/>
      <c r="BK331" s="219"/>
    </row>
    <row r="332" spans="1:63">
      <c r="A332" s="16"/>
      <c r="B332" s="16"/>
      <c r="C332" s="121"/>
      <c r="D332" s="121"/>
      <c r="E332" s="121"/>
      <c r="F332" s="121"/>
      <c r="G332" s="121"/>
      <c r="H332" s="109"/>
      <c r="I332" s="109"/>
      <c r="J332" s="109"/>
      <c r="K332" s="109"/>
      <c r="L332" s="109"/>
      <c r="M332" s="109"/>
      <c r="N332" s="109"/>
      <c r="O332" s="105"/>
      <c r="P332" s="105"/>
      <c r="Q332" s="105"/>
      <c r="R332" s="105"/>
      <c r="S332" s="99"/>
      <c r="T332" s="105"/>
      <c r="U332" s="105"/>
      <c r="V332" s="105"/>
      <c r="W332" s="105"/>
      <c r="X332" s="105"/>
      <c r="Y332" s="105"/>
      <c r="Z332" s="105"/>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9"/>
      <c r="BK332" s="219"/>
    </row>
    <row r="333" spans="1:63">
      <c r="A333" s="9"/>
      <c r="B333" s="44" t="s">
        <v>46</v>
      </c>
      <c r="C333" s="9"/>
      <c r="D333" s="9"/>
      <c r="E333" s="9"/>
      <c r="F333" s="9"/>
      <c r="G333" s="190">
        <f>SUM(G334:G363)</f>
        <v>876.96965593969333</v>
      </c>
      <c r="H333" s="138">
        <f>SUM(H334:H363)</f>
        <v>1028.4729232970931</v>
      </c>
      <c r="I333" s="109"/>
      <c r="J333" s="109"/>
      <c r="K333" s="109"/>
      <c r="L333" s="109"/>
      <c r="M333" s="109"/>
      <c r="N333" s="109"/>
      <c r="O333" s="105"/>
      <c r="P333" s="105"/>
      <c r="Q333" s="105"/>
      <c r="R333" s="105"/>
      <c r="S333" s="99"/>
      <c r="T333" s="105"/>
      <c r="U333" s="105"/>
      <c r="V333" s="105"/>
      <c r="W333" s="105"/>
      <c r="X333" s="105"/>
      <c r="Y333" s="105"/>
      <c r="Z333" s="105"/>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9"/>
      <c r="BK333" s="219"/>
    </row>
    <row r="334" spans="1:63" ht="12.75" customHeight="1" outlineLevel="1">
      <c r="A334" s="9"/>
      <c r="B334" s="9"/>
      <c r="C334" s="128" t="str">
        <f>Asset1</f>
        <v>Transmission &amp; Zone land &amp; easements</v>
      </c>
      <c r="D334" s="9"/>
      <c r="E334" s="9"/>
      <c r="F334" s="9"/>
      <c r="G334" s="191">
        <f>Input!J7</f>
        <v>274.67802212915171</v>
      </c>
      <c r="H334" s="109">
        <f t="shared" ref="H334:H363" si="6">G334+G366+G398+G430+G462+G494</f>
        <v>332.15104413489365</v>
      </c>
      <c r="I334" s="109"/>
      <c r="J334" s="109"/>
      <c r="K334" s="109"/>
      <c r="L334" s="109"/>
      <c r="M334" s="109"/>
      <c r="N334" s="109"/>
      <c r="O334" s="105"/>
      <c r="P334" s="105"/>
      <c r="Q334" s="105"/>
      <c r="R334" s="105"/>
      <c r="S334" s="99"/>
      <c r="T334" s="105"/>
      <c r="U334" s="105"/>
      <c r="V334" s="105"/>
      <c r="W334" s="105"/>
      <c r="X334" s="105"/>
      <c r="Y334" s="105"/>
      <c r="Z334" s="105"/>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9"/>
      <c r="BK334" s="219"/>
    </row>
    <row r="335" spans="1:63" ht="12.75" customHeight="1" outlineLevel="1">
      <c r="A335" s="9"/>
      <c r="B335" s="44"/>
      <c r="C335" s="128" t="str">
        <f>Asset2</f>
        <v>Transmission buildings 132/66kV</v>
      </c>
      <c r="D335" s="9"/>
      <c r="E335" s="9"/>
      <c r="F335" s="139"/>
      <c r="G335" s="191">
        <f>Input!J8</f>
        <v>25.232324415022465</v>
      </c>
      <c r="H335" s="109">
        <f t="shared" si="6"/>
        <v>39.756174151289621</v>
      </c>
      <c r="I335" s="109"/>
      <c r="J335" s="109"/>
      <c r="K335" s="109"/>
      <c r="L335" s="109"/>
      <c r="M335" s="109"/>
      <c r="N335" s="109"/>
      <c r="O335" s="105"/>
      <c r="P335" s="105"/>
      <c r="Q335" s="105"/>
      <c r="R335" s="105"/>
      <c r="S335" s="99"/>
      <c r="T335" s="105"/>
      <c r="U335" s="105"/>
      <c r="V335" s="105"/>
      <c r="W335" s="105"/>
      <c r="X335" s="105"/>
      <c r="Y335" s="105"/>
      <c r="Z335" s="105"/>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9"/>
      <c r="BK335" s="219"/>
    </row>
    <row r="336" spans="1:63" ht="12.75" customHeight="1" outlineLevel="1">
      <c r="A336" s="9"/>
      <c r="B336" s="44"/>
      <c r="C336" s="128" t="str">
        <f>Asset3</f>
        <v>Zone buildings 132/66kV</v>
      </c>
      <c r="D336" s="9"/>
      <c r="E336" s="9"/>
      <c r="F336" s="139"/>
      <c r="G336" s="191">
        <f>Input!J9</f>
        <v>57.644270750185285</v>
      </c>
      <c r="H336" s="109">
        <f t="shared" si="6"/>
        <v>57.805601222983462</v>
      </c>
      <c r="I336" s="109"/>
      <c r="J336" s="109"/>
      <c r="K336" s="109"/>
      <c r="L336" s="109"/>
      <c r="M336" s="109"/>
      <c r="N336" s="109"/>
      <c r="O336" s="105"/>
      <c r="P336" s="105"/>
      <c r="Q336" s="105"/>
      <c r="R336" s="105"/>
      <c r="S336" s="99"/>
      <c r="T336" s="105"/>
      <c r="U336" s="105"/>
      <c r="V336" s="105"/>
      <c r="W336" s="105"/>
      <c r="X336" s="105"/>
      <c r="Y336" s="105"/>
      <c r="Z336" s="105"/>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9"/>
      <c r="BK336" s="219"/>
    </row>
    <row r="337" spans="1:63" ht="12.75" customHeight="1" outlineLevel="1">
      <c r="A337" s="9"/>
      <c r="B337" s="44"/>
      <c r="C337" s="128" t="str">
        <f>Asset4</f>
        <v>Transmission transformers 132/66kV</v>
      </c>
      <c r="D337" s="9"/>
      <c r="E337" s="9"/>
      <c r="F337" s="139"/>
      <c r="G337" s="191">
        <f>Input!J10</f>
        <v>20.605069136113649</v>
      </c>
      <c r="H337" s="109">
        <f t="shared" si="6"/>
        <v>22.737242402904922</v>
      </c>
      <c r="I337" s="109"/>
      <c r="J337" s="109"/>
      <c r="K337" s="109"/>
      <c r="L337" s="109"/>
      <c r="M337" s="109"/>
      <c r="N337" s="109"/>
      <c r="O337" s="105"/>
      <c r="P337" s="105"/>
      <c r="Q337" s="105"/>
      <c r="R337" s="105"/>
      <c r="S337" s="99"/>
      <c r="T337" s="105"/>
      <c r="U337" s="105"/>
      <c r="V337" s="105"/>
      <c r="W337" s="105"/>
      <c r="X337" s="105"/>
      <c r="Y337" s="105"/>
      <c r="Z337" s="105"/>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9"/>
      <c r="BK337" s="219"/>
    </row>
    <row r="338" spans="1:63" ht="12.75" customHeight="1" outlineLevel="1">
      <c r="A338" s="9"/>
      <c r="B338" s="44"/>
      <c r="C338" s="128" t="str">
        <f>Asset5</f>
        <v>Zone transformers 132/66kV</v>
      </c>
      <c r="D338" s="9"/>
      <c r="E338" s="9"/>
      <c r="F338" s="139"/>
      <c r="G338" s="191">
        <f>Input!J11</f>
        <v>20.429674712181942</v>
      </c>
      <c r="H338" s="109">
        <f t="shared" si="6"/>
        <v>20.71135255837477</v>
      </c>
      <c r="I338" s="109"/>
      <c r="J338" s="109"/>
      <c r="K338" s="109"/>
      <c r="L338" s="109"/>
      <c r="M338" s="109"/>
      <c r="N338" s="109"/>
      <c r="O338" s="105"/>
      <c r="P338" s="105"/>
      <c r="Q338" s="105"/>
      <c r="R338" s="105"/>
      <c r="S338" s="99"/>
      <c r="T338" s="105"/>
      <c r="U338" s="105"/>
      <c r="V338" s="105"/>
      <c r="W338" s="105"/>
      <c r="X338" s="105"/>
      <c r="Y338" s="105"/>
      <c r="Z338" s="105"/>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9"/>
      <c r="BK338" s="219"/>
    </row>
    <row r="339" spans="1:63" ht="12.75" customHeight="1" outlineLevel="1">
      <c r="A339" s="9"/>
      <c r="B339" s="44"/>
      <c r="C339" s="128" t="str">
        <f>Asset6</f>
        <v>Transmission substation equip 132/66kV</v>
      </c>
      <c r="D339" s="9"/>
      <c r="E339" s="9"/>
      <c r="F339" s="139"/>
      <c r="G339" s="191">
        <f>Input!J12</f>
        <v>87.787549352319516</v>
      </c>
      <c r="H339" s="109">
        <f t="shared" si="6"/>
        <v>99.189836770526512</v>
      </c>
      <c r="I339" s="109"/>
      <c r="J339" s="109"/>
      <c r="K339" s="109"/>
      <c r="L339" s="109"/>
      <c r="M339" s="109"/>
      <c r="N339" s="109"/>
      <c r="O339" s="105"/>
      <c r="P339" s="105"/>
      <c r="Q339" s="105"/>
      <c r="R339" s="105"/>
      <c r="S339" s="99"/>
      <c r="T339" s="105"/>
      <c r="U339" s="105"/>
      <c r="V339" s="105"/>
      <c r="W339" s="105"/>
      <c r="X339" s="105"/>
      <c r="Y339" s="105"/>
      <c r="Z339" s="105"/>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9"/>
      <c r="BK339" s="219"/>
    </row>
    <row r="340" spans="1:63" ht="12.75" customHeight="1" outlineLevel="1">
      <c r="A340" s="9"/>
      <c r="B340" s="44"/>
      <c r="C340" s="128" t="str">
        <f>Asset7</f>
        <v>Zone substation equip 132/66kV</v>
      </c>
      <c r="D340" s="9"/>
      <c r="E340" s="9"/>
      <c r="F340" s="139"/>
      <c r="G340" s="191">
        <f>Input!J13</f>
        <v>113.14708349005643</v>
      </c>
      <c r="H340" s="109">
        <f t="shared" si="6"/>
        <v>119.55875234484482</v>
      </c>
      <c r="I340" s="109"/>
      <c r="J340" s="109"/>
      <c r="K340" s="109"/>
      <c r="L340" s="109"/>
      <c r="M340" s="109"/>
      <c r="N340" s="109"/>
      <c r="O340" s="105"/>
      <c r="P340" s="105"/>
      <c r="Q340" s="105"/>
      <c r="R340" s="105"/>
      <c r="S340" s="99"/>
      <c r="T340" s="105"/>
      <c r="U340" s="105"/>
      <c r="V340" s="105"/>
      <c r="W340" s="105"/>
      <c r="X340" s="105"/>
      <c r="Y340" s="105"/>
      <c r="Z340" s="105"/>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9"/>
      <c r="BK340" s="219"/>
    </row>
    <row r="341" spans="1:63" ht="12.75" customHeight="1" outlineLevel="1">
      <c r="A341" s="9"/>
      <c r="B341" s="44"/>
      <c r="C341" s="128" t="str">
        <f>Asset8</f>
        <v>Transmission &amp; Zone emergency spares</v>
      </c>
      <c r="D341" s="9"/>
      <c r="E341" s="9"/>
      <c r="F341" s="139"/>
      <c r="G341" s="191">
        <f>Input!J14</f>
        <v>2.1165569581876809</v>
      </c>
      <c r="H341" s="109">
        <f t="shared" si="6"/>
        <v>2.1161575869336744</v>
      </c>
      <c r="I341" s="109"/>
      <c r="J341" s="109"/>
      <c r="K341" s="109"/>
      <c r="L341" s="109"/>
      <c r="M341" s="109"/>
      <c r="N341" s="109"/>
      <c r="O341" s="105"/>
      <c r="P341" s="105"/>
      <c r="Q341" s="105"/>
      <c r="R341" s="105"/>
      <c r="S341" s="99"/>
      <c r="T341" s="105"/>
      <c r="U341" s="105"/>
      <c r="V341" s="105"/>
      <c r="W341" s="105"/>
      <c r="X341" s="105"/>
      <c r="Y341" s="105"/>
      <c r="Z341" s="105"/>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9"/>
      <c r="BK341" s="219"/>
    </row>
    <row r="342" spans="1:63" ht="12.75" customHeight="1" outlineLevel="1">
      <c r="A342" s="9"/>
      <c r="B342" s="44"/>
      <c r="C342" s="128" t="str">
        <f>Asset9</f>
        <v>Ancillary substation equipment (tx)</v>
      </c>
      <c r="D342" s="9"/>
      <c r="E342" s="9"/>
      <c r="F342" s="139"/>
      <c r="G342" s="191">
        <f>Input!J15</f>
        <v>0</v>
      </c>
      <c r="H342" s="109">
        <f t="shared" si="6"/>
        <v>0</v>
      </c>
      <c r="I342" s="109"/>
      <c r="J342" s="109"/>
      <c r="K342" s="109"/>
      <c r="L342" s="109"/>
      <c r="M342" s="109"/>
      <c r="N342" s="109"/>
      <c r="O342" s="105"/>
      <c r="P342" s="105"/>
      <c r="Q342" s="105"/>
      <c r="R342" s="105"/>
      <c r="S342" s="99"/>
      <c r="T342" s="105"/>
      <c r="U342" s="105"/>
      <c r="V342" s="105"/>
      <c r="W342" s="105"/>
      <c r="X342" s="105"/>
      <c r="Y342" s="105"/>
      <c r="Z342" s="105"/>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9"/>
      <c r="BK342" s="219"/>
    </row>
    <row r="343" spans="1:63" ht="12.75" customHeight="1" outlineLevel="1">
      <c r="A343" s="9"/>
      <c r="B343" s="44"/>
      <c r="C343" s="128" t="str">
        <f>Asset10</f>
        <v>132kV tower lines</v>
      </c>
      <c r="D343" s="9"/>
      <c r="E343" s="9"/>
      <c r="F343" s="139"/>
      <c r="G343" s="191">
        <f>Input!J16</f>
        <v>16.165889623498565</v>
      </c>
      <c r="H343" s="109">
        <f t="shared" si="6"/>
        <v>15.783904930253815</v>
      </c>
      <c r="I343" s="109"/>
      <c r="J343" s="109"/>
      <c r="K343" s="109"/>
      <c r="L343" s="109"/>
      <c r="M343" s="109"/>
      <c r="N343" s="109"/>
      <c r="O343" s="105"/>
      <c r="P343" s="105"/>
      <c r="Q343" s="105"/>
      <c r="R343" s="105"/>
      <c r="S343" s="99"/>
      <c r="T343" s="105"/>
      <c r="U343" s="105"/>
      <c r="V343" s="105"/>
      <c r="W343" s="105"/>
      <c r="X343" s="105"/>
      <c r="Y343" s="105"/>
      <c r="Z343" s="105"/>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9"/>
      <c r="BK343" s="219"/>
    </row>
    <row r="344" spans="1:63" ht="12.75" customHeight="1" outlineLevel="1">
      <c r="A344" s="9"/>
      <c r="B344" s="44"/>
      <c r="C344" s="128" t="str">
        <f>Asset11</f>
        <v>132kV concrete &amp; steel pole lines</v>
      </c>
      <c r="D344" s="9"/>
      <c r="E344" s="9"/>
      <c r="F344" s="139"/>
      <c r="G344" s="191">
        <f>Input!J17</f>
        <v>10.46856795269731</v>
      </c>
      <c r="H344" s="109">
        <f t="shared" si="6"/>
        <v>10.998490886977528</v>
      </c>
      <c r="I344" s="109"/>
      <c r="J344" s="109"/>
      <c r="K344" s="109"/>
      <c r="L344" s="109"/>
      <c r="M344" s="109"/>
      <c r="N344" s="109"/>
      <c r="O344" s="105"/>
      <c r="P344" s="105"/>
      <c r="Q344" s="105"/>
      <c r="R344" s="105"/>
      <c r="S344" s="99"/>
      <c r="T344" s="105"/>
      <c r="U344" s="105"/>
      <c r="V344" s="105"/>
      <c r="W344" s="105"/>
      <c r="X344" s="105"/>
      <c r="Y344" s="105"/>
      <c r="Z344" s="105"/>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9"/>
      <c r="BK344" s="219"/>
    </row>
    <row r="345" spans="1:63" ht="12.75" customHeight="1" outlineLevel="1">
      <c r="A345" s="9"/>
      <c r="B345" s="44"/>
      <c r="C345" s="128" t="str">
        <f>Asset12</f>
        <v>132kV wood pole lines</v>
      </c>
      <c r="D345" s="9"/>
      <c r="E345" s="9"/>
      <c r="F345" s="139"/>
      <c r="G345" s="191">
        <f>Input!J18</f>
        <v>24.007811967899354</v>
      </c>
      <c r="H345" s="109">
        <f t="shared" si="6"/>
        <v>23.622403565614938</v>
      </c>
      <c r="I345" s="109"/>
      <c r="J345" s="109"/>
      <c r="K345" s="109"/>
      <c r="L345" s="109"/>
      <c r="M345" s="109"/>
      <c r="N345" s="109"/>
      <c r="O345" s="105"/>
      <c r="P345" s="105"/>
      <c r="Q345" s="105"/>
      <c r="R345" s="105"/>
      <c r="S345" s="99"/>
      <c r="T345" s="105"/>
      <c r="U345" s="105"/>
      <c r="V345" s="105"/>
      <c r="W345" s="105"/>
      <c r="X345" s="105"/>
      <c r="Y345" s="105"/>
      <c r="Z345" s="105"/>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9"/>
      <c r="BK345" s="219"/>
    </row>
    <row r="346" spans="1:63" ht="12.75" customHeight="1" outlineLevel="1">
      <c r="A346" s="9"/>
      <c r="B346" s="44"/>
      <c r="C346" s="128" t="str">
        <f>Asset13</f>
        <v>132kV feeders underground</v>
      </c>
      <c r="D346" s="9"/>
      <c r="E346" s="9"/>
      <c r="F346" s="139"/>
      <c r="G346" s="191">
        <f>Input!J19</f>
        <v>134.85935197535869</v>
      </c>
      <c r="H346" s="109">
        <f t="shared" si="6"/>
        <v>178.46355791015472</v>
      </c>
      <c r="I346" s="109"/>
      <c r="J346" s="109"/>
      <c r="K346" s="109"/>
      <c r="L346" s="109"/>
      <c r="M346" s="109"/>
      <c r="N346" s="109"/>
      <c r="O346" s="105"/>
      <c r="P346" s="105"/>
      <c r="Q346" s="105"/>
      <c r="R346" s="105"/>
      <c r="S346" s="99"/>
      <c r="T346" s="105"/>
      <c r="U346" s="105"/>
      <c r="V346" s="105"/>
      <c r="W346" s="105"/>
      <c r="X346" s="105"/>
      <c r="Y346" s="105"/>
      <c r="Z346" s="105"/>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9"/>
      <c r="BK346" s="219"/>
    </row>
    <row r="347" spans="1:63" ht="12.75" customHeight="1" outlineLevel="1">
      <c r="A347" s="9"/>
      <c r="B347" s="44"/>
      <c r="C347" s="128" t="str">
        <f>Asset14</f>
        <v>Cable tunnel (tx)</v>
      </c>
      <c r="D347" s="9"/>
      <c r="E347" s="9"/>
      <c r="F347" s="139"/>
      <c r="G347" s="191">
        <f>Input!J20</f>
        <v>10.711449207362918</v>
      </c>
      <c r="H347" s="109">
        <f t="shared" si="6"/>
        <v>10.809156600988063</v>
      </c>
      <c r="I347" s="109"/>
      <c r="J347" s="109"/>
      <c r="K347" s="109"/>
      <c r="L347" s="109"/>
      <c r="M347" s="109"/>
      <c r="N347" s="109"/>
      <c r="O347" s="105"/>
      <c r="P347" s="105"/>
      <c r="Q347" s="105"/>
      <c r="R347" s="105"/>
      <c r="S347" s="99"/>
      <c r="T347" s="105"/>
      <c r="U347" s="105"/>
      <c r="V347" s="105"/>
      <c r="W347" s="105"/>
      <c r="X347" s="105"/>
      <c r="Y347" s="105"/>
      <c r="Z347" s="105"/>
      <c r="AA347" s="213"/>
      <c r="AB347" s="213"/>
      <c r="AC347" s="213"/>
      <c r="AD347" s="213"/>
      <c r="AE347" s="213"/>
      <c r="AF347" s="213"/>
      <c r="AG347" s="213"/>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c r="BI347" s="213"/>
      <c r="BJ347" s="219"/>
      <c r="BK347" s="219"/>
    </row>
    <row r="348" spans="1:63" ht="12.75" customHeight="1" outlineLevel="1">
      <c r="A348" s="9"/>
      <c r="B348" s="44"/>
      <c r="C348" s="128" t="str">
        <f>Asset15</f>
        <v>Network control &amp; com systems</v>
      </c>
      <c r="D348" s="9"/>
      <c r="E348" s="9"/>
      <c r="F348" s="139"/>
      <c r="G348" s="191">
        <f>Input!J21</f>
        <v>22.827986828751065</v>
      </c>
      <c r="H348" s="109">
        <f t="shared" si="6"/>
        <v>22.03100338356256</v>
      </c>
      <c r="I348" s="109"/>
      <c r="J348" s="109"/>
      <c r="K348" s="109"/>
      <c r="L348" s="109"/>
      <c r="M348" s="109"/>
      <c r="N348" s="109"/>
      <c r="O348" s="105"/>
      <c r="P348" s="105"/>
      <c r="Q348" s="105"/>
      <c r="R348" s="105"/>
      <c r="S348" s="99"/>
      <c r="T348" s="105"/>
      <c r="U348" s="105"/>
      <c r="V348" s="105"/>
      <c r="W348" s="105"/>
      <c r="X348" s="105"/>
      <c r="Y348" s="105"/>
      <c r="Z348" s="105"/>
      <c r="AA348" s="213"/>
      <c r="AB348" s="213"/>
      <c r="AC348" s="213"/>
      <c r="AD348" s="213"/>
      <c r="AE348" s="213"/>
      <c r="AF348" s="213"/>
      <c r="AG348" s="213"/>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c r="BI348" s="213"/>
      <c r="BJ348" s="219"/>
      <c r="BK348" s="219"/>
    </row>
    <row r="349" spans="1:63" ht="12.75" customHeight="1" outlineLevel="1">
      <c r="A349" s="9"/>
      <c r="B349" s="44"/>
      <c r="C349" s="128" t="str">
        <f>Asset16</f>
        <v>Communications (digital) - tx</v>
      </c>
      <c r="D349" s="9"/>
      <c r="E349" s="9"/>
      <c r="F349" s="139"/>
      <c r="G349" s="191">
        <f>Input!J22</f>
        <v>0</v>
      </c>
      <c r="H349" s="109">
        <f t="shared" si="6"/>
        <v>0</v>
      </c>
      <c r="I349" s="109"/>
      <c r="J349" s="109"/>
      <c r="K349" s="109"/>
      <c r="L349" s="109"/>
      <c r="M349" s="109"/>
      <c r="N349" s="109"/>
      <c r="O349" s="105"/>
      <c r="P349" s="105"/>
      <c r="Q349" s="105"/>
      <c r="R349" s="105"/>
      <c r="S349" s="99"/>
      <c r="T349" s="105"/>
      <c r="U349" s="105"/>
      <c r="V349" s="105"/>
      <c r="W349" s="105"/>
      <c r="X349" s="105"/>
      <c r="Y349" s="105"/>
      <c r="Z349" s="105"/>
      <c r="AA349" s="213"/>
      <c r="AB349" s="213"/>
      <c r="AC349" s="213"/>
      <c r="AD349" s="213"/>
      <c r="AE349" s="213"/>
      <c r="AF349" s="213"/>
      <c r="AG349" s="213"/>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9"/>
      <c r="BK349" s="219"/>
    </row>
    <row r="350" spans="1:63" ht="12.75" customHeight="1" outlineLevel="1">
      <c r="A350" s="9"/>
      <c r="B350" s="44"/>
      <c r="C350" s="128" t="str">
        <f>Asset17</f>
        <v>System IT (tx)</v>
      </c>
      <c r="D350" s="9"/>
      <c r="E350" s="9"/>
      <c r="F350" s="139"/>
      <c r="G350" s="191">
        <f>Input!J23</f>
        <v>0</v>
      </c>
      <c r="H350" s="109">
        <f t="shared" si="6"/>
        <v>0</v>
      </c>
      <c r="I350" s="109"/>
      <c r="J350" s="109"/>
      <c r="K350" s="109"/>
      <c r="L350" s="109"/>
      <c r="M350" s="109"/>
      <c r="N350" s="109"/>
      <c r="O350" s="105"/>
      <c r="P350" s="105"/>
      <c r="Q350" s="105"/>
      <c r="R350" s="105"/>
      <c r="S350" s="99"/>
      <c r="T350" s="105"/>
      <c r="U350" s="105"/>
      <c r="V350" s="105"/>
      <c r="W350" s="105"/>
      <c r="X350" s="105"/>
      <c r="Y350" s="105"/>
      <c r="Z350" s="105"/>
      <c r="AA350" s="213"/>
      <c r="AB350" s="213"/>
      <c r="AC350" s="213"/>
      <c r="AD350" s="213"/>
      <c r="AE350" s="213"/>
      <c r="AF350" s="213"/>
      <c r="AG350" s="213"/>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c r="BI350" s="213"/>
      <c r="BJ350" s="219"/>
      <c r="BK350" s="219"/>
    </row>
    <row r="351" spans="1:63" ht="12.75" customHeight="1" outlineLevel="1">
      <c r="A351" s="9"/>
      <c r="B351" s="44"/>
      <c r="C351" s="128" t="str">
        <f>Asset18</f>
        <v>IT systems</v>
      </c>
      <c r="D351" s="9"/>
      <c r="E351" s="9"/>
      <c r="F351" s="139"/>
      <c r="G351" s="191">
        <f>Input!J24</f>
        <v>12.911219228158838</v>
      </c>
      <c r="H351" s="109">
        <f t="shared" si="6"/>
        <v>16.684526612409858</v>
      </c>
      <c r="I351" s="109"/>
      <c r="J351" s="109"/>
      <c r="K351" s="109"/>
      <c r="L351" s="109"/>
      <c r="M351" s="109"/>
      <c r="N351" s="109"/>
      <c r="O351" s="105"/>
      <c r="P351" s="105"/>
      <c r="Q351" s="105"/>
      <c r="R351" s="105"/>
      <c r="S351" s="99"/>
      <c r="T351" s="105"/>
      <c r="U351" s="105"/>
      <c r="V351" s="105"/>
      <c r="W351" s="105"/>
      <c r="X351" s="105"/>
      <c r="Y351" s="105"/>
      <c r="Z351" s="105"/>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c r="BI351" s="213"/>
      <c r="BJ351" s="219"/>
      <c r="BK351" s="219"/>
    </row>
    <row r="352" spans="1:63" ht="12.75" customHeight="1" outlineLevel="1">
      <c r="A352" s="9"/>
      <c r="B352" s="44"/>
      <c r="C352" s="128" t="str">
        <f>Asset19</f>
        <v>Furniture, fittings, plant and equipment</v>
      </c>
      <c r="D352" s="9"/>
      <c r="E352" s="9"/>
      <c r="F352" s="139"/>
      <c r="G352" s="191">
        <f>Input!J25</f>
        <v>3.0430407121232892</v>
      </c>
      <c r="H352" s="109">
        <f t="shared" si="6"/>
        <v>3.9323702004328678</v>
      </c>
      <c r="I352" s="119"/>
      <c r="J352" s="119"/>
      <c r="K352" s="119"/>
      <c r="L352" s="119"/>
      <c r="M352" s="105"/>
      <c r="N352" s="105"/>
      <c r="O352" s="105"/>
      <c r="P352" s="105"/>
      <c r="Q352" s="105"/>
      <c r="R352" s="105"/>
      <c r="S352" s="99"/>
      <c r="T352" s="105"/>
      <c r="U352" s="105"/>
      <c r="V352" s="105"/>
      <c r="W352" s="105"/>
      <c r="X352" s="105"/>
      <c r="Y352" s="105"/>
      <c r="Z352" s="105"/>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c r="BI352" s="213"/>
      <c r="BJ352" s="219"/>
      <c r="BK352" s="219"/>
    </row>
    <row r="353" spans="1:63" ht="12.75" customHeight="1" outlineLevel="1">
      <c r="A353" s="9"/>
      <c r="B353" s="44"/>
      <c r="C353" s="128" t="str">
        <f>Asset20</f>
        <v>Motor vehicles</v>
      </c>
      <c r="D353" s="9"/>
      <c r="E353" s="9"/>
      <c r="F353" s="139"/>
      <c r="G353" s="191">
        <f>Input!J26</f>
        <v>9.9306139183716944</v>
      </c>
      <c r="H353" s="109">
        <f t="shared" si="6"/>
        <v>12.832838577884454</v>
      </c>
      <c r="I353" s="119"/>
      <c r="J353" s="119"/>
      <c r="K353" s="119"/>
      <c r="L353" s="119"/>
      <c r="M353" s="105"/>
      <c r="N353" s="105"/>
      <c r="O353" s="105"/>
      <c r="P353" s="105"/>
      <c r="Q353" s="105"/>
      <c r="R353" s="105"/>
      <c r="S353" s="99"/>
      <c r="T353" s="105"/>
      <c r="U353" s="105"/>
      <c r="V353" s="105"/>
      <c r="W353" s="105"/>
      <c r="X353" s="105"/>
      <c r="Y353" s="105"/>
      <c r="Z353" s="105"/>
      <c r="AA353" s="213"/>
      <c r="AB353" s="213"/>
      <c r="AC353" s="213"/>
      <c r="AD353" s="213"/>
      <c r="AE353" s="213"/>
      <c r="AF353" s="213"/>
      <c r="AG353" s="213"/>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c r="BI353" s="213"/>
      <c r="BJ353" s="219"/>
      <c r="BK353" s="219"/>
    </row>
    <row r="354" spans="1:63" ht="12.75" customHeight="1" outlineLevel="1">
      <c r="A354" s="9"/>
      <c r="B354" s="44"/>
      <c r="C354" s="128" t="str">
        <f>Asset21</f>
        <v>Buildings</v>
      </c>
      <c r="D354" s="9"/>
      <c r="E354" s="9"/>
      <c r="F354" s="139"/>
      <c r="G354" s="191">
        <f>Input!J27</f>
        <v>13.556619049020277</v>
      </c>
      <c r="H354" s="109">
        <f t="shared" si="6"/>
        <v>17.518544709114643</v>
      </c>
      <c r="I354" s="119"/>
      <c r="J354" s="119"/>
      <c r="K354" s="119"/>
      <c r="L354" s="119"/>
      <c r="M354" s="105"/>
      <c r="N354" s="105"/>
      <c r="O354" s="105"/>
      <c r="P354" s="105"/>
      <c r="Q354" s="105"/>
      <c r="R354" s="105"/>
      <c r="S354" s="99"/>
      <c r="T354" s="105"/>
      <c r="U354" s="105"/>
      <c r="V354" s="105"/>
      <c r="W354" s="105"/>
      <c r="X354" s="105"/>
      <c r="Y354" s="105"/>
      <c r="Z354" s="105"/>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9"/>
      <c r="BK354" s="219"/>
    </row>
    <row r="355" spans="1:63" ht="12.75" customHeight="1" outlineLevel="1">
      <c r="A355" s="9"/>
      <c r="B355" s="44"/>
      <c r="C355" s="128" t="str">
        <f>Asset22</f>
        <v>Land (non-system)</v>
      </c>
      <c r="D355" s="9"/>
      <c r="E355" s="9"/>
      <c r="F355" s="139"/>
      <c r="G355" s="191">
        <f>Input!J28</f>
        <v>5.1286823682198373</v>
      </c>
      <c r="H355" s="109">
        <f t="shared" si="6"/>
        <v>6.6275412063747812</v>
      </c>
      <c r="I355" s="119"/>
      <c r="J355" s="119"/>
      <c r="K355" s="119"/>
      <c r="L355" s="119"/>
      <c r="M355" s="105"/>
      <c r="N355" s="105"/>
      <c r="O355" s="105"/>
      <c r="P355" s="105"/>
      <c r="Q355" s="105"/>
      <c r="R355" s="105"/>
      <c r="S355" s="99"/>
      <c r="T355" s="105"/>
      <c r="U355" s="105"/>
      <c r="V355" s="105"/>
      <c r="W355" s="105"/>
      <c r="X355" s="105"/>
      <c r="Y355" s="105"/>
      <c r="Z355" s="105"/>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9"/>
      <c r="BK355" s="219"/>
    </row>
    <row r="356" spans="1:63" ht="12.75" customHeight="1" outlineLevel="1">
      <c r="A356" s="9"/>
      <c r="B356" s="44"/>
      <c r="C356" s="128" t="str">
        <f>Asset23</f>
        <v>Other non system assets</v>
      </c>
      <c r="D356" s="9"/>
      <c r="E356" s="9"/>
      <c r="F356" s="139"/>
      <c r="G356" s="191">
        <f>Input!J29</f>
        <v>11.717872165013027</v>
      </c>
      <c r="H356" s="109">
        <f t="shared" si="6"/>
        <v>15.142423540573422</v>
      </c>
      <c r="I356" s="119"/>
      <c r="J356" s="119"/>
      <c r="K356" s="119"/>
      <c r="L356" s="119"/>
      <c r="M356" s="105"/>
      <c r="N356" s="105"/>
      <c r="O356" s="105"/>
      <c r="P356" s="105"/>
      <c r="Q356" s="105"/>
      <c r="R356" s="105"/>
      <c r="S356" s="99"/>
      <c r="T356" s="105"/>
      <c r="U356" s="105"/>
      <c r="V356" s="105"/>
      <c r="W356" s="105"/>
      <c r="X356" s="105"/>
      <c r="Y356" s="105"/>
      <c r="Z356" s="105"/>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9"/>
      <c r="BK356" s="219"/>
    </row>
    <row r="357" spans="1:63" ht="12.75" customHeight="1" outlineLevel="1">
      <c r="A357" s="9"/>
      <c r="B357" s="44"/>
      <c r="C357" s="128" t="str">
        <f>Asset24</f>
        <v>Equity raising costs</v>
      </c>
      <c r="D357" s="9"/>
      <c r="E357" s="9"/>
      <c r="F357" s="139"/>
      <c r="G357" s="191">
        <f>Input!J30</f>
        <v>0</v>
      </c>
      <c r="H357" s="109">
        <f t="shared" si="6"/>
        <v>0</v>
      </c>
      <c r="I357" s="119"/>
      <c r="J357" s="119"/>
      <c r="K357" s="119"/>
      <c r="L357" s="119"/>
      <c r="M357" s="105"/>
      <c r="N357" s="105"/>
      <c r="O357" s="105"/>
      <c r="P357" s="105"/>
      <c r="Q357" s="105"/>
      <c r="R357" s="105"/>
      <c r="S357" s="99"/>
      <c r="T357" s="105"/>
      <c r="U357" s="105"/>
      <c r="V357" s="105"/>
      <c r="W357" s="105"/>
      <c r="X357" s="105"/>
      <c r="Y357" s="105"/>
      <c r="Z357" s="105"/>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9"/>
      <c r="BK357" s="219"/>
    </row>
    <row r="358" spans="1:63" ht="12.75" customHeight="1" outlineLevel="1">
      <c r="A358" s="9"/>
      <c r="B358" s="44"/>
      <c r="C358" s="128">
        <f>Asset25</f>
        <v>0</v>
      </c>
      <c r="D358" s="9"/>
      <c r="E358" s="9"/>
      <c r="F358" s="139"/>
      <c r="G358" s="191">
        <f>Input!J31</f>
        <v>0</v>
      </c>
      <c r="H358" s="109">
        <f t="shared" si="6"/>
        <v>0</v>
      </c>
      <c r="I358" s="119"/>
      <c r="J358" s="119"/>
      <c r="K358" s="119"/>
      <c r="L358" s="119"/>
      <c r="M358" s="105"/>
      <c r="N358" s="105"/>
      <c r="O358" s="105"/>
      <c r="P358" s="105"/>
      <c r="Q358" s="105"/>
      <c r="R358" s="105"/>
      <c r="S358" s="99"/>
      <c r="T358" s="105"/>
      <c r="U358" s="105"/>
      <c r="V358" s="105"/>
      <c r="W358" s="105"/>
      <c r="X358" s="105"/>
      <c r="Y358" s="105"/>
      <c r="Z358" s="105"/>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9"/>
      <c r="BK358" s="219"/>
    </row>
    <row r="359" spans="1:63" ht="12.75" customHeight="1" outlineLevel="1">
      <c r="A359" s="9"/>
      <c r="B359" s="44"/>
      <c r="C359" s="128">
        <f>Asset26</f>
        <v>0</v>
      </c>
      <c r="D359" s="9"/>
      <c r="E359" s="9"/>
      <c r="F359" s="139"/>
      <c r="G359" s="191">
        <f>Input!J32</f>
        <v>0</v>
      </c>
      <c r="H359" s="109">
        <f t="shared" si="6"/>
        <v>0</v>
      </c>
      <c r="I359" s="119"/>
      <c r="J359" s="119"/>
      <c r="K359" s="119"/>
      <c r="L359" s="119"/>
      <c r="M359" s="105"/>
      <c r="N359" s="105"/>
      <c r="O359" s="105"/>
      <c r="P359" s="105"/>
      <c r="Q359" s="105"/>
      <c r="R359" s="105"/>
      <c r="S359" s="99"/>
      <c r="T359" s="105"/>
      <c r="U359" s="105"/>
      <c r="V359" s="105"/>
      <c r="W359" s="105"/>
      <c r="X359" s="105"/>
      <c r="Y359" s="105"/>
      <c r="Z359" s="105"/>
      <c r="AA359" s="213"/>
      <c r="AB359" s="213"/>
      <c r="AC359" s="213"/>
      <c r="AD359" s="213"/>
      <c r="AE359" s="213"/>
      <c r="AF359" s="213"/>
      <c r="AG359" s="213"/>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c r="BI359" s="213"/>
      <c r="BJ359" s="219"/>
      <c r="BK359" s="219"/>
    </row>
    <row r="360" spans="1:63" ht="12.75" customHeight="1" outlineLevel="1">
      <c r="A360" s="9"/>
      <c r="B360" s="44"/>
      <c r="C360" s="128">
        <f>Asset27</f>
        <v>0</v>
      </c>
      <c r="D360" s="9"/>
      <c r="E360" s="9"/>
      <c r="F360" s="139"/>
      <c r="G360" s="191">
        <f>Input!J33</f>
        <v>0</v>
      </c>
      <c r="H360" s="109">
        <f t="shared" si="6"/>
        <v>0</v>
      </c>
      <c r="I360" s="119"/>
      <c r="J360" s="119"/>
      <c r="K360" s="119"/>
      <c r="L360" s="119"/>
      <c r="M360" s="105"/>
      <c r="N360" s="105"/>
      <c r="O360" s="105"/>
      <c r="P360" s="105"/>
      <c r="Q360" s="105"/>
      <c r="R360" s="105"/>
      <c r="S360" s="99"/>
      <c r="T360" s="105"/>
      <c r="U360" s="105"/>
      <c r="V360" s="105"/>
      <c r="W360" s="105"/>
      <c r="X360" s="105"/>
      <c r="Y360" s="105"/>
      <c r="Z360" s="105"/>
      <c r="AA360" s="213"/>
      <c r="AB360" s="213"/>
      <c r="AC360" s="213"/>
      <c r="AD360" s="213"/>
      <c r="AE360" s="213"/>
      <c r="AF360" s="213"/>
      <c r="AG360" s="213"/>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c r="BI360" s="213"/>
      <c r="BJ360" s="219"/>
      <c r="BK360" s="219"/>
    </row>
    <row r="361" spans="1:63" ht="12.75" customHeight="1" outlineLevel="1">
      <c r="A361" s="9"/>
      <c r="B361" s="44"/>
      <c r="C361" s="128">
        <f>Asset28</f>
        <v>0</v>
      </c>
      <c r="D361" s="9"/>
      <c r="E361" s="9"/>
      <c r="F361" s="139"/>
      <c r="G361" s="191">
        <f>Input!J34</f>
        <v>0</v>
      </c>
      <c r="H361" s="109">
        <f t="shared" si="6"/>
        <v>0</v>
      </c>
      <c r="I361" s="119"/>
      <c r="J361" s="119"/>
      <c r="K361" s="119"/>
      <c r="L361" s="119"/>
      <c r="M361" s="105"/>
      <c r="N361" s="105"/>
      <c r="O361" s="105"/>
      <c r="P361" s="105"/>
      <c r="Q361" s="105"/>
      <c r="R361" s="105"/>
      <c r="S361" s="99"/>
      <c r="T361" s="105"/>
      <c r="U361" s="105"/>
      <c r="V361" s="105"/>
      <c r="W361" s="105"/>
      <c r="X361" s="105"/>
      <c r="Y361" s="105"/>
      <c r="Z361" s="105"/>
      <c r="AA361" s="213"/>
      <c r="AB361" s="213"/>
      <c r="AC361" s="213"/>
      <c r="AD361" s="213"/>
      <c r="AE361" s="213"/>
      <c r="AF361" s="213"/>
      <c r="AG361" s="213"/>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c r="BI361" s="213"/>
      <c r="BJ361" s="219"/>
      <c r="BK361" s="219"/>
    </row>
    <row r="362" spans="1:63" ht="12.75" customHeight="1" outlineLevel="1">
      <c r="A362" s="9"/>
      <c r="B362" s="44"/>
      <c r="C362" s="128">
        <f>Asset29</f>
        <v>0</v>
      </c>
      <c r="D362" s="9"/>
      <c r="E362" s="9"/>
      <c r="F362" s="139"/>
      <c r="G362" s="191">
        <f>Input!J35</f>
        <v>0</v>
      </c>
      <c r="H362" s="109">
        <f t="shared" si="6"/>
        <v>0</v>
      </c>
      <c r="I362" s="119"/>
      <c r="J362" s="119"/>
      <c r="K362" s="119"/>
      <c r="L362" s="119"/>
      <c r="M362" s="105"/>
      <c r="N362" s="105"/>
      <c r="O362" s="105"/>
      <c r="P362" s="105"/>
      <c r="Q362" s="105"/>
      <c r="R362" s="105"/>
      <c r="S362" s="99"/>
      <c r="T362" s="105"/>
      <c r="U362" s="105"/>
      <c r="V362" s="105"/>
      <c r="W362" s="105"/>
      <c r="X362" s="105"/>
      <c r="Y362" s="105"/>
      <c r="Z362" s="105"/>
      <c r="AA362" s="213"/>
      <c r="AB362" s="213"/>
      <c r="AC362" s="213"/>
      <c r="AD362" s="213"/>
      <c r="AE362" s="213"/>
      <c r="AF362" s="213"/>
      <c r="AG362" s="213"/>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c r="BI362" s="213"/>
      <c r="BJ362" s="219"/>
      <c r="BK362" s="219"/>
    </row>
    <row r="363" spans="1:63" ht="12.75" customHeight="1" outlineLevel="1">
      <c r="A363" s="9"/>
      <c r="B363" s="44"/>
      <c r="C363" s="128">
        <f>Asset30</f>
        <v>0</v>
      </c>
      <c r="D363" s="9"/>
      <c r="E363" s="9"/>
      <c r="F363" s="139"/>
      <c r="G363" s="191">
        <f>Input!J36</f>
        <v>0</v>
      </c>
      <c r="H363" s="109">
        <f t="shared" si="6"/>
        <v>0</v>
      </c>
      <c r="I363" s="119"/>
      <c r="J363" s="119"/>
      <c r="K363" s="119"/>
      <c r="L363" s="119"/>
      <c r="M363" s="105"/>
      <c r="N363" s="105"/>
      <c r="O363" s="105"/>
      <c r="P363" s="105"/>
      <c r="Q363" s="105"/>
      <c r="R363" s="105"/>
      <c r="S363" s="99"/>
      <c r="T363" s="105"/>
      <c r="U363" s="105"/>
      <c r="V363" s="105"/>
      <c r="W363" s="105"/>
      <c r="X363" s="105"/>
      <c r="Y363" s="105"/>
      <c r="Z363" s="105"/>
      <c r="AA363" s="213"/>
      <c r="AB363" s="213"/>
      <c r="AC363" s="213"/>
      <c r="AD363" s="213"/>
      <c r="AE363" s="213"/>
      <c r="AF363" s="213"/>
      <c r="AG363" s="213"/>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c r="BI363" s="213"/>
      <c r="BJ363" s="219"/>
      <c r="BK363" s="219"/>
    </row>
    <row r="364" spans="1:63">
      <c r="A364" s="9"/>
      <c r="B364" s="44"/>
      <c r="C364" s="128"/>
      <c r="D364" s="9"/>
      <c r="E364" s="9"/>
      <c r="F364" s="139"/>
      <c r="G364" s="191"/>
      <c r="H364" s="119"/>
      <c r="I364" s="119"/>
      <c r="J364" s="119"/>
      <c r="K364" s="119"/>
      <c r="L364" s="119"/>
      <c r="M364" s="105"/>
      <c r="N364" s="105"/>
      <c r="O364" s="105"/>
      <c r="P364" s="105"/>
      <c r="Q364" s="105"/>
      <c r="R364" s="105"/>
      <c r="S364" s="99"/>
      <c r="T364" s="105"/>
      <c r="U364" s="105"/>
      <c r="V364" s="105"/>
      <c r="W364" s="105"/>
      <c r="X364" s="105"/>
      <c r="Y364" s="105"/>
      <c r="Z364" s="105"/>
      <c r="AA364" s="213"/>
      <c r="AB364" s="213"/>
      <c r="AC364" s="213"/>
      <c r="AD364" s="213"/>
      <c r="AE364" s="213"/>
      <c r="AF364" s="213"/>
      <c r="AG364" s="213"/>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c r="BI364" s="213"/>
      <c r="BJ364" s="219"/>
      <c r="BK364" s="219"/>
    </row>
    <row r="365" spans="1:63">
      <c r="A365" s="9"/>
      <c r="B365" s="44" t="s">
        <v>45</v>
      </c>
      <c r="C365" s="9"/>
      <c r="D365" s="9"/>
      <c r="E365" s="9"/>
      <c r="F365" s="9"/>
      <c r="G365" s="192">
        <f>SUM(G366:G395)</f>
        <v>167.51856958615218</v>
      </c>
      <c r="H365" s="119"/>
      <c r="I365" s="119"/>
      <c r="J365" s="119"/>
      <c r="K365" s="119"/>
      <c r="L365" s="119"/>
      <c r="M365" s="105"/>
      <c r="N365" s="105"/>
      <c r="O365" s="105"/>
      <c r="P365" s="105"/>
      <c r="Q365" s="105"/>
      <c r="R365" s="105"/>
      <c r="S365" s="99"/>
      <c r="T365" s="105"/>
      <c r="U365" s="105"/>
      <c r="V365" s="105"/>
      <c r="W365" s="105"/>
      <c r="X365" s="105"/>
      <c r="Y365" s="105"/>
      <c r="Z365" s="105"/>
      <c r="AA365" s="213"/>
      <c r="AB365" s="213"/>
      <c r="AC365" s="213"/>
      <c r="AD365" s="213"/>
      <c r="AE365" s="213"/>
      <c r="AF365" s="213"/>
      <c r="AG365" s="213"/>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c r="BI365" s="213"/>
      <c r="BJ365" s="219"/>
      <c r="BK365" s="219"/>
    </row>
    <row r="366" spans="1:63" outlineLevel="1">
      <c r="A366" s="9"/>
      <c r="B366" s="44"/>
      <c r="C366" s="128" t="str">
        <f>Asset1</f>
        <v>Transmission &amp; Zone land &amp; easements</v>
      </c>
      <c r="D366" s="9"/>
      <c r="E366" s="9"/>
      <c r="F366" s="9"/>
      <c r="G366" s="194">
        <f>Input!M7</f>
        <v>52.005735832400816</v>
      </c>
      <c r="H366" s="119"/>
      <c r="I366" s="119"/>
      <c r="J366" s="119"/>
      <c r="K366" s="119"/>
      <c r="L366" s="119"/>
      <c r="M366" s="105"/>
      <c r="N366" s="105"/>
      <c r="O366" s="105"/>
      <c r="P366" s="105"/>
      <c r="Q366" s="105"/>
      <c r="R366" s="105"/>
      <c r="S366" s="99"/>
      <c r="T366" s="105"/>
      <c r="U366" s="105"/>
      <c r="V366" s="105"/>
      <c r="W366" s="105"/>
      <c r="X366" s="105"/>
      <c r="Y366" s="105"/>
      <c r="Z366" s="105"/>
      <c r="AA366" s="213"/>
      <c r="AB366" s="213"/>
      <c r="AC366" s="213"/>
      <c r="AD366" s="213"/>
      <c r="AE366" s="213"/>
      <c r="AF366" s="213"/>
      <c r="AG366" s="213"/>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c r="BI366" s="213"/>
      <c r="BJ366" s="219"/>
      <c r="BK366" s="219"/>
    </row>
    <row r="367" spans="1:63" outlineLevel="1">
      <c r="A367" s="9"/>
      <c r="B367" s="44"/>
      <c r="C367" s="128" t="str">
        <f>Asset2</f>
        <v>Transmission buildings 132/66kV</v>
      </c>
      <c r="D367" s="9"/>
      <c r="E367" s="9"/>
      <c r="F367" s="9"/>
      <c r="G367" s="194">
        <f>Input!M8</f>
        <v>14.828944755423525</v>
      </c>
      <c r="H367" s="119"/>
      <c r="I367" s="119"/>
      <c r="J367" s="119"/>
      <c r="K367" s="119"/>
      <c r="L367" s="119"/>
      <c r="M367" s="105"/>
      <c r="N367" s="105"/>
      <c r="O367" s="105"/>
      <c r="P367" s="105"/>
      <c r="Q367" s="105"/>
      <c r="R367" s="105"/>
      <c r="S367" s="99"/>
      <c r="T367" s="105"/>
      <c r="U367" s="105"/>
      <c r="V367" s="105"/>
      <c r="W367" s="105"/>
      <c r="X367" s="105"/>
      <c r="Y367" s="105"/>
      <c r="Z367" s="105"/>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c r="BI367" s="213"/>
      <c r="BJ367" s="219"/>
      <c r="BK367" s="219"/>
    </row>
    <row r="368" spans="1:63" outlineLevel="1">
      <c r="A368" s="9"/>
      <c r="B368" s="44"/>
      <c r="C368" s="128" t="str">
        <f>Asset3</f>
        <v>Zone buildings 132/66kV</v>
      </c>
      <c r="D368" s="9"/>
      <c r="E368" s="9"/>
      <c r="F368" s="9"/>
      <c r="G368" s="194">
        <f>Input!M9</f>
        <v>0</v>
      </c>
      <c r="H368" s="119"/>
      <c r="I368" s="119"/>
      <c r="J368" s="119"/>
      <c r="K368" s="119"/>
      <c r="L368" s="119"/>
      <c r="M368" s="105"/>
      <c r="N368" s="105"/>
      <c r="O368" s="105"/>
      <c r="P368" s="105"/>
      <c r="Q368" s="105"/>
      <c r="R368" s="105"/>
      <c r="S368" s="99"/>
      <c r="T368" s="105"/>
      <c r="U368" s="105"/>
      <c r="V368" s="105"/>
      <c r="W368" s="105"/>
      <c r="X368" s="105"/>
      <c r="Y368" s="105"/>
      <c r="Z368" s="105"/>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c r="BI368" s="213"/>
      <c r="BJ368" s="219"/>
      <c r="BK368" s="219"/>
    </row>
    <row r="369" spans="1:63" outlineLevel="1">
      <c r="A369" s="9"/>
      <c r="B369" s="44"/>
      <c r="C369" s="128" t="str">
        <f>Asset4</f>
        <v>Transmission transformers 132/66kV</v>
      </c>
      <c r="D369" s="9"/>
      <c r="E369" s="9"/>
      <c r="F369" s="9"/>
      <c r="G369" s="194">
        <f>Input!M10</f>
        <v>2.6107297104618885</v>
      </c>
      <c r="H369" s="119"/>
      <c r="I369" s="119"/>
      <c r="J369" s="119"/>
      <c r="K369" s="119"/>
      <c r="L369" s="119"/>
      <c r="M369" s="105"/>
      <c r="N369" s="105"/>
      <c r="O369" s="105"/>
      <c r="P369" s="105"/>
      <c r="Q369" s="105"/>
      <c r="R369" s="105"/>
      <c r="S369" s="99"/>
      <c r="T369" s="105"/>
      <c r="U369" s="105"/>
      <c r="V369" s="105"/>
      <c r="W369" s="105"/>
      <c r="X369" s="105"/>
      <c r="Y369" s="105"/>
      <c r="Z369" s="105"/>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c r="BI369" s="213"/>
      <c r="BJ369" s="219"/>
      <c r="BK369" s="219"/>
    </row>
    <row r="370" spans="1:63" outlineLevel="1">
      <c r="A370" s="9"/>
      <c r="B370" s="44"/>
      <c r="C370" s="128" t="str">
        <f>Asset5</f>
        <v>Zone transformers 132/66kV</v>
      </c>
      <c r="D370" s="9"/>
      <c r="E370" s="9"/>
      <c r="F370" s="9"/>
      <c r="G370" s="194">
        <f>Input!M11</f>
        <v>0.41771675367390215</v>
      </c>
      <c r="H370" s="119"/>
      <c r="I370" s="119"/>
      <c r="J370" s="119"/>
      <c r="K370" s="119"/>
      <c r="L370" s="119"/>
      <c r="M370" s="105"/>
      <c r="N370" s="105"/>
      <c r="O370" s="105"/>
      <c r="P370" s="105"/>
      <c r="Q370" s="105"/>
      <c r="R370" s="105"/>
      <c r="S370" s="99"/>
      <c r="T370" s="105"/>
      <c r="U370" s="105"/>
      <c r="V370" s="105"/>
      <c r="W370" s="105"/>
      <c r="X370" s="105"/>
      <c r="Y370" s="105"/>
      <c r="Z370" s="105"/>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c r="BI370" s="213"/>
      <c r="BJ370" s="219"/>
      <c r="BK370" s="219"/>
    </row>
    <row r="371" spans="1:63" outlineLevel="1">
      <c r="A371" s="9"/>
      <c r="B371" s="44"/>
      <c r="C371" s="128" t="str">
        <f>Asset6</f>
        <v>Transmission substation equip 132/66kV</v>
      </c>
      <c r="D371" s="9"/>
      <c r="E371" s="9"/>
      <c r="F371" s="9"/>
      <c r="G371" s="194">
        <f>Input!M12</f>
        <v>13.784652871238768</v>
      </c>
      <c r="H371" s="119"/>
      <c r="I371" s="119"/>
      <c r="J371" s="119"/>
      <c r="K371" s="119"/>
      <c r="L371" s="119"/>
      <c r="M371" s="105"/>
      <c r="N371" s="105"/>
      <c r="O371" s="105"/>
      <c r="P371" s="105"/>
      <c r="Q371" s="105"/>
      <c r="R371" s="105"/>
      <c r="S371" s="99"/>
      <c r="T371" s="105"/>
      <c r="U371" s="105"/>
      <c r="V371" s="105"/>
      <c r="W371" s="105"/>
      <c r="X371" s="105"/>
      <c r="Y371" s="105"/>
      <c r="Z371" s="105"/>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c r="BI371" s="213"/>
      <c r="BJ371" s="219"/>
      <c r="BK371" s="219"/>
    </row>
    <row r="372" spans="1:63" outlineLevel="1">
      <c r="A372" s="9"/>
      <c r="B372" s="44"/>
      <c r="C372" s="128" t="str">
        <f>Asset7</f>
        <v>Zone substation equip 132/66kV</v>
      </c>
      <c r="D372" s="9"/>
      <c r="E372" s="9"/>
      <c r="F372" s="9"/>
      <c r="G372" s="194">
        <f>Input!M13</f>
        <v>7.4144723777117623</v>
      </c>
      <c r="H372" s="119"/>
      <c r="I372" s="119"/>
      <c r="J372" s="119"/>
      <c r="K372" s="119"/>
      <c r="L372" s="119"/>
      <c r="M372" s="105"/>
      <c r="N372" s="105"/>
      <c r="O372" s="105"/>
      <c r="P372" s="105"/>
      <c r="Q372" s="105"/>
      <c r="R372" s="105"/>
      <c r="S372" s="99"/>
      <c r="T372" s="105"/>
      <c r="U372" s="105"/>
      <c r="V372" s="105"/>
      <c r="W372" s="105"/>
      <c r="X372" s="105"/>
      <c r="Y372" s="105"/>
      <c r="Z372" s="105"/>
      <c r="AA372" s="213"/>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c r="BI372" s="213"/>
      <c r="BJ372" s="219"/>
      <c r="BK372" s="219"/>
    </row>
    <row r="373" spans="1:63" outlineLevel="1">
      <c r="A373" s="9"/>
      <c r="B373" s="44"/>
      <c r="C373" s="128" t="str">
        <f>Asset8</f>
        <v>Transmission &amp; Zone emergency spares</v>
      </c>
      <c r="D373" s="9"/>
      <c r="E373" s="9"/>
      <c r="F373" s="9"/>
      <c r="G373" s="194">
        <f>Input!M14</f>
        <v>0</v>
      </c>
      <c r="H373" s="119"/>
      <c r="I373" s="119"/>
      <c r="J373" s="119"/>
      <c r="K373" s="119"/>
      <c r="L373" s="119"/>
      <c r="M373" s="105"/>
      <c r="N373" s="105"/>
      <c r="O373" s="105"/>
      <c r="P373" s="105"/>
      <c r="Q373" s="105"/>
      <c r="R373" s="105"/>
      <c r="S373" s="99"/>
      <c r="T373" s="105"/>
      <c r="U373" s="105"/>
      <c r="V373" s="105"/>
      <c r="W373" s="105"/>
      <c r="X373" s="105"/>
      <c r="Y373" s="105"/>
      <c r="Z373" s="105"/>
      <c r="AA373" s="213"/>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c r="BI373" s="213"/>
      <c r="BJ373" s="219"/>
      <c r="BK373" s="219"/>
    </row>
    <row r="374" spans="1:63" outlineLevel="1">
      <c r="A374" s="9"/>
      <c r="B374" s="44"/>
      <c r="C374" s="128" t="str">
        <f>Asset9</f>
        <v>Ancillary substation equipment (tx)</v>
      </c>
      <c r="D374" s="9"/>
      <c r="E374" s="9"/>
      <c r="F374" s="9"/>
      <c r="G374" s="194">
        <f>Input!M15</f>
        <v>0</v>
      </c>
      <c r="H374" s="119"/>
      <c r="I374" s="119"/>
      <c r="J374" s="119"/>
      <c r="K374" s="119"/>
      <c r="L374" s="119"/>
      <c r="M374" s="105"/>
      <c r="N374" s="105"/>
      <c r="O374" s="105"/>
      <c r="P374" s="105"/>
      <c r="Q374" s="105"/>
      <c r="R374" s="105"/>
      <c r="S374" s="99"/>
      <c r="T374" s="105"/>
      <c r="U374" s="105"/>
      <c r="V374" s="105"/>
      <c r="W374" s="105"/>
      <c r="X374" s="105"/>
      <c r="Y374" s="105"/>
      <c r="Z374" s="105"/>
      <c r="AA374" s="213"/>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c r="BI374" s="213"/>
      <c r="BJ374" s="219"/>
      <c r="BK374" s="219"/>
    </row>
    <row r="375" spans="1:63" outlineLevel="1">
      <c r="A375" s="9"/>
      <c r="B375" s="44"/>
      <c r="C375" s="128" t="str">
        <f>Asset10</f>
        <v>132kV tower lines</v>
      </c>
      <c r="D375" s="9"/>
      <c r="E375" s="9"/>
      <c r="F375" s="9"/>
      <c r="G375" s="194">
        <f>Input!M16</f>
        <v>0</v>
      </c>
      <c r="H375" s="119"/>
      <c r="I375" s="119"/>
      <c r="J375" s="119"/>
      <c r="K375" s="119"/>
      <c r="L375" s="119"/>
      <c r="M375" s="105"/>
      <c r="N375" s="105"/>
      <c r="O375" s="105"/>
      <c r="P375" s="105"/>
      <c r="Q375" s="105"/>
      <c r="R375" s="105"/>
      <c r="S375" s="99"/>
      <c r="T375" s="105"/>
      <c r="U375" s="105"/>
      <c r="V375" s="105"/>
      <c r="W375" s="105"/>
      <c r="X375" s="105"/>
      <c r="Y375" s="105"/>
      <c r="Z375" s="105"/>
      <c r="AA375" s="213"/>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c r="BI375" s="213"/>
      <c r="BJ375" s="219"/>
      <c r="BK375" s="219"/>
    </row>
    <row r="376" spans="1:63" outlineLevel="1">
      <c r="A376" s="9"/>
      <c r="B376" s="44"/>
      <c r="C376" s="128" t="str">
        <f>Asset11</f>
        <v>132kV concrete &amp; steel pole lines</v>
      </c>
      <c r="D376" s="9"/>
      <c r="E376" s="9"/>
      <c r="F376" s="9"/>
      <c r="G376" s="194">
        <f>Input!M17</f>
        <v>0.52214594209237764</v>
      </c>
      <c r="H376" s="119"/>
      <c r="I376" s="119"/>
      <c r="J376" s="119"/>
      <c r="K376" s="119"/>
      <c r="L376" s="119"/>
      <c r="M376" s="105"/>
      <c r="N376" s="105"/>
      <c r="O376" s="105"/>
      <c r="P376" s="105"/>
      <c r="Q376" s="105"/>
      <c r="R376" s="105"/>
      <c r="S376" s="99"/>
      <c r="T376" s="105"/>
      <c r="U376" s="105"/>
      <c r="V376" s="105"/>
      <c r="W376" s="105"/>
      <c r="X376" s="105"/>
      <c r="Y376" s="105"/>
      <c r="Z376" s="105"/>
      <c r="AA376" s="213"/>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c r="BI376" s="213"/>
      <c r="BJ376" s="219"/>
      <c r="BK376" s="219"/>
    </row>
    <row r="377" spans="1:63" outlineLevel="1">
      <c r="A377" s="9"/>
      <c r="B377" s="44"/>
      <c r="C377" s="128" t="str">
        <f>Asset12</f>
        <v>132kV wood pole lines</v>
      </c>
      <c r="D377" s="9"/>
      <c r="E377" s="9"/>
      <c r="F377" s="9"/>
      <c r="G377" s="194">
        <f>Input!M18</f>
        <v>0.41771675367390215</v>
      </c>
      <c r="H377" s="119"/>
      <c r="I377" s="119"/>
      <c r="J377" s="119"/>
      <c r="K377" s="119"/>
      <c r="L377" s="119"/>
      <c r="M377" s="105"/>
      <c r="N377" s="105"/>
      <c r="O377" s="105"/>
      <c r="P377" s="105"/>
      <c r="Q377" s="105"/>
      <c r="R377" s="105"/>
      <c r="S377" s="99"/>
      <c r="T377" s="105"/>
      <c r="U377" s="105"/>
      <c r="V377" s="105"/>
      <c r="W377" s="105"/>
      <c r="X377" s="105"/>
      <c r="Y377" s="105"/>
      <c r="Z377" s="105"/>
      <c r="AA377" s="213"/>
      <c r="AB377" s="213"/>
      <c r="AC377" s="213"/>
      <c r="AD377" s="213"/>
      <c r="AE377" s="213"/>
      <c r="AF377" s="213"/>
      <c r="AG377" s="213"/>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c r="BI377" s="213"/>
      <c r="BJ377" s="219"/>
      <c r="BK377" s="219"/>
    </row>
    <row r="378" spans="1:63" outlineLevel="1">
      <c r="A378" s="9"/>
      <c r="B378" s="44"/>
      <c r="C378" s="128" t="str">
        <f>Asset13</f>
        <v>132kV feeders underground</v>
      </c>
      <c r="D378" s="9"/>
      <c r="E378" s="9"/>
      <c r="F378" s="9"/>
      <c r="G378" s="194">
        <f>Input!M19</f>
        <v>51.379160701889965</v>
      </c>
      <c r="H378" s="119"/>
      <c r="I378" s="119"/>
      <c r="J378" s="119"/>
      <c r="K378" s="119"/>
      <c r="L378" s="119"/>
      <c r="M378" s="105"/>
      <c r="N378" s="105"/>
      <c r="O378" s="105"/>
      <c r="P378" s="105"/>
      <c r="Q378" s="105"/>
      <c r="R378" s="105"/>
      <c r="S378" s="99"/>
      <c r="T378" s="105"/>
      <c r="U378" s="105"/>
      <c r="V378" s="105"/>
      <c r="W378" s="105"/>
      <c r="X378" s="105"/>
      <c r="Y378" s="105"/>
      <c r="Z378" s="105"/>
      <c r="AA378" s="213"/>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c r="BI378" s="213"/>
      <c r="BJ378" s="219"/>
      <c r="BK378" s="219"/>
    </row>
    <row r="379" spans="1:63" outlineLevel="1">
      <c r="A379" s="9"/>
      <c r="B379" s="44"/>
      <c r="C379" s="128" t="str">
        <f>Asset14</f>
        <v>Cable tunnel (tx)</v>
      </c>
      <c r="D379" s="9"/>
      <c r="E379" s="9"/>
      <c r="F379" s="9"/>
      <c r="G379" s="194">
        <f>Input!M20</f>
        <v>0</v>
      </c>
      <c r="H379" s="119"/>
      <c r="I379" s="119"/>
      <c r="J379" s="119"/>
      <c r="K379" s="119"/>
      <c r="L379" s="119"/>
      <c r="M379" s="105"/>
      <c r="N379" s="105"/>
      <c r="O379" s="105"/>
      <c r="P379" s="105"/>
      <c r="Q379" s="105"/>
      <c r="R379" s="105"/>
      <c r="S379" s="99"/>
      <c r="T379" s="105"/>
      <c r="U379" s="105"/>
      <c r="V379" s="105"/>
      <c r="W379" s="105"/>
      <c r="X379" s="105"/>
      <c r="Y379" s="105"/>
      <c r="Z379" s="105"/>
      <c r="AA379" s="213"/>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c r="BI379" s="213"/>
      <c r="BJ379" s="219"/>
      <c r="BK379" s="219"/>
    </row>
    <row r="380" spans="1:63" outlineLevel="1">
      <c r="A380" s="9"/>
      <c r="B380" s="44"/>
      <c r="C380" s="128" t="str">
        <f>Asset15</f>
        <v>Network control &amp; com systems</v>
      </c>
      <c r="D380" s="9"/>
      <c r="E380" s="9"/>
      <c r="F380" s="9"/>
      <c r="G380" s="194">
        <f>Input!M21</f>
        <v>0.20885837683695108</v>
      </c>
      <c r="H380" s="119"/>
      <c r="I380" s="119"/>
      <c r="J380" s="119"/>
      <c r="K380" s="119"/>
      <c r="L380" s="119"/>
      <c r="M380" s="105"/>
      <c r="N380" s="105"/>
      <c r="O380" s="105"/>
      <c r="P380" s="105"/>
      <c r="Q380" s="105"/>
      <c r="R380" s="105"/>
      <c r="S380" s="99"/>
      <c r="T380" s="105"/>
      <c r="U380" s="105"/>
      <c r="V380" s="105"/>
      <c r="W380" s="105"/>
      <c r="X380" s="105"/>
      <c r="Y380" s="105"/>
      <c r="Z380" s="105"/>
      <c r="AA380" s="213"/>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c r="BI380" s="213"/>
      <c r="BJ380" s="219"/>
      <c r="BK380" s="219"/>
    </row>
    <row r="381" spans="1:63" outlineLevel="1">
      <c r="A381" s="9"/>
      <c r="B381" s="44"/>
      <c r="C381" s="128" t="str">
        <f>Asset16</f>
        <v>Communications (digital) - tx</v>
      </c>
      <c r="D381" s="9"/>
      <c r="E381" s="9"/>
      <c r="F381" s="9"/>
      <c r="G381" s="194">
        <f>Input!M22</f>
        <v>0</v>
      </c>
      <c r="H381" s="119"/>
      <c r="I381" s="119"/>
      <c r="J381" s="119"/>
      <c r="K381" s="119"/>
      <c r="L381" s="119"/>
      <c r="M381" s="105"/>
      <c r="N381" s="105"/>
      <c r="O381" s="105"/>
      <c r="P381" s="105"/>
      <c r="Q381" s="105"/>
      <c r="R381" s="105"/>
      <c r="S381" s="99"/>
      <c r="T381" s="105"/>
      <c r="U381" s="105"/>
      <c r="V381" s="105"/>
      <c r="W381" s="105"/>
      <c r="X381" s="105"/>
      <c r="Y381" s="105"/>
      <c r="Z381" s="105"/>
      <c r="AA381" s="213"/>
      <c r="AB381" s="213"/>
      <c r="AC381" s="213"/>
      <c r="AD381" s="213"/>
      <c r="AE381" s="213"/>
      <c r="AF381" s="213"/>
      <c r="AG381" s="213"/>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c r="BI381" s="213"/>
      <c r="BJ381" s="219"/>
      <c r="BK381" s="219"/>
    </row>
    <row r="382" spans="1:63" outlineLevel="1">
      <c r="A382" s="9"/>
      <c r="B382" s="44"/>
      <c r="C382" s="128" t="str">
        <f>Asset17</f>
        <v>System IT (tx)</v>
      </c>
      <c r="D382" s="9"/>
      <c r="E382" s="9"/>
      <c r="F382" s="9"/>
      <c r="G382" s="194">
        <f>Input!M23</f>
        <v>0</v>
      </c>
      <c r="H382" s="119"/>
      <c r="I382" s="119"/>
      <c r="J382" s="119"/>
      <c r="K382" s="119"/>
      <c r="L382" s="119"/>
      <c r="M382" s="105"/>
      <c r="N382" s="105"/>
      <c r="O382" s="105"/>
      <c r="P382" s="105"/>
      <c r="Q382" s="105"/>
      <c r="R382" s="105"/>
      <c r="S382" s="99"/>
      <c r="T382" s="105"/>
      <c r="U382" s="105"/>
      <c r="V382" s="105"/>
      <c r="W382" s="105"/>
      <c r="X382" s="105"/>
      <c r="Y382" s="105"/>
      <c r="Z382" s="105"/>
      <c r="AA382" s="213"/>
      <c r="AB382" s="213"/>
      <c r="AC382" s="213"/>
      <c r="AD382" s="213"/>
      <c r="AE382" s="213"/>
      <c r="AF382" s="213"/>
      <c r="AG382" s="213"/>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c r="BI382" s="213"/>
      <c r="BJ382" s="219"/>
      <c r="BK382" s="219"/>
    </row>
    <row r="383" spans="1:63" outlineLevel="1">
      <c r="A383" s="9"/>
      <c r="B383" s="44"/>
      <c r="C383" s="128" t="str">
        <f>Asset18</f>
        <v>IT systems</v>
      </c>
      <c r="D383" s="9"/>
      <c r="E383" s="9"/>
      <c r="F383" s="9"/>
      <c r="G383" s="194">
        <f>Input!M24</f>
        <v>5.4886479583516072</v>
      </c>
      <c r="H383" s="119"/>
      <c r="I383" s="119"/>
      <c r="J383" s="119"/>
      <c r="K383" s="119"/>
      <c r="L383" s="119"/>
      <c r="M383" s="105"/>
      <c r="N383" s="105"/>
      <c r="O383" s="105"/>
      <c r="P383" s="105"/>
      <c r="Q383" s="105"/>
      <c r="R383" s="105"/>
      <c r="S383" s="99"/>
      <c r="T383" s="105"/>
      <c r="U383" s="105"/>
      <c r="V383" s="105"/>
      <c r="W383" s="105"/>
      <c r="X383" s="105"/>
      <c r="Y383" s="105"/>
      <c r="Z383" s="105"/>
      <c r="AA383" s="213"/>
      <c r="AB383" s="213"/>
      <c r="AC383" s="213"/>
      <c r="AD383" s="213"/>
      <c r="AE383" s="213"/>
      <c r="AF383" s="213"/>
      <c r="AG383" s="213"/>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c r="BI383" s="213"/>
      <c r="BJ383" s="219"/>
      <c r="BK383" s="219"/>
    </row>
    <row r="384" spans="1:63" outlineLevel="1">
      <c r="A384" s="9"/>
      <c r="B384" s="44"/>
      <c r="C384" s="128" t="str">
        <f>Asset19</f>
        <v>Furniture, fittings, plant and equipment</v>
      </c>
      <c r="D384" s="9"/>
      <c r="E384" s="9"/>
      <c r="F384" s="9"/>
      <c r="G384" s="194">
        <f>Input!M25</f>
        <v>1.2936175040192597</v>
      </c>
      <c r="H384" s="119"/>
      <c r="I384" s="119"/>
      <c r="J384" s="119"/>
      <c r="K384" s="119"/>
      <c r="L384" s="119"/>
      <c r="M384" s="105"/>
      <c r="N384" s="105"/>
      <c r="O384" s="105"/>
      <c r="P384" s="105"/>
      <c r="Q384" s="105"/>
      <c r="R384" s="105"/>
      <c r="S384" s="99"/>
      <c r="T384" s="105"/>
      <c r="U384" s="105"/>
      <c r="V384" s="105"/>
      <c r="W384" s="105"/>
      <c r="X384" s="105"/>
      <c r="Y384" s="105"/>
      <c r="Z384" s="105"/>
      <c r="AA384" s="213"/>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c r="BI384" s="213"/>
      <c r="BJ384" s="219"/>
      <c r="BK384" s="219"/>
    </row>
    <row r="385" spans="1:63" outlineLevel="1">
      <c r="A385" s="9"/>
      <c r="B385" s="44"/>
      <c r="C385" s="128" t="str">
        <f>Asset20</f>
        <v>Motor vehicles</v>
      </c>
      <c r="D385" s="9"/>
      <c r="E385" s="9"/>
      <c r="F385" s="9"/>
      <c r="G385" s="194">
        <f>Input!M26</f>
        <v>4.2215721726244322</v>
      </c>
      <c r="H385" s="119"/>
      <c r="I385" s="119"/>
      <c r="J385" s="119"/>
      <c r="K385" s="119"/>
      <c r="L385" s="119"/>
      <c r="M385" s="105"/>
      <c r="N385" s="105"/>
      <c r="O385" s="105"/>
      <c r="P385" s="105"/>
      <c r="Q385" s="105"/>
      <c r="R385" s="105"/>
      <c r="S385" s="99"/>
      <c r="T385" s="105"/>
      <c r="U385" s="105"/>
      <c r="V385" s="105"/>
      <c r="W385" s="105"/>
      <c r="X385" s="105"/>
      <c r="Y385" s="105"/>
      <c r="Z385" s="105"/>
      <c r="AA385" s="213"/>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c r="BI385" s="213"/>
      <c r="BJ385" s="219"/>
      <c r="BK385" s="219"/>
    </row>
    <row r="386" spans="1:63" outlineLevel="1">
      <c r="A386" s="9"/>
      <c r="B386" s="44"/>
      <c r="C386" s="128" t="str">
        <f>Asset21</f>
        <v>Buildings</v>
      </c>
      <c r="D386" s="9"/>
      <c r="E386" s="9"/>
      <c r="F386" s="9"/>
      <c r="G386" s="194">
        <f>Input!M27</f>
        <v>5.7630118543162778</v>
      </c>
      <c r="H386" s="119"/>
      <c r="I386" s="119"/>
      <c r="J386" s="119"/>
      <c r="K386" s="119"/>
      <c r="L386" s="119"/>
      <c r="M386" s="105"/>
      <c r="N386" s="105"/>
      <c r="O386" s="105"/>
      <c r="P386" s="105"/>
      <c r="Q386" s="105"/>
      <c r="R386" s="105"/>
      <c r="S386" s="99"/>
      <c r="T386" s="105"/>
      <c r="U386" s="105"/>
      <c r="V386" s="105"/>
      <c r="W386" s="105"/>
      <c r="X386" s="105"/>
      <c r="Y386" s="105"/>
      <c r="Z386" s="105"/>
      <c r="AA386" s="213"/>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c r="BI386" s="213"/>
      <c r="BJ386" s="219"/>
      <c r="BK386" s="219"/>
    </row>
    <row r="387" spans="1:63" outlineLevel="1">
      <c r="A387" s="9"/>
      <c r="B387" s="44"/>
      <c r="C387" s="128" t="str">
        <f>Asset22</f>
        <v>Land (non-system)</v>
      </c>
      <c r="D387" s="9"/>
      <c r="E387" s="9"/>
      <c r="F387" s="9"/>
      <c r="G387" s="194">
        <f>Input!M28</f>
        <v>2.1802380946309641</v>
      </c>
      <c r="H387" s="119"/>
      <c r="I387" s="119"/>
      <c r="J387" s="119"/>
      <c r="K387" s="119"/>
      <c r="L387" s="119"/>
      <c r="M387" s="105"/>
      <c r="N387" s="105"/>
      <c r="O387" s="105"/>
      <c r="P387" s="105"/>
      <c r="Q387" s="105"/>
      <c r="R387" s="105"/>
      <c r="S387" s="99"/>
      <c r="T387" s="105"/>
      <c r="U387" s="105"/>
      <c r="V387" s="105"/>
      <c r="W387" s="105"/>
      <c r="X387" s="105"/>
      <c r="Y387" s="105"/>
      <c r="Z387" s="105"/>
      <c r="AA387" s="213"/>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c r="BI387" s="213"/>
      <c r="BJ387" s="219"/>
      <c r="BK387" s="219"/>
    </row>
    <row r="388" spans="1:63" outlineLevel="1">
      <c r="A388" s="9"/>
      <c r="B388" s="44"/>
      <c r="C388" s="128" t="str">
        <f>Asset23</f>
        <v>Other non system assets</v>
      </c>
      <c r="D388" s="9"/>
      <c r="E388" s="9"/>
      <c r="F388" s="9"/>
      <c r="G388" s="194">
        <f>Input!M29</f>
        <v>4.9813479268057739</v>
      </c>
      <c r="H388" s="119"/>
      <c r="I388" s="119"/>
      <c r="J388" s="119"/>
      <c r="K388" s="119"/>
      <c r="L388" s="119"/>
      <c r="M388" s="105"/>
      <c r="N388" s="105"/>
      <c r="O388" s="105"/>
      <c r="P388" s="105"/>
      <c r="Q388" s="105"/>
      <c r="R388" s="105"/>
      <c r="S388" s="99"/>
      <c r="T388" s="105"/>
      <c r="U388" s="105"/>
      <c r="V388" s="105"/>
      <c r="W388" s="105"/>
      <c r="X388" s="105"/>
      <c r="Y388" s="105"/>
      <c r="Z388" s="105"/>
      <c r="AA388" s="213"/>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c r="BI388" s="213"/>
      <c r="BJ388" s="219"/>
      <c r="BK388" s="219"/>
    </row>
    <row r="389" spans="1:63" outlineLevel="1">
      <c r="A389" s="9"/>
      <c r="B389" s="44"/>
      <c r="C389" s="128" t="str">
        <f>Asset24</f>
        <v>Equity raising costs</v>
      </c>
      <c r="D389" s="9"/>
      <c r="E389" s="9"/>
      <c r="F389" s="9"/>
      <c r="G389" s="194">
        <f>Input!M30</f>
        <v>0</v>
      </c>
      <c r="H389" s="119"/>
      <c r="I389" s="119"/>
      <c r="J389" s="119"/>
      <c r="K389" s="119"/>
      <c r="L389" s="119"/>
      <c r="M389" s="105"/>
      <c r="N389" s="105"/>
      <c r="O389" s="105"/>
      <c r="P389" s="105"/>
      <c r="Q389" s="105"/>
      <c r="R389" s="105"/>
      <c r="S389" s="99"/>
      <c r="T389" s="105"/>
      <c r="U389" s="105"/>
      <c r="V389" s="105"/>
      <c r="W389" s="105"/>
      <c r="X389" s="105"/>
      <c r="Y389" s="105"/>
      <c r="Z389" s="105"/>
      <c r="AA389" s="213"/>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c r="BI389" s="213"/>
      <c r="BJ389" s="219"/>
      <c r="BK389" s="219"/>
    </row>
    <row r="390" spans="1:63" outlineLevel="1">
      <c r="A390" s="9"/>
      <c r="B390" s="44"/>
      <c r="C390" s="128">
        <f>Asset25</f>
        <v>0</v>
      </c>
      <c r="D390" s="9"/>
      <c r="E390" s="9"/>
      <c r="F390" s="9"/>
      <c r="G390" s="194">
        <f>Input!M31</f>
        <v>0</v>
      </c>
      <c r="H390" s="119"/>
      <c r="I390" s="119"/>
      <c r="J390" s="119"/>
      <c r="K390" s="119"/>
      <c r="L390" s="119"/>
      <c r="M390" s="105"/>
      <c r="N390" s="105"/>
      <c r="O390" s="105"/>
      <c r="P390" s="105"/>
      <c r="Q390" s="105"/>
      <c r="R390" s="105"/>
      <c r="S390" s="99"/>
      <c r="T390" s="105"/>
      <c r="U390" s="105"/>
      <c r="V390" s="105"/>
      <c r="W390" s="105"/>
      <c r="X390" s="105"/>
      <c r="Y390" s="105"/>
      <c r="Z390" s="105"/>
      <c r="AA390" s="213"/>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c r="BI390" s="213"/>
      <c r="BJ390" s="219"/>
      <c r="BK390" s="219"/>
    </row>
    <row r="391" spans="1:63" outlineLevel="1">
      <c r="A391" s="9"/>
      <c r="B391" s="44"/>
      <c r="C391" s="128">
        <f>Asset26</f>
        <v>0</v>
      </c>
      <c r="D391" s="9"/>
      <c r="E391" s="9"/>
      <c r="F391" s="9"/>
      <c r="G391" s="194">
        <f>Input!M32</f>
        <v>0</v>
      </c>
      <c r="H391" s="119"/>
      <c r="I391" s="119"/>
      <c r="J391" s="119"/>
      <c r="K391" s="119"/>
      <c r="L391" s="119"/>
      <c r="M391" s="105"/>
      <c r="N391" s="105"/>
      <c r="O391" s="105"/>
      <c r="P391" s="105"/>
      <c r="Q391" s="105"/>
      <c r="R391" s="105"/>
      <c r="S391" s="99"/>
      <c r="T391" s="105"/>
      <c r="U391" s="105"/>
      <c r="V391" s="105"/>
      <c r="W391" s="105"/>
      <c r="X391" s="105"/>
      <c r="Y391" s="105"/>
      <c r="Z391" s="105"/>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9"/>
      <c r="BK391" s="219"/>
    </row>
    <row r="392" spans="1:63" outlineLevel="1">
      <c r="A392" s="9"/>
      <c r="B392" s="44"/>
      <c r="C392" s="128">
        <f>Asset27</f>
        <v>0</v>
      </c>
      <c r="D392" s="9"/>
      <c r="E392" s="9"/>
      <c r="F392" s="9"/>
      <c r="G392" s="194">
        <f>Input!M33</f>
        <v>0</v>
      </c>
      <c r="H392" s="119"/>
      <c r="I392" s="119"/>
      <c r="J392" s="119"/>
      <c r="K392" s="119"/>
      <c r="L392" s="119"/>
      <c r="M392" s="105"/>
      <c r="N392" s="105"/>
      <c r="O392" s="105"/>
      <c r="P392" s="105"/>
      <c r="Q392" s="105"/>
      <c r="R392" s="105"/>
      <c r="S392" s="99"/>
      <c r="T392" s="105"/>
      <c r="U392" s="105"/>
      <c r="V392" s="105"/>
      <c r="W392" s="105"/>
      <c r="X392" s="105"/>
      <c r="Y392" s="105"/>
      <c r="Z392" s="105"/>
      <c r="AA392" s="213"/>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c r="BI392" s="213"/>
      <c r="BJ392" s="219"/>
      <c r="BK392" s="219"/>
    </row>
    <row r="393" spans="1:63" outlineLevel="1">
      <c r="A393" s="9"/>
      <c r="B393" s="44"/>
      <c r="C393" s="128">
        <f>Asset28</f>
        <v>0</v>
      </c>
      <c r="D393" s="9"/>
      <c r="E393" s="9"/>
      <c r="F393" s="9"/>
      <c r="G393" s="194">
        <f>Input!M34</f>
        <v>0</v>
      </c>
      <c r="H393" s="119"/>
      <c r="I393" s="119"/>
      <c r="J393" s="119"/>
      <c r="K393" s="119"/>
      <c r="L393" s="119"/>
      <c r="M393" s="105"/>
      <c r="N393" s="105"/>
      <c r="O393" s="105"/>
      <c r="P393" s="105"/>
      <c r="Q393" s="105"/>
      <c r="R393" s="105"/>
      <c r="S393" s="99"/>
      <c r="T393" s="105"/>
      <c r="U393" s="105"/>
      <c r="V393" s="105"/>
      <c r="W393" s="105"/>
      <c r="X393" s="105"/>
      <c r="Y393" s="105"/>
      <c r="Z393" s="105"/>
      <c r="AA393" s="213"/>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c r="BI393" s="213"/>
      <c r="BJ393" s="219"/>
      <c r="BK393" s="219"/>
    </row>
    <row r="394" spans="1:63" outlineLevel="1">
      <c r="A394" s="9"/>
      <c r="B394" s="44"/>
      <c r="C394" s="128">
        <f>Asset29</f>
        <v>0</v>
      </c>
      <c r="D394" s="9"/>
      <c r="E394" s="9"/>
      <c r="F394" s="9"/>
      <c r="G394" s="194">
        <f>Input!M35</f>
        <v>0</v>
      </c>
      <c r="H394" s="119"/>
      <c r="I394" s="119"/>
      <c r="J394" s="119"/>
      <c r="K394" s="119"/>
      <c r="L394" s="119"/>
      <c r="M394" s="105"/>
      <c r="N394" s="105"/>
      <c r="O394" s="105"/>
      <c r="P394" s="105"/>
      <c r="Q394" s="105"/>
      <c r="R394" s="105"/>
      <c r="S394" s="99"/>
      <c r="T394" s="105"/>
      <c r="U394" s="105"/>
      <c r="V394" s="105"/>
      <c r="W394" s="105"/>
      <c r="X394" s="105"/>
      <c r="Y394" s="105"/>
      <c r="Z394" s="105"/>
      <c r="AA394" s="213"/>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c r="BI394" s="213"/>
      <c r="BJ394" s="219"/>
      <c r="BK394" s="219"/>
    </row>
    <row r="395" spans="1:63" outlineLevel="1">
      <c r="A395" s="9"/>
      <c r="B395" s="44"/>
      <c r="C395" s="128">
        <f>Asset30</f>
        <v>0</v>
      </c>
      <c r="D395" s="9"/>
      <c r="E395" s="9"/>
      <c r="F395" s="9"/>
      <c r="G395" s="194">
        <f>Input!M36</f>
        <v>0</v>
      </c>
      <c r="H395" s="119"/>
      <c r="I395" s="119"/>
      <c r="J395" s="119"/>
      <c r="K395" s="119"/>
      <c r="L395" s="119"/>
      <c r="M395" s="105"/>
      <c r="N395" s="105"/>
      <c r="O395" s="105"/>
      <c r="P395" s="105"/>
      <c r="Q395" s="105"/>
      <c r="R395" s="105"/>
      <c r="S395" s="99"/>
      <c r="T395" s="105"/>
      <c r="U395" s="105"/>
      <c r="V395" s="105"/>
      <c r="W395" s="105"/>
      <c r="X395" s="105"/>
      <c r="Y395" s="105"/>
      <c r="Z395" s="105"/>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c r="BI395" s="213"/>
      <c r="BJ395" s="219"/>
      <c r="BK395" s="219"/>
    </row>
    <row r="396" spans="1:63">
      <c r="A396" s="9"/>
      <c r="B396" s="44"/>
      <c r="C396" s="112"/>
      <c r="D396" s="9"/>
      <c r="E396" s="9"/>
      <c r="F396" s="27"/>
      <c r="G396" s="195"/>
      <c r="H396" s="119"/>
      <c r="I396" s="119"/>
      <c r="J396" s="119"/>
      <c r="K396" s="119"/>
      <c r="L396" s="119"/>
      <c r="M396" s="105"/>
      <c r="N396" s="105"/>
      <c r="O396" s="105"/>
      <c r="P396" s="105"/>
      <c r="Q396" s="105"/>
      <c r="R396" s="105"/>
      <c r="S396" s="105"/>
      <c r="T396" s="105"/>
      <c r="U396" s="105"/>
      <c r="V396" s="105"/>
      <c r="W396" s="105"/>
      <c r="X396" s="105"/>
      <c r="Y396" s="105"/>
      <c r="Z396" s="105"/>
      <c r="AA396" s="213"/>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c r="BI396" s="213"/>
      <c r="BJ396" s="219"/>
      <c r="BK396" s="219"/>
    </row>
    <row r="397" spans="1:63">
      <c r="A397" s="9"/>
      <c r="B397" s="88" t="s">
        <v>72</v>
      </c>
      <c r="C397" s="11"/>
      <c r="D397" s="9"/>
      <c r="E397" s="9"/>
      <c r="F397" s="9"/>
      <c r="G397" s="192">
        <f>SUM(G398:G427)</f>
        <v>-16.015302228752656</v>
      </c>
      <c r="H397" s="119"/>
      <c r="I397" s="119"/>
      <c r="J397" s="119"/>
      <c r="K397" s="119"/>
      <c r="L397" s="119"/>
      <c r="M397" s="105"/>
      <c r="N397" s="105"/>
      <c r="O397" s="105"/>
      <c r="P397" s="105"/>
      <c r="Q397" s="105"/>
      <c r="R397" s="105"/>
      <c r="S397" s="105"/>
      <c r="T397" s="105"/>
      <c r="U397" s="105"/>
      <c r="V397" s="105"/>
      <c r="W397" s="105"/>
      <c r="X397" s="105"/>
      <c r="Y397" s="105"/>
      <c r="Z397" s="105"/>
      <c r="AA397" s="213"/>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c r="BI397" s="213"/>
      <c r="BJ397" s="219"/>
      <c r="BK397" s="219"/>
    </row>
    <row r="398" spans="1:63" ht="12.75" customHeight="1" outlineLevel="1">
      <c r="A398" s="9"/>
      <c r="B398" s="44"/>
      <c r="C398" s="128" t="str">
        <f>Asset1</f>
        <v>Transmission &amp; Zone land &amp; easements</v>
      </c>
      <c r="D398" s="9"/>
      <c r="E398" s="9"/>
      <c r="F398" s="27"/>
      <c r="G398" s="194">
        <f>-Input!N7</f>
        <v>5.4672861733410851</v>
      </c>
      <c r="H398" s="119"/>
      <c r="I398" s="119"/>
      <c r="J398" s="119"/>
      <c r="K398" s="119"/>
      <c r="L398" s="119"/>
      <c r="M398" s="105"/>
      <c r="N398" s="105"/>
      <c r="O398" s="105"/>
      <c r="P398" s="105"/>
      <c r="Q398" s="105"/>
      <c r="R398" s="105"/>
      <c r="S398" s="105"/>
      <c r="T398" s="105"/>
      <c r="U398" s="105"/>
      <c r="V398" s="105"/>
      <c r="W398" s="105"/>
      <c r="X398" s="105"/>
      <c r="Y398" s="105"/>
      <c r="Z398" s="105"/>
      <c r="AA398" s="213"/>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c r="BI398" s="213"/>
      <c r="BJ398" s="219"/>
      <c r="BK398" s="219"/>
    </row>
    <row r="399" spans="1:63" ht="12.75" customHeight="1" outlineLevel="1">
      <c r="A399" s="9"/>
      <c r="B399" s="44"/>
      <c r="C399" s="128" t="str">
        <f>Asset2</f>
        <v>Transmission buildings 132/66kV</v>
      </c>
      <c r="D399" s="9"/>
      <c r="E399" s="9"/>
      <c r="F399" s="27"/>
      <c r="G399" s="194">
        <f>-Input!N8</f>
        <v>-0.30509501915637138</v>
      </c>
      <c r="H399" s="119"/>
      <c r="I399" s="119"/>
      <c r="J399" s="119"/>
      <c r="K399" s="119"/>
      <c r="L399" s="119"/>
      <c r="M399" s="105"/>
      <c r="N399" s="105"/>
      <c r="O399" s="105"/>
      <c r="P399" s="105"/>
      <c r="Q399" s="105"/>
      <c r="R399" s="105"/>
      <c r="S399" s="105"/>
      <c r="T399" s="105"/>
      <c r="U399" s="105"/>
      <c r="V399" s="105"/>
      <c r="W399" s="105"/>
      <c r="X399" s="105"/>
      <c r="Y399" s="105"/>
      <c r="Z399" s="105"/>
      <c r="AA399" s="213"/>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c r="BI399" s="213"/>
      <c r="BJ399" s="219"/>
      <c r="BK399" s="219"/>
    </row>
    <row r="400" spans="1:63" ht="12.75" customHeight="1" outlineLevel="1">
      <c r="A400" s="9"/>
      <c r="B400" s="44"/>
      <c r="C400" s="128" t="str">
        <f>Asset3</f>
        <v>Zone buildings 132/66kV</v>
      </c>
      <c r="D400" s="9"/>
      <c r="E400" s="9"/>
      <c r="F400" s="27"/>
      <c r="G400" s="194">
        <f>-Input!N9</f>
        <v>0.1613304727981788</v>
      </c>
      <c r="H400" s="119"/>
      <c r="I400" s="119"/>
      <c r="J400" s="119"/>
      <c r="K400" s="119"/>
      <c r="L400" s="119"/>
      <c r="M400" s="105"/>
      <c r="N400" s="105"/>
      <c r="O400" s="105"/>
      <c r="P400" s="105"/>
      <c r="Q400" s="105"/>
      <c r="R400" s="105"/>
      <c r="S400" s="105"/>
      <c r="T400" s="105"/>
      <c r="U400" s="105"/>
      <c r="V400" s="105"/>
      <c r="W400" s="105"/>
      <c r="X400" s="105"/>
      <c r="Y400" s="105"/>
      <c r="Z400" s="105"/>
      <c r="AA400" s="213"/>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c r="BI400" s="213"/>
      <c r="BJ400" s="219"/>
      <c r="BK400" s="219"/>
    </row>
    <row r="401" spans="1:63" ht="12.75" customHeight="1" outlineLevel="1">
      <c r="A401" s="9"/>
      <c r="B401" s="44"/>
      <c r="C401" s="128" t="str">
        <f>Asset4</f>
        <v>Transmission transformers 132/66kV</v>
      </c>
      <c r="D401" s="9"/>
      <c r="E401" s="9"/>
      <c r="F401" s="27"/>
      <c r="G401" s="194">
        <f>-Input!N10</f>
        <v>-0.478556443670617</v>
      </c>
      <c r="H401" s="119"/>
      <c r="I401" s="119"/>
      <c r="J401" s="119"/>
      <c r="K401" s="119"/>
      <c r="L401" s="119"/>
      <c r="M401" s="105"/>
      <c r="N401" s="105"/>
      <c r="O401" s="105"/>
      <c r="P401" s="105"/>
      <c r="Q401" s="105"/>
      <c r="R401" s="105"/>
      <c r="S401" s="105"/>
      <c r="T401" s="105"/>
      <c r="U401" s="105"/>
      <c r="V401" s="105"/>
      <c r="W401" s="105"/>
      <c r="X401" s="105"/>
      <c r="Y401" s="105"/>
      <c r="Z401" s="105"/>
      <c r="AA401" s="213"/>
      <c r="AB401" s="213"/>
      <c r="AC401" s="213"/>
      <c r="AD401" s="213"/>
      <c r="AE401" s="213"/>
      <c r="AF401" s="213"/>
      <c r="AG401" s="213"/>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c r="BI401" s="213"/>
      <c r="BJ401" s="219"/>
      <c r="BK401" s="219"/>
    </row>
    <row r="402" spans="1:63" ht="12.75" customHeight="1" outlineLevel="1">
      <c r="A402" s="9"/>
      <c r="B402" s="44"/>
      <c r="C402" s="128" t="str">
        <f>Asset5</f>
        <v>Zone transformers 132/66kV</v>
      </c>
      <c r="D402" s="9"/>
      <c r="E402" s="9"/>
      <c r="F402" s="27"/>
      <c r="G402" s="194">
        <f>-Input!N11</f>
        <v>-0.13603890748107211</v>
      </c>
      <c r="H402" s="119"/>
      <c r="I402" s="119"/>
      <c r="J402" s="119"/>
      <c r="K402" s="119"/>
      <c r="L402" s="119"/>
      <c r="M402" s="105"/>
      <c r="N402" s="105"/>
      <c r="O402" s="105"/>
      <c r="P402" s="105"/>
      <c r="Q402" s="105"/>
      <c r="R402" s="105"/>
      <c r="S402" s="105"/>
      <c r="T402" s="105"/>
      <c r="U402" s="105"/>
      <c r="V402" s="105"/>
      <c r="W402" s="105"/>
      <c r="X402" s="105"/>
      <c r="Y402" s="105"/>
      <c r="Z402" s="105"/>
      <c r="AA402" s="213"/>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c r="BI402" s="213"/>
      <c r="BJ402" s="219"/>
      <c r="BK402" s="219"/>
    </row>
    <row r="403" spans="1:63" ht="12.75" customHeight="1" outlineLevel="1">
      <c r="A403" s="9"/>
      <c r="B403" s="44"/>
      <c r="C403" s="128" t="str">
        <f>Asset6</f>
        <v>Transmission substation equip 132/66kV</v>
      </c>
      <c r="D403" s="9"/>
      <c r="E403" s="9"/>
      <c r="F403" s="27"/>
      <c r="G403" s="194">
        <f>-Input!N12</f>
        <v>-2.3823654530317628</v>
      </c>
      <c r="H403" s="119"/>
      <c r="I403" s="119"/>
      <c r="J403" s="119"/>
      <c r="K403" s="119"/>
      <c r="L403" s="119"/>
      <c r="M403" s="105"/>
      <c r="N403" s="105"/>
      <c r="O403" s="105"/>
      <c r="P403" s="105"/>
      <c r="Q403" s="105"/>
      <c r="R403" s="105"/>
      <c r="S403" s="105"/>
      <c r="T403" s="105"/>
      <c r="U403" s="105"/>
      <c r="V403" s="105"/>
      <c r="W403" s="105"/>
      <c r="X403" s="105"/>
      <c r="Y403" s="105"/>
      <c r="Z403" s="105"/>
      <c r="AA403" s="213"/>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c r="BI403" s="213"/>
      <c r="BJ403" s="219"/>
      <c r="BK403" s="219"/>
    </row>
    <row r="404" spans="1:63" ht="12.75" customHeight="1" outlineLevel="1">
      <c r="A404" s="9"/>
      <c r="B404" s="44"/>
      <c r="C404" s="128" t="str">
        <f>Asset7</f>
        <v>Zone substation equip 132/66kV</v>
      </c>
      <c r="D404" s="9"/>
      <c r="E404" s="9"/>
      <c r="F404" s="27"/>
      <c r="G404" s="194">
        <f>-Input!N13</f>
        <v>-1.0028035229233665</v>
      </c>
      <c r="H404" s="119"/>
      <c r="I404" s="119"/>
      <c r="J404" s="119"/>
      <c r="K404" s="119"/>
      <c r="L404" s="119"/>
      <c r="M404" s="105"/>
      <c r="N404" s="105"/>
      <c r="O404" s="105"/>
      <c r="P404" s="105"/>
      <c r="Q404" s="105"/>
      <c r="R404" s="105"/>
      <c r="S404" s="105"/>
      <c r="T404" s="105"/>
      <c r="U404" s="105"/>
      <c r="V404" s="105"/>
      <c r="W404" s="105"/>
      <c r="X404" s="105"/>
      <c r="Y404" s="105"/>
      <c r="Z404" s="105"/>
      <c r="AA404" s="213"/>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c r="BI404" s="213"/>
      <c r="BJ404" s="219"/>
      <c r="BK404" s="219"/>
    </row>
    <row r="405" spans="1:63" ht="12.75" customHeight="1" outlineLevel="1">
      <c r="A405" s="9"/>
      <c r="B405" s="44"/>
      <c r="C405" s="128" t="str">
        <f>Asset8</f>
        <v>Transmission &amp; Zone emergency spares</v>
      </c>
      <c r="D405" s="9"/>
      <c r="E405" s="9"/>
      <c r="F405" s="27"/>
      <c r="G405" s="194">
        <f>-Input!N14</f>
        <v>-3.9937125400649198E-4</v>
      </c>
      <c r="H405" s="119"/>
      <c r="I405" s="119"/>
      <c r="J405" s="119"/>
      <c r="K405" s="119"/>
      <c r="L405" s="119"/>
      <c r="M405" s="105"/>
      <c r="N405" s="105"/>
      <c r="O405" s="105"/>
      <c r="P405" s="105"/>
      <c r="Q405" s="105"/>
      <c r="R405" s="105"/>
      <c r="S405" s="105"/>
      <c r="T405" s="105"/>
      <c r="U405" s="105"/>
      <c r="V405" s="105"/>
      <c r="W405" s="105"/>
      <c r="X405" s="105"/>
      <c r="Y405" s="105"/>
      <c r="Z405" s="105"/>
      <c r="AA405" s="213"/>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c r="BI405" s="213"/>
      <c r="BJ405" s="219"/>
      <c r="BK405" s="219"/>
    </row>
    <row r="406" spans="1:63" ht="12.75" customHeight="1" outlineLevel="1">
      <c r="A406" s="9"/>
      <c r="B406" s="44"/>
      <c r="C406" s="128" t="str">
        <f>Asset9</f>
        <v>Ancillary substation equipment (tx)</v>
      </c>
      <c r="D406" s="9"/>
      <c r="E406" s="9"/>
      <c r="F406" s="27"/>
      <c r="G406" s="194">
        <f>-Input!N15</f>
        <v>0</v>
      </c>
      <c r="H406" s="119"/>
      <c r="I406" s="119"/>
      <c r="J406" s="119"/>
      <c r="K406" s="119"/>
      <c r="L406" s="119"/>
      <c r="M406" s="105"/>
      <c r="N406" s="105"/>
      <c r="O406" s="105"/>
      <c r="P406" s="105"/>
      <c r="Q406" s="105"/>
      <c r="R406" s="105"/>
      <c r="S406" s="105"/>
      <c r="T406" s="105"/>
      <c r="U406" s="105"/>
      <c r="V406" s="105"/>
      <c r="W406" s="105"/>
      <c r="X406" s="105"/>
      <c r="Y406" s="105"/>
      <c r="Z406" s="105"/>
      <c r="AA406" s="213"/>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c r="BI406" s="213"/>
      <c r="BJ406" s="219"/>
      <c r="BK406" s="219"/>
    </row>
    <row r="407" spans="1:63" ht="12.75" customHeight="1" outlineLevel="1">
      <c r="A407" s="9"/>
      <c r="B407" s="44"/>
      <c r="C407" s="128" t="str">
        <f>Asset10</f>
        <v>132kV tower lines</v>
      </c>
      <c r="D407" s="9"/>
      <c r="E407" s="9"/>
      <c r="F407" s="27"/>
      <c r="G407" s="194">
        <f>-Input!N16</f>
        <v>-0.38198469324474921</v>
      </c>
      <c r="H407" s="119"/>
      <c r="I407" s="119"/>
      <c r="J407" s="119"/>
      <c r="K407" s="119"/>
      <c r="L407" s="119"/>
      <c r="M407" s="105"/>
      <c r="N407" s="105"/>
      <c r="O407" s="105"/>
      <c r="P407" s="105"/>
      <c r="Q407" s="105"/>
      <c r="R407" s="105"/>
      <c r="S407" s="105"/>
      <c r="T407" s="105"/>
      <c r="U407" s="105"/>
      <c r="V407" s="105"/>
      <c r="W407" s="105"/>
      <c r="X407" s="105"/>
      <c r="Y407" s="105"/>
      <c r="Z407" s="105"/>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c r="BI407" s="213"/>
      <c r="BJ407" s="219"/>
      <c r="BK407" s="219"/>
    </row>
    <row r="408" spans="1:63" ht="12.75" customHeight="1" outlineLevel="1">
      <c r="A408" s="9"/>
      <c r="B408" s="44"/>
      <c r="C408" s="128" t="str">
        <f>Asset11</f>
        <v>132kV concrete &amp; steel pole lines</v>
      </c>
      <c r="D408" s="9"/>
      <c r="E408" s="9"/>
      <c r="F408" s="27"/>
      <c r="G408" s="194">
        <f>-Input!N17</f>
        <v>7.7769921878411419E-3</v>
      </c>
      <c r="H408" s="119"/>
      <c r="I408" s="119"/>
      <c r="J408" s="119"/>
      <c r="K408" s="119"/>
      <c r="L408" s="119"/>
      <c r="M408" s="105"/>
      <c r="N408" s="105"/>
      <c r="O408" s="105"/>
      <c r="P408" s="105"/>
      <c r="Q408" s="105"/>
      <c r="R408" s="105"/>
      <c r="S408" s="105"/>
      <c r="T408" s="105"/>
      <c r="U408" s="105"/>
      <c r="V408" s="105"/>
      <c r="W408" s="105"/>
      <c r="X408" s="105"/>
      <c r="Y408" s="105"/>
      <c r="Z408" s="105"/>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c r="BI408" s="213"/>
      <c r="BJ408" s="219"/>
      <c r="BK408" s="219"/>
    </row>
    <row r="409" spans="1:63" ht="12.75" customHeight="1" outlineLevel="1">
      <c r="A409" s="9"/>
      <c r="B409" s="44"/>
      <c r="C409" s="128" t="str">
        <f>Asset12</f>
        <v>132kV wood pole lines</v>
      </c>
      <c r="D409" s="9"/>
      <c r="E409" s="9"/>
      <c r="F409" s="27"/>
      <c r="G409" s="194">
        <f>-Input!N18</f>
        <v>-0.80312515595831624</v>
      </c>
      <c r="H409" s="119"/>
      <c r="I409" s="119"/>
      <c r="J409" s="119"/>
      <c r="K409" s="119"/>
      <c r="L409" s="119"/>
      <c r="M409" s="105"/>
      <c r="N409" s="105"/>
      <c r="O409" s="105"/>
      <c r="P409" s="105"/>
      <c r="Q409" s="105"/>
      <c r="R409" s="105"/>
      <c r="S409" s="105"/>
      <c r="T409" s="105"/>
      <c r="U409" s="105"/>
      <c r="V409" s="105"/>
      <c r="W409" s="105"/>
      <c r="X409" s="105"/>
      <c r="Y409" s="105"/>
      <c r="Z409" s="105"/>
      <c r="AA409" s="213"/>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c r="BI409" s="213"/>
      <c r="BJ409" s="219"/>
      <c r="BK409" s="219"/>
    </row>
    <row r="410" spans="1:63" ht="12.75" customHeight="1" outlineLevel="1">
      <c r="A410" s="9"/>
      <c r="B410" s="44"/>
      <c r="C410" s="128" t="str">
        <f>Asset13</f>
        <v>132kV feeders underground</v>
      </c>
      <c r="D410" s="9"/>
      <c r="E410" s="9"/>
      <c r="F410" s="27"/>
      <c r="G410" s="194">
        <f>-Input!N19</f>
        <v>-7.7749547670939325</v>
      </c>
      <c r="H410" s="119"/>
      <c r="I410" s="119"/>
      <c r="J410" s="119"/>
      <c r="K410" s="119"/>
      <c r="L410" s="119"/>
      <c r="M410" s="105"/>
      <c r="N410" s="105"/>
      <c r="O410" s="105"/>
      <c r="P410" s="105"/>
      <c r="Q410" s="105"/>
      <c r="R410" s="105"/>
      <c r="S410" s="105"/>
      <c r="T410" s="105"/>
      <c r="U410" s="105"/>
      <c r="V410" s="105"/>
      <c r="W410" s="105"/>
      <c r="X410" s="105"/>
      <c r="Y410" s="105"/>
      <c r="Z410" s="105"/>
      <c r="AA410" s="213"/>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c r="BI410" s="213"/>
      <c r="BJ410" s="219"/>
      <c r="BK410" s="219"/>
    </row>
    <row r="411" spans="1:63" ht="12.75" customHeight="1" outlineLevel="1">
      <c r="A411" s="9"/>
      <c r="B411" s="44"/>
      <c r="C411" s="128" t="str">
        <f>Asset14</f>
        <v>Cable tunnel (tx)</v>
      </c>
      <c r="D411" s="9"/>
      <c r="E411" s="9"/>
      <c r="F411" s="27"/>
      <c r="G411" s="194">
        <f>-Input!N20</f>
        <v>9.7707393625144773E-2</v>
      </c>
      <c r="H411" s="119"/>
      <c r="I411" s="119"/>
      <c r="J411" s="119"/>
      <c r="K411" s="119"/>
      <c r="L411" s="119"/>
      <c r="M411" s="105"/>
      <c r="N411" s="105"/>
      <c r="O411" s="105"/>
      <c r="P411" s="105"/>
      <c r="Q411" s="105"/>
      <c r="R411" s="105"/>
      <c r="S411" s="105"/>
      <c r="T411" s="105"/>
      <c r="U411" s="105"/>
      <c r="V411" s="105"/>
      <c r="W411" s="105"/>
      <c r="X411" s="105"/>
      <c r="Y411" s="105"/>
      <c r="Z411" s="105"/>
      <c r="AA411" s="213"/>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c r="BI411" s="213"/>
      <c r="BJ411" s="219"/>
      <c r="BK411" s="219"/>
    </row>
    <row r="412" spans="1:63" ht="12.75" customHeight="1" outlineLevel="1">
      <c r="A412" s="9"/>
      <c r="B412" s="44"/>
      <c r="C412" s="128" t="str">
        <f>Asset15</f>
        <v>Network control &amp; com systems</v>
      </c>
      <c r="D412" s="9"/>
      <c r="E412" s="9"/>
      <c r="F412" s="27"/>
      <c r="G412" s="194">
        <f>-Input!N21</f>
        <v>-1.0058418220254572</v>
      </c>
      <c r="H412" s="119"/>
      <c r="I412" s="119"/>
      <c r="J412" s="119"/>
      <c r="K412" s="119"/>
      <c r="L412" s="119"/>
      <c r="M412" s="105"/>
      <c r="N412" s="105"/>
      <c r="O412" s="105"/>
      <c r="P412" s="105"/>
      <c r="Q412" s="105"/>
      <c r="R412" s="105"/>
      <c r="S412" s="105"/>
      <c r="T412" s="105"/>
      <c r="U412" s="105"/>
      <c r="V412" s="105"/>
      <c r="W412" s="105"/>
      <c r="X412" s="105"/>
      <c r="Y412" s="105"/>
      <c r="Z412" s="105"/>
      <c r="AA412" s="213"/>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c r="BI412" s="213"/>
      <c r="BJ412" s="219"/>
      <c r="BK412" s="219"/>
    </row>
    <row r="413" spans="1:63" ht="12.75" customHeight="1" outlineLevel="1">
      <c r="A413" s="9"/>
      <c r="B413" s="44"/>
      <c r="C413" s="128" t="str">
        <f>Asset16</f>
        <v>Communications (digital) - tx</v>
      </c>
      <c r="D413" s="9"/>
      <c r="E413" s="9"/>
      <c r="F413" s="27"/>
      <c r="G413" s="194">
        <f>-Input!N22</f>
        <v>0</v>
      </c>
      <c r="H413" s="119"/>
      <c r="I413" s="119"/>
      <c r="J413" s="119"/>
      <c r="K413" s="119"/>
      <c r="L413" s="119"/>
      <c r="M413" s="105"/>
      <c r="N413" s="105"/>
      <c r="O413" s="105"/>
      <c r="P413" s="105"/>
      <c r="Q413" s="105"/>
      <c r="R413" s="105"/>
      <c r="S413" s="105"/>
      <c r="T413" s="105"/>
      <c r="U413" s="105"/>
      <c r="V413" s="105"/>
      <c r="W413" s="105"/>
      <c r="X413" s="105"/>
      <c r="Y413" s="105"/>
      <c r="Z413" s="105"/>
      <c r="AA413" s="213"/>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c r="BI413" s="213"/>
      <c r="BJ413" s="219"/>
      <c r="BK413" s="219"/>
    </row>
    <row r="414" spans="1:63" ht="12.75" customHeight="1" outlineLevel="1">
      <c r="A414" s="9"/>
      <c r="B414" s="44"/>
      <c r="C414" s="128" t="str">
        <f>Asset17</f>
        <v>System IT (tx)</v>
      </c>
      <c r="D414" s="9"/>
      <c r="E414" s="9"/>
      <c r="F414" s="27"/>
      <c r="G414" s="194">
        <f>-Input!N23</f>
        <v>0</v>
      </c>
      <c r="H414" s="119"/>
      <c r="I414" s="119"/>
      <c r="J414" s="119"/>
      <c r="K414" s="119"/>
      <c r="L414" s="119"/>
      <c r="M414" s="105"/>
      <c r="N414" s="105"/>
      <c r="O414" s="105"/>
      <c r="P414" s="105"/>
      <c r="Q414" s="105"/>
      <c r="R414" s="105"/>
      <c r="S414" s="105"/>
      <c r="T414" s="105"/>
      <c r="U414" s="105"/>
      <c r="V414" s="105"/>
      <c r="W414" s="105"/>
      <c r="X414" s="105"/>
      <c r="Y414" s="105"/>
      <c r="Z414" s="105"/>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c r="BI414" s="213"/>
      <c r="BJ414" s="219"/>
      <c r="BK414" s="219"/>
    </row>
    <row r="415" spans="1:63" ht="12.75" customHeight="1" outlineLevel="1">
      <c r="A415" s="9"/>
      <c r="B415" s="44"/>
      <c r="C415" s="128" t="str">
        <f>Asset18</f>
        <v>IT systems</v>
      </c>
      <c r="D415" s="9"/>
      <c r="E415" s="9"/>
      <c r="F415" s="27"/>
      <c r="G415" s="194">
        <f>-Input!N24</f>
        <v>-1.7153405741005863</v>
      </c>
      <c r="H415" s="119"/>
      <c r="I415" s="119"/>
      <c r="J415" s="119"/>
      <c r="K415" s="119"/>
      <c r="L415" s="119"/>
      <c r="M415" s="105"/>
      <c r="N415" s="105"/>
      <c r="O415" s="105"/>
      <c r="P415" s="105"/>
      <c r="Q415" s="105"/>
      <c r="R415" s="105"/>
      <c r="S415" s="105"/>
      <c r="T415" s="105"/>
      <c r="U415" s="105"/>
      <c r="V415" s="105"/>
      <c r="W415" s="105"/>
      <c r="X415" s="105"/>
      <c r="Y415" s="105"/>
      <c r="Z415" s="105"/>
      <c r="AA415" s="213"/>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c r="BI415" s="213"/>
      <c r="BJ415" s="219"/>
      <c r="BK415" s="219"/>
    </row>
    <row r="416" spans="1:63" ht="12.75" customHeight="1" outlineLevel="1">
      <c r="A416" s="9"/>
      <c r="B416" s="44"/>
      <c r="C416" s="128" t="str">
        <f>Asset19</f>
        <v>Furniture, fittings, plant and equipment</v>
      </c>
      <c r="D416" s="9"/>
      <c r="E416" s="9"/>
      <c r="F416" s="27"/>
      <c r="G416" s="194">
        <f>-Input!N25</f>
        <v>-0.40428801570968126</v>
      </c>
      <c r="H416" s="119"/>
      <c r="I416" s="119"/>
      <c r="J416" s="119"/>
      <c r="K416" s="119"/>
      <c r="L416" s="119"/>
      <c r="M416" s="105"/>
      <c r="N416" s="105"/>
      <c r="O416" s="105"/>
      <c r="P416" s="105"/>
      <c r="Q416" s="105"/>
      <c r="R416" s="105"/>
      <c r="S416" s="105"/>
      <c r="T416" s="105"/>
      <c r="U416" s="105"/>
      <c r="V416" s="105"/>
      <c r="W416" s="105"/>
      <c r="X416" s="105"/>
      <c r="Y416" s="105"/>
      <c r="Z416" s="105"/>
      <c r="AA416" s="213"/>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c r="BI416" s="213"/>
      <c r="BJ416" s="219"/>
      <c r="BK416" s="219"/>
    </row>
    <row r="417" spans="1:63" ht="12.75" customHeight="1" outlineLevel="1">
      <c r="A417" s="9"/>
      <c r="B417" s="44"/>
      <c r="C417" s="128" t="str">
        <f>Asset20</f>
        <v>Motor vehicles</v>
      </c>
      <c r="D417" s="9"/>
      <c r="E417" s="9"/>
      <c r="F417" s="27"/>
      <c r="G417" s="194">
        <f>-Input!N26</f>
        <v>-1.3193475131116728</v>
      </c>
      <c r="H417" s="119"/>
      <c r="I417" s="119"/>
      <c r="J417" s="119"/>
      <c r="K417" s="119"/>
      <c r="L417" s="119"/>
      <c r="M417" s="105"/>
      <c r="N417" s="105"/>
      <c r="O417" s="105"/>
      <c r="P417" s="105"/>
      <c r="Q417" s="105"/>
      <c r="R417" s="105"/>
      <c r="S417" s="105"/>
      <c r="T417" s="105"/>
      <c r="U417" s="105"/>
      <c r="V417" s="105"/>
      <c r="W417" s="105"/>
      <c r="X417" s="105"/>
      <c r="Y417" s="105"/>
      <c r="Z417" s="105"/>
      <c r="AA417" s="213"/>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c r="BI417" s="213"/>
      <c r="BJ417" s="219"/>
      <c r="BK417" s="219"/>
    </row>
    <row r="418" spans="1:63" ht="12.75" customHeight="1" outlineLevel="1">
      <c r="A418" s="9"/>
      <c r="B418" s="44"/>
      <c r="C418" s="128" t="str">
        <f>Asset21</f>
        <v>Buildings</v>
      </c>
      <c r="D418" s="9"/>
      <c r="E418" s="9"/>
      <c r="F418" s="27"/>
      <c r="G418" s="194">
        <f>-Input!N27</f>
        <v>-1.801086194221913</v>
      </c>
      <c r="H418" s="119"/>
      <c r="I418" s="119"/>
      <c r="J418" s="119"/>
      <c r="K418" s="119"/>
      <c r="L418" s="119"/>
      <c r="M418" s="105"/>
      <c r="N418" s="105"/>
      <c r="O418" s="105"/>
      <c r="P418" s="105"/>
      <c r="Q418" s="105"/>
      <c r="R418" s="105"/>
      <c r="S418" s="105"/>
      <c r="T418" s="105"/>
      <c r="U418" s="105"/>
      <c r="V418" s="105"/>
      <c r="W418" s="105"/>
      <c r="X418" s="105"/>
      <c r="Y418" s="105"/>
      <c r="Z418" s="105"/>
      <c r="AA418" s="213"/>
      <c r="AB418" s="213"/>
      <c r="AC418" s="213"/>
      <c r="AD418" s="213"/>
      <c r="AE418" s="213"/>
      <c r="AF418" s="213"/>
      <c r="AG418" s="213"/>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c r="BI418" s="213"/>
      <c r="BJ418" s="219"/>
      <c r="BK418" s="219"/>
    </row>
    <row r="419" spans="1:63" ht="12.75" customHeight="1" outlineLevel="1">
      <c r="A419" s="9"/>
      <c r="B419" s="44"/>
      <c r="C419" s="128" t="str">
        <f>Asset22</f>
        <v>Land (non-system)</v>
      </c>
      <c r="D419" s="9"/>
      <c r="E419" s="9"/>
      <c r="F419" s="27"/>
      <c r="G419" s="194">
        <f>-Input!N28</f>
        <v>-0.6813792564760206</v>
      </c>
      <c r="H419" s="119"/>
      <c r="I419" s="119"/>
      <c r="J419" s="119"/>
      <c r="K419" s="119"/>
      <c r="L419" s="119"/>
      <c r="M419" s="105"/>
      <c r="N419" s="105"/>
      <c r="O419" s="105"/>
      <c r="P419" s="105"/>
      <c r="Q419" s="105"/>
      <c r="R419" s="105"/>
      <c r="S419" s="105"/>
      <c r="T419" s="105"/>
      <c r="U419" s="105"/>
      <c r="V419" s="105"/>
      <c r="W419" s="105"/>
      <c r="X419" s="105"/>
      <c r="Y419" s="105"/>
      <c r="Z419" s="105"/>
      <c r="AA419" s="213"/>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c r="BI419" s="213"/>
      <c r="BJ419" s="219"/>
      <c r="BK419" s="219"/>
    </row>
    <row r="420" spans="1:63" ht="12.75" customHeight="1" outlineLevel="1">
      <c r="A420" s="9"/>
      <c r="B420" s="44"/>
      <c r="C420" s="128" t="str">
        <f>Asset23</f>
        <v>Other non system assets</v>
      </c>
      <c r="D420" s="9"/>
      <c r="E420" s="9"/>
      <c r="F420" s="27"/>
      <c r="G420" s="194">
        <f>-Input!N29</f>
        <v>-1.5567965512453807</v>
      </c>
      <c r="H420" s="119"/>
      <c r="I420" s="119"/>
      <c r="J420" s="119"/>
      <c r="K420" s="119"/>
      <c r="L420" s="119"/>
      <c r="M420" s="105"/>
      <c r="N420" s="105"/>
      <c r="O420" s="105"/>
      <c r="P420" s="105"/>
      <c r="Q420" s="105"/>
      <c r="R420" s="105"/>
      <c r="S420" s="105"/>
      <c r="T420" s="105"/>
      <c r="U420" s="105"/>
      <c r="V420" s="105"/>
      <c r="W420" s="105"/>
      <c r="X420" s="105"/>
      <c r="Y420" s="105"/>
      <c r="Z420" s="105"/>
      <c r="AA420" s="213"/>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c r="BI420" s="213"/>
      <c r="BJ420" s="219"/>
      <c r="BK420" s="219"/>
    </row>
    <row r="421" spans="1:63" ht="12.75" customHeight="1" outlineLevel="1">
      <c r="A421" s="9"/>
      <c r="B421" s="44"/>
      <c r="C421" s="128" t="str">
        <f>Asset24</f>
        <v>Equity raising costs</v>
      </c>
      <c r="D421" s="9"/>
      <c r="E421" s="9"/>
      <c r="F421" s="27"/>
      <c r="G421" s="194">
        <f>-Input!N30</f>
        <v>0</v>
      </c>
      <c r="H421" s="119"/>
      <c r="I421" s="119"/>
      <c r="J421" s="119"/>
      <c r="K421" s="119"/>
      <c r="L421" s="119"/>
      <c r="M421" s="105"/>
      <c r="N421" s="105"/>
      <c r="O421" s="105"/>
      <c r="P421" s="105"/>
      <c r="Q421" s="105"/>
      <c r="R421" s="105"/>
      <c r="S421" s="105"/>
      <c r="T421" s="105"/>
      <c r="U421" s="105"/>
      <c r="V421" s="105"/>
      <c r="W421" s="105"/>
      <c r="X421" s="105"/>
      <c r="Y421" s="105"/>
      <c r="Z421" s="105"/>
      <c r="AA421" s="213"/>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c r="BI421" s="213"/>
      <c r="BJ421" s="219"/>
      <c r="BK421" s="219"/>
    </row>
    <row r="422" spans="1:63" ht="12.75" customHeight="1" outlineLevel="1">
      <c r="A422" s="9"/>
      <c r="B422" s="44"/>
      <c r="C422" s="128">
        <f>Asset25</f>
        <v>0</v>
      </c>
      <c r="D422" s="9"/>
      <c r="E422" s="9"/>
      <c r="F422" s="27"/>
      <c r="G422" s="194">
        <f>-Input!N31</f>
        <v>0</v>
      </c>
      <c r="H422" s="119"/>
      <c r="I422" s="119"/>
      <c r="J422" s="119"/>
      <c r="K422" s="119"/>
      <c r="L422" s="119"/>
      <c r="M422" s="105"/>
      <c r="N422" s="105"/>
      <c r="O422" s="105"/>
      <c r="P422" s="105"/>
      <c r="Q422" s="105"/>
      <c r="R422" s="105"/>
      <c r="S422" s="105"/>
      <c r="T422" s="105"/>
      <c r="U422" s="105"/>
      <c r="V422" s="105"/>
      <c r="W422" s="105"/>
      <c r="X422" s="105"/>
      <c r="Y422" s="105"/>
      <c r="Z422" s="105"/>
      <c r="AA422" s="213"/>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c r="BI422" s="213"/>
      <c r="BJ422" s="219"/>
      <c r="BK422" s="219"/>
    </row>
    <row r="423" spans="1:63" ht="12.75" customHeight="1" outlineLevel="1">
      <c r="A423" s="9"/>
      <c r="B423" s="44"/>
      <c r="C423" s="128">
        <f>Asset26</f>
        <v>0</v>
      </c>
      <c r="D423" s="9"/>
      <c r="E423" s="9"/>
      <c r="F423" s="27"/>
      <c r="G423" s="194">
        <f>-Input!N32</f>
        <v>0</v>
      </c>
      <c r="H423" s="119"/>
      <c r="I423" s="119"/>
      <c r="J423" s="119"/>
      <c r="K423" s="119"/>
      <c r="L423" s="119"/>
      <c r="M423" s="105"/>
      <c r="N423" s="105"/>
      <c r="O423" s="105"/>
      <c r="P423" s="105"/>
      <c r="Q423" s="105"/>
      <c r="R423" s="105"/>
      <c r="S423" s="105"/>
      <c r="T423" s="105"/>
      <c r="U423" s="105"/>
      <c r="V423" s="105"/>
      <c r="W423" s="105"/>
      <c r="X423" s="105"/>
      <c r="Y423" s="105"/>
      <c r="Z423" s="105"/>
      <c r="AA423" s="213"/>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c r="BI423" s="213"/>
      <c r="BJ423" s="219"/>
      <c r="BK423" s="219"/>
    </row>
    <row r="424" spans="1:63" ht="12.75" customHeight="1" outlineLevel="1">
      <c r="A424" s="9"/>
      <c r="B424" s="44"/>
      <c r="C424" s="128">
        <f>Asset27</f>
        <v>0</v>
      </c>
      <c r="D424" s="9"/>
      <c r="E424" s="9"/>
      <c r="F424" s="27"/>
      <c r="G424" s="194">
        <f>-Input!N33</f>
        <v>0</v>
      </c>
      <c r="H424" s="119"/>
      <c r="I424" s="119"/>
      <c r="J424" s="119"/>
      <c r="K424" s="119"/>
      <c r="L424" s="119"/>
      <c r="M424" s="105"/>
      <c r="N424" s="105"/>
      <c r="O424" s="105"/>
      <c r="P424" s="105"/>
      <c r="Q424" s="105"/>
      <c r="R424" s="105"/>
      <c r="S424" s="105"/>
      <c r="T424" s="105"/>
      <c r="U424" s="105"/>
      <c r="V424" s="105"/>
      <c r="W424" s="105"/>
      <c r="X424" s="105"/>
      <c r="Y424" s="105"/>
      <c r="Z424" s="105"/>
      <c r="AA424" s="213"/>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c r="BI424" s="213"/>
      <c r="BJ424" s="219"/>
      <c r="BK424" s="219"/>
    </row>
    <row r="425" spans="1:63" ht="12.75" customHeight="1" outlineLevel="1">
      <c r="A425" s="9"/>
      <c r="B425" s="44"/>
      <c r="C425" s="128">
        <f>Asset28</f>
        <v>0</v>
      </c>
      <c r="D425" s="9"/>
      <c r="E425" s="9"/>
      <c r="F425" s="27"/>
      <c r="G425" s="194">
        <f>-Input!N34</f>
        <v>0</v>
      </c>
      <c r="H425" s="119"/>
      <c r="I425" s="119"/>
      <c r="J425" s="119"/>
      <c r="K425" s="119"/>
      <c r="L425" s="119"/>
      <c r="M425" s="105"/>
      <c r="N425" s="105"/>
      <c r="O425" s="105"/>
      <c r="P425" s="105"/>
      <c r="Q425" s="105"/>
      <c r="R425" s="105"/>
      <c r="S425" s="105"/>
      <c r="T425" s="105"/>
      <c r="U425" s="105"/>
      <c r="V425" s="105"/>
      <c r="W425" s="105"/>
      <c r="X425" s="105"/>
      <c r="Y425" s="105"/>
      <c r="Z425" s="105"/>
      <c r="AA425" s="213"/>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c r="BI425" s="213"/>
      <c r="BJ425" s="219"/>
      <c r="BK425" s="219"/>
    </row>
    <row r="426" spans="1:63" ht="12.75" customHeight="1" outlineLevel="1">
      <c r="A426" s="9"/>
      <c r="B426" s="44"/>
      <c r="C426" s="128">
        <f>Asset29</f>
        <v>0</v>
      </c>
      <c r="D426" s="9"/>
      <c r="E426" s="9"/>
      <c r="F426" s="27"/>
      <c r="G426" s="194">
        <f>-Input!N35</f>
        <v>0</v>
      </c>
      <c r="H426" s="119"/>
      <c r="I426" s="119"/>
      <c r="J426" s="119"/>
      <c r="K426" s="119"/>
      <c r="L426" s="119"/>
      <c r="M426" s="105"/>
      <c r="N426" s="105"/>
      <c r="O426" s="105"/>
      <c r="P426" s="105"/>
      <c r="Q426" s="105"/>
      <c r="R426" s="105"/>
      <c r="S426" s="105"/>
      <c r="T426" s="105"/>
      <c r="U426" s="105"/>
      <c r="V426" s="105"/>
      <c r="W426" s="105"/>
      <c r="X426" s="105"/>
      <c r="Y426" s="105"/>
      <c r="Z426" s="105"/>
      <c r="AA426" s="213"/>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c r="BI426" s="213"/>
      <c r="BJ426" s="219"/>
      <c r="BK426" s="219"/>
    </row>
    <row r="427" spans="1:63" ht="12.75" customHeight="1" outlineLevel="1">
      <c r="A427" s="9"/>
      <c r="B427" s="44"/>
      <c r="C427" s="128">
        <f>Asset30</f>
        <v>0</v>
      </c>
      <c r="D427" s="9"/>
      <c r="E427" s="9"/>
      <c r="F427" s="27"/>
      <c r="G427" s="194">
        <f>-Input!N36</f>
        <v>0</v>
      </c>
      <c r="H427" s="119"/>
      <c r="I427" s="119"/>
      <c r="J427" s="119"/>
      <c r="K427" s="119"/>
      <c r="L427" s="119"/>
      <c r="M427" s="105"/>
      <c r="N427" s="105"/>
      <c r="O427" s="105"/>
      <c r="P427" s="105"/>
      <c r="Q427" s="105"/>
      <c r="R427" s="105"/>
      <c r="S427" s="105"/>
      <c r="T427" s="105"/>
      <c r="U427" s="105"/>
      <c r="V427" s="105"/>
      <c r="W427" s="105"/>
      <c r="X427" s="105"/>
      <c r="Y427" s="105"/>
      <c r="Z427" s="105"/>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c r="BI427" s="213"/>
      <c r="BJ427" s="219"/>
      <c r="BK427" s="219"/>
    </row>
    <row r="428" spans="1:63">
      <c r="A428" s="9"/>
      <c r="B428" s="44"/>
      <c r="C428" s="128"/>
      <c r="D428" s="9"/>
      <c r="E428" s="9"/>
      <c r="F428" s="27"/>
      <c r="G428" s="195"/>
      <c r="H428" s="119"/>
      <c r="I428" s="119"/>
      <c r="J428" s="119"/>
      <c r="K428" s="119"/>
      <c r="L428" s="119"/>
      <c r="M428" s="105"/>
      <c r="N428" s="105"/>
      <c r="O428" s="105"/>
      <c r="P428" s="105"/>
      <c r="Q428" s="105"/>
      <c r="R428" s="105"/>
      <c r="S428" s="105"/>
      <c r="T428" s="105"/>
      <c r="U428" s="105"/>
      <c r="V428" s="105"/>
      <c r="W428" s="105"/>
      <c r="X428" s="105"/>
      <c r="Y428" s="105"/>
      <c r="Z428" s="105"/>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c r="BI428" s="213"/>
      <c r="BJ428" s="219"/>
      <c r="BK428" s="219"/>
    </row>
    <row r="429" spans="1:63">
      <c r="A429" s="9"/>
      <c r="B429" s="44" t="s">
        <v>53</v>
      </c>
      <c r="C429" s="128"/>
      <c r="D429" s="9"/>
      <c r="E429" s="9"/>
      <c r="F429" s="139"/>
      <c r="G429" s="193">
        <f>SUM(G430:G459)</f>
        <v>0</v>
      </c>
      <c r="H429" s="119"/>
      <c r="I429" s="119"/>
      <c r="J429" s="119"/>
      <c r="K429" s="119"/>
      <c r="L429" s="119"/>
      <c r="M429" s="105"/>
      <c r="N429" s="105"/>
      <c r="O429" s="105"/>
      <c r="P429" s="105"/>
      <c r="Q429" s="105"/>
      <c r="R429" s="105"/>
      <c r="S429" s="105"/>
      <c r="T429" s="105"/>
      <c r="U429" s="105"/>
      <c r="V429" s="105"/>
      <c r="W429" s="105"/>
      <c r="X429" s="105"/>
      <c r="Y429" s="105"/>
      <c r="Z429" s="105"/>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c r="BI429" s="213"/>
      <c r="BJ429" s="219"/>
      <c r="BK429" s="219"/>
    </row>
    <row r="430" spans="1:63" outlineLevel="1">
      <c r="A430" s="9"/>
      <c r="B430" s="9"/>
      <c r="C430" s="128" t="str">
        <f>Asset1</f>
        <v>Transmission &amp; Zone land &amp; easements</v>
      </c>
      <c r="D430" s="9"/>
      <c r="E430" s="9"/>
      <c r="F430" s="139"/>
      <c r="G430" s="191">
        <f>Input!O7</f>
        <v>0</v>
      </c>
      <c r="H430" s="119"/>
      <c r="I430" s="119"/>
      <c r="J430" s="119"/>
      <c r="K430" s="119"/>
      <c r="L430" s="119"/>
      <c r="M430" s="105"/>
      <c r="N430" s="105"/>
      <c r="O430" s="105"/>
      <c r="P430" s="105"/>
      <c r="Q430" s="105"/>
      <c r="R430" s="105"/>
      <c r="S430" s="105"/>
      <c r="T430" s="105"/>
      <c r="U430" s="105"/>
      <c r="V430" s="105"/>
      <c r="W430" s="105"/>
      <c r="X430" s="105"/>
      <c r="Y430" s="105"/>
      <c r="Z430" s="105"/>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c r="BI430" s="213"/>
      <c r="BJ430" s="219"/>
      <c r="BK430" s="219"/>
    </row>
    <row r="431" spans="1:63" outlineLevel="1">
      <c r="A431" s="9"/>
      <c r="B431" s="44"/>
      <c r="C431" s="128" t="str">
        <f>Asset2</f>
        <v>Transmission buildings 132/66kV</v>
      </c>
      <c r="D431" s="9"/>
      <c r="E431" s="9"/>
      <c r="F431" s="139"/>
      <c r="G431" s="191">
        <f>Input!O8</f>
        <v>0</v>
      </c>
      <c r="H431" s="119"/>
      <c r="I431" s="119"/>
      <c r="J431" s="119"/>
      <c r="K431" s="119"/>
      <c r="L431" s="119"/>
      <c r="M431" s="105"/>
      <c r="N431" s="105"/>
      <c r="O431" s="105"/>
      <c r="P431" s="105"/>
      <c r="Q431" s="105"/>
      <c r="R431" s="105"/>
      <c r="S431" s="105"/>
      <c r="T431" s="105"/>
      <c r="U431" s="105"/>
      <c r="V431" s="105"/>
      <c r="W431" s="105"/>
      <c r="X431" s="105"/>
      <c r="Y431" s="105"/>
      <c r="Z431" s="105"/>
      <c r="AA431" s="213"/>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c r="BI431" s="213"/>
      <c r="BJ431" s="219"/>
      <c r="BK431" s="219"/>
    </row>
    <row r="432" spans="1:63" outlineLevel="1">
      <c r="A432" s="9"/>
      <c r="B432" s="44"/>
      <c r="C432" s="128" t="str">
        <f>Asset3</f>
        <v>Zone buildings 132/66kV</v>
      </c>
      <c r="D432" s="9"/>
      <c r="E432" s="9"/>
      <c r="F432" s="139"/>
      <c r="G432" s="191">
        <f>Input!O9</f>
        <v>0</v>
      </c>
      <c r="H432" s="119"/>
      <c r="I432" s="119"/>
      <c r="J432" s="119"/>
      <c r="K432" s="119"/>
      <c r="L432" s="119"/>
      <c r="M432" s="105"/>
      <c r="N432" s="105"/>
      <c r="O432" s="105"/>
      <c r="P432" s="105"/>
      <c r="Q432" s="105"/>
      <c r="R432" s="105"/>
      <c r="S432" s="105"/>
      <c r="T432" s="105"/>
      <c r="U432" s="105"/>
      <c r="V432" s="105"/>
      <c r="W432" s="105"/>
      <c r="X432" s="105"/>
      <c r="Y432" s="105"/>
      <c r="Z432" s="105"/>
      <c r="AA432" s="213"/>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c r="BI432" s="213"/>
      <c r="BJ432" s="219"/>
      <c r="BK432" s="219"/>
    </row>
    <row r="433" spans="1:63" outlineLevel="1">
      <c r="A433" s="9"/>
      <c r="B433" s="44"/>
      <c r="C433" s="128" t="str">
        <f>Asset4</f>
        <v>Transmission transformers 132/66kV</v>
      </c>
      <c r="D433" s="9"/>
      <c r="E433" s="9"/>
      <c r="F433" s="139"/>
      <c r="G433" s="191">
        <f>Input!O10</f>
        <v>0</v>
      </c>
      <c r="H433" s="119"/>
      <c r="I433" s="119"/>
      <c r="J433" s="119"/>
      <c r="K433" s="119"/>
      <c r="L433" s="119"/>
      <c r="M433" s="105"/>
      <c r="N433" s="105"/>
      <c r="O433" s="105"/>
      <c r="P433" s="105"/>
      <c r="Q433" s="105"/>
      <c r="R433" s="105"/>
      <c r="S433" s="105"/>
      <c r="T433" s="105"/>
      <c r="U433" s="105"/>
      <c r="V433" s="105"/>
      <c r="W433" s="105"/>
      <c r="X433" s="105"/>
      <c r="Y433" s="105"/>
      <c r="Z433" s="105"/>
      <c r="AA433" s="213"/>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c r="BI433" s="213"/>
      <c r="BJ433" s="219"/>
      <c r="BK433" s="219"/>
    </row>
    <row r="434" spans="1:63" outlineLevel="1">
      <c r="A434" s="9"/>
      <c r="B434" s="44"/>
      <c r="C434" s="128" t="str">
        <f>Asset5</f>
        <v>Zone transformers 132/66kV</v>
      </c>
      <c r="D434" s="9"/>
      <c r="E434" s="9"/>
      <c r="F434" s="139"/>
      <c r="G434" s="191">
        <f>Input!O11</f>
        <v>0</v>
      </c>
      <c r="H434" s="119"/>
      <c r="I434" s="119"/>
      <c r="J434" s="119"/>
      <c r="K434" s="119"/>
      <c r="L434" s="119"/>
      <c r="M434" s="105"/>
      <c r="N434" s="105"/>
      <c r="O434" s="105"/>
      <c r="P434" s="105"/>
      <c r="Q434" s="105"/>
      <c r="R434" s="105"/>
      <c r="S434" s="105"/>
      <c r="T434" s="105"/>
      <c r="U434" s="105"/>
      <c r="V434" s="105"/>
      <c r="W434" s="105"/>
      <c r="X434" s="105"/>
      <c r="Y434" s="105"/>
      <c r="Z434" s="105"/>
      <c r="AA434" s="213"/>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c r="BI434" s="213"/>
      <c r="BJ434" s="219"/>
      <c r="BK434" s="219"/>
    </row>
    <row r="435" spans="1:63" outlineLevel="1">
      <c r="A435" s="9"/>
      <c r="B435" s="44"/>
      <c r="C435" s="128" t="str">
        <f>Asset6</f>
        <v>Transmission substation equip 132/66kV</v>
      </c>
      <c r="D435" s="9"/>
      <c r="E435" s="9"/>
      <c r="F435" s="139"/>
      <c r="G435" s="191">
        <f>Input!O12</f>
        <v>0</v>
      </c>
      <c r="H435" s="119"/>
      <c r="I435" s="119"/>
      <c r="J435" s="119"/>
      <c r="K435" s="119"/>
      <c r="L435" s="119"/>
      <c r="M435" s="105"/>
      <c r="N435" s="105"/>
      <c r="O435" s="105"/>
      <c r="P435" s="105"/>
      <c r="Q435" s="105"/>
      <c r="R435" s="105"/>
      <c r="S435" s="105"/>
      <c r="T435" s="105"/>
      <c r="U435" s="105"/>
      <c r="V435" s="105"/>
      <c r="W435" s="105"/>
      <c r="X435" s="105"/>
      <c r="Y435" s="105"/>
      <c r="Z435" s="105"/>
      <c r="AA435" s="213"/>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c r="BI435" s="213"/>
      <c r="BJ435" s="219"/>
      <c r="BK435" s="219"/>
    </row>
    <row r="436" spans="1:63" outlineLevel="1">
      <c r="A436" s="9"/>
      <c r="B436" s="44"/>
      <c r="C436" s="128" t="str">
        <f>Asset7</f>
        <v>Zone substation equip 132/66kV</v>
      </c>
      <c r="D436" s="9"/>
      <c r="E436" s="9"/>
      <c r="F436" s="139"/>
      <c r="G436" s="191">
        <f>Input!O13</f>
        <v>0</v>
      </c>
      <c r="H436" s="119"/>
      <c r="I436" s="119"/>
      <c r="J436" s="119"/>
      <c r="K436" s="119"/>
      <c r="L436" s="119"/>
      <c r="M436" s="105"/>
      <c r="N436" s="105"/>
      <c r="O436" s="105"/>
      <c r="P436" s="105"/>
      <c r="Q436" s="105"/>
      <c r="R436" s="105"/>
      <c r="S436" s="105"/>
      <c r="T436" s="105"/>
      <c r="U436" s="105"/>
      <c r="V436" s="105"/>
      <c r="W436" s="105"/>
      <c r="X436" s="105"/>
      <c r="Y436" s="105"/>
      <c r="Z436" s="105"/>
      <c r="AA436" s="213"/>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c r="BI436" s="213"/>
      <c r="BJ436" s="219"/>
      <c r="BK436" s="219"/>
    </row>
    <row r="437" spans="1:63" outlineLevel="1">
      <c r="A437" s="9"/>
      <c r="B437" s="44"/>
      <c r="C437" s="128" t="str">
        <f>Asset8</f>
        <v>Transmission &amp; Zone emergency spares</v>
      </c>
      <c r="D437" s="9"/>
      <c r="E437" s="9"/>
      <c r="F437" s="139"/>
      <c r="G437" s="191">
        <f>Input!O14</f>
        <v>0</v>
      </c>
      <c r="H437" s="119"/>
      <c r="I437" s="119"/>
      <c r="J437" s="119"/>
      <c r="K437" s="119"/>
      <c r="L437" s="119"/>
      <c r="M437" s="105"/>
      <c r="N437" s="105"/>
      <c r="O437" s="105"/>
      <c r="P437" s="105"/>
      <c r="Q437" s="105"/>
      <c r="R437" s="105"/>
      <c r="S437" s="105"/>
      <c r="T437" s="105"/>
      <c r="U437" s="105"/>
      <c r="V437" s="105"/>
      <c r="W437" s="105"/>
      <c r="X437" s="105"/>
      <c r="Y437" s="105"/>
      <c r="Z437" s="105"/>
      <c r="AA437" s="213"/>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c r="BI437" s="213"/>
      <c r="BJ437" s="219"/>
      <c r="BK437" s="219"/>
    </row>
    <row r="438" spans="1:63" outlineLevel="1">
      <c r="A438" s="9"/>
      <c r="B438" s="44"/>
      <c r="C438" s="128" t="str">
        <f>Asset9</f>
        <v>Ancillary substation equipment (tx)</v>
      </c>
      <c r="D438" s="9"/>
      <c r="E438" s="9"/>
      <c r="F438" s="139"/>
      <c r="G438" s="191">
        <f>Input!O15</f>
        <v>0</v>
      </c>
      <c r="H438" s="119"/>
      <c r="I438" s="119"/>
      <c r="J438" s="119"/>
      <c r="K438" s="119"/>
      <c r="L438" s="119"/>
      <c r="M438" s="105"/>
      <c r="N438" s="105"/>
      <c r="O438" s="105"/>
      <c r="P438" s="105"/>
      <c r="Q438" s="105"/>
      <c r="R438" s="105"/>
      <c r="S438" s="105"/>
      <c r="T438" s="105"/>
      <c r="U438" s="105"/>
      <c r="V438" s="105"/>
      <c r="W438" s="105"/>
      <c r="X438" s="105"/>
      <c r="Y438" s="105"/>
      <c r="Z438" s="105"/>
      <c r="AA438" s="213"/>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c r="BI438" s="213"/>
      <c r="BJ438" s="219"/>
      <c r="BK438" s="219"/>
    </row>
    <row r="439" spans="1:63" outlineLevel="1">
      <c r="A439" s="9"/>
      <c r="B439" s="44"/>
      <c r="C439" s="128" t="str">
        <f>Asset10</f>
        <v>132kV tower lines</v>
      </c>
      <c r="D439" s="9"/>
      <c r="E439" s="9"/>
      <c r="F439" s="139"/>
      <c r="G439" s="191">
        <f>Input!O16</f>
        <v>0</v>
      </c>
      <c r="H439" s="119"/>
      <c r="I439" s="119"/>
      <c r="J439" s="119"/>
      <c r="K439" s="119"/>
      <c r="L439" s="119"/>
      <c r="M439" s="105"/>
      <c r="N439" s="105"/>
      <c r="O439" s="105"/>
      <c r="P439" s="105"/>
      <c r="Q439" s="105"/>
      <c r="R439" s="105"/>
      <c r="S439" s="105"/>
      <c r="T439" s="105"/>
      <c r="U439" s="105"/>
      <c r="V439" s="105"/>
      <c r="W439" s="105"/>
      <c r="X439" s="105"/>
      <c r="Y439" s="105"/>
      <c r="Z439" s="105"/>
      <c r="AA439" s="213"/>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c r="BI439" s="213"/>
      <c r="BJ439" s="219"/>
      <c r="BK439" s="219"/>
    </row>
    <row r="440" spans="1:63" outlineLevel="1">
      <c r="A440" s="9"/>
      <c r="B440" s="44"/>
      <c r="C440" s="128" t="str">
        <f>Asset11</f>
        <v>132kV concrete &amp; steel pole lines</v>
      </c>
      <c r="D440" s="9"/>
      <c r="E440" s="9"/>
      <c r="F440" s="139"/>
      <c r="G440" s="191">
        <f>Input!O17</f>
        <v>0</v>
      </c>
      <c r="H440" s="119"/>
      <c r="I440" s="119"/>
      <c r="J440" s="119"/>
      <c r="K440" s="119"/>
      <c r="L440" s="119"/>
      <c r="M440" s="105"/>
      <c r="N440" s="105"/>
      <c r="O440" s="105"/>
      <c r="P440" s="105"/>
      <c r="Q440" s="105"/>
      <c r="R440" s="105"/>
      <c r="S440" s="105"/>
      <c r="T440" s="105"/>
      <c r="U440" s="105"/>
      <c r="V440" s="105"/>
      <c r="W440" s="105"/>
      <c r="X440" s="105"/>
      <c r="Y440" s="105"/>
      <c r="Z440" s="105"/>
      <c r="AA440" s="213"/>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c r="BI440" s="213"/>
      <c r="BJ440" s="219"/>
      <c r="BK440" s="219"/>
    </row>
    <row r="441" spans="1:63" outlineLevel="1">
      <c r="A441" s="9"/>
      <c r="B441" s="44"/>
      <c r="C441" s="128" t="str">
        <f>Asset12</f>
        <v>132kV wood pole lines</v>
      </c>
      <c r="D441" s="9"/>
      <c r="E441" s="9"/>
      <c r="F441" s="139"/>
      <c r="G441" s="191">
        <f>Input!O18</f>
        <v>0</v>
      </c>
      <c r="H441" s="119"/>
      <c r="I441" s="119"/>
      <c r="J441" s="119"/>
      <c r="K441" s="119"/>
      <c r="L441" s="119"/>
      <c r="M441" s="105"/>
      <c r="N441" s="105"/>
      <c r="O441" s="105"/>
      <c r="P441" s="105"/>
      <c r="Q441" s="105"/>
      <c r="R441" s="105"/>
      <c r="S441" s="105"/>
      <c r="T441" s="105"/>
      <c r="U441" s="105"/>
      <c r="V441" s="105"/>
      <c r="W441" s="105"/>
      <c r="X441" s="105"/>
      <c r="Y441" s="105"/>
      <c r="Z441" s="105"/>
      <c r="AA441" s="213"/>
      <c r="AB441" s="213"/>
      <c r="AC441" s="213"/>
      <c r="AD441" s="213"/>
      <c r="AE441" s="213"/>
      <c r="AF441" s="213"/>
      <c r="AG441" s="213"/>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c r="BI441" s="213"/>
      <c r="BJ441" s="219"/>
      <c r="BK441" s="219"/>
    </row>
    <row r="442" spans="1:63" outlineLevel="1">
      <c r="A442" s="9"/>
      <c r="B442" s="44"/>
      <c r="C442" s="128" t="str">
        <f>Asset13</f>
        <v>132kV feeders underground</v>
      </c>
      <c r="D442" s="9"/>
      <c r="E442" s="9"/>
      <c r="F442" s="139"/>
      <c r="G442" s="191">
        <f>Input!O19</f>
        <v>0</v>
      </c>
      <c r="H442" s="119"/>
      <c r="I442" s="119"/>
      <c r="J442" s="119"/>
      <c r="K442" s="119"/>
      <c r="L442" s="119"/>
      <c r="M442" s="105"/>
      <c r="N442" s="105"/>
      <c r="O442" s="105"/>
      <c r="P442" s="105"/>
      <c r="Q442" s="105"/>
      <c r="R442" s="105"/>
      <c r="S442" s="105"/>
      <c r="T442" s="105"/>
      <c r="U442" s="105"/>
      <c r="V442" s="105"/>
      <c r="W442" s="105"/>
      <c r="X442" s="105"/>
      <c r="Y442" s="105"/>
      <c r="Z442" s="105"/>
      <c r="AA442" s="213"/>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c r="BI442" s="213"/>
      <c r="BJ442" s="219"/>
      <c r="BK442" s="219"/>
    </row>
    <row r="443" spans="1:63" outlineLevel="1">
      <c r="A443" s="9"/>
      <c r="B443" s="44"/>
      <c r="C443" s="128" t="str">
        <f>Asset14</f>
        <v>Cable tunnel (tx)</v>
      </c>
      <c r="D443" s="9"/>
      <c r="E443" s="9"/>
      <c r="F443" s="139"/>
      <c r="G443" s="191">
        <f>Input!O20</f>
        <v>0</v>
      </c>
      <c r="H443" s="119"/>
      <c r="I443" s="119"/>
      <c r="J443" s="119"/>
      <c r="K443" s="119"/>
      <c r="L443" s="119"/>
      <c r="M443" s="105"/>
      <c r="N443" s="105"/>
      <c r="O443" s="105"/>
      <c r="P443" s="105"/>
      <c r="Q443" s="105"/>
      <c r="R443" s="105"/>
      <c r="S443" s="105"/>
      <c r="T443" s="105"/>
      <c r="U443" s="105"/>
      <c r="V443" s="105"/>
      <c r="W443" s="105"/>
      <c r="X443" s="105"/>
      <c r="Y443" s="105"/>
      <c r="Z443" s="105"/>
      <c r="AA443" s="213"/>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c r="BI443" s="213"/>
      <c r="BJ443" s="219"/>
      <c r="BK443" s="219"/>
    </row>
    <row r="444" spans="1:63" outlineLevel="1">
      <c r="A444" s="9"/>
      <c r="B444" s="44"/>
      <c r="C444" s="128" t="str">
        <f>Asset15</f>
        <v>Network control &amp; com systems</v>
      </c>
      <c r="D444" s="9"/>
      <c r="E444" s="9"/>
      <c r="F444" s="139"/>
      <c r="G444" s="191">
        <f>Input!O21</f>
        <v>0</v>
      </c>
      <c r="H444" s="119"/>
      <c r="I444" s="119"/>
      <c r="J444" s="119"/>
      <c r="K444" s="119"/>
      <c r="L444" s="119"/>
      <c r="M444" s="105"/>
      <c r="N444" s="105"/>
      <c r="O444" s="105"/>
      <c r="P444" s="105"/>
      <c r="Q444" s="105"/>
      <c r="R444" s="105"/>
      <c r="S444" s="105"/>
      <c r="T444" s="105"/>
      <c r="U444" s="105"/>
      <c r="V444" s="105"/>
      <c r="W444" s="105"/>
      <c r="X444" s="105"/>
      <c r="Y444" s="105"/>
      <c r="Z444" s="105"/>
      <c r="AA444" s="213"/>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c r="BI444" s="213"/>
      <c r="BJ444" s="219"/>
      <c r="BK444" s="219"/>
    </row>
    <row r="445" spans="1:63" outlineLevel="1">
      <c r="A445" s="9"/>
      <c r="B445" s="44"/>
      <c r="C445" s="128" t="str">
        <f>Asset16</f>
        <v>Communications (digital) - tx</v>
      </c>
      <c r="D445" s="9"/>
      <c r="E445" s="9"/>
      <c r="F445" s="139"/>
      <c r="G445" s="191">
        <f>Input!O22</f>
        <v>0</v>
      </c>
      <c r="H445" s="119"/>
      <c r="I445" s="119"/>
      <c r="J445" s="119"/>
      <c r="K445" s="119"/>
      <c r="L445" s="119"/>
      <c r="M445" s="105"/>
      <c r="N445" s="105"/>
      <c r="O445" s="105"/>
      <c r="P445" s="105"/>
      <c r="Q445" s="105"/>
      <c r="R445" s="105"/>
      <c r="S445" s="105"/>
      <c r="T445" s="105"/>
      <c r="U445" s="105"/>
      <c r="V445" s="105"/>
      <c r="W445" s="105"/>
      <c r="X445" s="105"/>
      <c r="Y445" s="105"/>
      <c r="Z445" s="105"/>
      <c r="AA445" s="213"/>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c r="BI445" s="213"/>
      <c r="BJ445" s="219"/>
      <c r="BK445" s="219"/>
    </row>
    <row r="446" spans="1:63" outlineLevel="1">
      <c r="A446" s="9"/>
      <c r="B446" s="44"/>
      <c r="C446" s="128" t="str">
        <f>Asset17</f>
        <v>System IT (tx)</v>
      </c>
      <c r="D446" s="9"/>
      <c r="E446" s="9"/>
      <c r="F446" s="139"/>
      <c r="G446" s="191">
        <f>Input!O23</f>
        <v>0</v>
      </c>
      <c r="H446" s="119"/>
      <c r="I446" s="119"/>
      <c r="J446" s="119"/>
      <c r="K446" s="119"/>
      <c r="L446" s="119"/>
      <c r="M446" s="105"/>
      <c r="N446" s="105"/>
      <c r="O446" s="105"/>
      <c r="P446" s="105"/>
      <c r="Q446" s="105"/>
      <c r="R446" s="105"/>
      <c r="S446" s="105"/>
      <c r="T446" s="105"/>
      <c r="U446" s="105"/>
      <c r="V446" s="105"/>
      <c r="W446" s="105"/>
      <c r="X446" s="105"/>
      <c r="Y446" s="105"/>
      <c r="Z446" s="105"/>
      <c r="AA446" s="213"/>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c r="BI446" s="213"/>
      <c r="BJ446" s="219"/>
      <c r="BK446" s="219"/>
    </row>
    <row r="447" spans="1:63" outlineLevel="1">
      <c r="A447" s="9"/>
      <c r="B447" s="44"/>
      <c r="C447" s="128" t="str">
        <f>Asset18</f>
        <v>IT systems</v>
      </c>
      <c r="D447" s="9"/>
      <c r="E447" s="9"/>
      <c r="F447" s="139"/>
      <c r="G447" s="191">
        <f>Input!O24</f>
        <v>0</v>
      </c>
      <c r="H447" s="119"/>
      <c r="I447" s="119"/>
      <c r="J447" s="119"/>
      <c r="K447" s="119"/>
      <c r="L447" s="119"/>
      <c r="M447" s="105"/>
      <c r="N447" s="105"/>
      <c r="O447" s="105"/>
      <c r="P447" s="105"/>
      <c r="Q447" s="105"/>
      <c r="R447" s="105"/>
      <c r="S447" s="105"/>
      <c r="T447" s="105"/>
      <c r="U447" s="105"/>
      <c r="V447" s="105"/>
      <c r="W447" s="105"/>
      <c r="X447" s="105"/>
      <c r="Y447" s="105"/>
      <c r="Z447" s="105"/>
      <c r="AA447" s="213"/>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c r="BI447" s="213"/>
      <c r="BJ447" s="219"/>
      <c r="BK447" s="219"/>
    </row>
    <row r="448" spans="1:63" outlineLevel="1">
      <c r="A448" s="9"/>
      <c r="B448" s="44"/>
      <c r="C448" s="128" t="str">
        <f>Asset19</f>
        <v>Furniture, fittings, plant and equipment</v>
      </c>
      <c r="D448" s="9"/>
      <c r="E448" s="9"/>
      <c r="F448" s="139"/>
      <c r="G448" s="191">
        <f>Input!O25</f>
        <v>0</v>
      </c>
      <c r="H448" s="119"/>
      <c r="I448" s="119"/>
      <c r="J448" s="119"/>
      <c r="K448" s="119"/>
      <c r="L448" s="119"/>
      <c r="M448" s="105"/>
      <c r="N448" s="105"/>
      <c r="O448" s="105"/>
      <c r="P448" s="105"/>
      <c r="Q448" s="105"/>
      <c r="R448" s="105"/>
      <c r="S448" s="105"/>
      <c r="T448" s="105"/>
      <c r="U448" s="105"/>
      <c r="V448" s="105"/>
      <c r="W448" s="105"/>
      <c r="X448" s="105"/>
      <c r="Y448" s="105"/>
      <c r="Z448" s="105"/>
      <c r="AA448" s="213"/>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c r="BI448" s="213"/>
      <c r="BJ448" s="219"/>
      <c r="BK448" s="219"/>
    </row>
    <row r="449" spans="1:63" outlineLevel="1">
      <c r="A449" s="9"/>
      <c r="B449" s="44"/>
      <c r="C449" s="128" t="str">
        <f>Asset20</f>
        <v>Motor vehicles</v>
      </c>
      <c r="D449" s="9"/>
      <c r="E449" s="9"/>
      <c r="F449" s="139"/>
      <c r="G449" s="191">
        <f>Input!O26</f>
        <v>0</v>
      </c>
      <c r="H449" s="119"/>
      <c r="I449" s="119"/>
      <c r="J449" s="119"/>
      <c r="K449" s="119"/>
      <c r="L449" s="119"/>
      <c r="M449" s="105"/>
      <c r="N449" s="105"/>
      <c r="O449" s="105"/>
      <c r="P449" s="105"/>
      <c r="Q449" s="105"/>
      <c r="R449" s="105"/>
      <c r="S449" s="105"/>
      <c r="T449" s="105"/>
      <c r="U449" s="105"/>
      <c r="V449" s="105"/>
      <c r="W449" s="105"/>
      <c r="X449" s="105"/>
      <c r="Y449" s="105"/>
      <c r="Z449" s="105"/>
      <c r="AA449" s="213"/>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c r="BI449" s="213"/>
      <c r="BJ449" s="219"/>
      <c r="BK449" s="219"/>
    </row>
    <row r="450" spans="1:63" outlineLevel="1">
      <c r="A450" s="9"/>
      <c r="B450" s="44"/>
      <c r="C450" s="128" t="str">
        <f>Asset21</f>
        <v>Buildings</v>
      </c>
      <c r="D450" s="9"/>
      <c r="E450" s="9"/>
      <c r="F450" s="139"/>
      <c r="G450" s="191">
        <f>Input!O27</f>
        <v>0</v>
      </c>
      <c r="H450" s="119"/>
      <c r="I450" s="119"/>
      <c r="J450" s="119"/>
      <c r="K450" s="119"/>
      <c r="L450" s="119"/>
      <c r="M450" s="105"/>
      <c r="N450" s="105"/>
      <c r="O450" s="105"/>
      <c r="P450" s="105"/>
      <c r="Q450" s="105"/>
      <c r="R450" s="105"/>
      <c r="S450" s="105"/>
      <c r="T450" s="105"/>
      <c r="U450" s="105"/>
      <c r="V450" s="105"/>
      <c r="W450" s="105"/>
      <c r="X450" s="105"/>
      <c r="Y450" s="105"/>
      <c r="Z450" s="105"/>
      <c r="AA450" s="213"/>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c r="BI450" s="213"/>
      <c r="BJ450" s="219"/>
      <c r="BK450" s="219"/>
    </row>
    <row r="451" spans="1:63" outlineLevel="1">
      <c r="A451" s="9"/>
      <c r="B451" s="44"/>
      <c r="C451" s="128" t="str">
        <f>Asset22</f>
        <v>Land (non-system)</v>
      </c>
      <c r="D451" s="9"/>
      <c r="E451" s="9"/>
      <c r="F451" s="139"/>
      <c r="G451" s="191">
        <f>Input!O28</f>
        <v>0</v>
      </c>
      <c r="H451" s="119"/>
      <c r="I451" s="119"/>
      <c r="J451" s="119"/>
      <c r="K451" s="119"/>
      <c r="L451" s="119"/>
      <c r="M451" s="105"/>
      <c r="N451" s="105"/>
      <c r="O451" s="105"/>
      <c r="P451" s="105"/>
      <c r="Q451" s="105"/>
      <c r="R451" s="105"/>
      <c r="S451" s="105"/>
      <c r="T451" s="105"/>
      <c r="U451" s="105"/>
      <c r="V451" s="105"/>
      <c r="W451" s="105"/>
      <c r="X451" s="105"/>
      <c r="Y451" s="105"/>
      <c r="Z451" s="105"/>
      <c r="AA451" s="213"/>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c r="BI451" s="213"/>
      <c r="BJ451" s="219"/>
      <c r="BK451" s="219"/>
    </row>
    <row r="452" spans="1:63" outlineLevel="1">
      <c r="A452" s="9"/>
      <c r="B452" s="44"/>
      <c r="C452" s="128" t="str">
        <f>Asset23</f>
        <v>Other non system assets</v>
      </c>
      <c r="D452" s="9"/>
      <c r="E452" s="9"/>
      <c r="F452" s="139"/>
      <c r="G452" s="191">
        <f>Input!O29</f>
        <v>0</v>
      </c>
      <c r="H452" s="119"/>
      <c r="I452" s="119"/>
      <c r="J452" s="119"/>
      <c r="K452" s="119"/>
      <c r="L452" s="119"/>
      <c r="M452" s="105"/>
      <c r="N452" s="105"/>
      <c r="O452" s="105"/>
      <c r="P452" s="105"/>
      <c r="Q452" s="105"/>
      <c r="R452" s="105"/>
      <c r="S452" s="105"/>
      <c r="T452" s="105"/>
      <c r="U452" s="105"/>
      <c r="V452" s="105"/>
      <c r="W452" s="105"/>
      <c r="X452" s="105"/>
      <c r="Y452" s="105"/>
      <c r="Z452" s="105"/>
      <c r="AA452" s="213"/>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c r="BI452" s="213"/>
      <c r="BJ452" s="219"/>
      <c r="BK452" s="219"/>
    </row>
    <row r="453" spans="1:63" outlineLevel="1">
      <c r="A453" s="9"/>
      <c r="B453" s="44"/>
      <c r="C453" s="128" t="str">
        <f>Asset24</f>
        <v>Equity raising costs</v>
      </c>
      <c r="D453" s="9"/>
      <c r="E453" s="9"/>
      <c r="F453" s="139"/>
      <c r="G453" s="191">
        <f>Input!O30</f>
        <v>0</v>
      </c>
      <c r="H453" s="119"/>
      <c r="I453" s="119"/>
      <c r="J453" s="119"/>
      <c r="K453" s="119"/>
      <c r="L453" s="119"/>
      <c r="M453" s="105"/>
      <c r="N453" s="105"/>
      <c r="O453" s="105"/>
      <c r="P453" s="105"/>
      <c r="Q453" s="105"/>
      <c r="R453" s="105"/>
      <c r="S453" s="105"/>
      <c r="T453" s="105"/>
      <c r="U453" s="105"/>
      <c r="V453" s="105"/>
      <c r="W453" s="105"/>
      <c r="X453" s="105"/>
      <c r="Y453" s="105"/>
      <c r="Z453" s="105"/>
      <c r="AA453" s="213"/>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c r="BI453" s="213"/>
      <c r="BJ453" s="219"/>
      <c r="BK453" s="219"/>
    </row>
    <row r="454" spans="1:63" outlineLevel="1">
      <c r="A454" s="9"/>
      <c r="B454" s="44"/>
      <c r="C454" s="128">
        <f>Asset25</f>
        <v>0</v>
      </c>
      <c r="D454" s="9"/>
      <c r="E454" s="9"/>
      <c r="F454" s="139"/>
      <c r="G454" s="191">
        <f>Input!O31</f>
        <v>0</v>
      </c>
      <c r="H454" s="119"/>
      <c r="I454" s="119"/>
      <c r="J454" s="119"/>
      <c r="K454" s="119"/>
      <c r="L454" s="119"/>
      <c r="M454" s="105"/>
      <c r="N454" s="105"/>
      <c r="O454" s="105"/>
      <c r="P454" s="105"/>
      <c r="Q454" s="105"/>
      <c r="R454" s="105"/>
      <c r="S454" s="105"/>
      <c r="T454" s="105"/>
      <c r="U454" s="105"/>
      <c r="V454" s="105"/>
      <c r="W454" s="105"/>
      <c r="X454" s="105"/>
      <c r="Y454" s="105"/>
      <c r="Z454" s="105"/>
      <c r="AA454" s="213"/>
      <c r="AB454" s="213"/>
      <c r="AC454" s="213"/>
      <c r="AD454" s="213"/>
      <c r="AE454" s="213"/>
      <c r="AF454" s="213"/>
      <c r="AG454" s="213"/>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c r="BI454" s="213"/>
      <c r="BJ454" s="219"/>
      <c r="BK454" s="219"/>
    </row>
    <row r="455" spans="1:63" outlineLevel="1">
      <c r="A455" s="9"/>
      <c r="B455" s="44"/>
      <c r="C455" s="128">
        <f>Asset26</f>
        <v>0</v>
      </c>
      <c r="D455" s="9"/>
      <c r="E455" s="9"/>
      <c r="F455" s="139"/>
      <c r="G455" s="191">
        <f>Input!O32</f>
        <v>0</v>
      </c>
      <c r="H455" s="119"/>
      <c r="I455" s="119"/>
      <c r="J455" s="119"/>
      <c r="K455" s="119"/>
      <c r="L455" s="119"/>
      <c r="M455" s="105"/>
      <c r="N455" s="105"/>
      <c r="O455" s="105"/>
      <c r="P455" s="105"/>
      <c r="Q455" s="105"/>
      <c r="R455" s="105"/>
      <c r="S455" s="105"/>
      <c r="T455" s="105"/>
      <c r="U455" s="105"/>
      <c r="V455" s="105"/>
      <c r="W455" s="105"/>
      <c r="X455" s="105"/>
      <c r="Y455" s="105"/>
      <c r="Z455" s="105"/>
      <c r="AA455" s="213"/>
      <c r="AB455" s="213"/>
      <c r="AC455" s="213"/>
      <c r="AD455" s="213"/>
      <c r="AE455" s="213"/>
      <c r="AF455" s="213"/>
      <c r="AG455" s="213"/>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c r="BI455" s="213"/>
      <c r="BJ455" s="219"/>
      <c r="BK455" s="219"/>
    </row>
    <row r="456" spans="1:63" outlineLevel="1">
      <c r="A456" s="9"/>
      <c r="B456" s="44"/>
      <c r="C456" s="128">
        <f>Asset27</f>
        <v>0</v>
      </c>
      <c r="D456" s="9"/>
      <c r="E456" s="9"/>
      <c r="F456" s="139"/>
      <c r="G456" s="191">
        <f>Input!O33</f>
        <v>0</v>
      </c>
      <c r="H456" s="119"/>
      <c r="I456" s="119"/>
      <c r="J456" s="119"/>
      <c r="K456" s="119"/>
      <c r="L456" s="119"/>
      <c r="M456" s="105"/>
      <c r="N456" s="105"/>
      <c r="O456" s="105"/>
      <c r="P456" s="105"/>
      <c r="Q456" s="105"/>
      <c r="R456" s="105"/>
      <c r="S456" s="105"/>
      <c r="T456" s="105"/>
      <c r="U456" s="105"/>
      <c r="V456" s="105"/>
      <c r="W456" s="105"/>
      <c r="X456" s="105"/>
      <c r="Y456" s="105"/>
      <c r="Z456" s="105"/>
      <c r="AA456" s="213"/>
      <c r="AB456" s="213"/>
      <c r="AC456" s="213"/>
      <c r="AD456" s="213"/>
      <c r="AE456" s="213"/>
      <c r="AF456" s="213"/>
      <c r="AG456" s="213"/>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c r="BI456" s="213"/>
      <c r="BJ456" s="219"/>
      <c r="BK456" s="219"/>
    </row>
    <row r="457" spans="1:63" outlineLevel="1">
      <c r="A457" s="9"/>
      <c r="B457" s="44"/>
      <c r="C457" s="128">
        <f>Asset28</f>
        <v>0</v>
      </c>
      <c r="D457" s="9"/>
      <c r="E457" s="9"/>
      <c r="F457" s="139"/>
      <c r="G457" s="191">
        <f>Input!O34</f>
        <v>0</v>
      </c>
      <c r="H457" s="119"/>
      <c r="I457" s="119"/>
      <c r="J457" s="119"/>
      <c r="K457" s="119"/>
      <c r="L457" s="119"/>
      <c r="M457" s="105"/>
      <c r="N457" s="105"/>
      <c r="O457" s="105"/>
      <c r="P457" s="105"/>
      <c r="Q457" s="105"/>
      <c r="R457" s="105"/>
      <c r="S457" s="105"/>
      <c r="T457" s="105"/>
      <c r="U457" s="105"/>
      <c r="V457" s="105"/>
      <c r="W457" s="105"/>
      <c r="X457" s="105"/>
      <c r="Y457" s="105"/>
      <c r="Z457" s="105"/>
      <c r="AA457" s="213"/>
      <c r="AB457" s="213"/>
      <c r="AC457" s="213"/>
      <c r="AD457" s="213"/>
      <c r="AE457" s="213"/>
      <c r="AF457" s="213"/>
      <c r="AG457" s="213"/>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c r="BI457" s="213"/>
      <c r="BJ457" s="219"/>
      <c r="BK457" s="219"/>
    </row>
    <row r="458" spans="1:63" outlineLevel="1">
      <c r="A458" s="9"/>
      <c r="B458" s="44"/>
      <c r="C458" s="128">
        <f>Asset29</f>
        <v>0</v>
      </c>
      <c r="D458" s="9"/>
      <c r="E458" s="9"/>
      <c r="F458" s="139"/>
      <c r="G458" s="191">
        <f>Input!O35</f>
        <v>0</v>
      </c>
      <c r="H458" s="119"/>
      <c r="I458" s="119"/>
      <c r="J458" s="119"/>
      <c r="K458" s="119"/>
      <c r="L458" s="119"/>
      <c r="M458" s="105"/>
      <c r="N458" s="105"/>
      <c r="O458" s="105"/>
      <c r="P458" s="105"/>
      <c r="Q458" s="105"/>
      <c r="R458" s="105"/>
      <c r="S458" s="105"/>
      <c r="T458" s="105"/>
      <c r="U458" s="105"/>
      <c r="V458" s="105"/>
      <c r="W458" s="105"/>
      <c r="X458" s="105"/>
      <c r="Y458" s="105"/>
      <c r="Z458" s="105"/>
      <c r="AA458" s="213"/>
      <c r="AB458" s="213"/>
      <c r="AC458" s="213"/>
      <c r="AD458" s="213"/>
      <c r="AE458" s="213"/>
      <c r="AF458" s="213"/>
      <c r="AG458" s="213"/>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c r="BI458" s="213"/>
      <c r="BJ458" s="219"/>
      <c r="BK458" s="219"/>
    </row>
    <row r="459" spans="1:63" outlineLevel="1">
      <c r="A459" s="9"/>
      <c r="B459" s="44"/>
      <c r="C459" s="128">
        <f>Asset30</f>
        <v>0</v>
      </c>
      <c r="D459" s="9"/>
      <c r="E459" s="9"/>
      <c r="F459" s="139"/>
      <c r="G459" s="191">
        <f>Input!O36</f>
        <v>0</v>
      </c>
      <c r="H459" s="119"/>
      <c r="I459" s="119"/>
      <c r="J459" s="119"/>
      <c r="K459" s="119"/>
      <c r="L459" s="119"/>
      <c r="M459" s="105"/>
      <c r="N459" s="105"/>
      <c r="O459" s="105"/>
      <c r="P459" s="105"/>
      <c r="Q459" s="105"/>
      <c r="R459" s="105"/>
      <c r="S459" s="105"/>
      <c r="T459" s="105"/>
      <c r="U459" s="105"/>
      <c r="V459" s="105"/>
      <c r="W459" s="105"/>
      <c r="X459" s="105"/>
      <c r="Y459" s="105"/>
      <c r="Z459" s="105"/>
      <c r="AA459" s="213"/>
      <c r="AB459" s="213"/>
      <c r="AC459" s="213"/>
      <c r="AD459" s="213"/>
      <c r="AE459" s="213"/>
      <c r="AF459" s="213"/>
      <c r="AG459" s="213"/>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c r="BI459" s="213"/>
      <c r="BJ459" s="219"/>
      <c r="BK459" s="219"/>
    </row>
    <row r="460" spans="1:63">
      <c r="A460" s="9"/>
      <c r="B460" s="44"/>
      <c r="C460" s="128"/>
      <c r="D460" s="9"/>
      <c r="E460" s="9"/>
      <c r="F460" s="139"/>
      <c r="G460" s="191"/>
      <c r="H460" s="119"/>
      <c r="I460" s="119"/>
      <c r="J460" s="119"/>
      <c r="K460" s="119"/>
      <c r="L460" s="119"/>
      <c r="M460" s="105"/>
      <c r="N460" s="105"/>
      <c r="O460" s="105"/>
      <c r="P460" s="105"/>
      <c r="Q460" s="105"/>
      <c r="R460" s="105"/>
      <c r="S460" s="105"/>
      <c r="T460" s="105"/>
      <c r="U460" s="105"/>
      <c r="V460" s="105"/>
      <c r="W460" s="105"/>
      <c r="X460" s="105"/>
      <c r="Y460" s="105"/>
      <c r="Z460" s="105"/>
      <c r="AA460" s="213"/>
      <c r="AB460" s="213"/>
      <c r="AC460" s="213"/>
      <c r="AD460" s="213"/>
      <c r="AE460" s="213"/>
      <c r="AF460" s="213"/>
      <c r="AG460" s="213"/>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c r="BI460" s="213"/>
      <c r="BJ460" s="219"/>
      <c r="BK460" s="219"/>
    </row>
    <row r="461" spans="1:63">
      <c r="A461" s="9"/>
      <c r="B461" s="44" t="s">
        <v>65</v>
      </c>
      <c r="C461" s="128"/>
      <c r="D461" s="9"/>
      <c r="E461" s="9"/>
      <c r="F461" s="139"/>
      <c r="G461" s="193">
        <f>SUM(G462:G491)</f>
        <v>0</v>
      </c>
      <c r="H461" s="119"/>
      <c r="I461" s="119"/>
      <c r="J461" s="119"/>
      <c r="K461" s="119"/>
      <c r="L461" s="119"/>
      <c r="M461" s="105"/>
      <c r="N461" s="105"/>
      <c r="O461" s="105"/>
      <c r="P461" s="105"/>
      <c r="Q461" s="105"/>
      <c r="R461" s="105"/>
      <c r="S461" s="105"/>
      <c r="T461" s="105"/>
      <c r="U461" s="105"/>
      <c r="V461" s="105"/>
      <c r="W461" s="105"/>
      <c r="X461" s="105"/>
      <c r="Y461" s="105"/>
      <c r="Z461" s="105"/>
      <c r="AA461" s="213"/>
      <c r="AB461" s="213"/>
      <c r="AC461" s="213"/>
      <c r="AD461" s="213"/>
      <c r="AE461" s="213"/>
      <c r="AF461" s="213"/>
      <c r="AG461" s="213"/>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c r="BI461" s="213"/>
      <c r="BJ461" s="219"/>
      <c r="BK461" s="219"/>
    </row>
    <row r="462" spans="1:63" ht="12.75" customHeight="1" outlineLevel="1">
      <c r="A462" s="9"/>
      <c r="B462" s="9"/>
      <c r="C462" s="128" t="str">
        <f>Asset1</f>
        <v>Transmission &amp; Zone land &amp; easements</v>
      </c>
      <c r="D462" s="9"/>
      <c r="E462" s="9"/>
      <c r="F462" s="139"/>
      <c r="G462" s="191">
        <f>Input!P7</f>
        <v>0</v>
      </c>
      <c r="H462" s="119"/>
      <c r="I462" s="119"/>
      <c r="J462" s="119"/>
      <c r="K462" s="119"/>
      <c r="L462" s="119"/>
      <c r="M462" s="105"/>
      <c r="N462" s="105"/>
      <c r="O462" s="105"/>
      <c r="P462" s="105"/>
      <c r="Q462" s="105"/>
      <c r="R462" s="105"/>
      <c r="S462" s="105"/>
      <c r="T462" s="105"/>
      <c r="U462" s="105"/>
      <c r="V462" s="105"/>
      <c r="W462" s="105"/>
      <c r="X462" s="105"/>
      <c r="Y462" s="105"/>
      <c r="Z462" s="105"/>
      <c r="AA462" s="213"/>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c r="BI462" s="213"/>
      <c r="BJ462" s="219"/>
      <c r="BK462" s="219"/>
    </row>
    <row r="463" spans="1:63" ht="12.75" customHeight="1" outlineLevel="1">
      <c r="A463" s="9"/>
      <c r="B463" s="44"/>
      <c r="C463" s="128" t="str">
        <f>Asset2</f>
        <v>Transmission buildings 132/66kV</v>
      </c>
      <c r="D463" s="9"/>
      <c r="E463" s="9"/>
      <c r="F463" s="139"/>
      <c r="G463" s="191">
        <f>Input!P8</f>
        <v>0</v>
      </c>
      <c r="H463" s="119"/>
      <c r="I463" s="119"/>
      <c r="J463" s="119"/>
      <c r="K463" s="119"/>
      <c r="L463" s="119"/>
      <c r="M463" s="105"/>
      <c r="N463" s="105"/>
      <c r="O463" s="105"/>
      <c r="P463" s="105"/>
      <c r="Q463" s="105"/>
      <c r="R463" s="105"/>
      <c r="S463" s="105"/>
      <c r="T463" s="105"/>
      <c r="U463" s="105"/>
      <c r="V463" s="105"/>
      <c r="W463" s="105"/>
      <c r="X463" s="105"/>
      <c r="Y463" s="105"/>
      <c r="Z463" s="105"/>
      <c r="AA463" s="213"/>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c r="BI463" s="213"/>
      <c r="BJ463" s="219"/>
      <c r="BK463" s="219"/>
    </row>
    <row r="464" spans="1:63" ht="12.75" customHeight="1" outlineLevel="1">
      <c r="A464" s="9"/>
      <c r="B464" s="44"/>
      <c r="C464" s="128" t="str">
        <f>Asset3</f>
        <v>Zone buildings 132/66kV</v>
      </c>
      <c r="D464" s="9"/>
      <c r="E464" s="9"/>
      <c r="F464" s="139"/>
      <c r="G464" s="191">
        <f>Input!P9</f>
        <v>0</v>
      </c>
      <c r="H464" s="119"/>
      <c r="I464" s="119"/>
      <c r="J464" s="119"/>
      <c r="K464" s="119"/>
      <c r="L464" s="119"/>
      <c r="M464" s="105"/>
      <c r="N464" s="105"/>
      <c r="O464" s="105"/>
      <c r="P464" s="105"/>
      <c r="Q464" s="105"/>
      <c r="R464" s="105"/>
      <c r="S464" s="105"/>
      <c r="T464" s="105"/>
      <c r="U464" s="105"/>
      <c r="V464" s="105"/>
      <c r="W464" s="105"/>
      <c r="X464" s="105"/>
      <c r="Y464" s="105"/>
      <c r="Z464" s="105"/>
      <c r="AA464" s="213"/>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c r="BI464" s="213"/>
      <c r="BJ464" s="219"/>
      <c r="BK464" s="219"/>
    </row>
    <row r="465" spans="1:63" ht="12.75" customHeight="1" outlineLevel="1">
      <c r="A465" s="9"/>
      <c r="B465" s="44"/>
      <c r="C465" s="128" t="str">
        <f>Asset4</f>
        <v>Transmission transformers 132/66kV</v>
      </c>
      <c r="D465" s="9"/>
      <c r="E465" s="9"/>
      <c r="F465" s="139"/>
      <c r="G465" s="191">
        <f>Input!P10</f>
        <v>0</v>
      </c>
      <c r="H465" s="119"/>
      <c r="I465" s="119"/>
      <c r="J465" s="119"/>
      <c r="K465" s="119"/>
      <c r="L465" s="119"/>
      <c r="M465" s="105"/>
      <c r="N465" s="105"/>
      <c r="O465" s="105"/>
      <c r="P465" s="105"/>
      <c r="Q465" s="105"/>
      <c r="R465" s="105"/>
      <c r="S465" s="105"/>
      <c r="T465" s="105"/>
      <c r="U465" s="105"/>
      <c r="V465" s="105"/>
      <c r="W465" s="105"/>
      <c r="X465" s="105"/>
      <c r="Y465" s="105"/>
      <c r="Z465" s="105"/>
      <c r="AA465" s="213"/>
      <c r="AB465" s="213"/>
      <c r="AC465" s="213"/>
      <c r="AD465" s="213"/>
      <c r="AE465" s="213"/>
      <c r="AF465" s="213"/>
      <c r="AG465" s="213"/>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c r="BI465" s="213"/>
      <c r="BJ465" s="219"/>
      <c r="BK465" s="219"/>
    </row>
    <row r="466" spans="1:63" ht="12.75" customHeight="1" outlineLevel="1">
      <c r="A466" s="9"/>
      <c r="B466" s="44"/>
      <c r="C466" s="128" t="str">
        <f>Asset5</f>
        <v>Zone transformers 132/66kV</v>
      </c>
      <c r="D466" s="9"/>
      <c r="E466" s="9"/>
      <c r="F466" s="139"/>
      <c r="G466" s="191">
        <f>Input!P11</f>
        <v>0</v>
      </c>
      <c r="H466" s="119"/>
      <c r="I466" s="119"/>
      <c r="J466" s="119"/>
      <c r="K466" s="119"/>
      <c r="L466" s="119"/>
      <c r="M466" s="105"/>
      <c r="N466" s="105"/>
      <c r="O466" s="105"/>
      <c r="P466" s="105"/>
      <c r="Q466" s="105"/>
      <c r="R466" s="105"/>
      <c r="S466" s="105"/>
      <c r="T466" s="105"/>
      <c r="U466" s="105"/>
      <c r="V466" s="105"/>
      <c r="W466" s="105"/>
      <c r="X466" s="105"/>
      <c r="Y466" s="105"/>
      <c r="Z466" s="105"/>
      <c r="AA466" s="213"/>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c r="BI466" s="213"/>
      <c r="BJ466" s="219"/>
      <c r="BK466" s="219"/>
    </row>
    <row r="467" spans="1:63" ht="12.75" customHeight="1" outlineLevel="1">
      <c r="A467" s="9"/>
      <c r="B467" s="44"/>
      <c r="C467" s="128" t="str">
        <f>Asset6</f>
        <v>Transmission substation equip 132/66kV</v>
      </c>
      <c r="D467" s="9"/>
      <c r="E467" s="9"/>
      <c r="F467" s="139"/>
      <c r="G467" s="191">
        <f>Input!P12</f>
        <v>0</v>
      </c>
      <c r="H467" s="119"/>
      <c r="I467" s="119"/>
      <c r="J467" s="119"/>
      <c r="K467" s="119"/>
      <c r="L467" s="119"/>
      <c r="M467" s="105"/>
      <c r="N467" s="105"/>
      <c r="O467" s="105"/>
      <c r="P467" s="105"/>
      <c r="Q467" s="105"/>
      <c r="R467" s="105"/>
      <c r="S467" s="105"/>
      <c r="T467" s="105"/>
      <c r="U467" s="105"/>
      <c r="V467" s="105"/>
      <c r="W467" s="105"/>
      <c r="X467" s="105"/>
      <c r="Y467" s="105"/>
      <c r="Z467" s="105"/>
      <c r="AA467" s="213"/>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c r="BI467" s="213"/>
      <c r="BJ467" s="219"/>
      <c r="BK467" s="219"/>
    </row>
    <row r="468" spans="1:63" ht="12.75" customHeight="1" outlineLevel="1">
      <c r="A468" s="9"/>
      <c r="B468" s="44"/>
      <c r="C468" s="128" t="str">
        <f>Asset7</f>
        <v>Zone substation equip 132/66kV</v>
      </c>
      <c r="D468" s="9"/>
      <c r="E468" s="9"/>
      <c r="F468" s="139"/>
      <c r="G468" s="191">
        <f>Input!P13</f>
        <v>0</v>
      </c>
      <c r="H468" s="119"/>
      <c r="I468" s="119"/>
      <c r="J468" s="119"/>
      <c r="K468" s="119"/>
      <c r="L468" s="119"/>
      <c r="M468" s="105"/>
      <c r="N468" s="105"/>
      <c r="O468" s="105"/>
      <c r="P468" s="105"/>
      <c r="Q468" s="105"/>
      <c r="R468" s="105"/>
      <c r="S468" s="105"/>
      <c r="T468" s="105"/>
      <c r="U468" s="105"/>
      <c r="V468" s="105"/>
      <c r="W468" s="105"/>
      <c r="X468" s="105"/>
      <c r="Y468" s="105"/>
      <c r="Z468" s="105"/>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9"/>
      <c r="BK468" s="219"/>
    </row>
    <row r="469" spans="1:63" ht="12.75" customHeight="1" outlineLevel="1">
      <c r="A469" s="9"/>
      <c r="B469" s="44"/>
      <c r="C469" s="128" t="str">
        <f>Asset8</f>
        <v>Transmission &amp; Zone emergency spares</v>
      </c>
      <c r="D469" s="9"/>
      <c r="E469" s="9"/>
      <c r="F469" s="139"/>
      <c r="G469" s="191">
        <f>Input!P14</f>
        <v>0</v>
      </c>
      <c r="H469" s="119"/>
      <c r="I469" s="119"/>
      <c r="J469" s="119"/>
      <c r="K469" s="119"/>
      <c r="L469" s="119"/>
      <c r="M469" s="105"/>
      <c r="N469" s="105"/>
      <c r="O469" s="105"/>
      <c r="P469" s="105"/>
      <c r="Q469" s="105"/>
      <c r="R469" s="105"/>
      <c r="S469" s="105"/>
      <c r="T469" s="105"/>
      <c r="U469" s="105"/>
      <c r="V469" s="105"/>
      <c r="W469" s="105"/>
      <c r="X469" s="105"/>
      <c r="Y469" s="105"/>
      <c r="Z469" s="105"/>
      <c r="AA469" s="213"/>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c r="BI469" s="213"/>
      <c r="BJ469" s="219"/>
      <c r="BK469" s="219"/>
    </row>
    <row r="470" spans="1:63" ht="12.75" customHeight="1" outlineLevel="1">
      <c r="A470" s="9"/>
      <c r="B470" s="44"/>
      <c r="C470" s="128" t="str">
        <f>Asset9</f>
        <v>Ancillary substation equipment (tx)</v>
      </c>
      <c r="D470" s="9"/>
      <c r="E470" s="9"/>
      <c r="F470" s="139"/>
      <c r="G470" s="191">
        <f>Input!P15</f>
        <v>0</v>
      </c>
      <c r="H470" s="119"/>
      <c r="I470" s="119"/>
      <c r="J470" s="119"/>
      <c r="K470" s="119"/>
      <c r="L470" s="119"/>
      <c r="M470" s="105"/>
      <c r="N470" s="105"/>
      <c r="O470" s="105"/>
      <c r="P470" s="105"/>
      <c r="Q470" s="105"/>
      <c r="R470" s="105"/>
      <c r="S470" s="105"/>
      <c r="T470" s="105"/>
      <c r="U470" s="105"/>
      <c r="V470" s="105"/>
      <c r="W470" s="105"/>
      <c r="X470" s="105"/>
      <c r="Y470" s="105"/>
      <c r="Z470" s="105"/>
      <c r="AA470" s="213"/>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c r="BI470" s="213"/>
      <c r="BJ470" s="219"/>
      <c r="BK470" s="219"/>
    </row>
    <row r="471" spans="1:63" ht="12.75" customHeight="1" outlineLevel="1">
      <c r="A471" s="9"/>
      <c r="B471" s="44"/>
      <c r="C471" s="128" t="str">
        <f>Asset10</f>
        <v>132kV tower lines</v>
      </c>
      <c r="D471" s="9"/>
      <c r="E471" s="9"/>
      <c r="F471" s="139"/>
      <c r="G471" s="191">
        <f>Input!P16</f>
        <v>0</v>
      </c>
      <c r="H471" s="119"/>
      <c r="I471" s="119"/>
      <c r="J471" s="119"/>
      <c r="K471" s="119"/>
      <c r="L471" s="119"/>
      <c r="M471" s="105"/>
      <c r="N471" s="105"/>
      <c r="O471" s="105"/>
      <c r="P471" s="105"/>
      <c r="Q471" s="105"/>
      <c r="R471" s="105"/>
      <c r="S471" s="105"/>
      <c r="T471" s="105"/>
      <c r="U471" s="105"/>
      <c r="V471" s="105"/>
      <c r="W471" s="105"/>
      <c r="X471" s="105"/>
      <c r="Y471" s="105"/>
      <c r="Z471" s="105"/>
      <c r="AA471" s="213"/>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c r="BI471" s="213"/>
      <c r="BJ471" s="219"/>
      <c r="BK471" s="219"/>
    </row>
    <row r="472" spans="1:63" ht="12.75" customHeight="1" outlineLevel="1">
      <c r="A472" s="9"/>
      <c r="B472" s="44"/>
      <c r="C472" s="128" t="str">
        <f>Asset11</f>
        <v>132kV concrete &amp; steel pole lines</v>
      </c>
      <c r="D472" s="9"/>
      <c r="E472" s="9"/>
      <c r="F472" s="139"/>
      <c r="G472" s="191">
        <f>Input!P17</f>
        <v>0</v>
      </c>
      <c r="H472" s="119"/>
      <c r="I472" s="119"/>
      <c r="J472" s="119"/>
      <c r="K472" s="119"/>
      <c r="L472" s="119"/>
      <c r="M472" s="105"/>
      <c r="N472" s="105"/>
      <c r="O472" s="105"/>
      <c r="P472" s="105"/>
      <c r="Q472" s="105"/>
      <c r="R472" s="105"/>
      <c r="S472" s="105"/>
      <c r="T472" s="105"/>
      <c r="U472" s="105"/>
      <c r="V472" s="105"/>
      <c r="W472" s="105"/>
      <c r="X472" s="105"/>
      <c r="Y472" s="105"/>
      <c r="Z472" s="105"/>
      <c r="AA472" s="213"/>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c r="BI472" s="213"/>
      <c r="BJ472" s="219"/>
      <c r="BK472" s="219"/>
    </row>
    <row r="473" spans="1:63" ht="12.75" customHeight="1" outlineLevel="1">
      <c r="A473" s="9"/>
      <c r="B473" s="44"/>
      <c r="C473" s="128" t="str">
        <f>Asset12</f>
        <v>132kV wood pole lines</v>
      </c>
      <c r="D473" s="9"/>
      <c r="E473" s="9"/>
      <c r="F473" s="139"/>
      <c r="G473" s="191">
        <f>Input!P18</f>
        <v>0</v>
      </c>
      <c r="H473" s="119"/>
      <c r="I473" s="119"/>
      <c r="J473" s="119"/>
      <c r="K473" s="119"/>
      <c r="L473" s="119"/>
      <c r="M473" s="105"/>
      <c r="N473" s="105"/>
      <c r="O473" s="105"/>
      <c r="P473" s="105"/>
      <c r="Q473" s="105"/>
      <c r="R473" s="105"/>
      <c r="S473" s="105"/>
      <c r="T473" s="105"/>
      <c r="U473" s="105"/>
      <c r="V473" s="105"/>
      <c r="W473" s="105"/>
      <c r="X473" s="105"/>
      <c r="Y473" s="105"/>
      <c r="Z473" s="105"/>
      <c r="AA473" s="213"/>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c r="BI473" s="213"/>
      <c r="BJ473" s="219"/>
      <c r="BK473" s="219"/>
    </row>
    <row r="474" spans="1:63" ht="12.75" customHeight="1" outlineLevel="1">
      <c r="A474" s="9"/>
      <c r="B474" s="44"/>
      <c r="C474" s="128" t="str">
        <f>Asset13</f>
        <v>132kV feeders underground</v>
      </c>
      <c r="D474" s="9"/>
      <c r="E474" s="9"/>
      <c r="F474" s="139"/>
      <c r="G474" s="191">
        <f>Input!P19</f>
        <v>0</v>
      </c>
      <c r="H474" s="119"/>
      <c r="I474" s="119"/>
      <c r="J474" s="119"/>
      <c r="K474" s="119"/>
      <c r="L474" s="119"/>
      <c r="M474" s="105"/>
      <c r="N474" s="105"/>
      <c r="O474" s="105"/>
      <c r="P474" s="105"/>
      <c r="Q474" s="105"/>
      <c r="R474" s="105"/>
      <c r="S474" s="105"/>
      <c r="T474" s="105"/>
      <c r="U474" s="105"/>
      <c r="V474" s="105"/>
      <c r="W474" s="105"/>
      <c r="X474" s="105"/>
      <c r="Y474" s="105"/>
      <c r="Z474" s="105"/>
      <c r="AA474" s="213"/>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c r="BI474" s="213"/>
      <c r="BJ474" s="219"/>
      <c r="BK474" s="219"/>
    </row>
    <row r="475" spans="1:63" ht="12.75" customHeight="1" outlineLevel="1">
      <c r="A475" s="9"/>
      <c r="B475" s="44"/>
      <c r="C475" s="128" t="str">
        <f>Asset14</f>
        <v>Cable tunnel (tx)</v>
      </c>
      <c r="D475" s="9"/>
      <c r="E475" s="9"/>
      <c r="F475" s="139"/>
      <c r="G475" s="191">
        <f>Input!P20</f>
        <v>0</v>
      </c>
      <c r="H475" s="119"/>
      <c r="I475" s="119"/>
      <c r="J475" s="119"/>
      <c r="K475" s="119"/>
      <c r="L475" s="119"/>
      <c r="M475" s="105"/>
      <c r="N475" s="105"/>
      <c r="O475" s="105"/>
      <c r="P475" s="105"/>
      <c r="Q475" s="105"/>
      <c r="R475" s="105"/>
      <c r="S475" s="105"/>
      <c r="T475" s="105"/>
      <c r="U475" s="105"/>
      <c r="V475" s="105"/>
      <c r="W475" s="105"/>
      <c r="X475" s="105"/>
      <c r="Y475" s="105"/>
      <c r="Z475" s="105"/>
      <c r="AA475" s="213"/>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c r="BI475" s="213"/>
      <c r="BJ475" s="219"/>
      <c r="BK475" s="219"/>
    </row>
    <row r="476" spans="1:63" ht="12.75" customHeight="1" outlineLevel="1">
      <c r="A476" s="9"/>
      <c r="B476" s="44"/>
      <c r="C476" s="128" t="str">
        <f>Asset15</f>
        <v>Network control &amp; com systems</v>
      </c>
      <c r="D476" s="9"/>
      <c r="E476" s="9"/>
      <c r="F476" s="139"/>
      <c r="G476" s="191">
        <f>Input!P21</f>
        <v>0</v>
      </c>
      <c r="H476" s="119"/>
      <c r="I476" s="119"/>
      <c r="J476" s="119"/>
      <c r="K476" s="119"/>
      <c r="L476" s="119"/>
      <c r="M476" s="105"/>
      <c r="N476" s="105"/>
      <c r="O476" s="105"/>
      <c r="P476" s="105"/>
      <c r="Q476" s="105"/>
      <c r="R476" s="105"/>
      <c r="S476" s="105"/>
      <c r="T476" s="105"/>
      <c r="U476" s="105"/>
      <c r="V476" s="105"/>
      <c r="W476" s="105"/>
      <c r="X476" s="105"/>
      <c r="Y476" s="105"/>
      <c r="Z476" s="105"/>
      <c r="AA476" s="213"/>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c r="BI476" s="213"/>
      <c r="BJ476" s="219"/>
      <c r="BK476" s="219"/>
    </row>
    <row r="477" spans="1:63" ht="12.75" customHeight="1" outlineLevel="1">
      <c r="A477" s="9"/>
      <c r="B477" s="44"/>
      <c r="C477" s="128" t="str">
        <f>Asset16</f>
        <v>Communications (digital) - tx</v>
      </c>
      <c r="D477" s="9"/>
      <c r="E477" s="9"/>
      <c r="F477" s="139"/>
      <c r="G477" s="191">
        <f>Input!P22</f>
        <v>0</v>
      </c>
      <c r="H477" s="119"/>
      <c r="I477" s="119"/>
      <c r="J477" s="119"/>
      <c r="K477" s="119"/>
      <c r="L477" s="119"/>
      <c r="M477" s="105"/>
      <c r="N477" s="105"/>
      <c r="O477" s="105"/>
      <c r="P477" s="105"/>
      <c r="Q477" s="105"/>
      <c r="R477" s="105"/>
      <c r="S477" s="105"/>
      <c r="T477" s="105"/>
      <c r="U477" s="105"/>
      <c r="V477" s="105"/>
      <c r="W477" s="105"/>
      <c r="X477" s="105"/>
      <c r="Y477" s="105"/>
      <c r="Z477" s="105"/>
      <c r="AA477" s="213"/>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c r="BI477" s="213"/>
      <c r="BJ477" s="219"/>
      <c r="BK477" s="219"/>
    </row>
    <row r="478" spans="1:63" ht="12.75" customHeight="1" outlineLevel="1">
      <c r="A478" s="9"/>
      <c r="B478" s="44"/>
      <c r="C478" s="128" t="str">
        <f>Asset17</f>
        <v>System IT (tx)</v>
      </c>
      <c r="D478" s="9"/>
      <c r="E478" s="9"/>
      <c r="F478" s="139"/>
      <c r="G478" s="191">
        <f>Input!P23</f>
        <v>0</v>
      </c>
      <c r="H478" s="119"/>
      <c r="I478" s="119"/>
      <c r="J478" s="119"/>
      <c r="K478" s="119"/>
      <c r="L478" s="119"/>
      <c r="M478" s="105"/>
      <c r="N478" s="105"/>
      <c r="O478" s="105"/>
      <c r="P478" s="105"/>
      <c r="Q478" s="105"/>
      <c r="R478" s="105"/>
      <c r="S478" s="105"/>
      <c r="T478" s="105"/>
      <c r="U478" s="105"/>
      <c r="V478" s="105"/>
      <c r="W478" s="105"/>
      <c r="X478" s="105"/>
      <c r="Y478" s="105"/>
      <c r="Z478" s="105"/>
      <c r="AA478" s="213"/>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c r="BI478" s="213"/>
      <c r="BJ478" s="219"/>
      <c r="BK478" s="219"/>
    </row>
    <row r="479" spans="1:63" ht="12.75" customHeight="1" outlineLevel="1">
      <c r="A479" s="9"/>
      <c r="B479" s="44"/>
      <c r="C479" s="128" t="str">
        <f>Asset18</f>
        <v>IT systems</v>
      </c>
      <c r="D479" s="9"/>
      <c r="E479" s="9"/>
      <c r="F479" s="139"/>
      <c r="G479" s="191">
        <f>Input!P24</f>
        <v>0</v>
      </c>
      <c r="H479" s="119"/>
      <c r="I479" s="119"/>
      <c r="J479" s="119"/>
      <c r="K479" s="119"/>
      <c r="L479" s="119"/>
      <c r="M479" s="105"/>
      <c r="N479" s="105"/>
      <c r="O479" s="105"/>
      <c r="P479" s="105"/>
      <c r="Q479" s="105"/>
      <c r="R479" s="105"/>
      <c r="S479" s="105"/>
      <c r="T479" s="105"/>
      <c r="U479" s="105"/>
      <c r="V479" s="105"/>
      <c r="W479" s="105"/>
      <c r="X479" s="105"/>
      <c r="Y479" s="105"/>
      <c r="Z479" s="105"/>
      <c r="AA479" s="213"/>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c r="BI479" s="213"/>
      <c r="BJ479" s="219"/>
      <c r="BK479" s="219"/>
    </row>
    <row r="480" spans="1:63" ht="12.75" customHeight="1" outlineLevel="1">
      <c r="A480" s="9"/>
      <c r="B480" s="44"/>
      <c r="C480" s="128" t="str">
        <f>Asset19</f>
        <v>Furniture, fittings, plant and equipment</v>
      </c>
      <c r="D480" s="9"/>
      <c r="E480" s="9"/>
      <c r="F480" s="139"/>
      <c r="G480" s="191">
        <f>Input!P25</f>
        <v>0</v>
      </c>
      <c r="H480" s="119"/>
      <c r="I480" s="119"/>
      <c r="J480" s="119"/>
      <c r="K480" s="119"/>
      <c r="L480" s="119"/>
      <c r="M480" s="105"/>
      <c r="N480" s="105"/>
      <c r="O480" s="105"/>
      <c r="P480" s="105"/>
      <c r="Q480" s="105"/>
      <c r="R480" s="105"/>
      <c r="S480" s="105"/>
      <c r="T480" s="105"/>
      <c r="U480" s="105"/>
      <c r="V480" s="105"/>
      <c r="W480" s="105"/>
      <c r="X480" s="105"/>
      <c r="Y480" s="105"/>
      <c r="Z480" s="105"/>
      <c r="AA480" s="213"/>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c r="BI480" s="213"/>
      <c r="BJ480" s="219"/>
      <c r="BK480" s="219"/>
    </row>
    <row r="481" spans="1:63" ht="12.75" customHeight="1" outlineLevel="1">
      <c r="A481" s="9"/>
      <c r="B481" s="44"/>
      <c r="C481" s="128" t="str">
        <f>Asset20</f>
        <v>Motor vehicles</v>
      </c>
      <c r="D481" s="9"/>
      <c r="E481" s="9"/>
      <c r="F481" s="139"/>
      <c r="G481" s="191">
        <f>Input!P26</f>
        <v>0</v>
      </c>
      <c r="H481" s="119"/>
      <c r="I481" s="119"/>
      <c r="J481" s="119"/>
      <c r="K481" s="119"/>
      <c r="L481" s="119"/>
      <c r="M481" s="105"/>
      <c r="N481" s="105"/>
      <c r="O481" s="105"/>
      <c r="P481" s="105"/>
      <c r="Q481" s="105"/>
      <c r="R481" s="105"/>
      <c r="S481" s="105"/>
      <c r="T481" s="105"/>
      <c r="U481" s="105"/>
      <c r="V481" s="105"/>
      <c r="W481" s="105"/>
      <c r="X481" s="105"/>
      <c r="Y481" s="105"/>
      <c r="Z481" s="105"/>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c r="BI481" s="213"/>
      <c r="BJ481" s="219"/>
      <c r="BK481" s="219"/>
    </row>
    <row r="482" spans="1:63" ht="12.75" customHeight="1" outlineLevel="1">
      <c r="A482" s="9"/>
      <c r="B482" s="44"/>
      <c r="C482" s="128" t="str">
        <f>Asset21</f>
        <v>Buildings</v>
      </c>
      <c r="D482" s="9"/>
      <c r="E482" s="9"/>
      <c r="F482" s="139"/>
      <c r="G482" s="191">
        <f>Input!P27</f>
        <v>0</v>
      </c>
      <c r="H482" s="119"/>
      <c r="I482" s="119"/>
      <c r="J482" s="119"/>
      <c r="K482" s="119"/>
      <c r="L482" s="119"/>
      <c r="M482" s="105"/>
      <c r="N482" s="105"/>
      <c r="O482" s="105"/>
      <c r="P482" s="105"/>
      <c r="Q482" s="105"/>
      <c r="R482" s="105"/>
      <c r="S482" s="105"/>
      <c r="T482" s="105"/>
      <c r="U482" s="105"/>
      <c r="V482" s="105"/>
      <c r="W482" s="105"/>
      <c r="X482" s="105"/>
      <c r="Y482" s="105"/>
      <c r="Z482" s="105"/>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c r="BI482" s="213"/>
      <c r="BJ482" s="219"/>
      <c r="BK482" s="219"/>
    </row>
    <row r="483" spans="1:63" ht="12.75" customHeight="1" outlineLevel="1">
      <c r="A483" s="9"/>
      <c r="B483" s="44"/>
      <c r="C483" s="128" t="str">
        <f>Asset22</f>
        <v>Land (non-system)</v>
      </c>
      <c r="D483" s="9"/>
      <c r="E483" s="9"/>
      <c r="F483" s="139"/>
      <c r="G483" s="191">
        <f>Input!P28</f>
        <v>0</v>
      </c>
      <c r="H483" s="119"/>
      <c r="I483" s="119"/>
      <c r="J483" s="119"/>
      <c r="K483" s="119"/>
      <c r="L483" s="119"/>
      <c r="M483" s="105"/>
      <c r="N483" s="105"/>
      <c r="O483" s="105"/>
      <c r="P483" s="105"/>
      <c r="Q483" s="105"/>
      <c r="R483" s="105"/>
      <c r="S483" s="105"/>
      <c r="T483" s="105"/>
      <c r="U483" s="105"/>
      <c r="V483" s="105"/>
      <c r="W483" s="105"/>
      <c r="X483" s="105"/>
      <c r="Y483" s="105"/>
      <c r="Z483" s="105"/>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c r="BI483" s="213"/>
      <c r="BJ483" s="219"/>
      <c r="BK483" s="219"/>
    </row>
    <row r="484" spans="1:63" ht="12.75" customHeight="1" outlineLevel="1">
      <c r="A484" s="9"/>
      <c r="B484" s="44"/>
      <c r="C484" s="128" t="str">
        <f>Asset23</f>
        <v>Other non system assets</v>
      </c>
      <c r="D484" s="9"/>
      <c r="E484" s="9"/>
      <c r="F484" s="139"/>
      <c r="G484" s="191">
        <f>Input!P29</f>
        <v>0</v>
      </c>
      <c r="H484" s="119"/>
      <c r="I484" s="119"/>
      <c r="J484" s="119"/>
      <c r="K484" s="119"/>
      <c r="L484" s="119"/>
      <c r="M484" s="105"/>
      <c r="N484" s="105"/>
      <c r="O484" s="105"/>
      <c r="P484" s="105"/>
      <c r="Q484" s="105"/>
      <c r="R484" s="105"/>
      <c r="S484" s="105"/>
      <c r="T484" s="105"/>
      <c r="U484" s="105"/>
      <c r="V484" s="105"/>
      <c r="W484" s="105"/>
      <c r="X484" s="105"/>
      <c r="Y484" s="105"/>
      <c r="Z484" s="105"/>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c r="BI484" s="213"/>
      <c r="BJ484" s="219"/>
      <c r="BK484" s="219"/>
    </row>
    <row r="485" spans="1:63" ht="12.75" customHeight="1" outlineLevel="1">
      <c r="A485" s="9"/>
      <c r="B485" s="44"/>
      <c r="C485" s="128" t="str">
        <f>Asset24</f>
        <v>Equity raising costs</v>
      </c>
      <c r="D485" s="9"/>
      <c r="E485" s="9"/>
      <c r="F485" s="139"/>
      <c r="G485" s="191">
        <f>Input!P30</f>
        <v>0</v>
      </c>
      <c r="H485" s="119"/>
      <c r="I485" s="119"/>
      <c r="J485" s="119"/>
      <c r="K485" s="119"/>
      <c r="L485" s="119"/>
      <c r="M485" s="105"/>
      <c r="N485" s="105"/>
      <c r="O485" s="105"/>
      <c r="P485" s="105"/>
      <c r="Q485" s="105"/>
      <c r="R485" s="105"/>
      <c r="S485" s="105"/>
      <c r="T485" s="105"/>
      <c r="U485" s="105"/>
      <c r="V485" s="105"/>
      <c r="W485" s="105"/>
      <c r="X485" s="105"/>
      <c r="Y485" s="105"/>
      <c r="Z485" s="105"/>
      <c r="AA485" s="213"/>
      <c r="AB485" s="213"/>
      <c r="AC485" s="213"/>
      <c r="AD485" s="213"/>
      <c r="AE485" s="213"/>
      <c r="AF485" s="213"/>
      <c r="AG485" s="213"/>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c r="BI485" s="213"/>
      <c r="BJ485" s="219"/>
      <c r="BK485" s="219"/>
    </row>
    <row r="486" spans="1:63" ht="12.75" customHeight="1" outlineLevel="1">
      <c r="A486" s="9"/>
      <c r="B486" s="44"/>
      <c r="C486" s="128">
        <f>Asset25</f>
        <v>0</v>
      </c>
      <c r="D486" s="9"/>
      <c r="E486" s="9"/>
      <c r="F486" s="139"/>
      <c r="G486" s="191">
        <f>Input!P31</f>
        <v>0</v>
      </c>
      <c r="H486" s="119"/>
      <c r="I486" s="119"/>
      <c r="J486" s="119"/>
      <c r="K486" s="119"/>
      <c r="L486" s="119"/>
      <c r="M486" s="105"/>
      <c r="N486" s="105"/>
      <c r="O486" s="105"/>
      <c r="P486" s="105"/>
      <c r="Q486" s="105"/>
      <c r="R486" s="105"/>
      <c r="S486" s="105"/>
      <c r="T486" s="105"/>
      <c r="U486" s="105"/>
      <c r="V486" s="105"/>
      <c r="W486" s="105"/>
      <c r="X486" s="105"/>
      <c r="Y486" s="105"/>
      <c r="Z486" s="105"/>
      <c r="AA486" s="213"/>
      <c r="AB486" s="213"/>
      <c r="AC486" s="213"/>
      <c r="AD486" s="213"/>
      <c r="AE486" s="213"/>
      <c r="AF486" s="213"/>
      <c r="AG486" s="213"/>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c r="BI486" s="213"/>
      <c r="BJ486" s="219"/>
      <c r="BK486" s="219"/>
    </row>
    <row r="487" spans="1:63" ht="12.75" customHeight="1" outlineLevel="1">
      <c r="A487" s="9"/>
      <c r="B487" s="44"/>
      <c r="C487" s="128">
        <f>Asset26</f>
        <v>0</v>
      </c>
      <c r="D487" s="9"/>
      <c r="E487" s="9"/>
      <c r="F487" s="139"/>
      <c r="G487" s="191">
        <f>Input!P32</f>
        <v>0</v>
      </c>
      <c r="H487" s="119"/>
      <c r="I487" s="119"/>
      <c r="J487" s="119"/>
      <c r="K487" s="119"/>
      <c r="L487" s="119"/>
      <c r="M487" s="105"/>
      <c r="N487" s="105"/>
      <c r="O487" s="105"/>
      <c r="P487" s="105"/>
      <c r="Q487" s="105"/>
      <c r="R487" s="105"/>
      <c r="S487" s="105"/>
      <c r="T487" s="105"/>
      <c r="U487" s="105"/>
      <c r="V487" s="105"/>
      <c r="W487" s="105"/>
      <c r="X487" s="105"/>
      <c r="Y487" s="105"/>
      <c r="Z487" s="105"/>
      <c r="AA487" s="213"/>
      <c r="AB487" s="213"/>
      <c r="AC487" s="213"/>
      <c r="AD487" s="213"/>
      <c r="AE487" s="213"/>
      <c r="AF487" s="213"/>
      <c r="AG487" s="213"/>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c r="BI487" s="213"/>
      <c r="BJ487" s="219"/>
      <c r="BK487" s="219"/>
    </row>
    <row r="488" spans="1:63" ht="12.75" customHeight="1" outlineLevel="1">
      <c r="A488" s="9"/>
      <c r="B488" s="44"/>
      <c r="C488" s="128">
        <f>Asset27</f>
        <v>0</v>
      </c>
      <c r="D488" s="9"/>
      <c r="E488" s="9"/>
      <c r="F488" s="139"/>
      <c r="G488" s="191">
        <f>Input!P33</f>
        <v>0</v>
      </c>
      <c r="H488" s="119"/>
      <c r="I488" s="119"/>
      <c r="J488" s="119"/>
      <c r="K488" s="119"/>
      <c r="L488" s="119"/>
      <c r="M488" s="105"/>
      <c r="N488" s="105"/>
      <c r="O488" s="105"/>
      <c r="P488" s="105"/>
      <c r="Q488" s="105"/>
      <c r="R488" s="105"/>
      <c r="S488" s="105"/>
      <c r="T488" s="105"/>
      <c r="U488" s="105"/>
      <c r="V488" s="105"/>
      <c r="W488" s="105"/>
      <c r="X488" s="105"/>
      <c r="Y488" s="105"/>
      <c r="Z488" s="105"/>
      <c r="AA488" s="213"/>
      <c r="AB488" s="213"/>
      <c r="AC488" s="213"/>
      <c r="AD488" s="213"/>
      <c r="AE488" s="213"/>
      <c r="AF488" s="213"/>
      <c r="AG488" s="213"/>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c r="BI488" s="213"/>
      <c r="BJ488" s="219"/>
      <c r="BK488" s="219"/>
    </row>
    <row r="489" spans="1:63" ht="12.75" customHeight="1" outlineLevel="1">
      <c r="A489" s="9"/>
      <c r="B489" s="44"/>
      <c r="C489" s="128">
        <f>Asset28</f>
        <v>0</v>
      </c>
      <c r="D489" s="9"/>
      <c r="E489" s="9"/>
      <c r="F489" s="139"/>
      <c r="G489" s="191">
        <f>Input!P34</f>
        <v>0</v>
      </c>
      <c r="H489" s="119"/>
      <c r="I489" s="119"/>
      <c r="J489" s="119"/>
      <c r="K489" s="119"/>
      <c r="L489" s="119"/>
      <c r="M489" s="105"/>
      <c r="N489" s="105"/>
      <c r="O489" s="105"/>
      <c r="P489" s="105"/>
      <c r="Q489" s="105"/>
      <c r="R489" s="105"/>
      <c r="S489" s="105"/>
      <c r="T489" s="105"/>
      <c r="U489" s="105"/>
      <c r="V489" s="105"/>
      <c r="W489" s="105"/>
      <c r="X489" s="105"/>
      <c r="Y489" s="105"/>
      <c r="Z489" s="105"/>
      <c r="AA489" s="213"/>
      <c r="AB489" s="213"/>
      <c r="AC489" s="213"/>
      <c r="AD489" s="213"/>
      <c r="AE489" s="213"/>
      <c r="AF489" s="213"/>
      <c r="AG489" s="213"/>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c r="BI489" s="213"/>
      <c r="BJ489" s="219"/>
      <c r="BK489" s="219"/>
    </row>
    <row r="490" spans="1:63" ht="12.75" customHeight="1" outlineLevel="1">
      <c r="A490" s="9"/>
      <c r="B490" s="44"/>
      <c r="C490" s="128">
        <f>Asset29</f>
        <v>0</v>
      </c>
      <c r="D490" s="9"/>
      <c r="E490" s="9"/>
      <c r="F490" s="139"/>
      <c r="G490" s="191">
        <f>Input!P35</f>
        <v>0</v>
      </c>
      <c r="H490" s="119"/>
      <c r="I490" s="119"/>
      <c r="J490" s="119"/>
      <c r="K490" s="119"/>
      <c r="L490" s="119"/>
      <c r="M490" s="105"/>
      <c r="N490" s="105"/>
      <c r="O490" s="105"/>
      <c r="P490" s="105"/>
      <c r="Q490" s="105"/>
      <c r="R490" s="105"/>
      <c r="S490" s="105"/>
      <c r="T490" s="105"/>
      <c r="U490" s="105"/>
      <c r="V490" s="105"/>
      <c r="W490" s="105"/>
      <c r="X490" s="105"/>
      <c r="Y490" s="105"/>
      <c r="Z490" s="105"/>
      <c r="AA490" s="213"/>
      <c r="AB490" s="213"/>
      <c r="AC490" s="213"/>
      <c r="AD490" s="213"/>
      <c r="AE490" s="213"/>
      <c r="AF490" s="213"/>
      <c r="AG490" s="213"/>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c r="BI490" s="213"/>
      <c r="BJ490" s="219"/>
      <c r="BK490" s="219"/>
    </row>
    <row r="491" spans="1:63" ht="12.75" customHeight="1" outlineLevel="1">
      <c r="A491" s="9"/>
      <c r="B491" s="44"/>
      <c r="C491" s="128">
        <f>Asset30</f>
        <v>0</v>
      </c>
      <c r="D491" s="9"/>
      <c r="E491" s="9"/>
      <c r="F491" s="139"/>
      <c r="G491" s="191">
        <f>Input!P36</f>
        <v>0</v>
      </c>
      <c r="H491" s="119"/>
      <c r="I491" s="119"/>
      <c r="J491" s="119"/>
      <c r="K491" s="119"/>
      <c r="L491" s="119"/>
      <c r="M491" s="105"/>
      <c r="N491" s="105"/>
      <c r="O491" s="105"/>
      <c r="P491" s="105"/>
      <c r="Q491" s="105"/>
      <c r="R491" s="105"/>
      <c r="S491" s="105"/>
      <c r="T491" s="105"/>
      <c r="U491" s="105"/>
      <c r="V491" s="105"/>
      <c r="W491" s="105"/>
      <c r="X491" s="105"/>
      <c r="Y491" s="105"/>
      <c r="Z491" s="105"/>
      <c r="AA491" s="213"/>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c r="BI491" s="213"/>
      <c r="BJ491" s="219"/>
      <c r="BK491" s="219"/>
    </row>
    <row r="492" spans="1:63">
      <c r="A492" s="9"/>
      <c r="B492" s="44"/>
      <c r="C492" s="128"/>
      <c r="D492" s="9"/>
      <c r="E492" s="9"/>
      <c r="F492" s="139"/>
      <c r="G492" s="191"/>
      <c r="H492" s="119"/>
      <c r="I492" s="119"/>
      <c r="J492" s="119"/>
      <c r="K492" s="119"/>
      <c r="L492" s="119"/>
      <c r="M492" s="105"/>
      <c r="N492" s="105"/>
      <c r="O492" s="105"/>
      <c r="P492" s="105"/>
      <c r="Q492" s="105"/>
      <c r="R492" s="105"/>
      <c r="S492" s="105"/>
      <c r="T492" s="105"/>
      <c r="U492" s="105"/>
      <c r="V492" s="105"/>
      <c r="W492" s="105"/>
      <c r="X492" s="105"/>
      <c r="Y492" s="105"/>
      <c r="Z492" s="105"/>
      <c r="AA492" s="213"/>
      <c r="AB492" s="213"/>
      <c r="AC492" s="213"/>
      <c r="AD492" s="213"/>
      <c r="AE492" s="213"/>
      <c r="AF492" s="213"/>
      <c r="AG492" s="213"/>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c r="BI492" s="213"/>
      <c r="BJ492" s="219"/>
      <c r="BK492" s="219"/>
    </row>
    <row r="493" spans="1:63">
      <c r="A493" s="9"/>
      <c r="B493" s="44" t="s">
        <v>62</v>
      </c>
      <c r="C493" s="128"/>
      <c r="D493" s="9"/>
      <c r="E493" s="9"/>
      <c r="F493" s="27"/>
      <c r="G493" s="195">
        <f>SUM(G494:G523)</f>
        <v>0</v>
      </c>
      <c r="H493" s="119"/>
      <c r="I493" s="119"/>
      <c r="J493" s="119"/>
      <c r="K493" s="119"/>
      <c r="L493" s="119"/>
      <c r="M493" s="105"/>
      <c r="N493" s="105"/>
      <c r="O493" s="105"/>
      <c r="P493" s="105"/>
      <c r="Q493" s="105"/>
      <c r="R493" s="105"/>
      <c r="S493" s="105"/>
      <c r="T493" s="105"/>
      <c r="U493" s="105"/>
      <c r="V493" s="105"/>
      <c r="W493" s="105"/>
      <c r="X493" s="105"/>
      <c r="Y493" s="105"/>
      <c r="Z493" s="105"/>
      <c r="AA493" s="213"/>
      <c r="AB493" s="213"/>
      <c r="AC493" s="213"/>
      <c r="AD493" s="213"/>
      <c r="AE493" s="213"/>
      <c r="AF493" s="213"/>
      <c r="AG493" s="213"/>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c r="BI493" s="213"/>
      <c r="BJ493" s="219"/>
      <c r="BK493" s="219"/>
    </row>
    <row r="494" spans="1:63" ht="12.75" customHeight="1" outlineLevel="1">
      <c r="A494" s="9"/>
      <c r="B494" s="44"/>
      <c r="C494" s="128" t="str">
        <f>Asset1</f>
        <v>Transmission &amp; Zone land &amp; easements</v>
      </c>
      <c r="D494" s="9"/>
      <c r="E494" s="9"/>
      <c r="F494" s="27"/>
      <c r="G494" s="194">
        <f>Input!Q7</f>
        <v>0</v>
      </c>
      <c r="H494" s="119"/>
      <c r="I494" s="119"/>
      <c r="J494" s="119"/>
      <c r="K494" s="119"/>
      <c r="L494" s="119"/>
      <c r="M494" s="105"/>
      <c r="N494" s="105"/>
      <c r="O494" s="105"/>
      <c r="P494" s="105"/>
      <c r="Q494" s="105"/>
      <c r="R494" s="105"/>
      <c r="S494" s="105"/>
      <c r="T494" s="105"/>
      <c r="U494" s="105"/>
      <c r="V494" s="105"/>
      <c r="W494" s="105"/>
      <c r="X494" s="105"/>
      <c r="Y494" s="105"/>
      <c r="Z494" s="105"/>
      <c r="AA494" s="213"/>
      <c r="AB494" s="213"/>
      <c r="AC494" s="213"/>
      <c r="AD494" s="213"/>
      <c r="AE494" s="213"/>
      <c r="AF494" s="213"/>
      <c r="AG494" s="213"/>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c r="BI494" s="213"/>
      <c r="BJ494" s="219"/>
      <c r="BK494" s="219"/>
    </row>
    <row r="495" spans="1:63" ht="12.75" customHeight="1" outlineLevel="1">
      <c r="A495" s="9"/>
      <c r="B495" s="44"/>
      <c r="C495" s="128" t="str">
        <f>Asset2</f>
        <v>Transmission buildings 132/66kV</v>
      </c>
      <c r="D495" s="9"/>
      <c r="E495" s="9"/>
      <c r="F495" s="27"/>
      <c r="G495" s="194">
        <f>Input!Q8</f>
        <v>0</v>
      </c>
      <c r="H495" s="119"/>
      <c r="I495" s="119"/>
      <c r="J495" s="119"/>
      <c r="K495" s="119"/>
      <c r="L495" s="119"/>
      <c r="M495" s="105"/>
      <c r="N495" s="105"/>
      <c r="O495" s="105"/>
      <c r="P495" s="105"/>
      <c r="Q495" s="105"/>
      <c r="R495" s="105"/>
      <c r="S495" s="105"/>
      <c r="T495" s="105"/>
      <c r="U495" s="105"/>
      <c r="V495" s="105"/>
      <c r="W495" s="105"/>
      <c r="X495" s="105"/>
      <c r="Y495" s="105"/>
      <c r="Z495" s="105"/>
      <c r="AA495" s="213"/>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c r="BI495" s="213"/>
      <c r="BJ495" s="219"/>
      <c r="BK495" s="219"/>
    </row>
    <row r="496" spans="1:63" ht="12.75" customHeight="1" outlineLevel="1">
      <c r="A496" s="9"/>
      <c r="B496" s="44"/>
      <c r="C496" s="128" t="str">
        <f>Asset3</f>
        <v>Zone buildings 132/66kV</v>
      </c>
      <c r="D496" s="9"/>
      <c r="E496" s="9"/>
      <c r="F496" s="27"/>
      <c r="G496" s="194">
        <f>Input!Q9</f>
        <v>0</v>
      </c>
      <c r="H496" s="119"/>
      <c r="I496" s="119"/>
      <c r="J496" s="119"/>
      <c r="K496" s="119"/>
      <c r="L496" s="119"/>
      <c r="M496" s="105"/>
      <c r="N496" s="105"/>
      <c r="O496" s="105"/>
      <c r="P496" s="105"/>
      <c r="Q496" s="105"/>
      <c r="R496" s="105"/>
      <c r="S496" s="105"/>
      <c r="T496" s="105"/>
      <c r="U496" s="105"/>
      <c r="V496" s="105"/>
      <c r="W496" s="105"/>
      <c r="X496" s="105"/>
      <c r="Y496" s="105"/>
      <c r="Z496" s="105"/>
      <c r="AA496" s="213"/>
      <c r="AB496" s="213"/>
      <c r="AC496" s="213"/>
      <c r="AD496" s="213"/>
      <c r="AE496" s="213"/>
      <c r="AF496" s="213"/>
      <c r="AG496" s="213"/>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c r="BI496" s="213"/>
      <c r="BJ496" s="219"/>
      <c r="BK496" s="219"/>
    </row>
    <row r="497" spans="1:63" ht="12.75" customHeight="1" outlineLevel="1">
      <c r="A497" s="9"/>
      <c r="B497" s="44"/>
      <c r="C497" s="128" t="str">
        <f>Asset4</f>
        <v>Transmission transformers 132/66kV</v>
      </c>
      <c r="D497" s="9"/>
      <c r="E497" s="9"/>
      <c r="F497" s="27"/>
      <c r="G497" s="194">
        <f>Input!Q10</f>
        <v>0</v>
      </c>
      <c r="H497" s="119"/>
      <c r="I497" s="119"/>
      <c r="J497" s="119"/>
      <c r="K497" s="119"/>
      <c r="L497" s="119"/>
      <c r="M497" s="105"/>
      <c r="N497" s="105"/>
      <c r="O497" s="105"/>
      <c r="P497" s="105"/>
      <c r="Q497" s="105"/>
      <c r="R497" s="105"/>
      <c r="S497" s="105"/>
      <c r="T497" s="105"/>
      <c r="U497" s="105"/>
      <c r="V497" s="105"/>
      <c r="W497" s="105"/>
      <c r="X497" s="105"/>
      <c r="Y497" s="105"/>
      <c r="Z497" s="105"/>
      <c r="AA497" s="213"/>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c r="BI497" s="213"/>
      <c r="BJ497" s="219"/>
      <c r="BK497" s="219"/>
    </row>
    <row r="498" spans="1:63" ht="12.75" customHeight="1" outlineLevel="1">
      <c r="A498" s="9"/>
      <c r="B498" s="44"/>
      <c r="C498" s="128" t="str">
        <f>Asset5</f>
        <v>Zone transformers 132/66kV</v>
      </c>
      <c r="D498" s="9"/>
      <c r="E498" s="9"/>
      <c r="F498" s="27"/>
      <c r="G498" s="194">
        <f>Input!Q11</f>
        <v>0</v>
      </c>
      <c r="H498" s="119"/>
      <c r="I498" s="119"/>
      <c r="J498" s="119"/>
      <c r="K498" s="119"/>
      <c r="L498" s="119"/>
      <c r="M498" s="105"/>
      <c r="N498" s="105"/>
      <c r="O498" s="105"/>
      <c r="P498" s="105"/>
      <c r="Q498" s="105"/>
      <c r="R498" s="105"/>
      <c r="S498" s="105"/>
      <c r="T498" s="105"/>
      <c r="U498" s="105"/>
      <c r="V498" s="105"/>
      <c r="W498" s="105"/>
      <c r="X498" s="105"/>
      <c r="Y498" s="105"/>
      <c r="Z498" s="105"/>
      <c r="AA498" s="213"/>
      <c r="AB498" s="213"/>
      <c r="AC498" s="213"/>
      <c r="AD498" s="213"/>
      <c r="AE498" s="213"/>
      <c r="AF498" s="213"/>
      <c r="AG498" s="213"/>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c r="BI498" s="213"/>
      <c r="BJ498" s="219"/>
      <c r="BK498" s="219"/>
    </row>
    <row r="499" spans="1:63" ht="12.75" customHeight="1" outlineLevel="1">
      <c r="A499" s="9"/>
      <c r="B499" s="44"/>
      <c r="C499" s="128" t="str">
        <f>Asset6</f>
        <v>Transmission substation equip 132/66kV</v>
      </c>
      <c r="D499" s="9"/>
      <c r="E499" s="9"/>
      <c r="F499" s="27"/>
      <c r="G499" s="194">
        <f>Input!Q12</f>
        <v>0</v>
      </c>
      <c r="H499" s="119"/>
      <c r="I499" s="119"/>
      <c r="J499" s="119"/>
      <c r="K499" s="119"/>
      <c r="L499" s="119"/>
      <c r="M499" s="105"/>
      <c r="N499" s="105"/>
      <c r="O499" s="105"/>
      <c r="P499" s="105"/>
      <c r="Q499" s="105"/>
      <c r="R499" s="105"/>
      <c r="S499" s="105"/>
      <c r="T499" s="105"/>
      <c r="U499" s="105"/>
      <c r="V499" s="105"/>
      <c r="W499" s="105"/>
      <c r="X499" s="105"/>
      <c r="Y499" s="105"/>
      <c r="Z499" s="105"/>
      <c r="AA499" s="213"/>
      <c r="AB499" s="213"/>
      <c r="AC499" s="213"/>
      <c r="AD499" s="213"/>
      <c r="AE499" s="213"/>
      <c r="AF499" s="213"/>
      <c r="AG499" s="213"/>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c r="BI499" s="213"/>
      <c r="BJ499" s="219"/>
      <c r="BK499" s="219"/>
    </row>
    <row r="500" spans="1:63" ht="12.75" customHeight="1" outlineLevel="1">
      <c r="A500" s="9"/>
      <c r="B500" s="44"/>
      <c r="C500" s="128" t="str">
        <f>Asset7</f>
        <v>Zone substation equip 132/66kV</v>
      </c>
      <c r="D500" s="9"/>
      <c r="E500" s="9"/>
      <c r="F500" s="27"/>
      <c r="G500" s="194">
        <f>Input!Q13</f>
        <v>0</v>
      </c>
      <c r="H500" s="119"/>
      <c r="I500" s="119"/>
      <c r="J500" s="119"/>
      <c r="K500" s="119"/>
      <c r="L500" s="119"/>
      <c r="M500" s="105"/>
      <c r="N500" s="105"/>
      <c r="O500" s="105"/>
      <c r="P500" s="105"/>
      <c r="Q500" s="105"/>
      <c r="R500" s="105"/>
      <c r="S500" s="105"/>
      <c r="T500" s="105"/>
      <c r="U500" s="105"/>
      <c r="V500" s="105"/>
      <c r="W500" s="105"/>
      <c r="X500" s="105"/>
      <c r="Y500" s="105"/>
      <c r="Z500" s="105"/>
      <c r="AA500" s="213"/>
      <c r="AB500" s="213"/>
      <c r="AC500" s="213"/>
      <c r="AD500" s="213"/>
      <c r="AE500" s="213"/>
      <c r="AF500" s="213"/>
      <c r="AG500" s="213"/>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c r="BI500" s="213"/>
      <c r="BJ500" s="219"/>
      <c r="BK500" s="219"/>
    </row>
    <row r="501" spans="1:63" ht="12.75" customHeight="1" outlineLevel="1">
      <c r="A501" s="9"/>
      <c r="B501" s="44"/>
      <c r="C501" s="128" t="str">
        <f>Asset8</f>
        <v>Transmission &amp; Zone emergency spares</v>
      </c>
      <c r="D501" s="9"/>
      <c r="E501" s="9"/>
      <c r="F501" s="27"/>
      <c r="G501" s="194">
        <f>Input!Q14</f>
        <v>0</v>
      </c>
      <c r="H501" s="119"/>
      <c r="I501" s="119"/>
      <c r="J501" s="119"/>
      <c r="K501" s="119"/>
      <c r="L501" s="119"/>
      <c r="M501" s="105"/>
      <c r="N501" s="105"/>
      <c r="O501" s="105"/>
      <c r="P501" s="105"/>
      <c r="Q501" s="105"/>
      <c r="R501" s="105"/>
      <c r="S501" s="105"/>
      <c r="T501" s="105"/>
      <c r="U501" s="105"/>
      <c r="V501" s="105"/>
      <c r="W501" s="105"/>
      <c r="X501" s="105"/>
      <c r="Y501" s="105"/>
      <c r="Z501" s="105"/>
      <c r="AA501" s="213"/>
      <c r="AB501" s="213"/>
      <c r="AC501" s="213"/>
      <c r="AD501" s="213"/>
      <c r="AE501" s="213"/>
      <c r="AF501" s="213"/>
      <c r="AG501" s="213"/>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c r="BI501" s="213"/>
      <c r="BJ501" s="219"/>
      <c r="BK501" s="219"/>
    </row>
    <row r="502" spans="1:63" ht="12.75" customHeight="1" outlineLevel="1">
      <c r="A502" s="9"/>
      <c r="B502" s="44"/>
      <c r="C502" s="128" t="str">
        <f>Asset9</f>
        <v>Ancillary substation equipment (tx)</v>
      </c>
      <c r="D502" s="9"/>
      <c r="E502" s="9"/>
      <c r="F502" s="27"/>
      <c r="G502" s="194">
        <f>Input!Q15</f>
        <v>0</v>
      </c>
      <c r="H502" s="119"/>
      <c r="I502" s="119"/>
      <c r="J502" s="119"/>
      <c r="K502" s="119"/>
      <c r="L502" s="119"/>
      <c r="M502" s="105"/>
      <c r="N502" s="105"/>
      <c r="O502" s="105"/>
      <c r="P502" s="105"/>
      <c r="Q502" s="105"/>
      <c r="R502" s="105"/>
      <c r="S502" s="105"/>
      <c r="T502" s="105"/>
      <c r="U502" s="105"/>
      <c r="V502" s="105"/>
      <c r="W502" s="105"/>
      <c r="X502" s="105"/>
      <c r="Y502" s="105"/>
      <c r="Z502" s="105"/>
      <c r="AA502" s="213"/>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c r="BI502" s="213"/>
      <c r="BJ502" s="219"/>
      <c r="BK502" s="219"/>
    </row>
    <row r="503" spans="1:63" ht="12.75" customHeight="1" outlineLevel="1">
      <c r="A503" s="9"/>
      <c r="B503" s="44"/>
      <c r="C503" s="128" t="str">
        <f>Asset10</f>
        <v>132kV tower lines</v>
      </c>
      <c r="D503" s="9"/>
      <c r="E503" s="9"/>
      <c r="F503" s="27"/>
      <c r="G503" s="194">
        <f>Input!Q16</f>
        <v>0</v>
      </c>
      <c r="H503" s="119"/>
      <c r="I503" s="119"/>
      <c r="J503" s="119"/>
      <c r="K503" s="119"/>
      <c r="L503" s="119"/>
      <c r="M503" s="105"/>
      <c r="N503" s="105"/>
      <c r="O503" s="105"/>
      <c r="P503" s="105"/>
      <c r="Q503" s="105"/>
      <c r="R503" s="105"/>
      <c r="S503" s="105"/>
      <c r="T503" s="105"/>
      <c r="U503" s="105"/>
      <c r="V503" s="105"/>
      <c r="W503" s="105"/>
      <c r="X503" s="105"/>
      <c r="Y503" s="105"/>
      <c r="Z503" s="105"/>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c r="BI503" s="213"/>
      <c r="BJ503" s="219"/>
      <c r="BK503" s="219"/>
    </row>
    <row r="504" spans="1:63" ht="12.75" customHeight="1" outlineLevel="1">
      <c r="A504" s="9"/>
      <c r="B504" s="44"/>
      <c r="C504" s="128" t="str">
        <f>Asset11</f>
        <v>132kV concrete &amp; steel pole lines</v>
      </c>
      <c r="D504" s="9"/>
      <c r="E504" s="9"/>
      <c r="F504" s="27"/>
      <c r="G504" s="194">
        <f>Input!Q17</f>
        <v>0</v>
      </c>
      <c r="H504" s="119"/>
      <c r="I504" s="119"/>
      <c r="J504" s="119"/>
      <c r="K504" s="119"/>
      <c r="L504" s="119"/>
      <c r="M504" s="105"/>
      <c r="N504" s="105"/>
      <c r="O504" s="105"/>
      <c r="P504" s="105"/>
      <c r="Q504" s="105"/>
      <c r="R504" s="105"/>
      <c r="S504" s="105"/>
      <c r="T504" s="105"/>
      <c r="U504" s="105"/>
      <c r="V504" s="105"/>
      <c r="W504" s="105"/>
      <c r="X504" s="105"/>
      <c r="Y504" s="105"/>
      <c r="Z504" s="105"/>
      <c r="AA504" s="213"/>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c r="BI504" s="213"/>
      <c r="BJ504" s="219"/>
      <c r="BK504" s="219"/>
    </row>
    <row r="505" spans="1:63" ht="12.75" customHeight="1" outlineLevel="1">
      <c r="A505" s="9"/>
      <c r="B505" s="44"/>
      <c r="C505" s="128" t="str">
        <f>Asset12</f>
        <v>132kV wood pole lines</v>
      </c>
      <c r="D505" s="9"/>
      <c r="E505" s="9"/>
      <c r="F505" s="27"/>
      <c r="G505" s="194">
        <f>Input!Q18</f>
        <v>0</v>
      </c>
      <c r="H505" s="119"/>
      <c r="I505" s="119"/>
      <c r="J505" s="119"/>
      <c r="K505" s="119"/>
      <c r="L505" s="119"/>
      <c r="M505" s="105"/>
      <c r="N505" s="105"/>
      <c r="O505" s="105"/>
      <c r="P505" s="105"/>
      <c r="Q505" s="105"/>
      <c r="R505" s="105"/>
      <c r="S505" s="105"/>
      <c r="T505" s="105"/>
      <c r="U505" s="105"/>
      <c r="V505" s="105"/>
      <c r="W505" s="105"/>
      <c r="X505" s="105"/>
      <c r="Y505" s="105"/>
      <c r="Z505" s="105"/>
      <c r="AA505" s="213"/>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c r="BI505" s="213"/>
      <c r="BJ505" s="219"/>
      <c r="BK505" s="219"/>
    </row>
    <row r="506" spans="1:63" ht="12.75" customHeight="1" outlineLevel="1">
      <c r="A506" s="9"/>
      <c r="B506" s="44"/>
      <c r="C506" s="128" t="str">
        <f>Asset13</f>
        <v>132kV feeders underground</v>
      </c>
      <c r="D506" s="9"/>
      <c r="E506" s="9"/>
      <c r="F506" s="27"/>
      <c r="G506" s="194">
        <f>Input!Q19</f>
        <v>0</v>
      </c>
      <c r="H506" s="119"/>
      <c r="I506" s="119"/>
      <c r="J506" s="119"/>
      <c r="K506" s="119"/>
      <c r="L506" s="119"/>
      <c r="M506" s="105"/>
      <c r="N506" s="105"/>
      <c r="O506" s="105"/>
      <c r="P506" s="105"/>
      <c r="Q506" s="105"/>
      <c r="R506" s="105"/>
      <c r="S506" s="105"/>
      <c r="T506" s="105"/>
      <c r="U506" s="105"/>
      <c r="V506" s="105"/>
      <c r="W506" s="105"/>
      <c r="X506" s="105"/>
      <c r="Y506" s="105"/>
      <c r="Z506" s="105"/>
      <c r="AA506" s="213"/>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c r="BI506" s="213"/>
      <c r="BJ506" s="219"/>
      <c r="BK506" s="219"/>
    </row>
    <row r="507" spans="1:63" ht="12.75" customHeight="1" outlineLevel="1">
      <c r="A507" s="9"/>
      <c r="B507" s="44"/>
      <c r="C507" s="128" t="str">
        <f>Asset14</f>
        <v>Cable tunnel (tx)</v>
      </c>
      <c r="D507" s="9"/>
      <c r="E507" s="9"/>
      <c r="F507" s="27"/>
      <c r="G507" s="194">
        <f>Input!Q20</f>
        <v>0</v>
      </c>
      <c r="H507" s="119"/>
      <c r="I507" s="119"/>
      <c r="J507" s="119"/>
      <c r="K507" s="119"/>
      <c r="L507" s="119"/>
      <c r="M507" s="105"/>
      <c r="N507" s="105"/>
      <c r="O507" s="105"/>
      <c r="P507" s="105"/>
      <c r="Q507" s="105"/>
      <c r="R507" s="105"/>
      <c r="S507" s="105"/>
      <c r="T507" s="105"/>
      <c r="U507" s="105"/>
      <c r="V507" s="105"/>
      <c r="W507" s="105"/>
      <c r="X507" s="105"/>
      <c r="Y507" s="105"/>
      <c r="Z507" s="105"/>
      <c r="AA507" s="213"/>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c r="BI507" s="213"/>
      <c r="BJ507" s="219"/>
      <c r="BK507" s="219"/>
    </row>
    <row r="508" spans="1:63" ht="12.75" customHeight="1" outlineLevel="1">
      <c r="A508" s="9"/>
      <c r="B508" s="44"/>
      <c r="C508" s="128" t="str">
        <f>Asset15</f>
        <v>Network control &amp; com systems</v>
      </c>
      <c r="D508" s="9"/>
      <c r="E508" s="9"/>
      <c r="F508" s="27"/>
      <c r="G508" s="194">
        <f>Input!Q21</f>
        <v>0</v>
      </c>
      <c r="H508" s="119"/>
      <c r="I508" s="119"/>
      <c r="J508" s="119"/>
      <c r="K508" s="119"/>
      <c r="L508" s="119"/>
      <c r="M508" s="105"/>
      <c r="N508" s="105"/>
      <c r="O508" s="105"/>
      <c r="P508" s="105"/>
      <c r="Q508" s="105"/>
      <c r="R508" s="105"/>
      <c r="S508" s="105"/>
      <c r="T508" s="105"/>
      <c r="U508" s="105"/>
      <c r="V508" s="105"/>
      <c r="W508" s="105"/>
      <c r="X508" s="105"/>
      <c r="Y508" s="105"/>
      <c r="Z508" s="105"/>
      <c r="AA508" s="213"/>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c r="BI508" s="213"/>
      <c r="BJ508" s="219"/>
      <c r="BK508" s="219"/>
    </row>
    <row r="509" spans="1:63" ht="12.75" customHeight="1" outlineLevel="1">
      <c r="A509" s="9"/>
      <c r="B509" s="44"/>
      <c r="C509" s="128" t="str">
        <f>Asset16</f>
        <v>Communications (digital) - tx</v>
      </c>
      <c r="D509" s="9"/>
      <c r="E509" s="9"/>
      <c r="F509" s="27"/>
      <c r="G509" s="194">
        <f>Input!Q22</f>
        <v>0</v>
      </c>
      <c r="H509" s="119"/>
      <c r="I509" s="119"/>
      <c r="J509" s="119"/>
      <c r="K509" s="119"/>
      <c r="L509" s="119"/>
      <c r="M509" s="105"/>
      <c r="N509" s="105"/>
      <c r="O509" s="105"/>
      <c r="P509" s="105"/>
      <c r="Q509" s="105"/>
      <c r="R509" s="105"/>
      <c r="S509" s="105"/>
      <c r="T509" s="105"/>
      <c r="U509" s="105"/>
      <c r="V509" s="105"/>
      <c r="W509" s="105"/>
      <c r="X509" s="105"/>
      <c r="Y509" s="105"/>
      <c r="Z509" s="105"/>
      <c r="AA509" s="213"/>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c r="BI509" s="213"/>
      <c r="BJ509" s="219"/>
      <c r="BK509" s="219"/>
    </row>
    <row r="510" spans="1:63" ht="12.75" customHeight="1" outlineLevel="1">
      <c r="A510" s="9"/>
      <c r="B510" s="44"/>
      <c r="C510" s="128" t="str">
        <f>Asset17</f>
        <v>System IT (tx)</v>
      </c>
      <c r="D510" s="9"/>
      <c r="E510" s="9"/>
      <c r="F510" s="27"/>
      <c r="G510" s="194">
        <f>Input!Q23</f>
        <v>0</v>
      </c>
      <c r="H510" s="119"/>
      <c r="I510" s="119"/>
      <c r="J510" s="119"/>
      <c r="K510" s="119"/>
      <c r="L510" s="119"/>
      <c r="M510" s="105"/>
      <c r="N510" s="105"/>
      <c r="O510" s="105"/>
      <c r="P510" s="105"/>
      <c r="Q510" s="105"/>
      <c r="R510" s="105"/>
      <c r="S510" s="105"/>
      <c r="T510" s="105"/>
      <c r="U510" s="105"/>
      <c r="V510" s="105"/>
      <c r="W510" s="105"/>
      <c r="X510" s="105"/>
      <c r="Y510" s="105"/>
      <c r="Z510" s="105"/>
      <c r="AA510" s="213"/>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c r="BI510" s="213"/>
      <c r="BJ510" s="219"/>
      <c r="BK510" s="219"/>
    </row>
    <row r="511" spans="1:63" ht="12.75" customHeight="1" outlineLevel="1">
      <c r="A511" s="9"/>
      <c r="B511" s="44"/>
      <c r="C511" s="128" t="str">
        <f>Asset18</f>
        <v>IT systems</v>
      </c>
      <c r="D511" s="9"/>
      <c r="E511" s="9"/>
      <c r="F511" s="27"/>
      <c r="G511" s="194">
        <f>Input!Q24</f>
        <v>0</v>
      </c>
      <c r="H511" s="119"/>
      <c r="I511" s="119"/>
      <c r="J511" s="119"/>
      <c r="K511" s="119"/>
      <c r="L511" s="119"/>
      <c r="M511" s="105"/>
      <c r="N511" s="105"/>
      <c r="O511" s="105"/>
      <c r="P511" s="105"/>
      <c r="Q511" s="105"/>
      <c r="R511" s="105"/>
      <c r="S511" s="105"/>
      <c r="T511" s="105"/>
      <c r="U511" s="105"/>
      <c r="V511" s="105"/>
      <c r="W511" s="105"/>
      <c r="X511" s="105"/>
      <c r="Y511" s="105"/>
      <c r="Z511" s="105"/>
      <c r="AA511" s="213"/>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c r="BI511" s="213"/>
      <c r="BJ511" s="219"/>
      <c r="BK511" s="219"/>
    </row>
    <row r="512" spans="1:63" ht="12.75" customHeight="1" outlineLevel="1">
      <c r="A512" s="9"/>
      <c r="B512" s="44"/>
      <c r="C512" s="128" t="str">
        <f>Asset19</f>
        <v>Furniture, fittings, plant and equipment</v>
      </c>
      <c r="D512" s="9"/>
      <c r="E512" s="9"/>
      <c r="F512" s="27"/>
      <c r="G512" s="194">
        <f>Input!Q25</f>
        <v>0</v>
      </c>
      <c r="H512" s="119"/>
      <c r="I512" s="119"/>
      <c r="J512" s="119"/>
      <c r="K512" s="119"/>
      <c r="L512" s="119"/>
      <c r="M512" s="105"/>
      <c r="N512" s="105"/>
      <c r="O512" s="105"/>
      <c r="P512" s="105"/>
      <c r="Q512" s="105"/>
      <c r="R512" s="105"/>
      <c r="S512" s="105"/>
      <c r="T512" s="105"/>
      <c r="U512" s="105"/>
      <c r="V512" s="105"/>
      <c r="W512" s="105"/>
      <c r="X512" s="105"/>
      <c r="Y512" s="105"/>
      <c r="Z512" s="105"/>
      <c r="AA512" s="213"/>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c r="BI512" s="213"/>
      <c r="BJ512" s="219"/>
      <c r="BK512" s="219"/>
    </row>
    <row r="513" spans="1:63" ht="12.75" customHeight="1" outlineLevel="1">
      <c r="A513" s="9"/>
      <c r="B513" s="44"/>
      <c r="C513" s="128" t="str">
        <f>Asset20</f>
        <v>Motor vehicles</v>
      </c>
      <c r="D513" s="9"/>
      <c r="E513" s="9"/>
      <c r="F513" s="27"/>
      <c r="G513" s="194">
        <f>Input!Q26</f>
        <v>0</v>
      </c>
      <c r="H513" s="119"/>
      <c r="I513" s="119"/>
      <c r="J513" s="119"/>
      <c r="K513" s="119"/>
      <c r="L513" s="119"/>
      <c r="M513" s="105"/>
      <c r="N513" s="105"/>
      <c r="O513" s="105"/>
      <c r="P513" s="105"/>
      <c r="Q513" s="105"/>
      <c r="R513" s="105"/>
      <c r="S513" s="105"/>
      <c r="T513" s="105"/>
      <c r="U513" s="105"/>
      <c r="V513" s="105"/>
      <c r="W513" s="105"/>
      <c r="X513" s="105"/>
      <c r="Y513" s="105"/>
      <c r="Z513" s="105"/>
      <c r="AA513" s="213"/>
      <c r="AB513" s="213"/>
      <c r="AC513" s="213"/>
      <c r="AD513" s="213"/>
      <c r="AE513" s="213"/>
      <c r="AF513" s="213"/>
      <c r="AG513" s="213"/>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c r="BI513" s="213"/>
      <c r="BJ513" s="219"/>
      <c r="BK513" s="219"/>
    </row>
    <row r="514" spans="1:63" ht="12.75" customHeight="1" outlineLevel="1">
      <c r="A514" s="9"/>
      <c r="B514" s="44"/>
      <c r="C514" s="128" t="str">
        <f>Asset21</f>
        <v>Buildings</v>
      </c>
      <c r="D514" s="9"/>
      <c r="E514" s="9"/>
      <c r="F514" s="27"/>
      <c r="G514" s="194">
        <f>Input!Q27</f>
        <v>0</v>
      </c>
      <c r="H514" s="119"/>
      <c r="I514" s="119"/>
      <c r="J514" s="119"/>
      <c r="K514" s="119"/>
      <c r="L514" s="119"/>
      <c r="M514" s="105"/>
      <c r="N514" s="105"/>
      <c r="O514" s="105"/>
      <c r="P514" s="105"/>
      <c r="Q514" s="105"/>
      <c r="R514" s="105"/>
      <c r="S514" s="105"/>
      <c r="T514" s="105"/>
      <c r="U514" s="105"/>
      <c r="V514" s="105"/>
      <c r="W514" s="105"/>
      <c r="X514" s="105"/>
      <c r="Y514" s="105"/>
      <c r="Z514" s="105"/>
      <c r="AA514" s="213"/>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c r="BI514" s="213"/>
      <c r="BJ514" s="219"/>
      <c r="BK514" s="219"/>
    </row>
    <row r="515" spans="1:63" ht="12.75" customHeight="1" outlineLevel="1">
      <c r="A515" s="9"/>
      <c r="B515" s="44"/>
      <c r="C515" s="128" t="str">
        <f>Asset22</f>
        <v>Land (non-system)</v>
      </c>
      <c r="D515" s="9"/>
      <c r="E515" s="9"/>
      <c r="F515" s="27"/>
      <c r="G515" s="194">
        <f>Input!Q28</f>
        <v>0</v>
      </c>
      <c r="H515" s="119"/>
      <c r="I515" s="119"/>
      <c r="J515" s="119"/>
      <c r="K515" s="119"/>
      <c r="L515" s="119"/>
      <c r="M515" s="105"/>
      <c r="N515" s="105"/>
      <c r="O515" s="105"/>
      <c r="P515" s="105"/>
      <c r="Q515" s="105"/>
      <c r="R515" s="105"/>
      <c r="S515" s="105"/>
      <c r="T515" s="105"/>
      <c r="U515" s="105"/>
      <c r="V515" s="105"/>
      <c r="W515" s="105"/>
      <c r="X515" s="105"/>
      <c r="Y515" s="105"/>
      <c r="Z515" s="105"/>
      <c r="AA515" s="213"/>
      <c r="AB515" s="213"/>
      <c r="AC515" s="213"/>
      <c r="AD515" s="213"/>
      <c r="AE515" s="213"/>
      <c r="AF515" s="213"/>
      <c r="AG515" s="213"/>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c r="BI515" s="213"/>
      <c r="BJ515" s="219"/>
      <c r="BK515" s="219"/>
    </row>
    <row r="516" spans="1:63" ht="12.75" customHeight="1" outlineLevel="1">
      <c r="A516" s="9"/>
      <c r="B516" s="44"/>
      <c r="C516" s="128" t="str">
        <f>Asset23</f>
        <v>Other non system assets</v>
      </c>
      <c r="D516" s="9"/>
      <c r="E516" s="9"/>
      <c r="F516" s="27"/>
      <c r="G516" s="194">
        <f>Input!Q29</f>
        <v>0</v>
      </c>
      <c r="H516" s="119"/>
      <c r="I516" s="119"/>
      <c r="J516" s="119"/>
      <c r="K516" s="119"/>
      <c r="L516" s="119"/>
      <c r="M516" s="105"/>
      <c r="N516" s="105"/>
      <c r="O516" s="105"/>
      <c r="P516" s="105"/>
      <c r="Q516" s="105"/>
      <c r="R516" s="105"/>
      <c r="S516" s="105"/>
      <c r="T516" s="105"/>
      <c r="U516" s="105"/>
      <c r="V516" s="105"/>
      <c r="W516" s="105"/>
      <c r="X516" s="105"/>
      <c r="Y516" s="105"/>
      <c r="Z516" s="105"/>
      <c r="AA516" s="213"/>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c r="BI516" s="213"/>
      <c r="BJ516" s="219"/>
      <c r="BK516" s="219"/>
    </row>
    <row r="517" spans="1:63" ht="12.75" customHeight="1" outlineLevel="1">
      <c r="A517" s="9"/>
      <c r="B517" s="44"/>
      <c r="C517" s="128" t="str">
        <f>Asset24</f>
        <v>Equity raising costs</v>
      </c>
      <c r="D517" s="9"/>
      <c r="E517" s="9"/>
      <c r="F517" s="27"/>
      <c r="G517" s="194">
        <f>Input!Q30</f>
        <v>0</v>
      </c>
      <c r="H517" s="119"/>
      <c r="I517" s="119"/>
      <c r="J517" s="119"/>
      <c r="K517" s="119"/>
      <c r="L517" s="119"/>
      <c r="M517" s="105"/>
      <c r="N517" s="105"/>
      <c r="O517" s="105"/>
      <c r="P517" s="105"/>
      <c r="Q517" s="105"/>
      <c r="R517" s="105"/>
      <c r="S517" s="105"/>
      <c r="T517" s="105"/>
      <c r="U517" s="105"/>
      <c r="V517" s="105"/>
      <c r="W517" s="105"/>
      <c r="X517" s="105"/>
      <c r="Y517" s="105"/>
      <c r="Z517" s="105"/>
      <c r="AA517" s="213"/>
      <c r="AB517" s="213"/>
      <c r="AC517" s="213"/>
      <c r="AD517" s="213"/>
      <c r="AE517" s="213"/>
      <c r="AF517" s="213"/>
      <c r="AG517" s="213"/>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c r="BI517" s="213"/>
      <c r="BJ517" s="219"/>
      <c r="BK517" s="219"/>
    </row>
    <row r="518" spans="1:63" ht="12.75" customHeight="1" outlineLevel="1">
      <c r="A518" s="9"/>
      <c r="B518" s="44"/>
      <c r="C518" s="128">
        <f>Asset25</f>
        <v>0</v>
      </c>
      <c r="D518" s="9"/>
      <c r="E518" s="9"/>
      <c r="F518" s="27"/>
      <c r="G518" s="194">
        <f>Input!Q31</f>
        <v>0</v>
      </c>
      <c r="H518" s="119"/>
      <c r="I518" s="119"/>
      <c r="J518" s="119"/>
      <c r="K518" s="119"/>
      <c r="L518" s="119"/>
      <c r="M518" s="105"/>
      <c r="N518" s="105"/>
      <c r="O518" s="105"/>
      <c r="P518" s="105"/>
      <c r="Q518" s="105"/>
      <c r="R518" s="105"/>
      <c r="S518" s="105"/>
      <c r="T518" s="105"/>
      <c r="U518" s="105"/>
      <c r="V518" s="105"/>
      <c r="W518" s="105"/>
      <c r="X518" s="105"/>
      <c r="Y518" s="105"/>
      <c r="Z518" s="105"/>
      <c r="AA518" s="213"/>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c r="BI518" s="213"/>
      <c r="BJ518" s="219"/>
      <c r="BK518" s="219"/>
    </row>
    <row r="519" spans="1:63" ht="12.75" customHeight="1" outlineLevel="1">
      <c r="A519" s="9"/>
      <c r="B519" s="44"/>
      <c r="C519" s="128">
        <f>Asset26</f>
        <v>0</v>
      </c>
      <c r="D519" s="9"/>
      <c r="E519" s="9"/>
      <c r="F519" s="27"/>
      <c r="G519" s="194">
        <f>Input!Q32</f>
        <v>0</v>
      </c>
      <c r="H519" s="119"/>
      <c r="I519" s="119"/>
      <c r="J519" s="119"/>
      <c r="K519" s="119"/>
      <c r="L519" s="119"/>
      <c r="M519" s="105"/>
      <c r="N519" s="105"/>
      <c r="O519" s="105"/>
      <c r="P519" s="105"/>
      <c r="Q519" s="105"/>
      <c r="R519" s="105"/>
      <c r="S519" s="105"/>
      <c r="T519" s="105"/>
      <c r="U519" s="105"/>
      <c r="V519" s="105"/>
      <c r="W519" s="105"/>
      <c r="X519" s="105"/>
      <c r="Y519" s="105"/>
      <c r="Z519" s="105"/>
      <c r="AA519" s="213"/>
      <c r="AB519" s="213"/>
      <c r="AC519" s="213"/>
      <c r="AD519" s="213"/>
      <c r="AE519" s="213"/>
      <c r="AF519" s="213"/>
      <c r="AG519" s="213"/>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c r="BI519" s="213"/>
      <c r="BJ519" s="219"/>
      <c r="BK519" s="219"/>
    </row>
    <row r="520" spans="1:63" ht="12.75" customHeight="1" outlineLevel="1">
      <c r="A520" s="9"/>
      <c r="B520" s="44"/>
      <c r="C520" s="128">
        <f>Asset27</f>
        <v>0</v>
      </c>
      <c r="D520" s="9"/>
      <c r="E520" s="9"/>
      <c r="F520" s="27"/>
      <c r="G520" s="194">
        <f>Input!Q33</f>
        <v>0</v>
      </c>
      <c r="H520" s="119"/>
      <c r="I520" s="119"/>
      <c r="J520" s="119"/>
      <c r="K520" s="119"/>
      <c r="L520" s="119"/>
      <c r="M520" s="105"/>
      <c r="N520" s="105"/>
      <c r="O520" s="105"/>
      <c r="P520" s="105"/>
      <c r="Q520" s="105"/>
      <c r="R520" s="105"/>
      <c r="S520" s="105"/>
      <c r="T520" s="105"/>
      <c r="U520" s="105"/>
      <c r="V520" s="105"/>
      <c r="W520" s="105"/>
      <c r="X520" s="105"/>
      <c r="Y520" s="105"/>
      <c r="Z520" s="105"/>
      <c r="AA520" s="213"/>
      <c r="AB520" s="213"/>
      <c r="AC520" s="213"/>
      <c r="AD520" s="213"/>
      <c r="AE520" s="213"/>
      <c r="AF520" s="213"/>
      <c r="AG520" s="213"/>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c r="BI520" s="213"/>
      <c r="BJ520" s="219"/>
      <c r="BK520" s="219"/>
    </row>
    <row r="521" spans="1:63" ht="12.75" customHeight="1" outlineLevel="1">
      <c r="A521" s="9"/>
      <c r="B521" s="44"/>
      <c r="C521" s="128">
        <f>Asset28</f>
        <v>0</v>
      </c>
      <c r="D521" s="9"/>
      <c r="E521" s="9"/>
      <c r="F521" s="27"/>
      <c r="G521" s="194">
        <f>Input!Q34</f>
        <v>0</v>
      </c>
      <c r="H521" s="119"/>
      <c r="I521" s="119"/>
      <c r="J521" s="119"/>
      <c r="K521" s="119"/>
      <c r="L521" s="119"/>
      <c r="M521" s="105"/>
      <c r="N521" s="105"/>
      <c r="O521" s="105"/>
      <c r="P521" s="105"/>
      <c r="Q521" s="105"/>
      <c r="R521" s="105"/>
      <c r="S521" s="105"/>
      <c r="T521" s="105"/>
      <c r="U521" s="105"/>
      <c r="V521" s="105"/>
      <c r="W521" s="105"/>
      <c r="X521" s="105"/>
      <c r="Y521" s="105"/>
      <c r="Z521" s="105"/>
      <c r="AA521" s="213"/>
      <c r="AB521" s="213"/>
      <c r="AC521" s="213"/>
      <c r="AD521" s="213"/>
      <c r="AE521" s="213"/>
      <c r="AF521" s="213"/>
      <c r="AG521" s="213"/>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c r="BI521" s="213"/>
      <c r="BJ521" s="219"/>
      <c r="BK521" s="219"/>
    </row>
    <row r="522" spans="1:63" ht="12.75" customHeight="1" outlineLevel="1">
      <c r="A522" s="9"/>
      <c r="B522" s="44"/>
      <c r="C522" s="128">
        <f>Asset29</f>
        <v>0</v>
      </c>
      <c r="D522" s="9"/>
      <c r="E522" s="9"/>
      <c r="F522" s="27"/>
      <c r="G522" s="194">
        <f>Input!Q35</f>
        <v>0</v>
      </c>
      <c r="H522" s="119"/>
      <c r="I522" s="119"/>
      <c r="J522" s="119"/>
      <c r="K522" s="119"/>
      <c r="L522" s="119"/>
      <c r="M522" s="105"/>
      <c r="N522" s="105"/>
      <c r="O522" s="105"/>
      <c r="P522" s="105"/>
      <c r="Q522" s="105"/>
      <c r="R522" s="105"/>
      <c r="S522" s="105"/>
      <c r="T522" s="105"/>
      <c r="U522" s="105"/>
      <c r="V522" s="105"/>
      <c r="W522" s="105"/>
      <c r="X522" s="105"/>
      <c r="Y522" s="105"/>
      <c r="Z522" s="105"/>
      <c r="AA522" s="213"/>
      <c r="AB522" s="213"/>
      <c r="AC522" s="213"/>
      <c r="AD522" s="213"/>
      <c r="AE522" s="213"/>
      <c r="AF522" s="213"/>
      <c r="AG522" s="213"/>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c r="BI522" s="213"/>
      <c r="BJ522" s="219"/>
      <c r="BK522" s="219"/>
    </row>
    <row r="523" spans="1:63" ht="12.75" customHeight="1" outlineLevel="1">
      <c r="A523" s="9"/>
      <c r="B523" s="44"/>
      <c r="C523" s="128">
        <f>Asset30</f>
        <v>0</v>
      </c>
      <c r="D523" s="9"/>
      <c r="E523" s="9"/>
      <c r="F523" s="27"/>
      <c r="G523" s="194">
        <f>Input!Q36</f>
        <v>0</v>
      </c>
      <c r="H523" s="119"/>
      <c r="I523" s="119"/>
      <c r="J523" s="119"/>
      <c r="K523" s="119"/>
      <c r="L523" s="119"/>
      <c r="M523" s="105"/>
      <c r="N523" s="105"/>
      <c r="O523" s="105"/>
      <c r="P523" s="105"/>
      <c r="Q523" s="105"/>
      <c r="R523" s="105"/>
      <c r="S523" s="105"/>
      <c r="T523" s="105"/>
      <c r="U523" s="105"/>
      <c r="V523" s="105"/>
      <c r="W523" s="105"/>
      <c r="X523" s="105"/>
      <c r="Y523" s="105"/>
      <c r="Z523" s="105"/>
      <c r="AA523" s="213"/>
      <c r="AB523" s="213"/>
      <c r="AC523" s="213"/>
      <c r="AD523" s="213"/>
      <c r="AE523" s="213"/>
      <c r="AF523" s="213"/>
      <c r="AG523" s="213"/>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c r="BI523" s="213"/>
      <c r="BJ523" s="219"/>
      <c r="BK523" s="219"/>
    </row>
    <row r="524" spans="1:63">
      <c r="A524" s="9"/>
      <c r="B524" s="44"/>
      <c r="C524" s="128"/>
      <c r="D524" s="9"/>
      <c r="E524" s="9"/>
      <c r="F524" s="27"/>
      <c r="G524" s="119"/>
      <c r="H524" s="119"/>
      <c r="I524" s="119"/>
      <c r="J524" s="119"/>
      <c r="K524" s="119"/>
      <c r="L524" s="119"/>
      <c r="M524" s="105"/>
      <c r="N524" s="105"/>
      <c r="O524" s="105"/>
      <c r="P524" s="105"/>
      <c r="Q524" s="105"/>
      <c r="R524" s="105"/>
      <c r="S524" s="105"/>
      <c r="T524" s="105"/>
      <c r="U524" s="105"/>
      <c r="V524" s="105"/>
      <c r="W524" s="105"/>
      <c r="X524" s="105"/>
      <c r="Y524" s="105"/>
      <c r="Z524" s="105"/>
      <c r="AA524" s="213"/>
      <c r="AB524" s="213"/>
      <c r="AC524" s="213"/>
      <c r="AD524" s="213"/>
      <c r="AE524" s="213"/>
      <c r="AF524" s="213"/>
      <c r="AG524" s="213"/>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c r="BI524" s="213"/>
      <c r="BJ524" s="219"/>
      <c r="BK524" s="219"/>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row>
    <row r="529" spans="1:63">
      <c r="A529" s="9"/>
      <c r="B529" s="9"/>
      <c r="C529" s="9"/>
      <c r="D529" s="9"/>
      <c r="E529" s="9"/>
      <c r="F529" s="9"/>
      <c r="G529" s="36"/>
      <c r="H529" s="9"/>
      <c r="I529" s="9"/>
      <c r="J529" s="9"/>
      <c r="K529" s="9"/>
      <c r="L529" s="9"/>
      <c r="M529" s="9"/>
      <c r="N529" s="9"/>
      <c r="O529" s="9"/>
      <c r="P529" s="9"/>
      <c r="Q529" s="9"/>
      <c r="R529" s="9"/>
      <c r="S529" s="9"/>
      <c r="T529" s="9"/>
      <c r="U529" s="9"/>
      <c r="V529" s="9"/>
      <c r="W529" s="9"/>
      <c r="X529" s="9"/>
      <c r="Y529" s="9"/>
      <c r="Z529" s="9"/>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row>
    <row r="530" spans="1:63">
      <c r="A530" s="9"/>
      <c r="C530" s="9"/>
      <c r="D530" s="9"/>
      <c r="E530" s="9"/>
      <c r="F530" s="9"/>
      <c r="G530" s="36"/>
      <c r="H530" s="9"/>
      <c r="I530" s="9"/>
      <c r="J530" s="9"/>
      <c r="K530" s="9"/>
      <c r="L530" s="9"/>
      <c r="M530" s="9"/>
      <c r="N530" s="9"/>
      <c r="O530" s="9"/>
      <c r="P530" s="9"/>
      <c r="Q530" s="9"/>
      <c r="R530" s="9"/>
      <c r="S530" s="9"/>
      <c r="T530" s="9"/>
      <c r="U530" s="9"/>
      <c r="V530" s="9"/>
      <c r="W530" s="9"/>
      <c r="X530" s="9"/>
      <c r="Y530" s="9"/>
      <c r="Z530" s="9"/>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row>
    <row r="531" spans="1:63">
      <c r="A531" s="9"/>
      <c r="B531" s="9"/>
      <c r="C531" s="9"/>
      <c r="E531" s="9"/>
      <c r="F531" s="9"/>
      <c r="G531" s="9"/>
      <c r="H531" s="9"/>
      <c r="I531" s="9"/>
      <c r="J531" s="9"/>
      <c r="K531" s="9"/>
      <c r="L531" s="9"/>
      <c r="M531" s="9"/>
      <c r="N531" s="9"/>
      <c r="O531" s="9"/>
      <c r="P531" s="9"/>
      <c r="Q531" s="9"/>
      <c r="R531" s="9"/>
      <c r="S531" s="9"/>
      <c r="T531" s="9"/>
      <c r="U531" s="9"/>
      <c r="V531" s="9"/>
      <c r="W531" s="9"/>
      <c r="X531" s="9"/>
      <c r="Y531" s="9"/>
      <c r="Z531" s="9"/>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row>
    <row r="570" spans="1:63">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row>
    <row r="571" spans="1:63">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row>
    <row r="572" spans="1:63">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row>
    <row r="573" spans="1:63">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row>
    <row r="574" spans="1:63">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row>
    <row r="575" spans="1:63">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row>
    <row r="576" spans="1:63">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row>
    <row r="577" spans="1:72">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row>
    <row r="578" spans="1:72">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row>
    <row r="579" spans="1:72">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row>
    <row r="580" spans="1:72">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row>
    <row r="581" spans="1:72">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row>
    <row r="582" spans="1:72">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row>
    <row r="583" spans="1:72">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row>
    <row r="584" spans="1:72">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row>
    <row r="585" spans="1:72">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row>
    <row r="586" spans="1:72">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row>
    <row r="587" spans="1:72">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row>
    <row r="588" spans="1:72">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row>
    <row r="589" spans="1:72">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row>
    <row r="590" spans="1:72">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row>
    <row r="591" spans="1:72">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row>
    <row r="592" spans="1:72">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row>
    <row r="593" spans="1:72">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row>
    <row r="594" spans="1:72">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row>
    <row r="595" spans="1:72">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row>
    <row r="596" spans="1:72">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row>
    <row r="597" spans="1:72">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row>
    <row r="598" spans="1:72">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row>
    <row r="599" spans="1:72">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row>
    <row r="600" spans="1:72">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row>
    <row r="601" spans="1:72">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row>
    <row r="602" spans="1:72">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row>
    <row r="603" spans="1:72">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row>
    <row r="604" spans="1:72">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row>
    <row r="605" spans="1:72">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row>
    <row r="606" spans="1:72">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row>
    <row r="607" spans="1:72">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row>
    <row r="608" spans="1:72">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row>
    <row r="609" spans="1:72">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row>
    <row r="610" spans="1:72">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row>
    <row r="611" spans="1:72">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row>
    <row r="612" spans="1:72">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row>
    <row r="613" spans="1:72">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row>
    <row r="614" spans="1:72">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row>
    <row r="615" spans="1:72">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row>
    <row r="616" spans="1:72">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row>
    <row r="617" spans="1:72">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row>
    <row r="618" spans="1:72">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row>
    <row r="619" spans="1:72">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row>
    <row r="620" spans="1:72">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row>
    <row r="621" spans="1:72">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row>
    <row r="622" spans="1:72">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row>
    <row r="623" spans="1:72">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row>
    <row r="624" spans="1:72">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row>
    <row r="625" spans="1:72">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row>
    <row r="626" spans="1:72">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row>
    <row r="627" spans="1:72">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row>
    <row r="628" spans="1:72">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row>
    <row r="629" spans="1:72">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row>
    <row r="630" spans="1:72">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row>
    <row r="631" spans="1:72">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row>
    <row r="632" spans="1:72">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row>
    <row r="633" spans="1:72">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row>
    <row r="634" spans="1:72">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row>
    <row r="635" spans="1:72">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row>
    <row r="636" spans="1:7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row>
    <row r="637" spans="1:72">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row>
    <row r="638" spans="1:72">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row>
    <row r="639" spans="1:72">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row>
    <row r="640" spans="1:72">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row>
    <row r="641" spans="1:72">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row>
    <row r="642" spans="1:72">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row>
    <row r="643" spans="1:72">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row>
    <row r="644" spans="1:72">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row>
    <row r="645" spans="1:72">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row>
    <row r="646" spans="1:72">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row>
    <row r="647" spans="1:72">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row>
    <row r="648" spans="1:72">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row>
    <row r="649" spans="1:72">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row>
    <row r="650" spans="1:72">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row>
    <row r="651" spans="1:72">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row>
    <row r="652" spans="1:72">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row>
    <row r="653" spans="1:72">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row>
    <row r="654" spans="1:72">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row>
    <row r="655" spans="1:72">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row>
    <row r="656" spans="1:72">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row>
    <row r="657" spans="1:72">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row>
    <row r="658" spans="1:72">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row>
    <row r="659" spans="1:72">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row>
    <row r="660" spans="1:72">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row>
    <row r="661" spans="1:72">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row>
    <row r="662" spans="1:72">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row>
    <row r="663" spans="1:72">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row>
    <row r="664" spans="1:72">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row>
    <row r="665" spans="1:72">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row>
    <row r="666" spans="1:72">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row>
    <row r="667" spans="1:72">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row>
    <row r="668" spans="1:72">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row>
    <row r="669" spans="1:72">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row>
    <row r="670" spans="1:72">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row>
    <row r="671" spans="1:72">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row>
    <row r="672" spans="1:72">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BH672" s="185"/>
      <c r="BI672" s="185"/>
      <c r="BJ672" s="185"/>
      <c r="BK672" s="185"/>
      <c r="BL672" s="185"/>
      <c r="BM672" s="185"/>
      <c r="BN672" s="185"/>
      <c r="BO672" s="185"/>
      <c r="BP672" s="185"/>
      <c r="BQ672" s="185"/>
      <c r="BR672" s="185"/>
      <c r="BS672" s="185"/>
      <c r="BT672" s="185"/>
    </row>
    <row r="673" spans="1:72">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BH673" s="185"/>
      <c r="BI673" s="185"/>
      <c r="BJ673" s="185"/>
      <c r="BK673" s="185"/>
      <c r="BL673" s="185"/>
      <c r="BM673" s="185"/>
      <c r="BN673" s="185"/>
      <c r="BO673" s="185"/>
      <c r="BP673" s="185"/>
      <c r="BQ673" s="185"/>
      <c r="BR673" s="185"/>
      <c r="BS673" s="185"/>
      <c r="BT673" s="185"/>
    </row>
    <row r="674" spans="1:72">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BH674" s="185"/>
      <c r="BI674" s="185"/>
      <c r="BJ674" s="185"/>
      <c r="BK674" s="185"/>
      <c r="BL674" s="185"/>
      <c r="BM674" s="185"/>
      <c r="BN674" s="185"/>
      <c r="BO674" s="185"/>
      <c r="BP674" s="185"/>
      <c r="BQ674" s="185"/>
      <c r="BR674" s="185"/>
      <c r="BS674" s="185"/>
      <c r="BT674" s="185"/>
    </row>
    <row r="675" spans="1:72">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BH675" s="185"/>
      <c r="BI675" s="185"/>
      <c r="BJ675" s="185"/>
      <c r="BK675" s="185"/>
      <c r="BL675" s="185"/>
      <c r="BM675" s="185"/>
      <c r="BN675" s="185"/>
      <c r="BO675" s="185"/>
      <c r="BP675" s="185"/>
      <c r="BQ675" s="185"/>
      <c r="BR675" s="185"/>
      <c r="BS675" s="185"/>
      <c r="BT675" s="185"/>
    </row>
    <row r="676" spans="1:72">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BH676" s="185"/>
      <c r="BI676" s="185"/>
      <c r="BJ676" s="185"/>
      <c r="BK676" s="185"/>
      <c r="BL676" s="185"/>
      <c r="BM676" s="185"/>
      <c r="BN676" s="185"/>
      <c r="BO676" s="185"/>
      <c r="BP676" s="185"/>
      <c r="BQ676" s="185"/>
      <c r="BR676" s="185"/>
      <c r="BS676" s="185"/>
      <c r="BT676" s="185"/>
    </row>
    <row r="677" spans="1:72">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BH677" s="185"/>
      <c r="BI677" s="185"/>
      <c r="BJ677" s="185"/>
      <c r="BK677" s="185"/>
      <c r="BL677" s="185"/>
      <c r="BM677" s="185"/>
      <c r="BN677" s="185"/>
      <c r="BO677" s="185"/>
      <c r="BP677" s="185"/>
      <c r="BQ677" s="185"/>
      <c r="BR677" s="185"/>
      <c r="BS677" s="185"/>
      <c r="BT677" s="185"/>
    </row>
    <row r="678" spans="1:72">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BH678" s="185"/>
      <c r="BI678" s="185"/>
      <c r="BJ678" s="185"/>
      <c r="BK678" s="185"/>
      <c r="BL678" s="185"/>
      <c r="BM678" s="185"/>
      <c r="BN678" s="185"/>
      <c r="BO678" s="185"/>
      <c r="BP678" s="185"/>
      <c r="BQ678" s="185"/>
      <c r="BR678" s="185"/>
      <c r="BS678" s="185"/>
      <c r="BT678" s="185"/>
    </row>
    <row r="679" spans="1:72">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BH679" s="185"/>
      <c r="BI679" s="185"/>
      <c r="BJ679" s="185"/>
      <c r="BK679" s="185"/>
      <c r="BL679" s="185"/>
      <c r="BM679" s="185"/>
      <c r="BN679" s="185"/>
      <c r="BO679" s="185"/>
      <c r="BP679" s="185"/>
      <c r="BQ679" s="185"/>
      <c r="BR679" s="185"/>
      <c r="BS679" s="185"/>
      <c r="BT679" s="185"/>
    </row>
    <row r="680" spans="1:72">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BH680" s="185"/>
      <c r="BI680" s="185"/>
      <c r="BJ680" s="185"/>
      <c r="BK680" s="185"/>
      <c r="BL680" s="185"/>
      <c r="BM680" s="185"/>
      <c r="BN680" s="185"/>
      <c r="BO680" s="185"/>
      <c r="BP680" s="185"/>
      <c r="BQ680" s="185"/>
      <c r="BR680" s="185"/>
      <c r="BS680" s="185"/>
      <c r="BT680" s="185"/>
    </row>
    <row r="681" spans="1:72">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BH681" s="185"/>
      <c r="BI681" s="185"/>
      <c r="BJ681" s="185"/>
      <c r="BK681" s="185"/>
      <c r="BL681" s="185"/>
      <c r="BM681" s="185"/>
      <c r="BN681" s="185"/>
      <c r="BO681" s="185"/>
      <c r="BP681" s="185"/>
      <c r="BQ681" s="185"/>
      <c r="BR681" s="185"/>
      <c r="BS681" s="185"/>
      <c r="BT681" s="185"/>
    </row>
    <row r="682" spans="1:72">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BH682" s="185"/>
      <c r="BI682" s="185"/>
      <c r="BJ682" s="185"/>
      <c r="BK682" s="185"/>
      <c r="BL682" s="185"/>
      <c r="BM682" s="185"/>
      <c r="BN682" s="185"/>
      <c r="BO682" s="185"/>
      <c r="BP682" s="185"/>
      <c r="BQ682" s="185"/>
      <c r="BR682" s="185"/>
      <c r="BS682" s="185"/>
      <c r="BT682" s="185"/>
    </row>
    <row r="683" spans="1:72">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BH683" s="185"/>
      <c r="BI683" s="185"/>
      <c r="BJ683" s="185"/>
      <c r="BK683" s="185"/>
      <c r="BL683" s="185"/>
      <c r="BM683" s="185"/>
      <c r="BN683" s="185"/>
      <c r="BO683" s="185"/>
      <c r="BP683" s="185"/>
      <c r="BQ683" s="185"/>
      <c r="BR683" s="185"/>
      <c r="BS683" s="185"/>
      <c r="BT683" s="185"/>
    </row>
    <row r="684" spans="1:72">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BH684" s="185"/>
      <c r="BI684" s="185"/>
      <c r="BJ684" s="185"/>
      <c r="BK684" s="185"/>
      <c r="BL684" s="185"/>
      <c r="BM684" s="185"/>
      <c r="BN684" s="185"/>
      <c r="BO684" s="185"/>
      <c r="BP684" s="185"/>
      <c r="BQ684" s="185"/>
      <c r="BR684" s="185"/>
      <c r="BS684" s="185"/>
      <c r="BT684" s="185"/>
    </row>
    <row r="685" spans="1:72">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BH685" s="185"/>
      <c r="BI685" s="185"/>
      <c r="BJ685" s="185"/>
      <c r="BK685" s="185"/>
      <c r="BL685" s="185"/>
      <c r="BM685" s="185"/>
      <c r="BN685" s="185"/>
      <c r="BO685" s="185"/>
      <c r="BP685" s="185"/>
      <c r="BQ685" s="185"/>
      <c r="BR685" s="185"/>
      <c r="BS685" s="185"/>
      <c r="BT685" s="185"/>
    </row>
    <row r="686" spans="1:72">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BH686" s="185"/>
      <c r="BI686" s="185"/>
      <c r="BJ686" s="185"/>
      <c r="BK686" s="185"/>
      <c r="BL686" s="185"/>
      <c r="BM686" s="185"/>
      <c r="BN686" s="185"/>
      <c r="BO686" s="185"/>
      <c r="BP686" s="185"/>
      <c r="BQ686" s="185"/>
      <c r="BR686" s="185"/>
      <c r="BS686" s="185"/>
      <c r="BT686" s="185"/>
    </row>
    <row r="687" spans="1:72">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BH687" s="185"/>
      <c r="BI687" s="185"/>
      <c r="BJ687" s="185"/>
      <c r="BK687" s="185"/>
      <c r="BL687" s="185"/>
      <c r="BM687" s="185"/>
      <c r="BN687" s="185"/>
      <c r="BO687" s="185"/>
      <c r="BP687" s="185"/>
      <c r="BQ687" s="185"/>
      <c r="BR687" s="185"/>
      <c r="BS687" s="185"/>
      <c r="BT687" s="185"/>
    </row>
    <row r="688" spans="1:72">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BH688" s="185"/>
      <c r="BI688" s="185"/>
      <c r="BJ688" s="185"/>
      <c r="BK688" s="185"/>
      <c r="BL688" s="185"/>
      <c r="BM688" s="185"/>
      <c r="BN688" s="185"/>
      <c r="BO688" s="185"/>
      <c r="BP688" s="185"/>
      <c r="BQ688" s="185"/>
      <c r="BR688" s="185"/>
      <c r="BS688" s="185"/>
      <c r="BT688" s="185"/>
    </row>
    <row r="689" spans="1:72">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BH689" s="185"/>
      <c r="BI689" s="185"/>
      <c r="BJ689" s="185"/>
      <c r="BK689" s="185"/>
      <c r="BL689" s="185"/>
      <c r="BM689" s="185"/>
      <c r="BN689" s="185"/>
      <c r="BO689" s="185"/>
      <c r="BP689" s="185"/>
      <c r="BQ689" s="185"/>
      <c r="BR689" s="185"/>
      <c r="BS689" s="185"/>
      <c r="BT689" s="185"/>
    </row>
    <row r="690" spans="1:72">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BH690" s="185"/>
      <c r="BI690" s="185"/>
      <c r="BJ690" s="185"/>
      <c r="BK690" s="185"/>
      <c r="BL690" s="185"/>
      <c r="BM690" s="185"/>
      <c r="BN690" s="185"/>
      <c r="BO690" s="185"/>
      <c r="BP690" s="185"/>
      <c r="BQ690" s="185"/>
      <c r="BR690" s="185"/>
      <c r="BS690" s="185"/>
      <c r="BT690" s="185"/>
    </row>
    <row r="691" spans="1:72">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BH691" s="185"/>
      <c r="BI691" s="185"/>
      <c r="BJ691" s="185"/>
      <c r="BK691" s="185"/>
      <c r="BL691" s="185"/>
      <c r="BM691" s="185"/>
      <c r="BN691" s="185"/>
      <c r="BO691" s="185"/>
      <c r="BP691" s="185"/>
      <c r="BQ691" s="185"/>
      <c r="BR691" s="185"/>
      <c r="BS691" s="185"/>
      <c r="BT691" s="185"/>
    </row>
    <row r="692" spans="1:72">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BH692" s="185"/>
      <c r="BI692" s="185"/>
      <c r="BJ692" s="185"/>
      <c r="BK692" s="185"/>
      <c r="BL692" s="185"/>
      <c r="BM692" s="185"/>
      <c r="BN692" s="185"/>
      <c r="BO692" s="185"/>
      <c r="BP692" s="185"/>
      <c r="BQ692" s="185"/>
      <c r="BR692" s="185"/>
      <c r="BS692" s="185"/>
      <c r="BT692" s="185"/>
    </row>
    <row r="693" spans="1:72">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BH693" s="185"/>
      <c r="BI693" s="185"/>
      <c r="BJ693" s="185"/>
      <c r="BK693" s="185"/>
      <c r="BL693" s="185"/>
      <c r="BM693" s="185"/>
      <c r="BN693" s="185"/>
      <c r="BO693" s="185"/>
      <c r="BP693" s="185"/>
      <c r="BQ693" s="185"/>
      <c r="BR693" s="185"/>
      <c r="BS693" s="185"/>
      <c r="BT693" s="185"/>
    </row>
    <row r="694" spans="1:72">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BH694" s="185"/>
      <c r="BI694" s="185"/>
      <c r="BJ694" s="185"/>
      <c r="BK694" s="185"/>
      <c r="BL694" s="185"/>
      <c r="BM694" s="185"/>
      <c r="BN694" s="185"/>
      <c r="BO694" s="185"/>
      <c r="BP694" s="185"/>
      <c r="BQ694" s="185"/>
      <c r="BR694" s="185"/>
      <c r="BS694" s="185"/>
      <c r="BT694" s="185"/>
    </row>
    <row r="695" spans="1:72">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BH695" s="185"/>
      <c r="BI695" s="185"/>
      <c r="BJ695" s="185"/>
      <c r="BK695" s="185"/>
      <c r="BL695" s="185"/>
      <c r="BM695" s="185"/>
      <c r="BN695" s="185"/>
      <c r="BO695" s="185"/>
      <c r="BP695" s="185"/>
      <c r="BQ695" s="185"/>
      <c r="BR695" s="185"/>
      <c r="BS695" s="185"/>
      <c r="BT695" s="185"/>
    </row>
    <row r="696" spans="1:72">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BH696" s="185"/>
      <c r="BI696" s="185"/>
      <c r="BJ696" s="185"/>
      <c r="BK696" s="185"/>
      <c r="BL696" s="185"/>
      <c r="BM696" s="185"/>
      <c r="BN696" s="185"/>
      <c r="BO696" s="185"/>
      <c r="BP696" s="185"/>
      <c r="BQ696" s="185"/>
      <c r="BR696" s="185"/>
      <c r="BS696" s="185"/>
      <c r="BT696" s="185"/>
    </row>
    <row r="697" spans="1:72">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BH697" s="185"/>
      <c r="BI697" s="185"/>
      <c r="BJ697" s="185"/>
      <c r="BK697" s="185"/>
      <c r="BL697" s="185"/>
      <c r="BM697" s="185"/>
      <c r="BN697" s="185"/>
      <c r="BO697" s="185"/>
      <c r="BP697" s="185"/>
      <c r="BQ697" s="185"/>
      <c r="BR697" s="185"/>
      <c r="BS697" s="185"/>
      <c r="BT697" s="185"/>
    </row>
    <row r="698" spans="1:72">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BH698" s="185"/>
      <c r="BI698" s="185"/>
      <c r="BJ698" s="185"/>
      <c r="BK698" s="185"/>
      <c r="BL698" s="185"/>
      <c r="BM698" s="185"/>
      <c r="BN698" s="185"/>
      <c r="BO698" s="185"/>
      <c r="BP698" s="185"/>
      <c r="BQ698" s="185"/>
      <c r="BR698" s="185"/>
      <c r="BS698" s="185"/>
      <c r="BT698" s="185"/>
    </row>
    <row r="699" spans="1:72">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BH699" s="185"/>
      <c r="BI699" s="185"/>
      <c r="BJ699" s="185"/>
      <c r="BK699" s="185"/>
      <c r="BL699" s="185"/>
      <c r="BM699" s="185"/>
      <c r="BN699" s="185"/>
      <c r="BO699" s="185"/>
      <c r="BP699" s="185"/>
      <c r="BQ699" s="185"/>
      <c r="BR699" s="185"/>
      <c r="BS699" s="185"/>
      <c r="BT699" s="185"/>
    </row>
    <row r="700" spans="1:72">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BH700" s="185"/>
      <c r="BI700" s="185"/>
      <c r="BJ700" s="185"/>
      <c r="BK700" s="185"/>
      <c r="BL700" s="185"/>
      <c r="BM700" s="185"/>
      <c r="BN700" s="185"/>
      <c r="BO700" s="185"/>
      <c r="BP700" s="185"/>
      <c r="BQ700" s="185"/>
      <c r="BR700" s="185"/>
      <c r="BS700" s="185"/>
      <c r="BT700" s="185"/>
    </row>
    <row r="701" spans="1:72">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BH701" s="185"/>
      <c r="BI701" s="185"/>
      <c r="BJ701" s="185"/>
      <c r="BK701" s="185"/>
      <c r="BL701" s="185"/>
      <c r="BM701" s="185"/>
      <c r="BN701" s="185"/>
      <c r="BO701" s="185"/>
      <c r="BP701" s="185"/>
      <c r="BQ701" s="185"/>
      <c r="BR701" s="185"/>
      <c r="BS701" s="185"/>
      <c r="BT701" s="185"/>
    </row>
    <row r="702" spans="1:72">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BH702" s="185"/>
      <c r="BI702" s="185"/>
      <c r="BJ702" s="185"/>
      <c r="BK702" s="185"/>
      <c r="BL702" s="185"/>
      <c r="BM702" s="185"/>
      <c r="BN702" s="185"/>
      <c r="BO702" s="185"/>
      <c r="BP702" s="185"/>
      <c r="BQ702" s="185"/>
      <c r="BR702" s="185"/>
      <c r="BS702" s="185"/>
      <c r="BT702" s="185"/>
    </row>
    <row r="703" spans="1:72">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BH703" s="185"/>
      <c r="BI703" s="185"/>
      <c r="BJ703" s="185"/>
      <c r="BK703" s="185"/>
      <c r="BL703" s="185"/>
      <c r="BM703" s="185"/>
      <c r="BN703" s="185"/>
      <c r="BO703" s="185"/>
      <c r="BP703" s="185"/>
      <c r="BQ703" s="185"/>
      <c r="BR703" s="185"/>
      <c r="BS703" s="185"/>
      <c r="BT703" s="185"/>
    </row>
    <row r="704" spans="1:72">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BH704" s="185"/>
      <c r="BI704" s="185"/>
      <c r="BJ704" s="185"/>
      <c r="BK704" s="185"/>
      <c r="BL704" s="185"/>
      <c r="BM704" s="185"/>
      <c r="BN704" s="185"/>
      <c r="BO704" s="185"/>
      <c r="BP704" s="185"/>
      <c r="BQ704" s="185"/>
      <c r="BR704" s="185"/>
      <c r="BS704" s="185"/>
      <c r="BT704" s="185"/>
    </row>
    <row r="705" spans="1:72">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BH705" s="185"/>
      <c r="BI705" s="185"/>
      <c r="BJ705" s="185"/>
      <c r="BK705" s="185"/>
      <c r="BL705" s="185"/>
      <c r="BM705" s="185"/>
      <c r="BN705" s="185"/>
      <c r="BO705" s="185"/>
      <c r="BP705" s="185"/>
      <c r="BQ705" s="185"/>
      <c r="BR705" s="185"/>
      <c r="BS705" s="185"/>
      <c r="BT705" s="185"/>
    </row>
    <row r="706" spans="1:72">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BH706" s="185"/>
      <c r="BI706" s="185"/>
      <c r="BJ706" s="185"/>
      <c r="BK706" s="185"/>
      <c r="BL706" s="185"/>
      <c r="BM706" s="185"/>
      <c r="BN706" s="185"/>
      <c r="BO706" s="185"/>
      <c r="BP706" s="185"/>
      <c r="BQ706" s="185"/>
      <c r="BR706" s="185"/>
      <c r="BS706" s="185"/>
      <c r="BT706" s="185"/>
    </row>
    <row r="707" spans="1:72">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BH707" s="185"/>
      <c r="BI707" s="185"/>
      <c r="BJ707" s="185"/>
      <c r="BK707" s="185"/>
      <c r="BL707" s="185"/>
      <c r="BM707" s="185"/>
      <c r="BN707" s="185"/>
      <c r="BO707" s="185"/>
      <c r="BP707" s="185"/>
      <c r="BQ707" s="185"/>
      <c r="BR707" s="185"/>
      <c r="BS707" s="185"/>
      <c r="BT707" s="185"/>
    </row>
    <row r="708" spans="1:72">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BH708" s="185"/>
      <c r="BI708" s="185"/>
      <c r="BJ708" s="185"/>
      <c r="BK708" s="185"/>
      <c r="BL708" s="185"/>
      <c r="BM708" s="185"/>
      <c r="BN708" s="185"/>
      <c r="BO708" s="185"/>
      <c r="BP708" s="185"/>
      <c r="BQ708" s="185"/>
      <c r="BR708" s="185"/>
      <c r="BS708" s="185"/>
      <c r="BT708" s="185"/>
    </row>
    <row r="709" spans="1:72">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BH709" s="185"/>
      <c r="BI709" s="185"/>
      <c r="BJ709" s="185"/>
      <c r="BK709" s="185"/>
      <c r="BL709" s="185"/>
      <c r="BM709" s="185"/>
      <c r="BN709" s="185"/>
      <c r="BO709" s="185"/>
      <c r="BP709" s="185"/>
      <c r="BQ709" s="185"/>
      <c r="BR709" s="185"/>
      <c r="BS709" s="185"/>
      <c r="BT709" s="185"/>
    </row>
    <row r="710" spans="1:72">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BH710" s="185"/>
      <c r="BI710" s="185"/>
      <c r="BJ710" s="185"/>
      <c r="BK710" s="185"/>
      <c r="BL710" s="185"/>
      <c r="BM710" s="185"/>
      <c r="BN710" s="185"/>
      <c r="BO710" s="185"/>
      <c r="BP710" s="185"/>
      <c r="BQ710" s="185"/>
      <c r="BR710" s="185"/>
      <c r="BS710" s="185"/>
      <c r="BT710" s="185"/>
    </row>
    <row r="711" spans="1:72">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BH711" s="185"/>
      <c r="BI711" s="185"/>
      <c r="BJ711" s="185"/>
      <c r="BK711" s="185"/>
      <c r="BL711" s="185"/>
      <c r="BM711" s="185"/>
      <c r="BN711" s="185"/>
      <c r="BO711" s="185"/>
      <c r="BP711" s="185"/>
      <c r="BQ711" s="185"/>
      <c r="BR711" s="185"/>
      <c r="BS711" s="185"/>
      <c r="BT711" s="185"/>
    </row>
    <row r="712" spans="1:72">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BH712" s="185"/>
      <c r="BI712" s="185"/>
      <c r="BJ712" s="185"/>
      <c r="BK712" s="185"/>
      <c r="BL712" s="185"/>
      <c r="BM712" s="185"/>
      <c r="BN712" s="185"/>
      <c r="BO712" s="185"/>
      <c r="BP712" s="185"/>
      <c r="BQ712" s="185"/>
      <c r="BR712" s="185"/>
      <c r="BS712" s="185"/>
      <c r="BT712" s="185"/>
    </row>
    <row r="713" spans="1:72">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BH713" s="185"/>
      <c r="BI713" s="185"/>
      <c r="BJ713" s="185"/>
      <c r="BK713" s="185"/>
      <c r="BL713" s="185"/>
      <c r="BM713" s="185"/>
      <c r="BN713" s="185"/>
      <c r="BO713" s="185"/>
      <c r="BP713" s="185"/>
      <c r="BQ713" s="185"/>
      <c r="BR713" s="185"/>
      <c r="BS713" s="185"/>
      <c r="BT713" s="185"/>
    </row>
    <row r="714" spans="1:72">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BH714" s="185"/>
      <c r="BI714" s="185"/>
      <c r="BJ714" s="185"/>
      <c r="BK714" s="185"/>
      <c r="BL714" s="185"/>
      <c r="BM714" s="185"/>
      <c r="BN714" s="185"/>
      <c r="BO714" s="185"/>
      <c r="BP714" s="185"/>
      <c r="BQ714" s="185"/>
      <c r="BR714" s="185"/>
      <c r="BS714" s="185"/>
      <c r="BT714" s="185"/>
    </row>
    <row r="715" spans="1:72">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BH715" s="185"/>
      <c r="BI715" s="185"/>
      <c r="BJ715" s="185"/>
      <c r="BK715" s="185"/>
      <c r="BL715" s="185"/>
      <c r="BM715" s="185"/>
      <c r="BN715" s="185"/>
      <c r="BO715" s="185"/>
      <c r="BP715" s="185"/>
      <c r="BQ715" s="185"/>
      <c r="BR715" s="185"/>
      <c r="BS715" s="185"/>
      <c r="BT715" s="185"/>
    </row>
    <row r="716" spans="1:72">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BH716" s="185"/>
      <c r="BI716" s="185"/>
      <c r="BJ716" s="185"/>
      <c r="BK716" s="185"/>
      <c r="BL716" s="185"/>
      <c r="BM716" s="185"/>
      <c r="BN716" s="185"/>
      <c r="BO716" s="185"/>
      <c r="BP716" s="185"/>
      <c r="BQ716" s="185"/>
      <c r="BR716" s="185"/>
      <c r="BS716" s="185"/>
      <c r="BT716" s="185"/>
    </row>
    <row r="717" spans="1:72">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BH717" s="185"/>
      <c r="BI717" s="185"/>
      <c r="BJ717" s="185"/>
      <c r="BK717" s="185"/>
      <c r="BL717" s="185"/>
      <c r="BM717" s="185"/>
      <c r="BN717" s="185"/>
      <c r="BO717" s="185"/>
      <c r="BP717" s="185"/>
      <c r="BQ717" s="185"/>
      <c r="BR717" s="185"/>
      <c r="BS717" s="185"/>
      <c r="BT717" s="185"/>
    </row>
    <row r="718" spans="1:72">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BH718" s="185"/>
      <c r="BI718" s="185"/>
      <c r="BJ718" s="185"/>
      <c r="BK718" s="185"/>
      <c r="BL718" s="185"/>
      <c r="BM718" s="185"/>
      <c r="BN718" s="185"/>
      <c r="BO718" s="185"/>
      <c r="BP718" s="185"/>
      <c r="BQ718" s="185"/>
      <c r="BR718" s="185"/>
      <c r="BS718" s="185"/>
      <c r="BT718" s="185"/>
    </row>
    <row r="719" spans="1:72">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BH719" s="185"/>
      <c r="BI719" s="185"/>
      <c r="BJ719" s="185"/>
      <c r="BK719" s="185"/>
      <c r="BL719" s="185"/>
      <c r="BM719" s="185"/>
      <c r="BN719" s="185"/>
      <c r="BO719" s="185"/>
      <c r="BP719" s="185"/>
      <c r="BQ719" s="185"/>
      <c r="BR719" s="185"/>
      <c r="BS719" s="185"/>
      <c r="BT719" s="185"/>
    </row>
    <row r="720" spans="1:72">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BH720" s="185"/>
      <c r="BI720" s="185"/>
      <c r="BJ720" s="185"/>
      <c r="BK720" s="185"/>
      <c r="BL720" s="185"/>
      <c r="BM720" s="185"/>
      <c r="BN720" s="185"/>
      <c r="BO720" s="185"/>
      <c r="BP720" s="185"/>
      <c r="BQ720" s="185"/>
      <c r="BR720" s="185"/>
      <c r="BS720" s="185"/>
      <c r="BT720" s="185"/>
    </row>
    <row r="721" spans="1:72">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BH721" s="185"/>
      <c r="BI721" s="185"/>
      <c r="BJ721" s="185"/>
      <c r="BK721" s="185"/>
      <c r="BL721" s="185"/>
      <c r="BM721" s="185"/>
      <c r="BN721" s="185"/>
      <c r="BO721" s="185"/>
      <c r="BP721" s="185"/>
      <c r="BQ721" s="185"/>
      <c r="BR721" s="185"/>
      <c r="BS721" s="185"/>
      <c r="BT721" s="185"/>
    </row>
    <row r="722" spans="1:72">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BH722" s="185"/>
      <c r="BI722" s="185"/>
      <c r="BJ722" s="185"/>
      <c r="BK722" s="185"/>
      <c r="BL722" s="185"/>
      <c r="BM722" s="185"/>
      <c r="BN722" s="185"/>
      <c r="BO722" s="185"/>
      <c r="BP722" s="185"/>
      <c r="BQ722" s="185"/>
      <c r="BR722" s="185"/>
      <c r="BS722" s="185"/>
      <c r="BT722" s="185"/>
    </row>
    <row r="723" spans="1:72">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BH723" s="185"/>
      <c r="BI723" s="185"/>
      <c r="BJ723" s="185"/>
      <c r="BK723" s="185"/>
      <c r="BL723" s="185"/>
      <c r="BM723" s="185"/>
      <c r="BN723" s="185"/>
      <c r="BO723" s="185"/>
      <c r="BP723" s="185"/>
      <c r="BQ723" s="185"/>
      <c r="BR723" s="185"/>
      <c r="BS723" s="185"/>
      <c r="BT723" s="185"/>
    </row>
    <row r="724" spans="1:72">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BH724" s="185"/>
      <c r="BI724" s="185"/>
      <c r="BJ724" s="185"/>
      <c r="BK724" s="185"/>
      <c r="BL724" s="185"/>
      <c r="BM724" s="185"/>
      <c r="BN724" s="185"/>
      <c r="BO724" s="185"/>
      <c r="BP724" s="185"/>
      <c r="BQ724" s="185"/>
      <c r="BR724" s="185"/>
      <c r="BS724" s="185"/>
      <c r="BT724" s="185"/>
    </row>
    <row r="725" spans="1:72">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BH725" s="185"/>
      <c r="BI725" s="185"/>
      <c r="BJ725" s="185"/>
      <c r="BK725" s="185"/>
      <c r="BL725" s="185"/>
      <c r="BM725" s="185"/>
      <c r="BN725" s="185"/>
      <c r="BO725" s="185"/>
      <c r="BP725" s="185"/>
      <c r="BQ725" s="185"/>
      <c r="BR725" s="185"/>
      <c r="BS725" s="185"/>
      <c r="BT725" s="185"/>
    </row>
    <row r="726" spans="1:72">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BH726" s="185"/>
      <c r="BI726" s="185"/>
      <c r="BJ726" s="185"/>
      <c r="BK726" s="185"/>
      <c r="BL726" s="185"/>
      <c r="BM726" s="185"/>
      <c r="BN726" s="185"/>
      <c r="BO726" s="185"/>
      <c r="BP726" s="185"/>
      <c r="BQ726" s="185"/>
      <c r="BR726" s="185"/>
      <c r="BS726" s="185"/>
      <c r="BT726" s="185"/>
    </row>
    <row r="727" spans="1:72">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BH727" s="185"/>
      <c r="BI727" s="185"/>
      <c r="BJ727" s="185"/>
      <c r="BK727" s="185"/>
      <c r="BL727" s="185"/>
      <c r="BM727" s="185"/>
      <c r="BN727" s="185"/>
      <c r="BO727" s="185"/>
      <c r="BP727" s="185"/>
      <c r="BQ727" s="185"/>
      <c r="BR727" s="185"/>
      <c r="BS727" s="185"/>
      <c r="BT727" s="185"/>
    </row>
    <row r="728" spans="1:72">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BH728" s="185"/>
      <c r="BI728" s="185"/>
      <c r="BJ728" s="185"/>
      <c r="BK728" s="185"/>
      <c r="BL728" s="185"/>
      <c r="BM728" s="185"/>
      <c r="BN728" s="185"/>
      <c r="BO728" s="185"/>
      <c r="BP728" s="185"/>
      <c r="BQ728" s="185"/>
      <c r="BR728" s="185"/>
      <c r="BS728" s="185"/>
      <c r="BT728" s="185"/>
    </row>
    <row r="729" spans="1:72">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BH729" s="185"/>
      <c r="BI729" s="185"/>
      <c r="BJ729" s="185"/>
      <c r="BK729" s="185"/>
      <c r="BL729" s="185"/>
      <c r="BM729" s="185"/>
      <c r="BN729" s="185"/>
      <c r="BO729" s="185"/>
      <c r="BP729" s="185"/>
      <c r="BQ729" s="185"/>
      <c r="BR729" s="185"/>
      <c r="BS729" s="185"/>
      <c r="BT729" s="185"/>
    </row>
    <row r="730" spans="1:72">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BH730" s="185"/>
      <c r="BI730" s="185"/>
      <c r="BJ730" s="185"/>
      <c r="BK730" s="185"/>
      <c r="BL730" s="185"/>
      <c r="BM730" s="185"/>
      <c r="BN730" s="185"/>
      <c r="BO730" s="185"/>
      <c r="BP730" s="185"/>
      <c r="BQ730" s="185"/>
      <c r="BR730" s="185"/>
      <c r="BS730" s="185"/>
      <c r="BT730" s="185"/>
    </row>
    <row r="731" spans="1:72">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BH731" s="185"/>
      <c r="BI731" s="185"/>
      <c r="BJ731" s="185"/>
      <c r="BK731" s="185"/>
      <c r="BL731" s="185"/>
      <c r="BM731" s="185"/>
      <c r="BN731" s="185"/>
      <c r="BO731" s="185"/>
      <c r="BP731" s="185"/>
      <c r="BQ731" s="185"/>
      <c r="BR731" s="185"/>
      <c r="BS731" s="185"/>
      <c r="BT731" s="185"/>
    </row>
    <row r="732" spans="1:72">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BH732" s="185"/>
      <c r="BI732" s="185"/>
      <c r="BJ732" s="185"/>
      <c r="BK732" s="185"/>
      <c r="BL732" s="185"/>
      <c r="BM732" s="185"/>
      <c r="BN732" s="185"/>
      <c r="BO732" s="185"/>
      <c r="BP732" s="185"/>
      <c r="BQ732" s="185"/>
      <c r="BR732" s="185"/>
      <c r="BS732" s="185"/>
      <c r="BT732" s="185"/>
    </row>
    <row r="733" spans="1:72">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BH733" s="185"/>
      <c r="BI733" s="185"/>
      <c r="BJ733" s="185"/>
      <c r="BK733" s="185"/>
      <c r="BL733" s="185"/>
      <c r="BM733" s="185"/>
      <c r="BN733" s="185"/>
      <c r="BO733" s="185"/>
      <c r="BP733" s="185"/>
      <c r="BQ733" s="185"/>
      <c r="BR733" s="185"/>
      <c r="BS733" s="185"/>
      <c r="BT733" s="185"/>
    </row>
    <row r="734" spans="1:72">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BH734" s="185"/>
      <c r="BI734" s="185"/>
      <c r="BJ734" s="185"/>
      <c r="BK734" s="185"/>
      <c r="BL734" s="185"/>
      <c r="BM734" s="185"/>
      <c r="BN734" s="185"/>
      <c r="BO734" s="185"/>
      <c r="BP734" s="185"/>
      <c r="BQ734" s="185"/>
      <c r="BR734" s="185"/>
      <c r="BS734" s="185"/>
      <c r="BT734" s="185"/>
    </row>
    <row r="735" spans="1:72">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BH735" s="185"/>
      <c r="BI735" s="185"/>
      <c r="BJ735" s="185"/>
      <c r="BK735" s="185"/>
      <c r="BL735" s="185"/>
      <c r="BM735" s="185"/>
      <c r="BN735" s="185"/>
      <c r="BO735" s="185"/>
      <c r="BP735" s="185"/>
      <c r="BQ735" s="185"/>
      <c r="BR735" s="185"/>
      <c r="BS735" s="185"/>
      <c r="BT735" s="185"/>
    </row>
    <row r="736" spans="1:72">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BH736" s="185"/>
      <c r="BI736" s="185"/>
      <c r="BJ736" s="185"/>
      <c r="BK736" s="185"/>
      <c r="BL736" s="185"/>
      <c r="BM736" s="185"/>
      <c r="BN736" s="185"/>
      <c r="BO736" s="185"/>
      <c r="BP736" s="185"/>
      <c r="BQ736" s="185"/>
      <c r="BR736" s="185"/>
      <c r="BS736" s="185"/>
      <c r="BT736" s="185"/>
    </row>
    <row r="737" spans="1:72">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BH737" s="185"/>
      <c r="BI737" s="185"/>
      <c r="BJ737" s="185"/>
      <c r="BK737" s="185"/>
      <c r="BL737" s="185"/>
      <c r="BM737" s="185"/>
      <c r="BN737" s="185"/>
      <c r="BO737" s="185"/>
      <c r="BP737" s="185"/>
      <c r="BQ737" s="185"/>
      <c r="BR737" s="185"/>
      <c r="BS737" s="185"/>
      <c r="BT737" s="185"/>
    </row>
    <row r="738" spans="1:72">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BH738" s="185"/>
      <c r="BI738" s="185"/>
      <c r="BJ738" s="185"/>
      <c r="BK738" s="185"/>
      <c r="BL738" s="185"/>
      <c r="BM738" s="185"/>
      <c r="BN738" s="185"/>
      <c r="BO738" s="185"/>
      <c r="BP738" s="185"/>
      <c r="BQ738" s="185"/>
      <c r="BR738" s="185"/>
      <c r="BS738" s="185"/>
      <c r="BT738" s="185"/>
    </row>
    <row r="739" spans="1:72">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BH739" s="185"/>
      <c r="BI739" s="185"/>
      <c r="BJ739" s="185"/>
      <c r="BK739" s="185"/>
      <c r="BL739" s="185"/>
      <c r="BM739" s="185"/>
      <c r="BN739" s="185"/>
      <c r="BO739" s="185"/>
      <c r="BP739" s="185"/>
      <c r="BQ739" s="185"/>
      <c r="BR739" s="185"/>
      <c r="BS739" s="185"/>
      <c r="BT739" s="185"/>
    </row>
    <row r="740" spans="1:72">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BH740" s="185"/>
      <c r="BI740" s="185"/>
      <c r="BJ740" s="185"/>
      <c r="BK740" s="185"/>
      <c r="BL740" s="185"/>
      <c r="BM740" s="185"/>
      <c r="BN740" s="185"/>
      <c r="BO740" s="185"/>
      <c r="BP740" s="185"/>
      <c r="BQ740" s="185"/>
      <c r="BR740" s="185"/>
      <c r="BS740" s="185"/>
      <c r="BT740" s="185"/>
    </row>
    <row r="741" spans="1:72">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BH741" s="185"/>
      <c r="BI741" s="185"/>
      <c r="BJ741" s="185"/>
      <c r="BK741" s="185"/>
      <c r="BL741" s="185"/>
      <c r="BM741" s="185"/>
      <c r="BN741" s="185"/>
      <c r="BO741" s="185"/>
      <c r="BP741" s="185"/>
      <c r="BQ741" s="185"/>
      <c r="BR741" s="185"/>
      <c r="BS741" s="185"/>
      <c r="BT741" s="185"/>
    </row>
    <row r="742" spans="1:72">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BH742" s="185"/>
      <c r="BI742" s="185"/>
      <c r="BJ742" s="185"/>
      <c r="BK742" s="185"/>
      <c r="BL742" s="185"/>
      <c r="BM742" s="185"/>
      <c r="BN742" s="185"/>
      <c r="BO742" s="185"/>
      <c r="BP742" s="185"/>
      <c r="BQ742" s="185"/>
      <c r="BR742" s="185"/>
      <c r="BS742" s="185"/>
      <c r="BT742" s="185"/>
    </row>
    <row r="743" spans="1:72">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BH743" s="185"/>
      <c r="BI743" s="185"/>
      <c r="BJ743" s="185"/>
      <c r="BK743" s="185"/>
      <c r="BL743" s="185"/>
      <c r="BM743" s="185"/>
      <c r="BN743" s="185"/>
      <c r="BO743" s="185"/>
      <c r="BP743" s="185"/>
      <c r="BQ743" s="185"/>
      <c r="BR743" s="185"/>
      <c r="BS743" s="185"/>
      <c r="BT743" s="185"/>
    </row>
    <row r="744" spans="1:72">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BH744" s="185"/>
      <c r="BI744" s="185"/>
      <c r="BJ744" s="185"/>
      <c r="BK744" s="185"/>
      <c r="BL744" s="185"/>
      <c r="BM744" s="185"/>
      <c r="BN744" s="185"/>
      <c r="BO744" s="185"/>
      <c r="BP744" s="185"/>
      <c r="BQ744" s="185"/>
      <c r="BR744" s="185"/>
      <c r="BS744" s="185"/>
      <c r="BT744" s="185"/>
    </row>
    <row r="745" spans="1:72">
      <c r="BH745" s="185"/>
      <c r="BI745" s="185"/>
      <c r="BJ745" s="185"/>
      <c r="BK745" s="185"/>
      <c r="BL745" s="185"/>
      <c r="BM745" s="185"/>
      <c r="BN745" s="185"/>
      <c r="BO745" s="185"/>
      <c r="BP745" s="185"/>
      <c r="BQ745" s="185"/>
      <c r="BR745" s="185"/>
      <c r="BS745" s="185"/>
      <c r="BT745" s="185"/>
    </row>
    <row r="746" spans="1:72">
      <c r="BH746" s="185"/>
      <c r="BI746" s="185"/>
      <c r="BJ746" s="185"/>
      <c r="BK746" s="185"/>
      <c r="BL746" s="185"/>
      <c r="BM746" s="185"/>
      <c r="BN746" s="185"/>
      <c r="BO746" s="185"/>
      <c r="BP746" s="185"/>
      <c r="BQ746" s="185"/>
      <c r="BR746" s="185"/>
      <c r="BS746" s="185"/>
      <c r="BT746" s="185"/>
    </row>
    <row r="747" spans="1:72">
      <c r="BH747" s="185"/>
      <c r="BI747" s="185"/>
      <c r="BJ747" s="185"/>
      <c r="BK747" s="185"/>
      <c r="BL747" s="185"/>
      <c r="BM747" s="185"/>
      <c r="BN747" s="185"/>
      <c r="BO747" s="185"/>
      <c r="BP747" s="185"/>
      <c r="BQ747" s="185"/>
      <c r="BR747" s="185"/>
      <c r="BS747" s="185"/>
      <c r="BT747" s="185"/>
    </row>
    <row r="748" spans="1:72">
      <c r="BH748" s="185"/>
      <c r="BI748" s="185"/>
      <c r="BJ748" s="185"/>
      <c r="BK748" s="185"/>
      <c r="BL748" s="185"/>
      <c r="BM748" s="185"/>
      <c r="BN748" s="185"/>
      <c r="BO748" s="185"/>
      <c r="BP748" s="185"/>
      <c r="BQ748" s="185"/>
      <c r="BR748" s="185"/>
      <c r="BS748" s="185"/>
      <c r="BT748" s="185"/>
    </row>
    <row r="749" spans="1:72">
      <c r="BH749" s="185"/>
      <c r="BI749" s="185"/>
      <c r="BJ749" s="185"/>
      <c r="BK749" s="185"/>
      <c r="BL749" s="185"/>
      <c r="BM749" s="185"/>
      <c r="BN749" s="185"/>
      <c r="BO749" s="185"/>
      <c r="BP749" s="185"/>
      <c r="BQ749" s="185"/>
      <c r="BR749" s="185"/>
      <c r="BS749" s="185"/>
      <c r="BT749" s="185"/>
    </row>
    <row r="750" spans="1:72">
      <c r="BH750" s="185"/>
      <c r="BI750" s="185"/>
      <c r="BJ750" s="185"/>
      <c r="BK750" s="185"/>
      <c r="BL750" s="185"/>
      <c r="BM750" s="185"/>
      <c r="BN750" s="185"/>
      <c r="BO750" s="185"/>
      <c r="BP750" s="185"/>
      <c r="BQ750" s="185"/>
      <c r="BR750" s="185"/>
      <c r="BS750" s="185"/>
      <c r="BT750" s="185"/>
    </row>
    <row r="751" spans="1:72">
      <c r="BH751" s="185"/>
      <c r="BI751" s="185"/>
      <c r="BJ751" s="185"/>
      <c r="BK751" s="185"/>
      <c r="BL751" s="185"/>
      <c r="BM751" s="185"/>
      <c r="BN751" s="185"/>
      <c r="BO751" s="185"/>
      <c r="BP751" s="185"/>
      <c r="BQ751" s="185"/>
      <c r="BR751" s="185"/>
      <c r="BS751" s="185"/>
      <c r="BT751" s="185"/>
    </row>
    <row r="752" spans="1:72">
      <c r="BH752" s="185"/>
      <c r="BI752" s="185"/>
      <c r="BJ752" s="185"/>
      <c r="BK752" s="185"/>
      <c r="BL752" s="185"/>
      <c r="BM752" s="185"/>
      <c r="BN752" s="185"/>
      <c r="BO752" s="185"/>
      <c r="BP752" s="185"/>
      <c r="BQ752" s="185"/>
      <c r="BR752" s="185"/>
      <c r="BS752" s="185"/>
      <c r="BT752" s="185"/>
    </row>
    <row r="753" spans="60:72">
      <c r="BH753" s="185"/>
      <c r="BI753" s="185"/>
      <c r="BJ753" s="185"/>
      <c r="BK753" s="185"/>
      <c r="BL753" s="185"/>
      <c r="BM753" s="185"/>
      <c r="BN753" s="185"/>
      <c r="BO753" s="185"/>
      <c r="BP753" s="185"/>
      <c r="BQ753" s="185"/>
      <c r="BR753" s="185"/>
      <c r="BS753" s="185"/>
      <c r="BT753" s="185"/>
    </row>
    <row r="754" spans="60:72">
      <c r="BH754" s="185"/>
      <c r="BI754" s="185"/>
      <c r="BJ754" s="185"/>
      <c r="BK754" s="185"/>
      <c r="BL754" s="185"/>
      <c r="BM754" s="185"/>
      <c r="BN754" s="185"/>
      <c r="BO754" s="185"/>
      <c r="BP754" s="185"/>
      <c r="BQ754" s="185"/>
      <c r="BR754" s="185"/>
      <c r="BS754" s="185"/>
      <c r="BT754" s="185"/>
    </row>
    <row r="755" spans="60:72">
      <c r="BH755" s="185"/>
      <c r="BI755" s="185"/>
      <c r="BJ755" s="185"/>
      <c r="BK755" s="185"/>
      <c r="BL755" s="185"/>
      <c r="BM755" s="185"/>
      <c r="BN755" s="185"/>
      <c r="BO755" s="185"/>
      <c r="BP755" s="185"/>
      <c r="BQ755" s="185"/>
      <c r="BR755" s="185"/>
      <c r="BS755" s="185"/>
      <c r="BT755" s="185"/>
    </row>
    <row r="756" spans="60:72">
      <c r="BH756" s="185"/>
      <c r="BI756" s="185"/>
      <c r="BJ756" s="185"/>
      <c r="BK756" s="185"/>
      <c r="BL756" s="185"/>
      <c r="BM756" s="185"/>
      <c r="BN756" s="185"/>
      <c r="BO756" s="185"/>
      <c r="BP756" s="185"/>
      <c r="BQ756" s="185"/>
      <c r="BR756" s="185"/>
      <c r="BS756" s="185"/>
      <c r="BT756" s="185"/>
    </row>
    <row r="757" spans="60:72">
      <c r="BH757" s="185"/>
      <c r="BI757" s="185"/>
      <c r="BJ757" s="185"/>
      <c r="BK757" s="185"/>
      <c r="BL757" s="185"/>
      <c r="BM757" s="185"/>
      <c r="BN757" s="185"/>
      <c r="BO757" s="185"/>
      <c r="BP757" s="185"/>
      <c r="BQ757" s="185"/>
      <c r="BR757" s="185"/>
      <c r="BS757" s="185"/>
      <c r="BT757" s="185"/>
    </row>
    <row r="758" spans="60:72">
      <c r="BH758" s="185"/>
      <c r="BI758" s="185"/>
      <c r="BJ758" s="185"/>
      <c r="BK758" s="185"/>
      <c r="BL758" s="185"/>
      <c r="BM758" s="185"/>
      <c r="BN758" s="185"/>
      <c r="BO758" s="185"/>
      <c r="BP758" s="185"/>
      <c r="BQ758" s="185"/>
      <c r="BR758" s="185"/>
      <c r="BS758" s="185"/>
      <c r="BT758" s="185"/>
    </row>
    <row r="759" spans="60:72">
      <c r="BH759" s="185"/>
      <c r="BI759" s="185"/>
      <c r="BJ759" s="185"/>
      <c r="BK759" s="185"/>
      <c r="BL759" s="185"/>
      <c r="BM759" s="185"/>
      <c r="BN759" s="185"/>
      <c r="BO759" s="185"/>
      <c r="BP759" s="185"/>
      <c r="BQ759" s="185"/>
      <c r="BR759" s="185"/>
      <c r="BS759" s="185"/>
      <c r="BT759" s="185"/>
    </row>
    <row r="760" spans="60:72">
      <c r="BH760" s="185"/>
      <c r="BI760" s="185"/>
      <c r="BJ760" s="185"/>
      <c r="BK760" s="185"/>
      <c r="BL760" s="185"/>
      <c r="BM760" s="185"/>
      <c r="BN760" s="185"/>
      <c r="BO760" s="185"/>
      <c r="BP760" s="185"/>
      <c r="BQ760" s="185"/>
      <c r="BR760" s="185"/>
      <c r="BS760" s="185"/>
      <c r="BT760" s="185"/>
    </row>
    <row r="761" spans="60:72">
      <c r="BH761" s="185"/>
      <c r="BI761" s="185"/>
      <c r="BJ761" s="185"/>
      <c r="BK761" s="185"/>
      <c r="BL761" s="185"/>
      <c r="BM761" s="185"/>
      <c r="BN761" s="185"/>
      <c r="BO761" s="185"/>
      <c r="BP761" s="185"/>
      <c r="BQ761" s="185"/>
      <c r="BR761" s="185"/>
      <c r="BS761" s="185"/>
      <c r="BT761" s="185"/>
    </row>
    <row r="762" spans="60:72">
      <c r="BH762" s="185"/>
      <c r="BI762" s="185"/>
      <c r="BJ762" s="185"/>
      <c r="BK762" s="185"/>
      <c r="BL762" s="185"/>
      <c r="BM762" s="185"/>
      <c r="BN762" s="185"/>
      <c r="BO762" s="185"/>
      <c r="BP762" s="185"/>
      <c r="BQ762" s="185"/>
      <c r="BR762" s="185"/>
      <c r="BS762" s="185"/>
      <c r="BT762" s="185"/>
    </row>
    <row r="763" spans="60:72">
      <c r="BH763" s="185"/>
      <c r="BI763" s="185"/>
      <c r="BJ763" s="185"/>
      <c r="BK763" s="185"/>
      <c r="BL763" s="185"/>
      <c r="BM763" s="185"/>
      <c r="BN763" s="185"/>
      <c r="BO763" s="185"/>
      <c r="BP763" s="185"/>
      <c r="BQ763" s="185"/>
      <c r="BR763" s="185"/>
      <c r="BS763" s="185"/>
      <c r="BT763" s="185"/>
    </row>
    <row r="764" spans="60:72">
      <c r="BH764" s="185"/>
      <c r="BI764" s="185"/>
      <c r="BJ764" s="185"/>
      <c r="BK764" s="185"/>
      <c r="BL764" s="185"/>
      <c r="BM764" s="185"/>
      <c r="BN764" s="185"/>
      <c r="BO764" s="185"/>
      <c r="BP764" s="185"/>
      <c r="BQ764" s="185"/>
      <c r="BR764" s="185"/>
      <c r="BS764" s="185"/>
      <c r="BT764" s="185"/>
    </row>
    <row r="765" spans="60:72">
      <c r="BH765" s="185"/>
      <c r="BI765" s="185"/>
      <c r="BJ765" s="185"/>
      <c r="BK765" s="185"/>
      <c r="BL765" s="185"/>
      <c r="BM765" s="185"/>
      <c r="BN765" s="185"/>
      <c r="BO765" s="185"/>
      <c r="BP765" s="185"/>
      <c r="BQ765" s="185"/>
      <c r="BR765" s="185"/>
      <c r="BS765" s="185"/>
      <c r="BT765" s="185"/>
    </row>
    <row r="766" spans="60:72">
      <c r="BH766" s="185"/>
      <c r="BI766" s="185"/>
      <c r="BJ766" s="185"/>
      <c r="BK766" s="185"/>
      <c r="BL766" s="185"/>
      <c r="BM766" s="185"/>
      <c r="BN766" s="185"/>
      <c r="BO766" s="185"/>
      <c r="BP766" s="185"/>
      <c r="BQ766" s="185"/>
      <c r="BR766" s="185"/>
      <c r="BS766" s="185"/>
      <c r="BT766" s="185"/>
    </row>
    <row r="767" spans="60:72">
      <c r="BH767" s="185"/>
      <c r="BI767" s="185"/>
      <c r="BJ767" s="185"/>
      <c r="BK767" s="185"/>
      <c r="BL767" s="185"/>
      <c r="BM767" s="185"/>
      <c r="BN767" s="185"/>
      <c r="BO767" s="185"/>
      <c r="BP767" s="185"/>
      <c r="BQ767" s="185"/>
      <c r="BR767" s="185"/>
      <c r="BS767" s="185"/>
      <c r="BT767" s="185"/>
    </row>
    <row r="768" spans="60:72">
      <c r="BH768" s="185"/>
      <c r="BI768" s="185"/>
      <c r="BJ768" s="185"/>
      <c r="BK768" s="185"/>
      <c r="BL768" s="185"/>
      <c r="BM768" s="185"/>
      <c r="BN768" s="185"/>
      <c r="BO768" s="185"/>
      <c r="BP768" s="185"/>
      <c r="BQ768" s="185"/>
      <c r="BR768" s="185"/>
      <c r="BS768" s="185"/>
      <c r="BT768" s="185"/>
    </row>
    <row r="769" spans="60:72">
      <c r="BH769" s="185"/>
      <c r="BI769" s="185"/>
      <c r="BJ769" s="185"/>
      <c r="BK769" s="185"/>
      <c r="BL769" s="185"/>
      <c r="BM769" s="185"/>
      <c r="BN769" s="185"/>
      <c r="BO769" s="185"/>
      <c r="BP769" s="185"/>
      <c r="BQ769" s="185"/>
      <c r="BR769" s="185"/>
      <c r="BS769" s="185"/>
      <c r="BT769" s="185"/>
    </row>
    <row r="770" spans="60:72">
      <c r="BH770" s="185"/>
      <c r="BI770" s="185"/>
      <c r="BJ770" s="185"/>
      <c r="BK770" s="185"/>
      <c r="BL770" s="185"/>
      <c r="BM770" s="185"/>
      <c r="BN770" s="185"/>
      <c r="BO770" s="185"/>
      <c r="BP770" s="185"/>
      <c r="BQ770" s="185"/>
      <c r="BR770" s="185"/>
      <c r="BS770" s="185"/>
      <c r="BT770" s="185"/>
    </row>
    <row r="771" spans="60:72">
      <c r="BH771" s="185"/>
      <c r="BI771" s="185"/>
      <c r="BJ771" s="185"/>
      <c r="BK771" s="185"/>
      <c r="BL771" s="185"/>
      <c r="BM771" s="185"/>
      <c r="BN771" s="185"/>
      <c r="BO771" s="185"/>
      <c r="BP771" s="185"/>
      <c r="BQ771" s="185"/>
      <c r="BR771" s="185"/>
      <c r="BS771" s="185"/>
      <c r="BT771" s="185"/>
    </row>
    <row r="772" spans="60:72">
      <c r="BH772" s="185"/>
      <c r="BI772" s="185"/>
      <c r="BJ772" s="185"/>
      <c r="BK772" s="185"/>
      <c r="BL772" s="185"/>
      <c r="BM772" s="185"/>
      <c r="BN772" s="185"/>
      <c r="BO772" s="185"/>
      <c r="BP772" s="185"/>
      <c r="BQ772" s="185"/>
      <c r="BR772" s="185"/>
      <c r="BS772" s="185"/>
      <c r="BT772" s="185"/>
    </row>
    <row r="773" spans="60:72">
      <c r="BH773" s="185"/>
      <c r="BI773" s="185"/>
      <c r="BJ773" s="185"/>
      <c r="BK773" s="185"/>
      <c r="BL773" s="185"/>
      <c r="BM773" s="185"/>
      <c r="BN773" s="185"/>
      <c r="BO773" s="185"/>
      <c r="BP773" s="185"/>
      <c r="BQ773" s="185"/>
      <c r="BR773" s="185"/>
      <c r="BS773" s="185"/>
      <c r="BT773" s="185"/>
    </row>
    <row r="774" spans="60:72">
      <c r="BH774" s="185"/>
      <c r="BI774" s="185"/>
      <c r="BJ774" s="185"/>
      <c r="BK774" s="185"/>
      <c r="BL774" s="185"/>
      <c r="BM774" s="185"/>
      <c r="BN774" s="185"/>
      <c r="BO774" s="185"/>
      <c r="BP774" s="185"/>
      <c r="BQ774" s="185"/>
      <c r="BR774" s="185"/>
      <c r="BS774" s="185"/>
      <c r="BT774" s="185"/>
    </row>
    <row r="775" spans="60:72">
      <c r="BH775" s="185"/>
      <c r="BI775" s="185"/>
      <c r="BJ775" s="185"/>
      <c r="BK775" s="185"/>
      <c r="BL775" s="185"/>
      <c r="BM775" s="185"/>
      <c r="BN775" s="185"/>
      <c r="BO775" s="185"/>
      <c r="BP775" s="185"/>
      <c r="BQ775" s="185"/>
      <c r="BR775" s="185"/>
      <c r="BS775" s="185"/>
      <c r="BT775" s="185"/>
    </row>
    <row r="776" spans="60:72">
      <c r="BH776" s="185"/>
      <c r="BI776" s="185"/>
      <c r="BJ776" s="185"/>
      <c r="BK776" s="185"/>
      <c r="BL776" s="185"/>
      <c r="BM776" s="185"/>
      <c r="BN776" s="185"/>
      <c r="BO776" s="185"/>
      <c r="BP776" s="185"/>
      <c r="BQ776" s="185"/>
      <c r="BR776" s="185"/>
      <c r="BS776" s="185"/>
      <c r="BT776" s="185"/>
    </row>
    <row r="777" spans="60:72">
      <c r="BH777" s="185"/>
      <c r="BI777" s="185"/>
      <c r="BJ777" s="185"/>
      <c r="BK777" s="185"/>
      <c r="BL777" s="185"/>
      <c r="BM777" s="185"/>
      <c r="BN777" s="185"/>
      <c r="BO777" s="185"/>
      <c r="BP777" s="185"/>
      <c r="BQ777" s="185"/>
      <c r="BR777" s="185"/>
      <c r="BS777" s="185"/>
      <c r="BT777" s="185"/>
    </row>
    <row r="778" spans="60:72">
      <c r="BH778" s="185"/>
      <c r="BI778" s="185"/>
      <c r="BJ778" s="185"/>
      <c r="BK778" s="185"/>
      <c r="BL778" s="185"/>
      <c r="BM778" s="185"/>
      <c r="BN778" s="185"/>
      <c r="BO778" s="185"/>
      <c r="BP778" s="185"/>
      <c r="BQ778" s="185"/>
      <c r="BR778" s="185"/>
      <c r="BS778" s="185"/>
      <c r="BT778" s="185"/>
    </row>
    <row r="779" spans="60:72">
      <c r="BH779" s="185"/>
      <c r="BI779" s="185"/>
      <c r="BJ779" s="185"/>
      <c r="BK779" s="185"/>
      <c r="BL779" s="185"/>
      <c r="BM779" s="185"/>
      <c r="BN779" s="185"/>
      <c r="BO779" s="185"/>
      <c r="BP779" s="185"/>
      <c r="BQ779" s="185"/>
      <c r="BR779" s="185"/>
      <c r="BS779" s="185"/>
      <c r="BT779" s="185"/>
    </row>
    <row r="780" spans="60:72">
      <c r="BH780" s="185"/>
      <c r="BI780" s="185"/>
      <c r="BJ780" s="185"/>
      <c r="BK780" s="185"/>
      <c r="BL780" s="185"/>
      <c r="BM780" s="185"/>
      <c r="BN780" s="185"/>
      <c r="BO780" s="185"/>
      <c r="BP780" s="185"/>
      <c r="BQ780" s="185"/>
      <c r="BR780" s="185"/>
      <c r="BS780" s="185"/>
      <c r="BT780" s="185"/>
    </row>
    <row r="781" spans="60:72">
      <c r="BH781" s="185"/>
      <c r="BI781" s="185"/>
      <c r="BJ781" s="185"/>
      <c r="BK781" s="185"/>
      <c r="BL781" s="185"/>
      <c r="BM781" s="185"/>
      <c r="BN781" s="185"/>
      <c r="BO781" s="185"/>
      <c r="BP781" s="185"/>
      <c r="BQ781" s="185"/>
      <c r="BR781" s="185"/>
      <c r="BS781" s="185"/>
      <c r="BT781" s="185"/>
    </row>
    <row r="782" spans="60:72">
      <c r="BH782" s="185"/>
      <c r="BI782" s="185"/>
      <c r="BJ782" s="185"/>
      <c r="BK782" s="185"/>
      <c r="BL782" s="185"/>
      <c r="BM782" s="185"/>
      <c r="BN782" s="185"/>
      <c r="BO782" s="185"/>
      <c r="BP782" s="185"/>
      <c r="BQ782" s="185"/>
      <c r="BR782" s="185"/>
      <c r="BS782" s="185"/>
      <c r="BT782" s="185"/>
    </row>
    <row r="783" spans="60:72">
      <c r="BH783" s="185"/>
      <c r="BI783" s="185"/>
      <c r="BJ783" s="185"/>
      <c r="BK783" s="185"/>
      <c r="BL783" s="185"/>
      <c r="BM783" s="185"/>
      <c r="BN783" s="185"/>
      <c r="BO783" s="185"/>
      <c r="BP783" s="185"/>
      <c r="BQ783" s="185"/>
      <c r="BR783" s="185"/>
      <c r="BS783" s="185"/>
      <c r="BT783" s="185"/>
    </row>
    <row r="784" spans="60:72">
      <c r="BH784" s="185"/>
      <c r="BI784" s="185"/>
      <c r="BJ784" s="185"/>
      <c r="BK784" s="185"/>
      <c r="BL784" s="185"/>
      <c r="BM784" s="185"/>
      <c r="BN784" s="185"/>
      <c r="BO784" s="185"/>
      <c r="BP784" s="185"/>
      <c r="BQ784" s="185"/>
      <c r="BR784" s="185"/>
      <c r="BS784" s="185"/>
      <c r="BT784" s="185"/>
    </row>
    <row r="785" spans="60:72">
      <c r="BH785" s="185"/>
      <c r="BI785" s="185"/>
      <c r="BJ785" s="185"/>
      <c r="BK785" s="185"/>
      <c r="BL785" s="185"/>
      <c r="BM785" s="185"/>
      <c r="BN785" s="185"/>
      <c r="BO785" s="185"/>
      <c r="BP785" s="185"/>
      <c r="BQ785" s="185"/>
      <c r="BR785" s="185"/>
      <c r="BS785" s="185"/>
      <c r="BT785" s="185"/>
    </row>
    <row r="786" spans="60:72">
      <c r="BH786" s="185"/>
      <c r="BI786" s="185"/>
      <c r="BJ786" s="185"/>
      <c r="BK786" s="185"/>
      <c r="BL786" s="185"/>
      <c r="BM786" s="185"/>
      <c r="BN786" s="185"/>
      <c r="BO786" s="185"/>
      <c r="BP786" s="185"/>
      <c r="BQ786" s="185"/>
      <c r="BR786" s="185"/>
      <c r="BS786" s="185"/>
      <c r="BT786" s="185"/>
    </row>
    <row r="787" spans="60:72">
      <c r="BH787" s="185"/>
      <c r="BI787" s="185"/>
      <c r="BJ787" s="185"/>
      <c r="BK787" s="185"/>
      <c r="BL787" s="185"/>
      <c r="BM787" s="185"/>
      <c r="BN787" s="185"/>
      <c r="BO787" s="185"/>
      <c r="BP787" s="185"/>
      <c r="BQ787" s="185"/>
      <c r="BR787" s="185"/>
      <c r="BS787" s="185"/>
      <c r="BT787" s="185"/>
    </row>
    <row r="788" spans="60:72">
      <c r="BH788" s="185"/>
      <c r="BI788" s="185"/>
      <c r="BJ788" s="185"/>
      <c r="BK788" s="185"/>
      <c r="BL788" s="185"/>
      <c r="BM788" s="185"/>
      <c r="BN788" s="185"/>
      <c r="BO788" s="185"/>
      <c r="BP788" s="185"/>
      <c r="BQ788" s="185"/>
      <c r="BR788" s="185"/>
      <c r="BS788" s="185"/>
      <c r="BT788" s="185"/>
    </row>
    <row r="789" spans="60:72">
      <c r="BH789" s="185"/>
      <c r="BI789" s="185"/>
      <c r="BJ789" s="185"/>
      <c r="BK789" s="185"/>
      <c r="BL789" s="185"/>
      <c r="BM789" s="185"/>
      <c r="BN789" s="185"/>
      <c r="BO789" s="185"/>
      <c r="BP789" s="185"/>
      <c r="BQ789" s="185"/>
      <c r="BR789" s="185"/>
      <c r="BS789" s="185"/>
      <c r="BT789" s="185"/>
    </row>
    <row r="790" spans="60:72">
      <c r="BH790" s="185"/>
      <c r="BI790" s="185"/>
      <c r="BJ790" s="185"/>
      <c r="BK790" s="185"/>
      <c r="BL790" s="185"/>
      <c r="BM790" s="185"/>
      <c r="BN790" s="185"/>
      <c r="BO790" s="185"/>
      <c r="BP790" s="185"/>
      <c r="BQ790" s="185"/>
      <c r="BR790" s="185"/>
      <c r="BS790" s="185"/>
      <c r="BT790" s="185"/>
    </row>
    <row r="791" spans="60:72">
      <c r="BH791" s="185"/>
      <c r="BI791" s="185"/>
      <c r="BJ791" s="185"/>
      <c r="BK791" s="185"/>
      <c r="BL791" s="185"/>
      <c r="BM791" s="185"/>
      <c r="BN791" s="185"/>
      <c r="BO791" s="185"/>
      <c r="BP791" s="185"/>
      <c r="BQ791" s="185"/>
      <c r="BR791" s="185"/>
      <c r="BS791" s="185"/>
      <c r="BT791" s="185"/>
    </row>
    <row r="792" spans="60:72">
      <c r="BH792" s="185"/>
      <c r="BI792" s="185"/>
      <c r="BJ792" s="185"/>
      <c r="BK792" s="185"/>
      <c r="BL792" s="185"/>
      <c r="BM792" s="185"/>
      <c r="BN792" s="185"/>
      <c r="BO792" s="185"/>
      <c r="BP792" s="185"/>
      <c r="BQ792" s="185"/>
      <c r="BR792" s="185"/>
      <c r="BS792" s="185"/>
      <c r="BT792" s="185"/>
    </row>
    <row r="793" spans="60:72">
      <c r="BH793" s="185"/>
      <c r="BI793" s="185"/>
      <c r="BJ793" s="185"/>
      <c r="BK793" s="185"/>
      <c r="BL793" s="185"/>
      <c r="BM793" s="185"/>
      <c r="BN793" s="185"/>
      <c r="BO793" s="185"/>
      <c r="BP793" s="185"/>
      <c r="BQ793" s="185"/>
      <c r="BR793" s="185"/>
      <c r="BS793" s="185"/>
      <c r="BT793" s="185"/>
    </row>
    <row r="794" spans="60:72">
      <c r="BH794" s="185"/>
      <c r="BI794" s="185"/>
      <c r="BJ794" s="185"/>
      <c r="BK794" s="185"/>
      <c r="BL794" s="185"/>
      <c r="BM794" s="185"/>
      <c r="BN794" s="185"/>
      <c r="BO794" s="185"/>
      <c r="BP794" s="185"/>
      <c r="BQ794" s="185"/>
      <c r="BR794" s="185"/>
      <c r="BS794" s="185"/>
      <c r="BT794" s="185"/>
    </row>
    <row r="795" spans="60:72">
      <c r="BH795" s="185"/>
      <c r="BI795" s="185"/>
      <c r="BJ795" s="185"/>
      <c r="BK795" s="185"/>
      <c r="BL795" s="185"/>
      <c r="BM795" s="185"/>
      <c r="BN795" s="185"/>
      <c r="BO795" s="185"/>
      <c r="BP795" s="185"/>
      <c r="BQ795" s="185"/>
      <c r="BR795" s="185"/>
      <c r="BS795" s="185"/>
      <c r="BT795" s="185"/>
    </row>
    <row r="796" spans="60:72">
      <c r="BH796" s="185"/>
      <c r="BI796" s="185"/>
      <c r="BJ796" s="185"/>
      <c r="BK796" s="185"/>
      <c r="BL796" s="185"/>
      <c r="BM796" s="185"/>
      <c r="BN796" s="185"/>
      <c r="BO796" s="185"/>
      <c r="BP796" s="185"/>
      <c r="BQ796" s="185"/>
      <c r="BR796" s="185"/>
      <c r="BS796" s="185"/>
      <c r="BT796" s="185"/>
    </row>
    <row r="797" spans="60:72">
      <c r="BH797" s="185"/>
      <c r="BI797" s="185"/>
      <c r="BJ797" s="185"/>
      <c r="BK797" s="185"/>
      <c r="BL797" s="185"/>
      <c r="BM797" s="185"/>
      <c r="BN797" s="185"/>
      <c r="BO797" s="185"/>
      <c r="BP797" s="185"/>
      <c r="BQ797" s="185"/>
      <c r="BR797" s="185"/>
      <c r="BS797" s="185"/>
      <c r="BT797" s="185"/>
    </row>
    <row r="798" spans="60:72">
      <c r="BH798" s="185"/>
      <c r="BI798" s="185"/>
      <c r="BJ798" s="185"/>
      <c r="BK798" s="185"/>
      <c r="BL798" s="185"/>
      <c r="BM798" s="185"/>
      <c r="BN798" s="185"/>
      <c r="BO798" s="185"/>
      <c r="BP798" s="185"/>
      <c r="BQ798" s="185"/>
      <c r="BR798" s="185"/>
      <c r="BS798" s="185"/>
      <c r="BT798" s="185"/>
    </row>
    <row r="799" spans="60:72">
      <c r="BH799" s="185"/>
      <c r="BI799" s="185"/>
      <c r="BJ799" s="185"/>
      <c r="BK799" s="185"/>
      <c r="BL799" s="185"/>
      <c r="BM799" s="185"/>
      <c r="BN799" s="185"/>
      <c r="BO799" s="185"/>
      <c r="BP799" s="185"/>
      <c r="BQ799" s="185"/>
      <c r="BR799" s="185"/>
      <c r="BS799" s="185"/>
      <c r="BT799" s="185"/>
    </row>
    <row r="800" spans="60:72">
      <c r="BH800" s="185"/>
      <c r="BI800" s="185"/>
      <c r="BJ800" s="185"/>
      <c r="BK800" s="185"/>
      <c r="BL800" s="185"/>
      <c r="BM800" s="185"/>
      <c r="BN800" s="185"/>
      <c r="BO800" s="185"/>
      <c r="BP800" s="185"/>
      <c r="BQ800" s="185"/>
      <c r="BR800" s="185"/>
      <c r="BS800" s="185"/>
      <c r="BT800" s="185"/>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s>
  <legacyDrawing r:id="rId2"/>
</worksheet>
</file>

<file path=xl/worksheets/sheet5.xml><?xml version="1.0" encoding="utf-8"?>
<worksheet xmlns="http://schemas.openxmlformats.org/spreadsheetml/2006/main" xmlns:r="http://schemas.openxmlformats.org/officeDocument/2006/relationships">
  <sheetPr codeName="Sheet3"/>
  <dimension ref="A1:IV1163"/>
  <sheetViews>
    <sheetView workbookViewId="0">
      <selection activeCell="A688" sqref="A688:IV688"/>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50"/>
      <c r="BE1" s="50"/>
      <c r="BF1" s="50"/>
      <c r="BG1" s="50"/>
      <c r="BH1" s="50"/>
      <c r="BI1" s="50"/>
      <c r="BJ1" s="50"/>
      <c r="BK1" s="11"/>
      <c r="BL1" s="11"/>
    </row>
    <row r="2" spans="1:256" ht="15.75">
      <c r="A2" s="9"/>
      <c r="B2" s="9"/>
      <c r="C2" s="55" t="s">
        <v>112</v>
      </c>
      <c r="D2" s="9"/>
      <c r="E2" s="9"/>
      <c r="F2" s="9"/>
      <c r="G2" s="9"/>
      <c r="H2" s="9"/>
      <c r="I2" s="9"/>
      <c r="J2" s="9"/>
      <c r="K2" s="9"/>
      <c r="L2" s="9"/>
      <c r="M2" s="9"/>
      <c r="N2" s="9"/>
      <c r="O2" s="9"/>
      <c r="P2" s="9"/>
      <c r="Q2" s="9"/>
      <c r="R2" s="9"/>
      <c r="S2" s="11"/>
      <c r="T2" s="11"/>
      <c r="U2" s="11"/>
      <c r="V2" s="11"/>
      <c r="W2" s="11"/>
      <c r="X2" s="11"/>
      <c r="Y2" s="11"/>
      <c r="Z2" s="11"/>
      <c r="AA2" s="11"/>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11"/>
      <c r="BE2" s="11"/>
      <c r="BF2" s="11"/>
      <c r="BG2" s="11"/>
      <c r="BH2" s="11"/>
      <c r="BI2" s="11"/>
      <c r="BJ2" s="11"/>
      <c r="BK2" s="11"/>
      <c r="BL2" s="11"/>
    </row>
    <row r="3" spans="1:256" s="1" customFormat="1">
      <c r="A3" s="56"/>
      <c r="B3" s="56"/>
      <c r="C3" s="57"/>
      <c r="D3" s="56"/>
      <c r="E3" s="56"/>
      <c r="F3" s="56"/>
      <c r="G3" s="312">
        <v>0</v>
      </c>
      <c r="H3" s="312">
        <f t="shared" ref="H3:R3" si="0">G3+1</f>
        <v>1</v>
      </c>
      <c r="I3" s="312">
        <f t="shared" si="0"/>
        <v>2</v>
      </c>
      <c r="J3" s="312">
        <f t="shared" si="0"/>
        <v>3</v>
      </c>
      <c r="K3" s="312">
        <f t="shared" si="0"/>
        <v>4</v>
      </c>
      <c r="L3" s="312">
        <f t="shared" si="0"/>
        <v>5</v>
      </c>
      <c r="M3" s="312">
        <f t="shared" si="0"/>
        <v>6</v>
      </c>
      <c r="N3" s="236">
        <f t="shared" si="0"/>
        <v>7</v>
      </c>
      <c r="O3" s="236">
        <f t="shared" si="0"/>
        <v>8</v>
      </c>
      <c r="P3" s="236">
        <f t="shared" si="0"/>
        <v>9</v>
      </c>
      <c r="Q3" s="236">
        <f t="shared" si="0"/>
        <v>10</v>
      </c>
      <c r="R3" s="236">
        <f t="shared" si="0"/>
        <v>11</v>
      </c>
      <c r="S3" s="50"/>
      <c r="T3" s="50"/>
      <c r="U3" s="50"/>
      <c r="V3" s="50"/>
      <c r="W3" s="50"/>
      <c r="X3" s="50"/>
      <c r="Y3" s="50"/>
      <c r="Z3" s="50"/>
      <c r="AA3" s="50"/>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t="str">
        <f>CONCATENATE(LEFT(Q4, 4)+1 &amp;"-" &amp;IF(Q4&gt;"2007-08",,"0") &amp;RIGHT(Q4,2)+1)</f>
        <v>2019-20</v>
      </c>
      <c r="S4" s="144"/>
      <c r="T4" s="16"/>
      <c r="U4" s="16"/>
      <c r="V4" s="16"/>
      <c r="W4" s="16"/>
      <c r="X4" s="16"/>
      <c r="Y4" s="16"/>
      <c r="Z4" s="16"/>
      <c r="AA4" s="16"/>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53"/>
      <c r="G6" s="196">
        <f>Input!G177</f>
        <v>2.4660912453760897E-2</v>
      </c>
      <c r="H6" s="20">
        <f>Input!H177</f>
        <v>2.8880866425992746E-2</v>
      </c>
      <c r="I6" s="20">
        <f>Input!I177</f>
        <v>3.3333333333333215E-2</v>
      </c>
      <c r="J6" s="20">
        <f>Input!J177</f>
        <v>1.6276703967446737E-2</v>
      </c>
      <c r="K6" s="20">
        <f>Input!K177</f>
        <v>2.5025025025025016E-2</v>
      </c>
      <c r="L6" s="20">
        <f>Input!L177</f>
        <v>2.5025025025025016E-2</v>
      </c>
      <c r="M6" s="20">
        <f>Input!M177</f>
        <v>0</v>
      </c>
      <c r="N6" s="20">
        <f>Input!N177</f>
        <v>0</v>
      </c>
      <c r="O6" s="20">
        <f>Input!O177</f>
        <v>0</v>
      </c>
      <c r="P6" s="20">
        <f>Input!P177</f>
        <v>0</v>
      </c>
      <c r="Q6" s="20">
        <f>Input!Q177</f>
        <v>0</v>
      </c>
      <c r="R6" s="20"/>
      <c r="S6" s="84"/>
      <c r="T6" s="84"/>
      <c r="U6" s="84"/>
      <c r="V6" s="84"/>
      <c r="W6" s="84"/>
      <c r="X6" s="84"/>
      <c r="Y6" s="84"/>
      <c r="Z6" s="84"/>
      <c r="AA6" s="84"/>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84"/>
      <c r="BE6" s="84"/>
      <c r="BF6" s="84"/>
      <c r="BG6" s="84"/>
      <c r="BH6" s="84"/>
      <c r="BI6" s="84"/>
      <c r="BJ6" s="84"/>
      <c r="BK6" s="11"/>
      <c r="BL6" s="11"/>
    </row>
    <row r="7" spans="1:256">
      <c r="A7" s="9"/>
      <c r="B7" s="9"/>
      <c r="C7" s="9" t="s">
        <v>75</v>
      </c>
      <c r="D7" s="9"/>
      <c r="E7" s="9"/>
      <c r="F7" s="9"/>
      <c r="G7" s="197">
        <f>Input!G178</f>
        <v>1</v>
      </c>
      <c r="H7" s="237">
        <f>Input!H178</f>
        <v>1.0246609124537609</v>
      </c>
      <c r="I7" s="238">
        <f>Input!I178</f>
        <v>1.0542540073982738</v>
      </c>
      <c r="J7" s="238">
        <f>Input!J178</f>
        <v>1.0893958076448829</v>
      </c>
      <c r="K7" s="238">
        <f>Input!K178</f>
        <v>1.1071275807092962</v>
      </c>
      <c r="L7" s="238">
        <f>Input!L178</f>
        <v>1.1348334761224417</v>
      </c>
      <c r="M7" s="238">
        <f>Input!M178</f>
        <v>1.1632327122616419</v>
      </c>
      <c r="N7" s="238">
        <f>Input!N178</f>
        <v>1.1632327122616419</v>
      </c>
      <c r="O7" s="238">
        <f>Input!O178</f>
        <v>1.1632327122616419</v>
      </c>
      <c r="P7" s="238">
        <f>Input!P178</f>
        <v>1.1632327122616419</v>
      </c>
      <c r="Q7" s="238">
        <f>Input!Q178</f>
        <v>1.1632327122616419</v>
      </c>
      <c r="R7" s="21"/>
      <c r="S7" s="98"/>
      <c r="T7" s="98"/>
      <c r="U7" s="98"/>
      <c r="V7" s="98"/>
      <c r="W7" s="98"/>
      <c r="X7" s="98"/>
      <c r="Y7" s="98"/>
      <c r="Z7" s="98"/>
      <c r="AA7" s="9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98"/>
      <c r="BE7" s="98"/>
      <c r="BF7" s="98"/>
      <c r="BG7" s="98"/>
      <c r="BH7" s="98"/>
      <c r="BI7" s="98"/>
      <c r="BJ7" s="98"/>
      <c r="BK7" s="11"/>
      <c r="BL7" s="11"/>
    </row>
    <row r="8" spans="1:256">
      <c r="A8" s="9"/>
      <c r="B8" s="9"/>
      <c r="C8" s="9"/>
      <c r="D8" s="9"/>
      <c r="E8" s="9"/>
      <c r="F8" s="9"/>
      <c r="G8" s="97"/>
      <c r="H8" s="97"/>
      <c r="I8" s="97"/>
      <c r="J8" s="97"/>
      <c r="K8" s="97"/>
      <c r="L8" s="97"/>
      <c r="M8" s="97"/>
      <c r="N8" s="21"/>
      <c r="O8" s="21"/>
      <c r="P8" s="21"/>
      <c r="Q8" s="21"/>
      <c r="R8" s="21"/>
      <c r="S8" s="98"/>
      <c r="T8" s="98"/>
      <c r="U8" s="98"/>
      <c r="V8" s="98"/>
      <c r="W8" s="98"/>
      <c r="X8" s="98"/>
      <c r="Y8" s="98"/>
      <c r="Z8" s="98"/>
      <c r="AA8" s="9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98"/>
      <c r="BE8" s="98"/>
      <c r="BF8" s="98"/>
      <c r="BG8" s="98"/>
      <c r="BH8" s="98"/>
      <c r="BI8" s="98"/>
      <c r="BJ8" s="98"/>
      <c r="BK8" s="11"/>
      <c r="BL8" s="11"/>
    </row>
    <row r="9" spans="1:256">
      <c r="A9" s="79"/>
      <c r="B9" s="79"/>
      <c r="C9" s="79" t="s">
        <v>30</v>
      </c>
      <c r="D9" s="107"/>
      <c r="E9" s="107"/>
      <c r="F9" s="107"/>
      <c r="G9" s="107"/>
      <c r="H9" s="107"/>
      <c r="I9" s="72"/>
      <c r="J9" s="72"/>
      <c r="K9" s="72"/>
      <c r="L9" s="72"/>
      <c r="M9" s="72"/>
      <c r="N9" s="72"/>
      <c r="O9" s="72"/>
      <c r="P9" s="72"/>
      <c r="Q9" s="72"/>
      <c r="R9" s="72"/>
      <c r="S9" s="72"/>
      <c r="T9" s="98"/>
      <c r="U9" s="98"/>
      <c r="V9" s="98"/>
      <c r="W9" s="98"/>
      <c r="X9" s="98"/>
      <c r="Y9" s="98"/>
      <c r="Z9" s="98"/>
      <c r="AA9" s="9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98"/>
      <c r="BE9" s="98"/>
      <c r="BF9" s="98"/>
      <c r="BG9" s="98"/>
      <c r="BH9" s="98"/>
      <c r="BI9" s="98"/>
      <c r="BJ9" s="98"/>
      <c r="BK9" s="11"/>
      <c r="BL9" s="11"/>
    </row>
    <row r="10" spans="1:256">
      <c r="A10" s="9"/>
      <c r="B10" s="16"/>
      <c r="C10" s="16"/>
      <c r="D10" s="323">
        <v>1</v>
      </c>
      <c r="E10" s="323">
        <v>2</v>
      </c>
      <c r="F10" s="323">
        <v>3</v>
      </c>
      <c r="G10" s="323">
        <v>4</v>
      </c>
      <c r="H10" s="323">
        <v>5</v>
      </c>
      <c r="I10" s="323">
        <v>6</v>
      </c>
      <c r="J10" s="323">
        <v>7</v>
      </c>
      <c r="K10" s="323">
        <v>8</v>
      </c>
      <c r="L10" s="323">
        <v>9</v>
      </c>
      <c r="M10" s="11"/>
      <c r="N10" s="11"/>
      <c r="O10" s="11"/>
      <c r="P10" s="11"/>
      <c r="Q10" s="11"/>
      <c r="R10" s="11"/>
      <c r="S10" s="98"/>
      <c r="T10" s="98"/>
      <c r="U10" s="98"/>
      <c r="V10" s="98"/>
      <c r="W10" s="98"/>
      <c r="X10" s="98"/>
      <c r="Y10" s="98"/>
      <c r="Z10" s="98"/>
      <c r="AA10" s="9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98"/>
      <c r="BE10" s="98"/>
      <c r="BF10" s="98"/>
      <c r="BG10" s="98"/>
      <c r="BH10" s="98"/>
      <c r="BI10" s="98"/>
      <c r="BJ10" s="98"/>
      <c r="BK10" s="11"/>
      <c r="BL10" s="11"/>
    </row>
    <row r="11" spans="1:256">
      <c r="A11" s="9"/>
      <c r="B11" s="9"/>
      <c r="C11" s="44" t="s">
        <v>34</v>
      </c>
      <c r="D11" s="9"/>
      <c r="E11" s="9"/>
      <c r="F11" s="9"/>
      <c r="G11" s="36"/>
      <c r="H11" s="36">
        <f t="shared" ref="H11:P11" si="1">SUM(H12:H41)</f>
        <v>229.79155400232372</v>
      </c>
      <c r="I11" s="36">
        <f t="shared" si="1"/>
        <v>261.92952794386855</v>
      </c>
      <c r="J11" s="36">
        <f t="shared" si="1"/>
        <v>312.39185777028575</v>
      </c>
      <c r="K11" s="36">
        <f t="shared" si="1"/>
        <v>191.43795531845504</v>
      </c>
      <c r="L11" s="36">
        <f t="shared" si="1"/>
        <v>132.14121086680279</v>
      </c>
      <c r="M11" s="36">
        <f t="shared" si="1"/>
        <v>0</v>
      </c>
      <c r="N11" s="36">
        <f t="shared" si="1"/>
        <v>0</v>
      </c>
      <c r="O11" s="36">
        <f t="shared" si="1"/>
        <v>0</v>
      </c>
      <c r="P11" s="36">
        <f t="shared" si="1"/>
        <v>0</v>
      </c>
      <c r="Q11" s="36">
        <f>SUM(Q12:Q41)</f>
        <v>0</v>
      </c>
      <c r="R11" s="28"/>
      <c r="S11" s="99"/>
      <c r="T11" s="99"/>
      <c r="U11" s="99"/>
      <c r="V11" s="99"/>
      <c r="W11" s="99"/>
      <c r="X11" s="99"/>
      <c r="Y11" s="99"/>
      <c r="Z11" s="99"/>
      <c r="AA11" s="99"/>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99"/>
      <c r="BE11" s="99"/>
      <c r="BF11" s="99"/>
      <c r="BG11" s="99"/>
      <c r="BH11" s="99"/>
      <c r="BI11" s="99"/>
      <c r="BJ11" s="99"/>
      <c r="BK11" s="11"/>
      <c r="BL11" s="11"/>
    </row>
    <row r="12" spans="1:256" outlineLevel="1">
      <c r="A12" s="9"/>
      <c r="B12" s="9"/>
      <c r="C12" s="44"/>
      <c r="D12" s="128" t="str">
        <f>Asset1</f>
        <v>Transmission &amp; Zone land &amp; easements</v>
      </c>
      <c r="E12" s="9"/>
      <c r="F12" s="9"/>
      <c r="G12" s="122"/>
      <c r="H12" s="109">
        <f>Input!H143*(1+vanilla1)^0.5</f>
        <v>0</v>
      </c>
      <c r="I12" s="109">
        <f>Input!I143*(1+vanilla2)^0.5</f>
        <v>13.831481037309253</v>
      </c>
      <c r="J12" s="109">
        <f>Input!J143*(1+vanilla3)^0.5</f>
        <v>2.6505982643506401</v>
      </c>
      <c r="K12" s="109">
        <f>Input!K143*(1+vanilla4)^0.5</f>
        <v>1.7185687665266773</v>
      </c>
      <c r="L12" s="109">
        <f>Input!L143*(1+vanilla5)^0.5</f>
        <v>1.3005045786374019</v>
      </c>
      <c r="M12" s="109">
        <f>Input!M143*(1+vanilla6)^0.5</f>
        <v>0</v>
      </c>
      <c r="N12" s="109">
        <f>Input!N143*(1+vanilla7)^0.5</f>
        <v>0</v>
      </c>
      <c r="O12" s="109">
        <f>Input!O143*(1+vanilla8)^0.5</f>
        <v>0</v>
      </c>
      <c r="P12" s="109">
        <f>Input!P143*(1+vanilla9)^0.5</f>
        <v>0</v>
      </c>
      <c r="Q12" s="109">
        <f>Input!Q143*(1+vanilla10)^0.5</f>
        <v>0</v>
      </c>
      <c r="R12" s="28"/>
      <c r="S12" s="99"/>
      <c r="T12" s="99"/>
      <c r="U12" s="99"/>
      <c r="V12" s="256"/>
      <c r="W12" s="99"/>
      <c r="X12" s="99"/>
      <c r="Y12" s="99"/>
      <c r="Z12" s="99"/>
      <c r="AA12" s="99"/>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99"/>
      <c r="BE12" s="99"/>
      <c r="BF12" s="99"/>
      <c r="BG12" s="99"/>
      <c r="BH12" s="99"/>
      <c r="BI12" s="99"/>
      <c r="BJ12" s="99"/>
      <c r="BK12" s="11"/>
      <c r="BL12" s="11"/>
    </row>
    <row r="13" spans="1:256" outlineLevel="1">
      <c r="A13" s="9"/>
      <c r="B13" s="9"/>
      <c r="C13" s="44"/>
      <c r="D13" s="128" t="str">
        <f>Asset2</f>
        <v>Transmission buildings 132/66kV</v>
      </c>
      <c r="E13" s="9"/>
      <c r="F13" s="9"/>
      <c r="G13" s="122"/>
      <c r="H13" s="109">
        <f>Input!H144*(1+vanilla1)^0.5</f>
        <v>18.998115956507664</v>
      </c>
      <c r="I13" s="109">
        <f>Input!I144*(1+vanilla2)^0.5</f>
        <v>4.5086593622943454</v>
      </c>
      <c r="J13" s="109">
        <f>Input!J144*(1+vanilla3)^0.5</f>
        <v>2.9168460337264963</v>
      </c>
      <c r="K13" s="109">
        <f>Input!K144*(1+vanilla4)^0.5</f>
        <v>5.9103134749684099</v>
      </c>
      <c r="L13" s="109">
        <f>Input!L144*(1+vanilla5)^0.5</f>
        <v>4.4326090185811555</v>
      </c>
      <c r="M13" s="109">
        <f>Input!M144*(1+vanilla6)^0.5</f>
        <v>0</v>
      </c>
      <c r="N13" s="109">
        <f>Input!N144*(1+vanilla7)^0.5</f>
        <v>0</v>
      </c>
      <c r="O13" s="109">
        <f>Input!O144*(1+vanilla8)^0.5</f>
        <v>0</v>
      </c>
      <c r="P13" s="109">
        <f>Input!P144*(1+vanilla9)^0.5</f>
        <v>0</v>
      </c>
      <c r="Q13" s="109">
        <f>Input!Q144*(1+vanilla10)^0.5</f>
        <v>0</v>
      </c>
      <c r="R13" s="28"/>
      <c r="S13" s="99"/>
      <c r="T13" s="99"/>
      <c r="U13" s="99"/>
      <c r="V13" s="98"/>
      <c r="W13" s="99"/>
      <c r="X13" s="99"/>
      <c r="Y13" s="99"/>
      <c r="Z13" s="99"/>
      <c r="AA13" s="99"/>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99"/>
      <c r="BE13" s="99"/>
      <c r="BF13" s="99"/>
      <c r="BG13" s="99"/>
      <c r="BH13" s="99"/>
      <c r="BI13" s="99"/>
      <c r="BJ13" s="99"/>
      <c r="BK13" s="11"/>
      <c r="BL13" s="11"/>
    </row>
    <row r="14" spans="1:256" outlineLevel="1">
      <c r="A14" s="9"/>
      <c r="B14" s="9"/>
      <c r="C14" s="44"/>
      <c r="D14" s="128" t="str">
        <f>Asset3</f>
        <v>Zone buildings 132/66kV</v>
      </c>
      <c r="E14" s="9"/>
      <c r="F14" s="9"/>
      <c r="G14" s="122"/>
      <c r="H14" s="109">
        <f>Input!H145*(1+vanilla1)^0.5</f>
        <v>0.40896060968036957</v>
      </c>
      <c r="I14" s="109">
        <f>Input!I145*(1+vanilla2)^0.5</f>
        <v>6.4900834034699919</v>
      </c>
      <c r="J14" s="109">
        <f>Input!J145*(1+vanilla3)^0.5</f>
        <v>4.5838020847490988</v>
      </c>
      <c r="K14" s="109">
        <f>Input!K145*(1+vanilla4)^0.5</f>
        <v>31.296552837708514</v>
      </c>
      <c r="L14" s="109">
        <f>Input!L145*(1+vanilla5)^0.5</f>
        <v>23.972680678652736</v>
      </c>
      <c r="M14" s="109">
        <f>Input!M145*(1+vanilla6)^0.5</f>
        <v>0</v>
      </c>
      <c r="N14" s="109">
        <f>Input!N145*(1+vanilla7)^0.5</f>
        <v>0</v>
      </c>
      <c r="O14" s="109">
        <f>Input!O145*(1+vanilla8)^0.5</f>
        <v>0</v>
      </c>
      <c r="P14" s="109">
        <f>Input!P145*(1+vanilla9)^0.5</f>
        <v>0</v>
      </c>
      <c r="Q14" s="109">
        <f>Input!Q145*(1+vanilla10)^0.5</f>
        <v>0</v>
      </c>
      <c r="R14" s="28"/>
      <c r="S14" s="99"/>
      <c r="T14" s="99"/>
      <c r="U14" s="99"/>
      <c r="V14" s="99"/>
      <c r="W14" s="99"/>
      <c r="X14" s="99"/>
      <c r="Y14" s="99"/>
      <c r="Z14" s="99"/>
      <c r="AA14" s="99"/>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99"/>
      <c r="BE14" s="99"/>
      <c r="BF14" s="99"/>
      <c r="BG14" s="99"/>
      <c r="BH14" s="99"/>
      <c r="BI14" s="99"/>
      <c r="BJ14" s="99"/>
      <c r="BK14" s="11"/>
      <c r="BL14" s="11"/>
    </row>
    <row r="15" spans="1:256" outlineLevel="1">
      <c r="A15" s="9"/>
      <c r="B15" s="9"/>
      <c r="C15" s="44"/>
      <c r="D15" s="128" t="str">
        <f>Asset4</f>
        <v>Transmission transformers 132/66kV</v>
      </c>
      <c r="E15" s="9"/>
      <c r="F15" s="9"/>
      <c r="G15" s="122"/>
      <c r="H15" s="109">
        <f>Input!H146*(1+vanilla1)^0.5</f>
        <v>3.2937849210458712</v>
      </c>
      <c r="I15" s="109">
        <f>Input!I146*(1+vanilla2)^0.5</f>
        <v>1.1507337389188397</v>
      </c>
      <c r="J15" s="109">
        <f>Input!J146*(1+vanilla3)^0.5</f>
        <v>2.4718048290718304</v>
      </c>
      <c r="K15" s="109">
        <f>Input!K146*(1+vanilla4)^0.5</f>
        <v>5.5754435349474134</v>
      </c>
      <c r="L15" s="109">
        <f>Input!L146*(1+vanilla5)^0.5</f>
        <v>4.5650464292784481</v>
      </c>
      <c r="M15" s="109">
        <f>Input!M146*(1+vanilla6)^0.5</f>
        <v>0</v>
      </c>
      <c r="N15" s="109">
        <f>Input!N146*(1+vanilla7)^0.5</f>
        <v>0</v>
      </c>
      <c r="O15" s="109">
        <f>Input!O146*(1+vanilla8)^0.5</f>
        <v>0</v>
      </c>
      <c r="P15" s="109">
        <f>Input!P146*(1+vanilla9)^0.5</f>
        <v>0</v>
      </c>
      <c r="Q15" s="109">
        <f>Input!Q146*(1+vanilla10)^0.5</f>
        <v>0</v>
      </c>
      <c r="R15" s="28"/>
      <c r="S15" s="99"/>
      <c r="T15" s="99"/>
      <c r="U15" s="99"/>
      <c r="V15" s="99"/>
      <c r="W15" s="99"/>
      <c r="X15" s="99"/>
      <c r="Y15" s="99"/>
      <c r="Z15" s="99"/>
      <c r="AA15" s="99"/>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99"/>
      <c r="BE15" s="99"/>
      <c r="BF15" s="99"/>
      <c r="BG15" s="99"/>
      <c r="BH15" s="99"/>
      <c r="BI15" s="99"/>
      <c r="BJ15" s="99"/>
      <c r="BK15" s="11"/>
      <c r="BL15" s="11"/>
    </row>
    <row r="16" spans="1:256" outlineLevel="1">
      <c r="A16" s="9"/>
      <c r="B16" s="9"/>
      <c r="C16" s="44"/>
      <c r="D16" s="128" t="str">
        <f>Asset5</f>
        <v>Zone transformers 132/66kV</v>
      </c>
      <c r="E16" s="9"/>
      <c r="F16" s="9"/>
      <c r="G16" s="122"/>
      <c r="H16" s="109">
        <f>Input!H147*(1+vanilla1)^0.5</f>
        <v>3.0648115102298088</v>
      </c>
      <c r="I16" s="109">
        <f>Input!I147*(1+vanilla2)^0.5</f>
        <v>2.9012880737024558</v>
      </c>
      <c r="J16" s="109">
        <f>Input!J147*(1+vanilla3)^0.5</f>
        <v>2.8682491016815193</v>
      </c>
      <c r="K16" s="109">
        <f>Input!K147*(1+vanilla4)^0.5</f>
        <v>0</v>
      </c>
      <c r="L16" s="109">
        <f>Input!L147*(1+vanilla5)^0.5</f>
        <v>0</v>
      </c>
      <c r="M16" s="109">
        <f>Input!M147*(1+vanilla6)^0.5</f>
        <v>0</v>
      </c>
      <c r="N16" s="109">
        <f>Input!N147*(1+vanilla7)^0.5</f>
        <v>0</v>
      </c>
      <c r="O16" s="109">
        <f>Input!O147*(1+vanilla8)^0.5</f>
        <v>0</v>
      </c>
      <c r="P16" s="109">
        <f>Input!P147*(1+vanilla9)^0.5</f>
        <v>0</v>
      </c>
      <c r="Q16" s="109">
        <f>Input!Q147*(1+vanilla10)^0.5</f>
        <v>0</v>
      </c>
      <c r="R16" s="28"/>
      <c r="S16" s="99"/>
      <c r="T16" s="99"/>
      <c r="U16" s="99"/>
      <c r="V16" s="99"/>
      <c r="W16" s="99"/>
      <c r="X16" s="99"/>
      <c r="Y16" s="99"/>
      <c r="Z16" s="99"/>
      <c r="AA16" s="99"/>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99"/>
      <c r="BE16" s="99"/>
      <c r="BF16" s="99"/>
      <c r="BG16" s="99"/>
      <c r="BH16" s="99"/>
      <c r="BI16" s="99"/>
      <c r="BJ16" s="99"/>
      <c r="BK16" s="11"/>
      <c r="BL16" s="11"/>
    </row>
    <row r="17" spans="1:64" outlineLevel="1">
      <c r="A17" s="9"/>
      <c r="B17" s="9"/>
      <c r="C17" s="44"/>
      <c r="D17" s="128" t="str">
        <f>Asset6</f>
        <v>Transmission substation equip 132/66kV</v>
      </c>
      <c r="E17" s="9"/>
      <c r="F17" s="9"/>
      <c r="G17" s="122"/>
      <c r="H17" s="109">
        <f>Input!H148*(1+vanilla1)^0.5</f>
        <v>25.494900478508281</v>
      </c>
      <c r="I17" s="109">
        <f>Input!I148*(1+vanilla2)^0.5</f>
        <v>19.905400869109492</v>
      </c>
      <c r="J17" s="109">
        <f>Input!J148*(1+vanilla3)^0.5</f>
        <v>26.034277773135276</v>
      </c>
      <c r="K17" s="109">
        <f>Input!K148*(1+vanilla4)^0.5</f>
        <v>17.388988656989465</v>
      </c>
      <c r="L17" s="109">
        <f>Input!L148*(1+vanilla5)^0.5</f>
        <v>13.041370524833097</v>
      </c>
      <c r="M17" s="109">
        <f>Input!M148*(1+vanilla6)^0.5</f>
        <v>0</v>
      </c>
      <c r="N17" s="109">
        <f>Input!N148*(1+vanilla7)^0.5</f>
        <v>0</v>
      </c>
      <c r="O17" s="109">
        <f>Input!O148*(1+vanilla8)^0.5</f>
        <v>0</v>
      </c>
      <c r="P17" s="109">
        <f>Input!P148*(1+vanilla9)^0.5</f>
        <v>0</v>
      </c>
      <c r="Q17" s="109">
        <f>Input!Q148*(1+vanilla10)^0.5</f>
        <v>0</v>
      </c>
      <c r="R17" s="28"/>
      <c r="S17" s="99"/>
      <c r="T17" s="99"/>
      <c r="U17" s="99"/>
      <c r="V17" s="99"/>
      <c r="W17" s="99"/>
      <c r="X17" s="99"/>
      <c r="Y17" s="99"/>
      <c r="Z17" s="99"/>
      <c r="AA17" s="99"/>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99"/>
      <c r="BE17" s="99"/>
      <c r="BF17" s="99"/>
      <c r="BG17" s="99"/>
      <c r="BH17" s="99"/>
      <c r="BI17" s="99"/>
      <c r="BJ17" s="99"/>
      <c r="BK17" s="11"/>
      <c r="BL17" s="11"/>
    </row>
    <row r="18" spans="1:64" outlineLevel="1">
      <c r="A18" s="9"/>
      <c r="B18" s="9"/>
      <c r="C18" s="44"/>
      <c r="D18" s="128" t="str">
        <f>Asset7</f>
        <v>Zone substation equip 132/66kV</v>
      </c>
      <c r="E18" s="9"/>
      <c r="F18" s="9"/>
      <c r="G18" s="122"/>
      <c r="H18" s="109">
        <f>Input!H149*(1+vanilla1)^0.5</f>
        <v>36.342952817346742</v>
      </c>
      <c r="I18" s="109">
        <f>Input!I149*(1+vanilla2)^0.5</f>
        <v>84.422634329779697</v>
      </c>
      <c r="J18" s="109">
        <f>Input!J149*(1+vanilla3)^0.5</f>
        <v>77.781828929823007</v>
      </c>
      <c r="K18" s="109">
        <f>Input!K149*(1+vanilla4)^0.5</f>
        <v>31.369167723826148</v>
      </c>
      <c r="L18" s="109">
        <f>Input!L149*(1+vanilla5)^0.5</f>
        <v>23.526206578875218</v>
      </c>
      <c r="M18" s="109">
        <f>Input!M149*(1+vanilla6)^0.5</f>
        <v>0</v>
      </c>
      <c r="N18" s="109">
        <f>Input!N149*(1+vanilla7)^0.5</f>
        <v>0</v>
      </c>
      <c r="O18" s="109">
        <f>Input!O149*(1+vanilla8)^0.5</f>
        <v>0</v>
      </c>
      <c r="P18" s="109">
        <f>Input!P149*(1+vanilla9)^0.5</f>
        <v>0</v>
      </c>
      <c r="Q18" s="109">
        <f>Input!Q149*(1+vanilla10)^0.5</f>
        <v>0</v>
      </c>
      <c r="R18" s="28"/>
      <c r="S18" s="99"/>
      <c r="T18" s="99"/>
      <c r="U18" s="99"/>
      <c r="V18" s="99"/>
      <c r="W18" s="99"/>
      <c r="X18" s="99"/>
      <c r="Y18" s="99"/>
      <c r="Z18" s="99"/>
      <c r="AA18" s="99"/>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99"/>
      <c r="BE18" s="99"/>
      <c r="BF18" s="99"/>
      <c r="BG18" s="99"/>
      <c r="BH18" s="99"/>
      <c r="BI18" s="99"/>
      <c r="BJ18" s="99"/>
      <c r="BK18" s="11"/>
      <c r="BL18" s="11"/>
    </row>
    <row r="19" spans="1:64" ht="12.75" customHeight="1" outlineLevel="1">
      <c r="A19" s="9"/>
      <c r="B19" s="9"/>
      <c r="C19" s="44"/>
      <c r="D19" s="128" t="str">
        <f>Asset8</f>
        <v>Transmission &amp; Zone emergency spares</v>
      </c>
      <c r="E19" s="9"/>
      <c r="F19" s="9"/>
      <c r="G19" s="122"/>
      <c r="H19" s="109">
        <f>Input!H150*(1+vanilla1)^0.5</f>
        <v>0</v>
      </c>
      <c r="I19" s="109">
        <f>Input!I150*(1+vanilla2)^0.5</f>
        <v>0</v>
      </c>
      <c r="J19" s="109">
        <f>Input!J150*(1+vanilla3)^0.5</f>
        <v>0</v>
      </c>
      <c r="K19" s="109">
        <f>Input!K150*(1+vanilla4)^0.5</f>
        <v>0</v>
      </c>
      <c r="L19" s="109">
        <f>Input!L150*(1+vanilla5)^0.5</f>
        <v>0</v>
      </c>
      <c r="M19" s="109">
        <f>Input!M150*(1+vanilla6)^0.5</f>
        <v>0</v>
      </c>
      <c r="N19" s="109">
        <f>Input!N150*(1+vanilla7)^0.5</f>
        <v>0</v>
      </c>
      <c r="O19" s="109">
        <f>Input!O150*(1+vanilla8)^0.5</f>
        <v>0</v>
      </c>
      <c r="P19" s="109">
        <f>Input!P150*(1+vanilla9)^0.5</f>
        <v>0</v>
      </c>
      <c r="Q19" s="109">
        <f>Input!Q150*(1+vanilla10)^0.5</f>
        <v>0</v>
      </c>
      <c r="R19" s="28"/>
      <c r="S19" s="99"/>
      <c r="T19" s="99"/>
      <c r="U19" s="99"/>
      <c r="V19" s="99"/>
      <c r="W19" s="99"/>
      <c r="X19" s="99"/>
      <c r="Y19" s="99"/>
      <c r="Z19" s="99"/>
      <c r="AA19" s="99"/>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99"/>
      <c r="BE19" s="99"/>
      <c r="BF19" s="99"/>
      <c r="BG19" s="99"/>
      <c r="BH19" s="99"/>
      <c r="BI19" s="99"/>
      <c r="BJ19" s="99"/>
      <c r="BK19" s="11"/>
      <c r="BL19" s="11"/>
    </row>
    <row r="20" spans="1:64" ht="12.75" customHeight="1" outlineLevel="1">
      <c r="A20" s="9"/>
      <c r="B20" s="9"/>
      <c r="C20" s="44"/>
      <c r="D20" s="128" t="str">
        <f>Asset9</f>
        <v>Ancillary substation equipment (tx)</v>
      </c>
      <c r="E20" s="9"/>
      <c r="F20" s="9"/>
      <c r="G20" s="122"/>
      <c r="H20" s="109">
        <f>Input!H151*(1+vanilla1)^0.5</f>
        <v>1.1523879582530094</v>
      </c>
      <c r="I20" s="109">
        <f>Input!I151*(1+vanilla2)^0.5</f>
        <v>3.100284083186704</v>
      </c>
      <c r="J20" s="109">
        <f>Input!J151*(1+vanilla3)^0.5</f>
        <v>6.2778413756087996</v>
      </c>
      <c r="K20" s="109">
        <f>Input!K151*(1+vanilla4)^0.5</f>
        <v>20.640664473259715</v>
      </c>
      <c r="L20" s="109">
        <f>Input!L151*(1+vanilla5)^0.5</f>
        <v>15.480058017424817</v>
      </c>
      <c r="M20" s="109">
        <f>Input!M151*(1+vanilla6)^0.5</f>
        <v>0</v>
      </c>
      <c r="N20" s="109">
        <f>Input!N151*(1+vanilla7)^0.5</f>
        <v>0</v>
      </c>
      <c r="O20" s="109">
        <f>Input!O151*(1+vanilla8)^0.5</f>
        <v>0</v>
      </c>
      <c r="P20" s="109">
        <f>Input!P151*(1+vanilla9)^0.5</f>
        <v>0</v>
      </c>
      <c r="Q20" s="109">
        <f>Input!Q151*(1+vanilla10)^0.5</f>
        <v>0</v>
      </c>
      <c r="R20" s="28"/>
      <c r="S20" s="99"/>
      <c r="T20" s="99"/>
      <c r="U20" s="99"/>
      <c r="V20" s="99"/>
      <c r="W20" s="99"/>
      <c r="X20" s="99"/>
      <c r="Y20" s="99"/>
      <c r="Z20" s="99"/>
      <c r="AA20" s="99"/>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99"/>
      <c r="BE20" s="99"/>
      <c r="BF20" s="99"/>
      <c r="BG20" s="99"/>
      <c r="BH20" s="99"/>
      <c r="BI20" s="99"/>
      <c r="BJ20" s="99"/>
      <c r="BK20" s="11"/>
      <c r="BL20" s="11"/>
    </row>
    <row r="21" spans="1:64" ht="12.75" customHeight="1" outlineLevel="1">
      <c r="A21" s="9"/>
      <c r="B21" s="9"/>
      <c r="C21" s="44"/>
      <c r="D21" s="128" t="str">
        <f>Asset10</f>
        <v>132kV tower lines</v>
      </c>
      <c r="E21" s="9"/>
      <c r="F21" s="9"/>
      <c r="G21" s="122"/>
      <c r="H21" s="109">
        <f>Input!H152*(1+vanilla1)^0.5</f>
        <v>4.262938257572622</v>
      </c>
      <c r="I21" s="109">
        <f>Input!I152*(1+vanilla2)^0.5</f>
        <v>8.6690888403928916</v>
      </c>
      <c r="J21" s="109">
        <f>Input!J152*(1+vanilla3)^0.5</f>
        <v>5.6319472682503795</v>
      </c>
      <c r="K21" s="109">
        <f>Input!K152*(1+vanilla4)^0.5</f>
        <v>-0.76766626342135491</v>
      </c>
      <c r="L21" s="109">
        <f>Input!L152*(1+vanilla5)^0.5</f>
        <v>0.35037873182477247</v>
      </c>
      <c r="M21" s="109">
        <f>Input!M152*(1+vanilla6)^0.5</f>
        <v>0</v>
      </c>
      <c r="N21" s="109">
        <f>Input!N152*(1+vanilla7)^0.5</f>
        <v>0</v>
      </c>
      <c r="O21" s="109">
        <f>Input!O152*(1+vanilla8)^0.5</f>
        <v>0</v>
      </c>
      <c r="P21" s="109">
        <f>Input!P152*(1+vanilla9)^0.5</f>
        <v>0</v>
      </c>
      <c r="Q21" s="109">
        <f>Input!Q152*(1+vanilla10)^0.5</f>
        <v>0</v>
      </c>
      <c r="R21" s="28"/>
      <c r="S21" s="99"/>
      <c r="T21" s="99"/>
      <c r="U21" s="99"/>
      <c r="V21" s="99"/>
      <c r="W21" s="99"/>
      <c r="X21" s="99"/>
      <c r="Y21" s="99"/>
      <c r="Z21" s="99"/>
      <c r="AA21" s="99"/>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99"/>
      <c r="BE21" s="99"/>
      <c r="BF21" s="99"/>
      <c r="BG21" s="99"/>
      <c r="BH21" s="99"/>
      <c r="BI21" s="99"/>
      <c r="BJ21" s="99"/>
      <c r="BK21" s="11"/>
      <c r="BL21" s="11"/>
    </row>
    <row r="22" spans="1:64" ht="12.75" customHeight="1" outlineLevel="1">
      <c r="A22" s="9"/>
      <c r="B22" s="9"/>
      <c r="C22" s="44"/>
      <c r="D22" s="128" t="str">
        <f>Asset11</f>
        <v>132kV concrete &amp; steel pole lines</v>
      </c>
      <c r="E22" s="9"/>
      <c r="F22" s="9"/>
      <c r="G22" s="122"/>
      <c r="H22" s="109">
        <f>Input!H153*(1+vanilla1)^0.5</f>
        <v>14.468635816022518</v>
      </c>
      <c r="I22" s="109">
        <f>Input!I153*(1+vanilla2)^0.5</f>
        <v>3.9045606481404707</v>
      </c>
      <c r="J22" s="109">
        <f>Input!J153*(1+vanilla3)^0.5</f>
        <v>0.75446509056588118</v>
      </c>
      <c r="K22" s="109">
        <f>Input!K153*(1+vanilla4)^0.5</f>
        <v>-1.9879717827943282</v>
      </c>
      <c r="L22" s="109">
        <f>Input!L153*(1+vanilla5)^0.5</f>
        <v>-0.22506711483691458</v>
      </c>
      <c r="M22" s="109">
        <f>Input!M153*(1+vanilla6)^0.5</f>
        <v>0</v>
      </c>
      <c r="N22" s="109">
        <f>Input!N153*(1+vanilla7)^0.5</f>
        <v>0</v>
      </c>
      <c r="O22" s="109">
        <f>Input!O153*(1+vanilla8)^0.5</f>
        <v>0</v>
      </c>
      <c r="P22" s="109">
        <f>Input!P153*(1+vanilla9)^0.5</f>
        <v>0</v>
      </c>
      <c r="Q22" s="109">
        <f>Input!Q153*(1+vanilla10)^0.5</f>
        <v>0</v>
      </c>
      <c r="R22" s="28"/>
      <c r="S22" s="99"/>
      <c r="T22" s="99"/>
      <c r="U22" s="99"/>
      <c r="V22" s="99"/>
      <c r="W22" s="99"/>
      <c r="X22" s="99"/>
      <c r="Y22" s="99"/>
      <c r="Z22" s="99"/>
      <c r="AA22" s="99"/>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99"/>
      <c r="BE22" s="99"/>
      <c r="BF22" s="99"/>
      <c r="BG22" s="99"/>
      <c r="BH22" s="99"/>
      <c r="BI22" s="99"/>
      <c r="BJ22" s="99"/>
      <c r="BK22" s="11"/>
      <c r="BL22" s="11"/>
    </row>
    <row r="23" spans="1:64" ht="12.75" customHeight="1" outlineLevel="1">
      <c r="A23" s="9"/>
      <c r="B23" s="9"/>
      <c r="C23" s="44"/>
      <c r="D23" s="128" t="str">
        <f>Asset12</f>
        <v>132kV wood pole lines</v>
      </c>
      <c r="E23" s="9"/>
      <c r="F23" s="9"/>
      <c r="G23" s="122"/>
      <c r="H23" s="109">
        <f>Input!H154*(1+vanilla1)^0.5</f>
        <v>10.301939980417659</v>
      </c>
      <c r="I23" s="109">
        <f>Input!I154*(1+vanilla2)^0.5</f>
        <v>0.42003730451586557</v>
      </c>
      <c r="J23" s="109">
        <f>Input!J154*(1+vanilla3)^0.5</f>
        <v>0.33701388338790922</v>
      </c>
      <c r="K23" s="109">
        <f>Input!K154*(1+vanilla4)^0.5</f>
        <v>0.55485011262854866</v>
      </c>
      <c r="L23" s="109">
        <f>Input!L154*(1+vanilla5)^0.5</f>
        <v>0.41612574757910287</v>
      </c>
      <c r="M23" s="109">
        <f>Input!M154*(1+vanilla6)^0.5</f>
        <v>0</v>
      </c>
      <c r="N23" s="109">
        <f>Input!N154*(1+vanilla7)^0.5</f>
        <v>0</v>
      </c>
      <c r="O23" s="109">
        <f>Input!O154*(1+vanilla8)^0.5</f>
        <v>0</v>
      </c>
      <c r="P23" s="109">
        <f>Input!P154*(1+vanilla9)^0.5</f>
        <v>0</v>
      </c>
      <c r="Q23" s="109">
        <f>Input!Q154*(1+vanilla10)^0.5</f>
        <v>0</v>
      </c>
      <c r="R23" s="28"/>
      <c r="S23" s="99"/>
      <c r="T23" s="99"/>
      <c r="U23" s="99"/>
      <c r="V23" s="99"/>
      <c r="W23" s="99"/>
      <c r="X23" s="99"/>
      <c r="Y23" s="99"/>
      <c r="Z23" s="99"/>
      <c r="AA23" s="99"/>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99"/>
      <c r="BE23" s="99"/>
      <c r="BF23" s="99"/>
      <c r="BG23" s="99"/>
      <c r="BH23" s="99"/>
      <c r="BI23" s="99"/>
      <c r="BJ23" s="99"/>
      <c r="BK23" s="11"/>
      <c r="BL23" s="11"/>
    </row>
    <row r="24" spans="1:64" ht="12.75" customHeight="1" outlineLevel="1">
      <c r="A24" s="9"/>
      <c r="B24" s="9"/>
      <c r="C24" s="44"/>
      <c r="D24" s="128" t="str">
        <f>Asset13</f>
        <v>132kV feeders underground</v>
      </c>
      <c r="E24" s="9"/>
      <c r="F24" s="9"/>
      <c r="G24" s="122"/>
      <c r="H24" s="109">
        <f>Input!H155*(1+vanilla1)^0.5</f>
        <v>77.865532261616607</v>
      </c>
      <c r="I24" s="109">
        <f>Input!I155*(1+vanilla2)^0.5</f>
        <v>86.160917377598835</v>
      </c>
      <c r="J24" s="109">
        <f>Input!J155*(1+vanilla3)^0.5</f>
        <v>155.97689250836595</v>
      </c>
      <c r="K24" s="109">
        <f>Input!K155*(1+vanilla4)^0.5</f>
        <v>66.829021974976257</v>
      </c>
      <c r="L24" s="109">
        <f>Input!L155*(1+vanilla5)^0.5</f>
        <v>50.120340784601318</v>
      </c>
      <c r="M24" s="109">
        <f>Input!M155*(1+vanilla6)^0.5</f>
        <v>0</v>
      </c>
      <c r="N24" s="109">
        <f>Input!N155*(1+vanilla7)^0.5</f>
        <v>0</v>
      </c>
      <c r="O24" s="109">
        <f>Input!O155*(1+vanilla8)^0.5</f>
        <v>0</v>
      </c>
      <c r="P24" s="109">
        <f>Input!P155*(1+vanilla9)^0.5</f>
        <v>0</v>
      </c>
      <c r="Q24" s="109">
        <f>Input!Q155*(1+vanilla10)^0.5</f>
        <v>0</v>
      </c>
      <c r="R24" s="28"/>
      <c r="S24" s="99"/>
      <c r="T24" s="99"/>
      <c r="U24" s="99"/>
      <c r="V24" s="99"/>
      <c r="W24" s="99"/>
      <c r="X24" s="99"/>
      <c r="Y24" s="99"/>
      <c r="Z24" s="99"/>
      <c r="AA24" s="99"/>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99"/>
      <c r="BE24" s="99"/>
      <c r="BF24" s="99"/>
      <c r="BG24" s="99"/>
      <c r="BH24" s="99"/>
      <c r="BI24" s="99"/>
      <c r="BJ24" s="99"/>
      <c r="BK24" s="11"/>
      <c r="BL24" s="11"/>
    </row>
    <row r="25" spans="1:64" ht="12.75" customHeight="1" outlineLevel="1">
      <c r="A25" s="9"/>
      <c r="B25" s="9"/>
      <c r="C25" s="44"/>
      <c r="D25" s="128" t="str">
        <f>Asset14</f>
        <v>Cable tunnel (tx)</v>
      </c>
      <c r="E25" s="9"/>
      <c r="F25" s="9"/>
      <c r="G25" s="122"/>
      <c r="H25" s="109">
        <f>Input!H156*(1+vanilla1)^0.5</f>
        <v>0</v>
      </c>
      <c r="I25" s="109">
        <f>Input!I156*(1+vanilla2)^0.5</f>
        <v>0</v>
      </c>
      <c r="J25" s="109">
        <f>Input!J156*(1+vanilla3)^0.5</f>
        <v>0.48584579998902994</v>
      </c>
      <c r="K25" s="109">
        <f>Input!K156*(1+vanilla4)^0.5</f>
        <v>0.16319190464819572</v>
      </c>
      <c r="L25" s="109">
        <f>Input!L156*(1+vanilla5)^0.5</f>
        <v>0.12239044703240461</v>
      </c>
      <c r="M25" s="109">
        <f>Input!M156*(1+vanilla6)^0.5</f>
        <v>0</v>
      </c>
      <c r="N25" s="109">
        <f>Input!N156*(1+vanilla7)^0.5</f>
        <v>0</v>
      </c>
      <c r="O25" s="109">
        <f>Input!O156*(1+vanilla8)^0.5</f>
        <v>0</v>
      </c>
      <c r="P25" s="109">
        <f>Input!P156*(1+vanilla9)^0.5</f>
        <v>0</v>
      </c>
      <c r="Q25" s="109">
        <f>Input!Q156*(1+vanilla10)^0.5</f>
        <v>0</v>
      </c>
      <c r="R25" s="28"/>
      <c r="S25" s="99"/>
      <c r="T25" s="99"/>
      <c r="U25" s="99"/>
      <c r="V25" s="99"/>
      <c r="W25" s="99"/>
      <c r="X25" s="99"/>
      <c r="Y25" s="99"/>
      <c r="Z25" s="99"/>
      <c r="AA25" s="99"/>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99"/>
      <c r="BE25" s="99"/>
      <c r="BF25" s="99"/>
      <c r="BG25" s="99"/>
      <c r="BH25" s="99"/>
      <c r="BI25" s="99"/>
      <c r="BJ25" s="99"/>
      <c r="BK25" s="11"/>
      <c r="BL25" s="11"/>
    </row>
    <row r="26" spans="1:64" ht="12.75" customHeight="1" outlineLevel="1">
      <c r="A26" s="9"/>
      <c r="B26" s="9"/>
      <c r="C26" s="44"/>
      <c r="D26" s="128" t="str">
        <f>Asset15</f>
        <v>Network control &amp; com systems</v>
      </c>
      <c r="E26" s="9"/>
      <c r="F26" s="9"/>
      <c r="G26" s="122"/>
      <c r="H26" s="109">
        <f>Input!H157*(1+vanilla1)^0.5</f>
        <v>1.5328871545479488</v>
      </c>
      <c r="I26" s="109">
        <f>Input!I157*(1+vanilla2)^0.5</f>
        <v>0</v>
      </c>
      <c r="J26" s="109">
        <f>Input!J157*(1+vanilla3)^0.5</f>
        <v>2.3706928801548212E-2</v>
      </c>
      <c r="K26" s="109">
        <f>Input!K157*(1+vanilla4)^0.5</f>
        <v>0</v>
      </c>
      <c r="L26" s="109">
        <f>Input!L157*(1+vanilla5)^0.5</f>
        <v>0</v>
      </c>
      <c r="M26" s="109">
        <f>Input!M157*(1+vanilla6)^0.5</f>
        <v>0</v>
      </c>
      <c r="N26" s="109">
        <f>Input!N157*(1+vanilla7)^0.5</f>
        <v>0</v>
      </c>
      <c r="O26" s="109">
        <f>Input!O157*(1+vanilla8)^0.5</f>
        <v>0</v>
      </c>
      <c r="P26" s="109">
        <f>Input!P157*(1+vanilla9)^0.5</f>
        <v>0</v>
      </c>
      <c r="Q26" s="109">
        <f>Input!Q157*(1+vanilla10)^0.5</f>
        <v>0</v>
      </c>
      <c r="R26" s="28"/>
      <c r="S26" s="99"/>
      <c r="T26" s="99"/>
      <c r="U26" s="99"/>
      <c r="V26" s="99"/>
      <c r="W26" s="99"/>
      <c r="X26" s="99"/>
      <c r="Y26" s="99"/>
      <c r="Z26" s="99"/>
      <c r="AA26" s="99"/>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99"/>
      <c r="BE26" s="99"/>
      <c r="BF26" s="99"/>
      <c r="BG26" s="99"/>
      <c r="BH26" s="99"/>
      <c r="BI26" s="99"/>
      <c r="BJ26" s="99"/>
      <c r="BK26" s="11"/>
      <c r="BL26" s="11"/>
    </row>
    <row r="27" spans="1:64" ht="12.75" customHeight="1" outlineLevel="1">
      <c r="A27" s="9"/>
      <c r="B27" s="9"/>
      <c r="C27" s="44"/>
      <c r="D27" s="128" t="str">
        <f>Asset16</f>
        <v>Communications (digital) - tx</v>
      </c>
      <c r="E27" s="9"/>
      <c r="F27" s="9"/>
      <c r="G27" s="122"/>
      <c r="H27" s="109">
        <f>Input!H158*(1+vanilla1)^0.5</f>
        <v>0</v>
      </c>
      <c r="I27" s="109">
        <f>Input!I158*(1+vanilla2)^0.5</f>
        <v>0.32333283435584098</v>
      </c>
      <c r="J27" s="109">
        <f>Input!J158*(1+vanilla3)^0.5</f>
        <v>0.46459825105036862</v>
      </c>
      <c r="K27" s="109">
        <f>Input!K158*(1+vanilla4)^0.5</f>
        <v>0.16467469766724618</v>
      </c>
      <c r="L27" s="109">
        <f>Input!L158*(1+vanilla5)^0.5</f>
        <v>0.12350251016353445</v>
      </c>
      <c r="M27" s="109">
        <f>Input!M158*(1+vanilla6)^0.5</f>
        <v>0</v>
      </c>
      <c r="N27" s="109">
        <f>Input!N158*(1+vanilla7)^0.5</f>
        <v>0</v>
      </c>
      <c r="O27" s="109">
        <f>Input!O158*(1+vanilla8)^0.5</f>
        <v>0</v>
      </c>
      <c r="P27" s="109">
        <f>Input!P158*(1+vanilla9)^0.5</f>
        <v>0</v>
      </c>
      <c r="Q27" s="109">
        <f>Input!Q158*(1+vanilla10)^0.5</f>
        <v>0</v>
      </c>
      <c r="R27" s="28"/>
      <c r="S27" s="99"/>
      <c r="T27" s="99"/>
      <c r="U27" s="99"/>
      <c r="V27" s="99"/>
      <c r="W27" s="99"/>
      <c r="X27" s="99"/>
      <c r="Y27" s="99"/>
      <c r="Z27" s="99"/>
      <c r="AA27" s="99"/>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99"/>
      <c r="BE27" s="99"/>
      <c r="BF27" s="99"/>
      <c r="BG27" s="99"/>
      <c r="BH27" s="99"/>
      <c r="BI27" s="99"/>
      <c r="BJ27" s="99"/>
      <c r="BK27" s="11"/>
      <c r="BL27" s="11"/>
    </row>
    <row r="28" spans="1:64" ht="12.75" customHeight="1" outlineLevel="1">
      <c r="A28" s="9"/>
      <c r="B28" s="9"/>
      <c r="C28" s="44"/>
      <c r="D28" s="128" t="str">
        <f>Asset17</f>
        <v>System IT (tx)</v>
      </c>
      <c r="E28" s="9"/>
      <c r="F28" s="9"/>
      <c r="G28" s="122"/>
      <c r="H28" s="109">
        <f>Input!H159*(1+vanilla1)^0.5</f>
        <v>3.6437028302466579</v>
      </c>
      <c r="I28" s="109">
        <f>Input!I159*(1+vanilla2)^0.5</f>
        <v>8.0145529400762783</v>
      </c>
      <c r="J28" s="109">
        <f>Input!J159*(1+vanilla3)^0.5</f>
        <v>8.9901592076576868</v>
      </c>
      <c r="K28" s="109">
        <f>Input!K159*(1+vanilla4)^0.5</f>
        <v>4.7115608273527476</v>
      </c>
      <c r="L28" s="109">
        <f>Input!L159*(1+vanilla5)^0.5</f>
        <v>3.533570106453467</v>
      </c>
      <c r="M28" s="109">
        <f>Input!M159*(1+vanilla6)^0.5</f>
        <v>0</v>
      </c>
      <c r="N28" s="109">
        <f>Input!N159*(1+vanilla7)^0.5</f>
        <v>0</v>
      </c>
      <c r="O28" s="109">
        <f>Input!O159*(1+vanilla8)^0.5</f>
        <v>0</v>
      </c>
      <c r="P28" s="109">
        <f>Input!P159*(1+vanilla9)^0.5</f>
        <v>0</v>
      </c>
      <c r="Q28" s="109">
        <f>Input!Q159*(1+vanilla10)^0.5</f>
        <v>0</v>
      </c>
      <c r="R28" s="28"/>
      <c r="S28" s="99"/>
      <c r="T28" s="99"/>
      <c r="U28" s="99"/>
      <c r="V28" s="99"/>
      <c r="W28" s="99"/>
      <c r="X28" s="99"/>
      <c r="Y28" s="99"/>
      <c r="Z28" s="99"/>
      <c r="AA28" s="99"/>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99"/>
      <c r="BE28" s="99"/>
      <c r="BF28" s="99"/>
      <c r="BG28" s="99"/>
      <c r="BH28" s="99"/>
      <c r="BI28" s="99"/>
      <c r="BJ28" s="99"/>
      <c r="BK28" s="11"/>
      <c r="BL28" s="11"/>
    </row>
    <row r="29" spans="1:64" ht="12.75" customHeight="1" outlineLevel="1">
      <c r="A29" s="9"/>
      <c r="B29" s="9"/>
      <c r="C29" s="44"/>
      <c r="D29" s="128" t="str">
        <f>Asset18</f>
        <v>IT systems</v>
      </c>
      <c r="E29" s="9"/>
      <c r="F29" s="9"/>
      <c r="G29" s="122"/>
      <c r="H29" s="109">
        <f>Input!H160*(1+vanilla1)^0.5</f>
        <v>6.4057877550280899</v>
      </c>
      <c r="I29" s="109">
        <f>Input!I160*(1+vanilla2)^0.5</f>
        <v>7.036910370584355</v>
      </c>
      <c r="J29" s="109">
        <f>Input!J160*(1+vanilla3)^0.5</f>
        <v>4.3551665955793739</v>
      </c>
      <c r="K29" s="109">
        <f>Input!K160*(1+vanilla4)^0.5</f>
        <v>3.3192792543555307</v>
      </c>
      <c r="L29" s="109">
        <f>Input!L160*(1+vanilla5)^0.5</f>
        <v>2.4938009414770312</v>
      </c>
      <c r="M29" s="109">
        <f>Input!M160*(1+vanilla6)^0.5</f>
        <v>0</v>
      </c>
      <c r="N29" s="109">
        <f>Input!N160*(1+vanilla7)^0.5</f>
        <v>0</v>
      </c>
      <c r="O29" s="109">
        <f>Input!O160*(1+vanilla8)^0.5</f>
        <v>0</v>
      </c>
      <c r="P29" s="109">
        <f>Input!P160*(1+vanilla9)^0.5</f>
        <v>0</v>
      </c>
      <c r="Q29" s="109">
        <f>Input!Q160*(1+vanilla10)^0.5</f>
        <v>0</v>
      </c>
      <c r="R29" s="28"/>
      <c r="S29" s="99"/>
      <c r="T29" s="99"/>
      <c r="U29" s="99"/>
      <c r="V29" s="99"/>
      <c r="W29" s="99"/>
      <c r="X29" s="99"/>
      <c r="Y29" s="99"/>
      <c r="Z29" s="99"/>
      <c r="AA29" s="99"/>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99"/>
      <c r="BE29" s="99"/>
      <c r="BF29" s="99"/>
      <c r="BG29" s="99"/>
      <c r="BH29" s="99"/>
      <c r="BI29" s="99"/>
      <c r="BJ29" s="99"/>
      <c r="BK29" s="11"/>
      <c r="BL29" s="11"/>
    </row>
    <row r="30" spans="1:64" ht="12.75" customHeight="1" outlineLevel="1">
      <c r="A30" s="9"/>
      <c r="B30" s="9"/>
      <c r="C30" s="44"/>
      <c r="D30" s="128" t="str">
        <f>Asset19</f>
        <v>Furniture, fittings, plant and equipment</v>
      </c>
      <c r="E30" s="9"/>
      <c r="F30" s="9"/>
      <c r="G30" s="122"/>
      <c r="H30" s="109">
        <f>Input!H161*(1+vanilla1)^0.5</f>
        <v>1.0217325871997505</v>
      </c>
      <c r="I30" s="109">
        <f>Input!I161*(1+vanilla2)^0.5</f>
        <v>0.90674498124677627</v>
      </c>
      <c r="J30" s="109">
        <f>Input!J161*(1+vanilla3)^0.5</f>
        <v>0.9187984375416185</v>
      </c>
      <c r="K30" s="109">
        <f>Input!K161*(1+vanilla4)^0.5</f>
        <v>0.55602770518182021</v>
      </c>
      <c r="L30" s="109">
        <f>Input!L161*(1+vanilla5)^0.5</f>
        <v>0.42203620507065737</v>
      </c>
      <c r="M30" s="109">
        <f>Input!M161*(1+vanilla6)^0.5</f>
        <v>0</v>
      </c>
      <c r="N30" s="109">
        <f>Input!N161*(1+vanilla7)^0.5</f>
        <v>0</v>
      </c>
      <c r="O30" s="109">
        <f>Input!O161*(1+vanilla8)^0.5</f>
        <v>0</v>
      </c>
      <c r="P30" s="109">
        <f>Input!P161*(1+vanilla9)^0.5</f>
        <v>0</v>
      </c>
      <c r="Q30" s="109">
        <f>Input!Q161*(1+vanilla10)^0.5</f>
        <v>0</v>
      </c>
      <c r="R30" s="28"/>
      <c r="S30" s="99"/>
      <c r="T30" s="99"/>
      <c r="U30" s="99"/>
      <c r="V30" s="99"/>
      <c r="W30" s="99"/>
      <c r="X30" s="99"/>
      <c r="Y30" s="99"/>
      <c r="Z30" s="99"/>
      <c r="AA30" s="99"/>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99"/>
      <c r="BE30" s="99"/>
      <c r="BF30" s="99"/>
      <c r="BG30" s="99"/>
      <c r="BH30" s="99"/>
      <c r="BI30" s="99"/>
      <c r="BJ30" s="99"/>
      <c r="BK30" s="11"/>
      <c r="BL30" s="11"/>
    </row>
    <row r="31" spans="1:64" ht="12.75" customHeight="1" outlineLevel="1">
      <c r="A31" s="9"/>
      <c r="B31" s="9"/>
      <c r="C31" s="44"/>
      <c r="D31" s="128" t="str">
        <f>Asset20</f>
        <v>Motor vehicles</v>
      </c>
      <c r="E31" s="9"/>
      <c r="F31" s="9"/>
      <c r="G31" s="122"/>
      <c r="H31" s="109">
        <f>Input!H162*(1+vanilla1)^0.5</f>
        <v>3.3304078567737481</v>
      </c>
      <c r="I31" s="109">
        <f>Input!I162*(1+vanilla2)^0.5</f>
        <v>3.4797065329639838</v>
      </c>
      <c r="J31" s="109">
        <f>Input!J162*(1+vanilla3)^0.5</f>
        <v>3.6518358367045129</v>
      </c>
      <c r="K31" s="109">
        <f>Input!K162*(1+vanilla4)^0.5</f>
        <v>1.6052508847142757</v>
      </c>
      <c r="L31" s="109">
        <f>Input!L162*(1+vanilla5)^0.5</f>
        <v>1.4173859525130736</v>
      </c>
      <c r="M31" s="109">
        <f>Input!M162*(1+vanilla6)^0.5</f>
        <v>0</v>
      </c>
      <c r="N31" s="109">
        <f>Input!N162*(1+vanilla7)^0.5</f>
        <v>0</v>
      </c>
      <c r="O31" s="109">
        <f>Input!O162*(1+vanilla8)^0.5</f>
        <v>0</v>
      </c>
      <c r="P31" s="109">
        <f>Input!P162*(1+vanilla9)^0.5</f>
        <v>0</v>
      </c>
      <c r="Q31" s="109">
        <f>Input!Q162*(1+vanilla10)^0.5</f>
        <v>0</v>
      </c>
      <c r="R31" s="28"/>
      <c r="S31" s="99"/>
      <c r="T31" s="99"/>
      <c r="U31" s="99"/>
      <c r="V31" s="99"/>
      <c r="W31" s="99"/>
      <c r="X31" s="99"/>
      <c r="Y31" s="99"/>
      <c r="Z31" s="99"/>
      <c r="AA31" s="99"/>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99"/>
      <c r="BE31" s="99"/>
      <c r="BF31" s="99"/>
      <c r="BG31" s="99"/>
      <c r="BH31" s="99"/>
      <c r="BI31" s="99"/>
      <c r="BJ31" s="99"/>
      <c r="BK31" s="11"/>
      <c r="BL31" s="11"/>
    </row>
    <row r="32" spans="1:64" ht="16.5" customHeight="1" outlineLevel="1">
      <c r="A32" s="9"/>
      <c r="B32" s="9"/>
      <c r="C32" s="44"/>
      <c r="D32" s="128" t="str">
        <f>Asset21</f>
        <v>Buildings</v>
      </c>
      <c r="E32" s="9"/>
      <c r="F32" s="9"/>
      <c r="G32" s="122"/>
      <c r="H32" s="109">
        <f>Input!H163*(1+vanilla1)^0.5</f>
        <v>9.0729662763642676</v>
      </c>
      <c r="I32" s="109">
        <f>Input!I163*(1+vanilla2)^0.5</f>
        <v>5.8256639127263323</v>
      </c>
      <c r="J32" s="109">
        <f>Input!J163*(1+vanilla3)^0.5</f>
        <v>3.9887180062905632</v>
      </c>
      <c r="K32" s="109">
        <f>Input!K163*(1+vanilla4)^0.5</f>
        <v>2.3935304805083062</v>
      </c>
      <c r="L32" s="109">
        <f>Input!L163*(1+vanilla5)^0.5</f>
        <v>-5.5764087557970807</v>
      </c>
      <c r="M32" s="109">
        <f>Input!M163*(1+vanilla6)^0.5</f>
        <v>0</v>
      </c>
      <c r="N32" s="109">
        <f>Input!N163*(1+vanilla7)^0.5</f>
        <v>0</v>
      </c>
      <c r="O32" s="109">
        <f>Input!O163*(1+vanilla8)^0.5</f>
        <v>0</v>
      </c>
      <c r="P32" s="109">
        <f>Input!P163*(1+vanilla9)^0.5</f>
        <v>0</v>
      </c>
      <c r="Q32" s="109">
        <f>Input!Q163*(1+vanilla10)^0.5</f>
        <v>0</v>
      </c>
      <c r="R32" s="28"/>
      <c r="S32" s="99"/>
      <c r="T32" s="99"/>
      <c r="U32" s="99"/>
      <c r="V32" s="99"/>
      <c r="W32" s="99"/>
      <c r="X32" s="99"/>
      <c r="Y32" s="99"/>
      <c r="Z32" s="99"/>
      <c r="AA32" s="99"/>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99"/>
      <c r="BE32" s="99"/>
      <c r="BF32" s="99"/>
      <c r="BG32" s="99"/>
      <c r="BH32" s="99"/>
      <c r="BI32" s="99"/>
      <c r="BJ32" s="99"/>
      <c r="BK32" s="11"/>
      <c r="BL32" s="11"/>
    </row>
    <row r="33" spans="1:256" ht="16.5" customHeight="1" outlineLevel="1">
      <c r="A33" s="9"/>
      <c r="B33" s="9"/>
      <c r="C33" s="44"/>
      <c r="D33" s="128" t="str">
        <f>Asset22</f>
        <v>Land (non-system)</v>
      </c>
      <c r="E33" s="9"/>
      <c r="F33" s="9"/>
      <c r="G33" s="122"/>
      <c r="H33" s="109">
        <f>Input!H164*(1+vanilla1)^0.5</f>
        <v>2.6920221766731092</v>
      </c>
      <c r="I33" s="109">
        <f>Input!I164*(1+vanilla2)^0.5</f>
        <v>0.87087033893949317</v>
      </c>
      <c r="J33" s="109">
        <f>Input!J164*(1+vanilla3)^0.5</f>
        <v>1.0779456119951003</v>
      </c>
      <c r="K33" s="109">
        <f>Input!K164*(1+vanilla4)^0.5</f>
        <v>-1.4001102047996875E-2</v>
      </c>
      <c r="L33" s="109">
        <f>Input!L164*(1+vanilla5)^0.5</f>
        <v>-7.3847890727336125</v>
      </c>
      <c r="M33" s="109">
        <f>Input!M164*(1+vanilla6)^0.5</f>
        <v>0</v>
      </c>
      <c r="N33" s="109">
        <f>Input!N164*(1+vanilla7)^0.5</f>
        <v>0</v>
      </c>
      <c r="O33" s="109">
        <f>Input!O164*(1+vanilla8)^0.5</f>
        <v>0</v>
      </c>
      <c r="P33" s="109">
        <f>Input!P164*(1+vanilla9)^0.5</f>
        <v>0</v>
      </c>
      <c r="Q33" s="109">
        <f>Input!Q164*(1+vanilla10)^0.5</f>
        <v>0</v>
      </c>
      <c r="R33" s="28"/>
      <c r="S33" s="99"/>
      <c r="T33" s="99"/>
      <c r="U33" s="99"/>
      <c r="V33" s="99"/>
      <c r="W33" s="99"/>
      <c r="X33" s="99"/>
      <c r="Y33" s="99"/>
      <c r="Z33" s="99"/>
      <c r="AA33" s="99"/>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99"/>
      <c r="BE33" s="99"/>
      <c r="BF33" s="99"/>
      <c r="BG33" s="99"/>
      <c r="BH33" s="99"/>
      <c r="BI33" s="99"/>
      <c r="BJ33" s="99"/>
      <c r="BK33" s="11"/>
      <c r="BL33" s="11"/>
    </row>
    <row r="34" spans="1:256" ht="16.5" customHeight="1" outlineLevel="1">
      <c r="A34" s="9"/>
      <c r="B34" s="9"/>
      <c r="C34" s="44"/>
      <c r="D34" s="128" t="str">
        <f>Asset23</f>
        <v>Other non system assets</v>
      </c>
      <c r="E34" s="9"/>
      <c r="F34" s="9"/>
      <c r="G34" s="122"/>
      <c r="H34" s="109">
        <f>Input!H165*(1+vanilla1)^0.5</f>
        <v>0</v>
      </c>
      <c r="I34" s="109">
        <f>Input!I165*(1+vanilla2)^0.5</f>
        <v>6.5769645566627222E-3</v>
      </c>
      <c r="J34" s="109">
        <f>Input!J165*(1+vanilla3)^0.5</f>
        <v>0.14951595195914141</v>
      </c>
      <c r="K34" s="109">
        <f>Input!K165*(1+vanilla4)^0.5</f>
        <v>1.0507156459465608E-2</v>
      </c>
      <c r="L34" s="109">
        <f>Input!L165*(1+vanilla5)^0.5</f>
        <v>9.4685571721457116E-3</v>
      </c>
      <c r="M34" s="109">
        <f>Input!M165*(1+vanilla6)^0.5</f>
        <v>0</v>
      </c>
      <c r="N34" s="109">
        <f>Input!N165*(1+vanilla7)^0.5</f>
        <v>0</v>
      </c>
      <c r="O34" s="109">
        <f>Input!O165*(1+vanilla8)^0.5</f>
        <v>0</v>
      </c>
      <c r="P34" s="109">
        <f>Input!P165*(1+vanilla9)^0.5</f>
        <v>0</v>
      </c>
      <c r="Q34" s="109">
        <f>Input!Q165*(1+vanilla10)^0.5</f>
        <v>0</v>
      </c>
      <c r="R34" s="28"/>
      <c r="S34" s="99"/>
      <c r="T34" s="99"/>
      <c r="U34" s="99"/>
      <c r="V34" s="99"/>
      <c r="W34" s="99"/>
      <c r="X34" s="99"/>
      <c r="Y34" s="99"/>
      <c r="Z34" s="99"/>
      <c r="AA34" s="99"/>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99"/>
      <c r="BE34" s="99"/>
      <c r="BF34" s="99"/>
      <c r="BG34" s="99"/>
      <c r="BH34" s="99"/>
      <c r="BI34" s="99"/>
      <c r="BJ34" s="99"/>
      <c r="BK34" s="11"/>
      <c r="BL34" s="11"/>
    </row>
    <row r="35" spans="1:256" ht="16.5" customHeight="1" outlineLevel="1">
      <c r="A35" s="9"/>
      <c r="B35" s="9"/>
      <c r="C35" s="44"/>
      <c r="D35" s="128" t="str">
        <f>Asset24</f>
        <v>Equity raising costs</v>
      </c>
      <c r="E35" s="9"/>
      <c r="F35" s="9"/>
      <c r="G35" s="122"/>
      <c r="H35" s="109">
        <f>Input!H166*(1+vanilla1)^0.5</f>
        <v>6.4370867982889743</v>
      </c>
      <c r="I35" s="109">
        <f>Input!I166*(1+vanilla2)^0.5</f>
        <v>0</v>
      </c>
      <c r="J35" s="109">
        <f>Input!J166*(1+vanilla3)^0.5</f>
        <v>0</v>
      </c>
      <c r="K35" s="109">
        <f>Input!K166*(1+vanilla4)^0.5</f>
        <v>0</v>
      </c>
      <c r="L35" s="109">
        <f>Input!L166*(1+vanilla5)^0.5</f>
        <v>0</v>
      </c>
      <c r="M35" s="109">
        <f>Input!M166*(1+vanilla6)^0.5</f>
        <v>0</v>
      </c>
      <c r="N35" s="109">
        <f>Input!N166*(1+vanilla7)^0.5</f>
        <v>0</v>
      </c>
      <c r="O35" s="109">
        <f>Input!O166*(1+vanilla8)^0.5</f>
        <v>0</v>
      </c>
      <c r="P35" s="109">
        <f>Input!P166*(1+vanilla9)^0.5</f>
        <v>0</v>
      </c>
      <c r="Q35" s="109">
        <f>Input!Q166*(1+vanilla10)^0.5</f>
        <v>0</v>
      </c>
      <c r="R35" s="28"/>
      <c r="S35" s="99"/>
      <c r="T35" s="99"/>
      <c r="U35" s="99"/>
      <c r="V35" s="99"/>
      <c r="W35" s="99"/>
      <c r="X35" s="99"/>
      <c r="Y35" s="99"/>
      <c r="Z35" s="99"/>
      <c r="AA35" s="99"/>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99"/>
      <c r="BE35" s="99"/>
      <c r="BF35" s="99"/>
      <c r="BG35" s="99"/>
      <c r="BH35" s="99"/>
      <c r="BI35" s="99"/>
      <c r="BJ35" s="99"/>
      <c r="BK35" s="11"/>
      <c r="BL35" s="11"/>
    </row>
    <row r="36" spans="1:256" ht="16.5" customHeight="1" outlineLevel="1">
      <c r="A36" s="9"/>
      <c r="B36" s="9"/>
      <c r="C36" s="44"/>
      <c r="D36" s="128">
        <f>Asset25</f>
        <v>0</v>
      </c>
      <c r="E36" s="9"/>
      <c r="F36" s="9"/>
      <c r="G36" s="122"/>
      <c r="H36" s="109">
        <f>Input!H167*(1+vanilla1)^0.5</f>
        <v>0</v>
      </c>
      <c r="I36" s="109">
        <f>Input!I167*(1+vanilla2)^0.5</f>
        <v>0</v>
      </c>
      <c r="J36" s="109">
        <f>Input!J167*(1+vanilla3)^0.5</f>
        <v>0</v>
      </c>
      <c r="K36" s="109">
        <f>Input!K167*(1+vanilla4)^0.5</f>
        <v>0</v>
      </c>
      <c r="L36" s="109">
        <f>Input!L167*(1+vanilla5)^0.5</f>
        <v>0</v>
      </c>
      <c r="M36" s="109">
        <f>Input!M167*(1+vanilla6)^0.5</f>
        <v>0</v>
      </c>
      <c r="N36" s="109">
        <f>Input!N167*(1+vanilla7)^0.5</f>
        <v>0</v>
      </c>
      <c r="O36" s="109">
        <f>Input!O167*(1+vanilla8)^0.5</f>
        <v>0</v>
      </c>
      <c r="P36" s="109">
        <f>Input!P167*(1+vanilla9)^0.5</f>
        <v>0</v>
      </c>
      <c r="Q36" s="109">
        <f>Input!Q167*(1+vanilla10)^0.5</f>
        <v>0</v>
      </c>
      <c r="R36" s="28"/>
      <c r="S36" s="99"/>
      <c r="T36" s="99"/>
      <c r="U36" s="99"/>
      <c r="V36" s="99"/>
      <c r="W36" s="99"/>
      <c r="X36" s="99"/>
      <c r="Y36" s="99"/>
      <c r="Z36" s="99"/>
      <c r="AA36" s="99"/>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99"/>
      <c r="BE36" s="99"/>
      <c r="BF36" s="99"/>
      <c r="BG36" s="99"/>
      <c r="BH36" s="99"/>
      <c r="BI36" s="99"/>
      <c r="BJ36" s="99"/>
      <c r="BK36" s="11"/>
      <c r="BL36" s="11"/>
    </row>
    <row r="37" spans="1:256" ht="16.5" customHeight="1" outlineLevel="1">
      <c r="A37" s="9"/>
      <c r="B37" s="9"/>
      <c r="C37" s="44"/>
      <c r="D37" s="128">
        <f>Asset26</f>
        <v>0</v>
      </c>
      <c r="E37" s="9"/>
      <c r="F37" s="9"/>
      <c r="G37" s="122"/>
      <c r="H37" s="109">
        <f>Input!H168*(1+vanilla1)^0.5</f>
        <v>0</v>
      </c>
      <c r="I37" s="109">
        <f>Input!I168*(1+vanilla2)^0.5</f>
        <v>0</v>
      </c>
      <c r="J37" s="109">
        <f>Input!J168*(1+vanilla3)^0.5</f>
        <v>0</v>
      </c>
      <c r="K37" s="109">
        <f>Input!K168*(1+vanilla4)^0.5</f>
        <v>0</v>
      </c>
      <c r="L37" s="109">
        <f>Input!L168*(1+vanilla5)^0.5</f>
        <v>0</v>
      </c>
      <c r="M37" s="109">
        <f>Input!M168*(1+vanilla6)^0.5</f>
        <v>0</v>
      </c>
      <c r="N37" s="109">
        <f>Input!N168*(1+vanilla7)^0.5</f>
        <v>0</v>
      </c>
      <c r="O37" s="109">
        <f>Input!O168*(1+vanilla8)^0.5</f>
        <v>0</v>
      </c>
      <c r="P37" s="109">
        <f>Input!P168*(1+vanilla9)^0.5</f>
        <v>0</v>
      </c>
      <c r="Q37" s="109">
        <f>Input!Q168*(1+vanilla10)^0.5</f>
        <v>0</v>
      </c>
      <c r="R37" s="28"/>
      <c r="S37" s="99"/>
      <c r="T37" s="99"/>
      <c r="U37" s="99"/>
      <c r="V37" s="99"/>
      <c r="W37" s="99"/>
      <c r="X37" s="99"/>
      <c r="Y37" s="99"/>
      <c r="Z37" s="99"/>
      <c r="AA37" s="99"/>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99"/>
      <c r="BE37" s="99"/>
      <c r="BF37" s="99"/>
      <c r="BG37" s="99"/>
      <c r="BH37" s="99"/>
      <c r="BI37" s="99"/>
      <c r="BJ37" s="99"/>
      <c r="BK37" s="11"/>
      <c r="BL37" s="11"/>
    </row>
    <row r="38" spans="1:256" ht="16.5" customHeight="1" outlineLevel="1">
      <c r="A38" s="9"/>
      <c r="B38" s="9"/>
      <c r="C38" s="44"/>
      <c r="D38" s="128">
        <f>Asset27</f>
        <v>0</v>
      </c>
      <c r="E38" s="9"/>
      <c r="F38" s="9"/>
      <c r="G38" s="122"/>
      <c r="H38" s="109">
        <f>Input!H169*(1+vanilla1)^0.5</f>
        <v>0</v>
      </c>
      <c r="I38" s="109">
        <f>Input!I169*(1+vanilla2)^0.5</f>
        <v>0</v>
      </c>
      <c r="J38" s="109">
        <f>Input!J169*(1+vanilla3)^0.5</f>
        <v>0</v>
      </c>
      <c r="K38" s="109">
        <f>Input!K169*(1+vanilla4)^0.5</f>
        <v>0</v>
      </c>
      <c r="L38" s="109">
        <f>Input!L169*(1+vanilla5)^0.5</f>
        <v>0</v>
      </c>
      <c r="M38" s="109">
        <f>Input!M169*(1+vanilla6)^0.5</f>
        <v>0</v>
      </c>
      <c r="N38" s="109">
        <f>Input!N169*(1+vanilla7)^0.5</f>
        <v>0</v>
      </c>
      <c r="O38" s="109">
        <f>Input!O169*(1+vanilla8)^0.5</f>
        <v>0</v>
      </c>
      <c r="P38" s="109">
        <f>Input!P169*(1+vanilla9)^0.5</f>
        <v>0</v>
      </c>
      <c r="Q38" s="109">
        <f>Input!Q169*(1+vanilla10)^0.5</f>
        <v>0</v>
      </c>
      <c r="R38" s="28"/>
      <c r="S38" s="99"/>
      <c r="T38" s="99"/>
      <c r="U38" s="99"/>
      <c r="V38" s="99"/>
      <c r="W38" s="99"/>
      <c r="X38" s="99"/>
      <c r="Y38" s="99"/>
      <c r="Z38" s="99"/>
      <c r="AA38" s="99"/>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99"/>
      <c r="BE38" s="99"/>
      <c r="BF38" s="99"/>
      <c r="BG38" s="99"/>
      <c r="BH38" s="99"/>
      <c r="BI38" s="99"/>
      <c r="BJ38" s="99"/>
      <c r="BK38" s="11"/>
      <c r="BL38" s="11"/>
    </row>
    <row r="39" spans="1:256" ht="4.5" customHeight="1" outlineLevel="1">
      <c r="A39" s="9"/>
      <c r="B39" s="9"/>
      <c r="C39" s="44"/>
      <c r="D39" s="128">
        <f>Asset28</f>
        <v>0</v>
      </c>
      <c r="E39" s="9"/>
      <c r="F39" s="9"/>
      <c r="G39" s="122"/>
      <c r="H39" s="109">
        <f>Input!H170*(1+vanilla1)^0.5</f>
        <v>0</v>
      </c>
      <c r="I39" s="109">
        <f>Input!I170*(1+vanilla2)^0.5</f>
        <v>0</v>
      </c>
      <c r="J39" s="109">
        <f>Input!J170*(1+vanilla3)^0.5</f>
        <v>0</v>
      </c>
      <c r="K39" s="109">
        <f>Input!K170*(1+vanilla4)^0.5</f>
        <v>0</v>
      </c>
      <c r="L39" s="109">
        <f>Input!L170*(1+vanilla5)^0.5</f>
        <v>0</v>
      </c>
      <c r="M39" s="109">
        <f>Input!M170*(1+vanilla6)^0.5</f>
        <v>0</v>
      </c>
      <c r="N39" s="109">
        <f>Input!N170*(1+vanilla7)^0.5</f>
        <v>0</v>
      </c>
      <c r="O39" s="109">
        <f>Input!O170*(1+vanilla8)^0.5</f>
        <v>0</v>
      </c>
      <c r="P39" s="109">
        <f>Input!P170*(1+vanilla9)^0.5</f>
        <v>0</v>
      </c>
      <c r="Q39" s="109">
        <f>Input!Q170*(1+vanilla10)^0.5</f>
        <v>0</v>
      </c>
      <c r="R39" s="28"/>
      <c r="S39" s="99"/>
      <c r="T39" s="99"/>
      <c r="U39" s="99"/>
      <c r="V39" s="99"/>
      <c r="W39" s="99"/>
      <c r="X39" s="99"/>
      <c r="Y39" s="99"/>
      <c r="Z39" s="99"/>
      <c r="AA39" s="99"/>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99"/>
      <c r="BE39" s="99"/>
      <c r="BF39" s="99"/>
      <c r="BG39" s="99"/>
      <c r="BH39" s="99"/>
      <c r="BI39" s="99"/>
      <c r="BJ39" s="99"/>
      <c r="BK39" s="11"/>
      <c r="BL39" s="11"/>
    </row>
    <row r="40" spans="1:256" ht="4.5" customHeight="1" outlineLevel="1">
      <c r="A40" s="9"/>
      <c r="B40" s="9"/>
      <c r="C40" s="44"/>
      <c r="D40" s="128">
        <f>Asset29</f>
        <v>0</v>
      </c>
      <c r="E40" s="9"/>
      <c r="F40" s="9"/>
      <c r="G40" s="122"/>
      <c r="H40" s="109">
        <f>Input!H171*(1+vanilla1)^0.5</f>
        <v>0</v>
      </c>
      <c r="I40" s="109">
        <f>Input!I171*(1+vanilla2)^0.5</f>
        <v>0</v>
      </c>
      <c r="J40" s="109">
        <f>Input!J171*(1+vanilla3)^0.5</f>
        <v>0</v>
      </c>
      <c r="K40" s="109">
        <f>Input!K171*(1+vanilla4)^0.5</f>
        <v>0</v>
      </c>
      <c r="L40" s="109">
        <f>Input!L171*(1+vanilla5)^0.5</f>
        <v>0</v>
      </c>
      <c r="M40" s="109">
        <f>Input!M171*(1+vanilla6)^0.5</f>
        <v>0</v>
      </c>
      <c r="N40" s="109">
        <f>Input!N171*(1+vanilla7)^0.5</f>
        <v>0</v>
      </c>
      <c r="O40" s="109">
        <f>Input!O171*(1+vanilla8)^0.5</f>
        <v>0</v>
      </c>
      <c r="P40" s="109">
        <f>Input!P171*(1+vanilla9)^0.5</f>
        <v>0</v>
      </c>
      <c r="Q40" s="109">
        <f>Input!Q171*(1+vanilla10)^0.5</f>
        <v>0</v>
      </c>
      <c r="R40" s="28"/>
      <c r="S40" s="99"/>
      <c r="T40" s="99"/>
      <c r="U40" s="99"/>
      <c r="V40" s="99"/>
      <c r="W40" s="99"/>
      <c r="X40" s="99"/>
      <c r="Y40" s="99"/>
      <c r="Z40" s="99"/>
      <c r="AA40" s="99"/>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99"/>
      <c r="BE40" s="99"/>
      <c r="BF40" s="99"/>
      <c r="BG40" s="99"/>
      <c r="BH40" s="99"/>
      <c r="BI40" s="99"/>
      <c r="BJ40" s="99"/>
      <c r="BK40" s="11"/>
      <c r="BL40" s="11"/>
    </row>
    <row r="41" spans="1:256" ht="14.25" customHeight="1" outlineLevel="1">
      <c r="A41" s="9"/>
      <c r="B41" s="9"/>
      <c r="C41" s="44"/>
      <c r="D41" s="128">
        <f>Asset30</f>
        <v>0</v>
      </c>
      <c r="E41" s="9"/>
      <c r="F41" s="9"/>
      <c r="G41" s="122"/>
      <c r="H41" s="109">
        <f>Input!H172*(1+vanilla1)^0.5</f>
        <v>0</v>
      </c>
      <c r="I41" s="109">
        <f>Input!I172*(1+vanilla2)^0.5</f>
        <v>0</v>
      </c>
      <c r="J41" s="109">
        <f>Input!J172*(1+vanilla3)^0.5</f>
        <v>0</v>
      </c>
      <c r="K41" s="109">
        <f>Input!K172*(1+vanilla4)^0.5</f>
        <v>0</v>
      </c>
      <c r="L41" s="109">
        <f>Input!L172*(1+vanilla5)^0.5</f>
        <v>0</v>
      </c>
      <c r="M41" s="109">
        <f>Input!M172*(1+vanilla6)^0.5</f>
        <v>0</v>
      </c>
      <c r="N41" s="109">
        <f>Input!N172*(1+vanilla7)^0.5</f>
        <v>0</v>
      </c>
      <c r="O41" s="109">
        <f>Input!O172*(1+vanilla8)^0.5</f>
        <v>0</v>
      </c>
      <c r="P41" s="109">
        <f>Input!P172*(1+vanilla9)^0.5</f>
        <v>0</v>
      </c>
      <c r="Q41" s="109">
        <f>Input!Q172*(1+vanilla10)^0.5</f>
        <v>0</v>
      </c>
      <c r="R41" s="28"/>
      <c r="S41" s="99"/>
      <c r="T41" s="99"/>
      <c r="U41" s="99"/>
      <c r="V41" s="99"/>
      <c r="W41" s="99"/>
      <c r="X41" s="99"/>
      <c r="Y41" s="99"/>
      <c r="Z41" s="99"/>
      <c r="AA41" s="99"/>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99"/>
      <c r="BE41" s="99"/>
      <c r="BF41" s="99"/>
      <c r="BG41" s="99"/>
      <c r="BH41" s="99"/>
      <c r="BI41" s="99"/>
      <c r="BJ41" s="99"/>
      <c r="BK41" s="11"/>
      <c r="BL41" s="11"/>
    </row>
    <row r="42" spans="1:256">
      <c r="A42" s="9"/>
      <c r="B42" s="9"/>
      <c r="C42" s="44"/>
      <c r="D42" s="112"/>
      <c r="E42" s="9"/>
      <c r="F42" s="9"/>
      <c r="G42" s="27"/>
      <c r="H42" s="295"/>
      <c r="I42" s="295"/>
      <c r="J42" s="295"/>
      <c r="K42" s="295"/>
      <c r="L42" s="295"/>
      <c r="M42" s="36"/>
      <c r="N42" s="108"/>
      <c r="O42" s="28"/>
      <c r="P42" s="28"/>
      <c r="Q42" s="28"/>
      <c r="R42" s="28"/>
      <c r="S42" s="99"/>
      <c r="T42" s="99"/>
      <c r="U42" s="99"/>
      <c r="V42" s="99"/>
      <c r="W42" s="99"/>
      <c r="X42" s="99"/>
      <c r="Y42" s="99"/>
      <c r="Z42" s="99"/>
      <c r="AA42" s="99"/>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99"/>
      <c r="BE42" s="99"/>
      <c r="BF42" s="99"/>
      <c r="BG42" s="99"/>
      <c r="BH42" s="99"/>
      <c r="BI42" s="99"/>
      <c r="BJ42" s="99"/>
      <c r="BK42" s="11"/>
      <c r="BL42" s="11"/>
    </row>
    <row r="43" spans="1:256">
      <c r="A43" s="9"/>
      <c r="B43" s="9"/>
      <c r="C43" s="9" t="s">
        <v>35</v>
      </c>
      <c r="D43" s="9"/>
      <c r="E43" s="9"/>
      <c r="F43" s="9"/>
      <c r="G43" s="115"/>
      <c r="H43" s="115">
        <f>H56+H69+H82+H95+H108+H121+H134+H147+H160+H173+H186+H199+H212+H225+H238+H251+H264+H277+H290+H303+H316+H329+H342+H355+H368+H381+H394+H407+H420+H433</f>
        <v>-28.748890907087386</v>
      </c>
      <c r="I43" s="115">
        <f t="shared" ref="I43:Q43" si="2">I56+I69+I82+I95+I108+I121+I134+I147+I160+I173+I186+I199+I212+I225+I238+I251+I264+I277+I290+I303+I316+I329+I342+I355+I368+I381+I394+I407+I420+I433</f>
        <v>-35.563840019592831</v>
      </c>
      <c r="J43" s="115">
        <f t="shared" si="2"/>
        <v>-43.631521338614874</v>
      </c>
      <c r="K43" s="115">
        <f t="shared" si="2"/>
        <v>-52.904782496815351</v>
      </c>
      <c r="L43" s="115">
        <f t="shared" si="2"/>
        <v>-55.75942280776615</v>
      </c>
      <c r="M43" s="115">
        <f t="shared" si="2"/>
        <v>0</v>
      </c>
      <c r="N43" s="115">
        <f t="shared" si="2"/>
        <v>0</v>
      </c>
      <c r="O43" s="115">
        <f t="shared" si="2"/>
        <v>0</v>
      </c>
      <c r="P43" s="115">
        <f t="shared" si="2"/>
        <v>0</v>
      </c>
      <c r="Q43" s="115">
        <f t="shared" si="2"/>
        <v>0</v>
      </c>
      <c r="R43" s="9"/>
      <c r="S43" s="9"/>
      <c r="T43" s="9"/>
      <c r="U43" s="9"/>
      <c r="V43" s="9"/>
      <c r="W43" s="9"/>
      <c r="X43" s="9"/>
      <c r="Y43" s="9"/>
      <c r="Z43" s="9"/>
      <c r="AA43" s="9"/>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9"/>
      <c r="BE43" s="9"/>
      <c r="BF43" s="9"/>
      <c r="BG43" s="9"/>
      <c r="BH43" s="9"/>
      <c r="BI43" s="9"/>
      <c r="BJ43" s="9"/>
      <c r="BK43" s="9"/>
      <c r="BL43" s="9"/>
    </row>
    <row r="44" spans="1:256" s="5" customFormat="1" ht="12.75" hidden="1" customHeight="1" outlineLevel="2">
      <c r="A44" s="9"/>
      <c r="B44" s="9"/>
      <c r="C44" s="31" t="str">
        <f>Asset1</f>
        <v>Transmission &amp; Zone land &amp; easements</v>
      </c>
      <c r="D44" s="32"/>
      <c r="E44" s="33" t="s">
        <v>28</v>
      </c>
      <c r="F44" s="32"/>
      <c r="G44" s="34"/>
      <c r="H44" s="66" t="str">
        <f>IF(H$3&gt;A1remlife,A1value-SUM($G44:G44),IF(A1remlife="N/A","n/a",A1value/A1remlife))</f>
        <v>n/a</v>
      </c>
      <c r="I44" s="66" t="str">
        <f>IF(I$3&gt;A1remlife,A1value-SUM($G44:H44),IF(A1remlife="N/A","n/a",A1value/A1remlife))</f>
        <v>n/a</v>
      </c>
      <c r="J44" s="66" t="str">
        <f>IF(J$3&gt;A1remlife,A1value-SUM($G44:I44),IF(A1remlife="N/A","n/a",A1value/A1remlife))</f>
        <v>n/a</v>
      </c>
      <c r="K44" s="66" t="str">
        <f>IF(K$3&gt;A1remlife,A1value-SUM($G44:J44),IF(A1remlife="N/A","n/a",A1value/A1remlife))</f>
        <v>n/a</v>
      </c>
      <c r="L44" s="66" t="str">
        <f>IF(L$3&gt;A1remlife,A1value-SUM($G44:K44),IF(A1remlife="N/A","n/a",A1value/A1remlife))</f>
        <v>n/a</v>
      </c>
      <c r="M44" s="66" t="str">
        <f>IF(M$3&gt;A1remlife,A1value-SUM($G44:L44),IF(A1remlife="N/A","n/a",A1value/A1remlife))</f>
        <v>n/a</v>
      </c>
      <c r="N44" s="66" t="str">
        <f>IF(N$3&gt;A1remlife,A1value-SUM($G44:M44),IF(A1remlife="N/A","n/a",A1value/A1remlife))</f>
        <v>n/a</v>
      </c>
      <c r="O44" s="66" t="str">
        <f>IF(O$3&gt;A1remlife,A1value-SUM($G44:N44),IF(A1remlife="N/A","n/a",A1value/A1remlife))</f>
        <v>n/a</v>
      </c>
      <c r="P44" s="66" t="str">
        <f>IF(P$3&gt;A1remlife,A1value-SUM($G44:O44),IF(A1remlife="N/A","n/a",A1value/A1remlife))</f>
        <v>n/a</v>
      </c>
      <c r="Q44" s="66" t="str">
        <f>IF(Q$3&gt;A1remlife,A1value-SUM($G44:P44),IF(A1remlife="N/A","n/a",A1value/A1remlife))</f>
        <v>n/a</v>
      </c>
      <c r="R44" s="35"/>
      <c r="S44" s="100"/>
      <c r="T44" s="100"/>
      <c r="U44" s="100"/>
      <c r="V44" s="100"/>
      <c r="W44" s="100"/>
      <c r="X44" s="100"/>
      <c r="Y44" s="100"/>
      <c r="Z44" s="100"/>
      <c r="AA44" s="100"/>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100"/>
      <c r="BE44" s="100"/>
      <c r="BF44" s="100"/>
      <c r="BG44" s="100"/>
      <c r="BH44" s="100"/>
      <c r="BI44" s="100"/>
      <c r="BJ44" s="100"/>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5"/>
      <c r="D45" s="24"/>
      <c r="E45" s="375" t="s">
        <v>85</v>
      </c>
      <c r="F45" s="85">
        <v>0</v>
      </c>
      <c r="G45" s="26"/>
      <c r="H45" s="116"/>
      <c r="I45" s="116"/>
      <c r="J45" s="116"/>
      <c r="K45" s="116"/>
      <c r="L45" s="116"/>
      <c r="M45" s="116"/>
      <c r="N45" s="45"/>
      <c r="O45" s="45"/>
      <c r="P45" s="45"/>
      <c r="Q45" s="45"/>
      <c r="R45" s="45"/>
      <c r="S45" s="100"/>
      <c r="T45" s="100"/>
      <c r="U45" s="100"/>
      <c r="V45" s="100"/>
      <c r="W45" s="100"/>
      <c r="X45" s="100"/>
      <c r="Y45" s="100"/>
      <c r="Z45" s="100"/>
      <c r="AA45" s="100"/>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100"/>
      <c r="BE45" s="100"/>
      <c r="BF45" s="100"/>
      <c r="BG45" s="100"/>
      <c r="BH45" s="100"/>
      <c r="BI45" s="100"/>
      <c r="BJ45" s="100"/>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5"/>
      <c r="D46" s="24"/>
      <c r="E46" s="376"/>
      <c r="F46" s="85">
        <v>1</v>
      </c>
      <c r="G46" s="26"/>
      <c r="H46" s="145"/>
      <c r="I46" s="67" t="str">
        <f>IF(A1stdlife="n/a","n/a",IF(I$3&gt;(A1stdlife+$F46),(Input!$H$143*(1+vanilla1)^0.5)-SUM($H46:H46),(Input!$H$143*(1+vanilla1)^0.5)/A1stdlife))</f>
        <v>n/a</v>
      </c>
      <c r="J46" s="67" t="str">
        <f>IF(A1stdlife="n/a","n/a",IF(J$3&gt;(A1stdlife+$F46),(Input!$H$143*(1+vanilla1)^0.5)-SUM($H46:I46),(Input!$H$143*(1+vanilla1)^0.5)/A1stdlife))</f>
        <v>n/a</v>
      </c>
      <c r="K46" s="67" t="str">
        <f>IF(A1stdlife="n/a","n/a",IF(K$3&gt;(A1stdlife+$F46),(Input!$H$143*(1+vanilla1)^0.5)-SUM($H46:J46),(Input!$H$143*(1+vanilla1)^0.5)/A1stdlife))</f>
        <v>n/a</v>
      </c>
      <c r="L46" s="67" t="str">
        <f>IF(A1stdlife="n/a","n/a",IF(L$3&gt;(A1stdlife+$F46),(Input!$H$143*(1+vanilla1)^0.5)-SUM($H46:K46),(Input!$H$143*(1+vanilla1)^0.5)/A1stdlife))</f>
        <v>n/a</v>
      </c>
      <c r="M46" s="67" t="str">
        <f>IF(A1stdlife="n/a","n/a",IF(M$3&gt;(A1stdlife+$F46),(Input!$H$143*(1+vanilla1)^0.5)-SUM($H46:L46),(Input!$H$143*(1+vanilla1)^0.5)/A1stdlife))</f>
        <v>n/a</v>
      </c>
      <c r="N46" s="67" t="str">
        <f>IF(A1stdlife="n/a","n/a",IF(N$3&gt;(A1stdlife+$F46),(Input!$H$143*(1+vanilla1)^0.5)-SUM($H46:M46),(Input!$H$143*(1+vanilla1)^0.5)/A1stdlife))</f>
        <v>n/a</v>
      </c>
      <c r="O46" s="67" t="str">
        <f>IF(A1stdlife="n/a","n/a",IF(O$3&gt;(A1stdlife+$F46),(Input!$H$143*(1+vanilla1)^0.5)-SUM($H46:N46),(Input!$H$143*(1+vanilla1)^0.5)/A1stdlife))</f>
        <v>n/a</v>
      </c>
      <c r="P46" s="67" t="str">
        <f>IF(A1stdlife="n/a","n/a",IF(P$3&gt;(A1stdlife+$F46),(Input!$H$143*(1+vanilla1)^0.5)-SUM($H46:O46),(Input!$H$143*(1+vanilla1)^0.5)/A1stdlife))</f>
        <v>n/a</v>
      </c>
      <c r="Q46" s="67" t="str">
        <f>IF(A1stdlife="n/a","n/a",IF(Q$3&gt;(A1stdlife+$F46),(Input!$H$143*(1+vanilla1)^0.5)-SUM($H46:P46),(Input!$H$143*(1+vanilla1)^0.5)/A1stdlife))</f>
        <v>n/a</v>
      </c>
      <c r="R46" s="29"/>
      <c r="S46" s="100"/>
      <c r="T46" s="100"/>
      <c r="U46" s="100"/>
      <c r="V46" s="100"/>
      <c r="W46" s="100"/>
      <c r="X46" s="100"/>
      <c r="Y46" s="100"/>
      <c r="Z46" s="100"/>
      <c r="AA46" s="100"/>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100"/>
      <c r="BE46" s="100"/>
      <c r="BF46" s="100"/>
      <c r="BG46" s="100"/>
      <c r="BH46" s="100"/>
      <c r="BI46" s="100"/>
      <c r="BJ46" s="100"/>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5"/>
      <c r="D47" s="24"/>
      <c r="E47" s="376"/>
      <c r="F47" s="85">
        <v>2</v>
      </c>
      <c r="G47" s="26"/>
      <c r="H47" s="146"/>
      <c r="I47" s="147"/>
      <c r="J47" s="67" t="str">
        <f>IF(A1stdlife="n/a","n/a",IF(J$3&gt;(A1stdlife+$F47),(Input!$I$143*(1+vanilla2)^0.5)-SUM($I47:I47),(Input!$I$143*(1+vanilla2)^0.5)/A1stdlife))</f>
        <v>n/a</v>
      </c>
      <c r="K47" s="67" t="str">
        <f>IF(A1stdlife="n/a","n/a",IF(K$3&gt;(A1stdlife+$F47),(Input!$I$143*(1+vanilla2)^0.5)-SUM($I47:J47),(Input!$I$143*(1+vanilla2)^0.5)/A1stdlife))</f>
        <v>n/a</v>
      </c>
      <c r="L47" s="67" t="str">
        <f>IF(A1stdlife="n/a","n/a",IF(L$3&gt;(A1stdlife+$F47),(Input!$I$143*(1+vanilla2)^0.5)-SUM($I47:K47),(Input!$I$143*(1+vanilla2)^0.5)/A1stdlife))</f>
        <v>n/a</v>
      </c>
      <c r="M47" s="67" t="str">
        <f>IF(A1stdlife="n/a","n/a",IF(M$3&gt;(A1stdlife+$F47),(Input!$I$143*(1+vanilla2)^0.5)-SUM($I47:L47),(Input!$I$143*(1+vanilla2)^0.5)/A1stdlife))</f>
        <v>n/a</v>
      </c>
      <c r="N47" s="67" t="str">
        <f>IF(A1stdlife="n/a","n/a",IF(N$3&gt;(A1stdlife+$F47),(Input!$I$143*(1+vanilla2)^0.5)-SUM($I47:M47),(Input!$I$143*(1+vanilla2)^0.5)/A1stdlife))</f>
        <v>n/a</v>
      </c>
      <c r="O47" s="67" t="str">
        <f>IF(A1stdlife="n/a","n/a",IF(O$3&gt;(A1stdlife+$F47),(Input!$I$143*(1+vanilla2)^0.5)-SUM($I47:N47),(Input!$I$143*(1+vanilla2)^0.5)/A1stdlife))</f>
        <v>n/a</v>
      </c>
      <c r="P47" s="67" t="str">
        <f>IF(A1stdlife="n/a","n/a",IF(P$3&gt;(A1stdlife+$F47),(Input!$I$143*(1+vanilla2)^0.5)-SUM($I47:O47),(Input!$I$143*(1+vanilla2)^0.5)/A1stdlife))</f>
        <v>n/a</v>
      </c>
      <c r="Q47" s="67" t="str">
        <f>IF(A1stdlife="n/a","n/a",IF(Q$3&gt;(A1stdlife+$F47),(Input!$I$143*(1+vanilla2)^0.5)-SUM($I47:P47),(Input!$I$143*(1+vanilla2)^0.5)/A1stdlife))</f>
        <v>n/a</v>
      </c>
      <c r="R47" s="29"/>
      <c r="S47" s="100"/>
      <c r="T47" s="100"/>
      <c r="U47" s="100"/>
      <c r="V47" s="100"/>
      <c r="W47" s="100"/>
      <c r="X47" s="100"/>
      <c r="Y47" s="100"/>
      <c r="Z47" s="100"/>
      <c r="AA47" s="100"/>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100"/>
      <c r="BE47" s="100"/>
      <c r="BF47" s="100"/>
      <c r="BG47" s="100"/>
      <c r="BH47" s="100"/>
      <c r="BI47" s="100"/>
      <c r="BJ47" s="100"/>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5"/>
      <c r="D48" s="24"/>
      <c r="E48" s="376"/>
      <c r="F48" s="85">
        <v>3</v>
      </c>
      <c r="G48" s="26"/>
      <c r="H48" s="146"/>
      <c r="I48" s="148"/>
      <c r="J48" s="147"/>
      <c r="K48" s="67" t="str">
        <f>IF(A1stdlife="n/a","n/a",IF(K$3&gt;(A1stdlife+$F48),(Input!$J$143*(1+vanilla3)^0.5)-SUM($J48:J48),(Input!$J$143*(1+vanilla3)^0.5)/A1stdlife))</f>
        <v>n/a</v>
      </c>
      <c r="L48" s="67" t="str">
        <f>IF(A1stdlife="n/a","n/a",IF(L$3&gt;(A1stdlife+$F48),(Input!$J$143*(1+vanilla3)^0.5)-SUM($J48:K48),(Input!$J$143*(1+vanilla3)^0.5)/A1stdlife))</f>
        <v>n/a</v>
      </c>
      <c r="M48" s="67" t="str">
        <f>IF(A1stdlife="n/a","n/a",IF(M$3&gt;(A1stdlife+$F48),(Input!$J$143*(1+vanilla3)^0.5)-SUM($J48:L48),(Input!$J$143*(1+vanilla3)^0.5)/A1stdlife))</f>
        <v>n/a</v>
      </c>
      <c r="N48" s="67" t="str">
        <f>IF(A1stdlife="n/a","n/a",IF(N$3&gt;(A1stdlife+$F48),(Input!$J$143*(1+vanilla3)^0.5)-SUM($J48:M48),(Input!$J$143*(1+vanilla3)^0.5)/A1stdlife))</f>
        <v>n/a</v>
      </c>
      <c r="O48" s="67" t="str">
        <f>IF(A1stdlife="n/a","n/a",IF(O$3&gt;(A1stdlife+$F48),(Input!$J$143*(1+vanilla3)^0.5)-SUM($J48:N48),(Input!$J$143*(1+vanilla3)^0.5)/A1stdlife))</f>
        <v>n/a</v>
      </c>
      <c r="P48" s="67" t="str">
        <f>IF(A1stdlife="n/a","n/a",IF(P$3&gt;(A1stdlife+$F48),(Input!$J$143*(1+vanilla3)^0.5)-SUM($J48:O48),(Input!$J$143*(1+vanilla3)^0.5)/A1stdlife))</f>
        <v>n/a</v>
      </c>
      <c r="Q48" s="67" t="str">
        <f>IF(A1stdlife="n/a","n/a",IF(Q$3&gt;(A1stdlife+$F48),(Input!$J$143*(1+vanilla3)^0.5)-SUM($J48:P48),(Input!$J$143*(1+vanilla3)^0.5)/A1stdlife))</f>
        <v>n/a</v>
      </c>
      <c r="R48" s="29"/>
      <c r="S48" s="100"/>
      <c r="T48" s="100"/>
      <c r="U48" s="100"/>
      <c r="V48" s="100"/>
      <c r="W48" s="100"/>
      <c r="X48" s="100"/>
      <c r="Y48" s="100"/>
      <c r="Z48" s="100"/>
      <c r="AA48" s="100"/>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100"/>
      <c r="BE48" s="100"/>
      <c r="BF48" s="100"/>
      <c r="BG48" s="100"/>
      <c r="BH48" s="100"/>
      <c r="BI48" s="100"/>
      <c r="BJ48" s="100"/>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5"/>
      <c r="D49" s="24"/>
      <c r="E49" s="376"/>
      <c r="F49" s="85">
        <v>4</v>
      </c>
      <c r="G49" s="26"/>
      <c r="H49" s="146"/>
      <c r="I49" s="148"/>
      <c r="J49" s="148"/>
      <c r="K49" s="147"/>
      <c r="L49" s="67" t="str">
        <f>IF(A1stdlife="n/a","n/a",IF(L$3&gt;(A1stdlife+$F49),(Input!$K$143*(1+vanilla4)^0.5)-SUM($K49:K49),(Input!$K$143*(1+vanilla4)^0.5)/A1stdlife))</f>
        <v>n/a</v>
      </c>
      <c r="M49" s="67" t="str">
        <f>IF(A1stdlife="n/a","n/a",IF(M$3&gt;(A1stdlife+$F49),(Input!$K$143*(1+vanilla4)^0.5)-SUM($K49:L49),(Input!$K$143*(1+vanilla4)^0.5)/A1stdlife))</f>
        <v>n/a</v>
      </c>
      <c r="N49" s="67" t="str">
        <f>IF(A1stdlife="n/a","n/a",IF(N$3&gt;(A1stdlife+$F49),(Input!$K$143*(1+vanilla4)^0.5)-SUM($K49:M49),(Input!$K$143*(1+vanilla4)^0.5)/A1stdlife))</f>
        <v>n/a</v>
      </c>
      <c r="O49" s="67" t="str">
        <f>IF(A1stdlife="n/a","n/a",IF(O$3&gt;(A1stdlife+$F49),(Input!$K$143*(1+vanilla4)^0.5)-SUM($K49:N49),(Input!$K$143*(1+vanilla4)^0.5)/A1stdlife))</f>
        <v>n/a</v>
      </c>
      <c r="P49" s="67" t="str">
        <f>IF(A1stdlife="n/a","n/a",IF(P$3&gt;(A1stdlife+$F49),(Input!$K$143*(1+vanilla4)^0.5)-SUM($K49:O49),(Input!$K$143*(1+vanilla4)^0.5)/A1stdlife))</f>
        <v>n/a</v>
      </c>
      <c r="Q49" s="67" t="str">
        <f>IF(A1stdlife="n/a","n/a",IF(Q$3&gt;(A1stdlife+$F49),(Input!$K$143*(1+vanilla4)^0.5)-SUM($K49:P49),(Input!$K$143*(1+vanilla4)^0.5)/A1stdlife))</f>
        <v>n/a</v>
      </c>
      <c r="R49" s="29"/>
      <c r="S49" s="100"/>
      <c r="T49" s="100"/>
      <c r="U49" s="100"/>
      <c r="V49" s="100"/>
      <c r="W49" s="100"/>
      <c r="X49" s="100"/>
      <c r="Y49" s="100"/>
      <c r="Z49" s="100"/>
      <c r="AA49" s="100"/>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100"/>
      <c r="BE49" s="100"/>
      <c r="BF49" s="100"/>
      <c r="BG49" s="100"/>
      <c r="BH49" s="100"/>
      <c r="BI49" s="100"/>
      <c r="BJ49" s="100"/>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5"/>
      <c r="D50" s="24"/>
      <c r="E50" s="376"/>
      <c r="F50" s="85">
        <v>5</v>
      </c>
      <c r="G50" s="26"/>
      <c r="H50" s="220"/>
      <c r="I50" s="221"/>
      <c r="J50" s="221"/>
      <c r="K50" s="221"/>
      <c r="L50" s="222"/>
      <c r="M50" s="29" t="str">
        <f>IF(A1stdlife="n/a","n/a",IF(M$3&gt;(A1stdlife+$F50),(Input!$L$143*(1+vanilla5)^0.5)-SUM($L50:L50),(Input!$L$143*(1+vanilla5)^0.5)/A1stdlife))</f>
        <v>n/a</v>
      </c>
      <c r="N50" s="29" t="str">
        <f>IF(A1stdlife="n/a","n/a",IF(N$3&gt;(A1stdlife+$F50),(Input!$L$143*(1+vanilla5)^0.5)-SUM($L50:M50),(Input!$L$143*(1+vanilla5)^0.5)/A1stdlife))</f>
        <v>n/a</v>
      </c>
      <c r="O50" s="29" t="str">
        <f>IF(A1stdlife="n/a","n/a",IF(O$3&gt;(A1stdlife+$F50),(Input!$L$143*(1+vanilla5)^0.5)-SUM($L50:N50),(Input!$L$143*(1+vanilla5)^0.5)/A1stdlife))</f>
        <v>n/a</v>
      </c>
      <c r="P50" s="29" t="str">
        <f>IF(A1stdlife="n/a","n/a",IF(P$3&gt;(A1stdlife+$F50),(Input!$L$143*(1+vanilla5)^0.5)-SUM($L50:O50),(Input!$L$143*(1+vanilla5)^0.5)/A1stdlife))</f>
        <v>n/a</v>
      </c>
      <c r="Q50" s="29" t="str">
        <f>IF(A1stdlife="n/a","n/a",IF(Q$3&gt;(A1stdlife+$F50),(Input!$L$143*(1+vanilla5)^0.5)-SUM($L50:P50),(Input!$L$143*(1+vanilla5)^0.5)/A1stdlife))</f>
        <v>n/a</v>
      </c>
      <c r="R50" s="29"/>
      <c r="S50" s="100"/>
      <c r="T50" s="100"/>
      <c r="U50" s="100"/>
      <c r="V50" s="100"/>
      <c r="W50" s="100"/>
      <c r="X50" s="100"/>
      <c r="Y50" s="100"/>
      <c r="Z50" s="100"/>
      <c r="AA50" s="100"/>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100"/>
      <c r="BE50" s="100"/>
      <c r="BF50" s="100"/>
      <c r="BG50" s="100"/>
      <c r="BH50" s="100"/>
      <c r="BI50" s="100"/>
      <c r="BJ50" s="100"/>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5"/>
      <c r="D51" s="24"/>
      <c r="E51" s="376"/>
      <c r="F51" s="85">
        <v>6</v>
      </c>
      <c r="G51" s="26"/>
      <c r="H51" s="220"/>
      <c r="I51" s="221"/>
      <c r="J51" s="221"/>
      <c r="K51" s="221"/>
      <c r="L51" s="221"/>
      <c r="M51" s="222"/>
      <c r="N51" s="29" t="str">
        <f>IF(A1stdlife="n/a","n/a",IF(N$3&gt;(A1stdlife+$F51),(Input!$M$143*(1+vanilla6)^0.5)-SUM($M51:M51),(Input!$M$143*(1+vanilla6)^0.5)/A1stdlife))</f>
        <v>n/a</v>
      </c>
      <c r="O51" s="29" t="str">
        <f>IF(A1stdlife="n/a","n/a",IF(O$3&gt;(A1stdlife+$F51),(Input!$M$143*(1+vanilla6)^0.5)-SUM($M51:N51),(Input!$M$143*(1+vanilla6)^0.5)/A1stdlife))</f>
        <v>n/a</v>
      </c>
      <c r="P51" s="29" t="str">
        <f>IF(A1stdlife="n/a","n/a",IF(P$3&gt;(A1stdlife+$F51),(Input!$M$143*(1+vanilla6)^0.5)-SUM($M51:O51),(Input!$M$143*(1+vanilla6)^0.5)/A1stdlife))</f>
        <v>n/a</v>
      </c>
      <c r="Q51" s="29" t="str">
        <f>IF(A1stdlife="n/a","n/a",IF(Q$3&gt;(A1stdlife+$F51),(Input!$M$143*(1+vanilla6)^0.5)-SUM($M51:P51),(Input!$M$143*(1+vanilla6)^0.5)/A1stdlife))</f>
        <v>n/a</v>
      </c>
      <c r="R51" s="29"/>
      <c r="S51" s="100"/>
      <c r="T51" s="100"/>
      <c r="U51" s="100"/>
      <c r="V51" s="100"/>
      <c r="W51" s="100"/>
      <c r="X51" s="100"/>
      <c r="Y51" s="100"/>
      <c r="Z51" s="100"/>
      <c r="AA51" s="100"/>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100"/>
      <c r="BE51" s="100"/>
      <c r="BF51" s="100"/>
      <c r="BG51" s="100"/>
      <c r="BH51" s="100"/>
      <c r="BI51" s="100"/>
      <c r="BJ51" s="100"/>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5"/>
      <c r="D52" s="24"/>
      <c r="E52" s="376"/>
      <c r="F52" s="85">
        <v>7</v>
      </c>
      <c r="G52" s="26"/>
      <c r="H52" s="220"/>
      <c r="I52" s="221"/>
      <c r="J52" s="221"/>
      <c r="K52" s="221"/>
      <c r="L52" s="221"/>
      <c r="M52" s="221"/>
      <c r="N52" s="222"/>
      <c r="O52" s="29" t="str">
        <f>IF(A1stdlife="n/a","n/a",IF(O$3&gt;(A1stdlife+$F52),(Input!$N$143*(1+vanilla7)^0.5)-SUM($N52:N52),(Input!$N$143*(1+vanilla7)^0.5)/A1stdlife))</f>
        <v>n/a</v>
      </c>
      <c r="P52" s="29" t="str">
        <f>IF(A1stdlife="n/a","n/a",IF(P$3&gt;(A1stdlife+$F52),(Input!$N$143*(1+vanilla7)^0.5)-SUM($N52:O52),(Input!$N$143*(1+vanilla7)^0.5)/A1stdlife))</f>
        <v>n/a</v>
      </c>
      <c r="Q52" s="29" t="str">
        <f>IF(A1stdlife="n/a","n/a",IF(Q$3&gt;(A1stdlife+$F52),(Input!$N$143*(1+vanilla7)^0.5)-SUM($N52:P52),(Input!$N$143*(1+vanilla7)^0.5)/A1stdlife))</f>
        <v>n/a</v>
      </c>
      <c r="R52" s="29"/>
      <c r="S52" s="100"/>
      <c r="T52" s="100"/>
      <c r="U52" s="100"/>
      <c r="V52" s="100"/>
      <c r="W52" s="100"/>
      <c r="X52" s="100"/>
      <c r="Y52" s="100"/>
      <c r="Z52" s="100"/>
      <c r="AA52" s="100"/>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100"/>
      <c r="BE52" s="100"/>
      <c r="BF52" s="100"/>
      <c r="BG52" s="100"/>
      <c r="BH52" s="100"/>
      <c r="BI52" s="100"/>
      <c r="BJ52" s="100"/>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5"/>
      <c r="D53" s="24"/>
      <c r="E53" s="376"/>
      <c r="F53" s="85">
        <v>8</v>
      </c>
      <c r="G53" s="26"/>
      <c r="H53" s="220"/>
      <c r="I53" s="221"/>
      <c r="J53" s="221"/>
      <c r="K53" s="221"/>
      <c r="L53" s="221"/>
      <c r="M53" s="221"/>
      <c r="N53" s="221"/>
      <c r="O53" s="222"/>
      <c r="P53" s="29" t="str">
        <f>IF(A1stdlife="n/a","n/a",IF(P$3&gt;(A1stdlife+$F53),(Input!$O$143*(1+vanilla8)^0.5)-SUM($O53:O53),(Input!$O$143*(1+vanilla8)^0.5)/A1stdlife))</f>
        <v>n/a</v>
      </c>
      <c r="Q53" s="29" t="str">
        <f>IF(A1stdlife="n/a","n/a",IF(Q$3&gt;(A1stdlife+$F53),(Input!$O$143*(1+vanilla8)^0.5)-SUM($O53:P53),(Input!$O$143*(1+vanilla8)^0.5)/A1stdlife))</f>
        <v>n/a</v>
      </c>
      <c r="R53" s="29"/>
      <c r="S53" s="100"/>
      <c r="T53" s="100"/>
      <c r="U53" s="100"/>
      <c r="V53" s="100"/>
      <c r="W53" s="100"/>
      <c r="X53" s="100"/>
      <c r="Y53" s="100"/>
      <c r="Z53" s="100"/>
      <c r="AA53" s="100"/>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100"/>
      <c r="BE53" s="100"/>
      <c r="BF53" s="100"/>
      <c r="BG53" s="100"/>
      <c r="BH53" s="100"/>
      <c r="BI53" s="100"/>
      <c r="BJ53" s="100"/>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5"/>
      <c r="D54" s="24"/>
      <c r="E54" s="376"/>
      <c r="F54" s="85">
        <v>9</v>
      </c>
      <c r="G54" s="26"/>
      <c r="H54" s="220"/>
      <c r="I54" s="221"/>
      <c r="J54" s="221"/>
      <c r="K54" s="221"/>
      <c r="L54" s="221"/>
      <c r="M54" s="221"/>
      <c r="N54" s="221"/>
      <c r="O54" s="221"/>
      <c r="P54" s="222"/>
      <c r="Q54" s="29" t="str">
        <f>IF(A1stdlife="n/a","n/a",IF(Q$3&gt;(A1stdlife+$F54),(Input!$P$143*(1+vanilla9)^0.5)-SUM($P54:P54),(Input!$P$143*(1+vanilla9)^0.5)/A1stdlife))</f>
        <v>n/a</v>
      </c>
      <c r="R54" s="29"/>
      <c r="S54" s="100"/>
      <c r="T54" s="100"/>
      <c r="U54" s="100"/>
      <c r="V54" s="100"/>
      <c r="W54" s="100"/>
      <c r="X54" s="100"/>
      <c r="Y54" s="100"/>
      <c r="Z54" s="100"/>
      <c r="AA54" s="100"/>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100"/>
      <c r="BE54" s="100"/>
      <c r="BF54" s="100"/>
      <c r="BG54" s="100"/>
      <c r="BH54" s="100"/>
      <c r="BI54" s="100"/>
      <c r="BJ54" s="100"/>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5"/>
      <c r="D55" s="24"/>
      <c r="E55" s="376"/>
      <c r="F55" s="86">
        <v>10</v>
      </c>
      <c r="G55" s="26"/>
      <c r="H55" s="220"/>
      <c r="I55" s="221"/>
      <c r="J55" s="221"/>
      <c r="K55" s="221"/>
      <c r="L55" s="221"/>
      <c r="M55" s="221"/>
      <c r="N55" s="221"/>
      <c r="O55" s="221"/>
      <c r="P55" s="221"/>
      <c r="Q55" s="222"/>
      <c r="R55" s="29"/>
      <c r="S55" s="100"/>
      <c r="T55" s="100"/>
      <c r="U55" s="100"/>
      <c r="V55" s="100"/>
      <c r="W55" s="100"/>
      <c r="X55" s="100"/>
      <c r="Y55" s="100"/>
      <c r="Z55" s="100"/>
      <c r="AA55" s="100"/>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100"/>
      <c r="BE55" s="100"/>
      <c r="BF55" s="100"/>
      <c r="BG55" s="100"/>
      <c r="BH55" s="100"/>
      <c r="BI55" s="100"/>
      <c r="BJ55" s="100"/>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customHeight="1" outlineLevel="1" collapsed="1">
      <c r="A56" s="9"/>
      <c r="B56" s="9"/>
      <c r="C56" s="9"/>
      <c r="D56" s="25" t="str">
        <f>Asset1</f>
        <v>Transmission &amp; Zone land &amp; easements</v>
      </c>
      <c r="E56" s="9"/>
      <c r="F56" s="9"/>
      <c r="G56" s="122"/>
      <c r="H56" s="164">
        <f>-SUM(H44:H55)</f>
        <v>0</v>
      </c>
      <c r="I56" s="164">
        <f>-SUM(I44:I55)</f>
        <v>0</v>
      </c>
      <c r="J56" s="164">
        <f>-SUM(J44:J55)</f>
        <v>0</v>
      </c>
      <c r="K56" s="164">
        <f>-SUM(K44:K55)</f>
        <v>0</v>
      </c>
      <c r="L56" s="164">
        <f>-SUM(L44:L55)</f>
        <v>0</v>
      </c>
      <c r="M56" s="164">
        <f>IF(Input!M173&gt;0, -SUM(M44:M55), 0)</f>
        <v>0</v>
      </c>
      <c r="N56" s="164">
        <f>IF(Input!N173&gt;0, -SUM(N44:N55), 0)</f>
        <v>0</v>
      </c>
      <c r="O56" s="164">
        <f>IF(Input!O173&gt;0, -SUM(O44:O55), 0)</f>
        <v>0</v>
      </c>
      <c r="P56" s="164">
        <f>IF(Input!P173&gt;0, -SUM(P44:P55), 0)</f>
        <v>0</v>
      </c>
      <c r="Q56" s="164">
        <f>IF(Input!Q173&gt;0, -SUM(Q44:Q55), 0)</f>
        <v>0</v>
      </c>
      <c r="R56" s="63"/>
      <c r="S56" s="101"/>
      <c r="T56" s="101"/>
      <c r="U56" s="101"/>
      <c r="V56" s="101"/>
      <c r="W56" s="101"/>
      <c r="X56" s="101"/>
      <c r="Y56" s="101"/>
      <c r="Z56" s="101"/>
      <c r="AA56" s="101"/>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101"/>
      <c r="BE56" s="101"/>
      <c r="BF56" s="101"/>
      <c r="BG56" s="101"/>
      <c r="BH56" s="101"/>
      <c r="BI56" s="101"/>
      <c r="BJ56" s="101"/>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hidden="1" customHeight="1" outlineLevel="2">
      <c r="A57" s="9"/>
      <c r="B57" s="9"/>
      <c r="C57" s="31" t="str">
        <f>Asset2</f>
        <v>Transmission buildings 132/66kV</v>
      </c>
      <c r="D57" s="161"/>
      <c r="E57" s="33" t="s">
        <v>28</v>
      </c>
      <c r="F57" s="32"/>
      <c r="G57" s="174"/>
      <c r="H57" s="66">
        <f>IF(H$3&gt;A2remlife,A2value-SUM($G57:G57),IF(A2remlife="N/A","n/a",A2value/A2remlife))</f>
        <v>0.98303727696952614</v>
      </c>
      <c r="I57" s="66">
        <f>IF(I$3&gt;A2remlife,A2value-SUM($G57:H57),IF(A2remlife="N/A","n/a",A2value/A2remlife))</f>
        <v>0.98303727696952614</v>
      </c>
      <c r="J57" s="66">
        <f>IF(J$3&gt;A2remlife,A2value-SUM($G57:I57),IF(A2remlife="N/A","n/a",A2value/A2remlife))</f>
        <v>0.98303727696952614</v>
      </c>
      <c r="K57" s="66">
        <f>IF(K$3&gt;A2remlife,A2value-SUM($G57:J57),IF(A2remlife="N/A","n/a",A2value/A2remlife))</f>
        <v>0.98303727696952614</v>
      </c>
      <c r="L57" s="66">
        <f>IF(L$3&gt;A2remlife,A2value-SUM($G57:K57),IF(A2remlife="N/A","n/a",A2value/A2remlife))</f>
        <v>0.98303727696952614</v>
      </c>
      <c r="M57" s="66">
        <f>IF(M$3&gt;A2remlife,A2value-SUM($G57:L57),IF(A2remlife="N/A","n/a",A2value/A2remlife))</f>
        <v>0.98303727696952614</v>
      </c>
      <c r="N57" s="66">
        <f>IF(N$3&gt;A2remlife,A2value-SUM($G57:M57),IF(A2remlife="N/A","n/a",A2value/A2remlife))</f>
        <v>0.98303727696952614</v>
      </c>
      <c r="O57" s="66">
        <f>IF(O$3&gt;A2remlife,A2value-SUM($G57:N57),IF(A2remlife="N/A","n/a",A2value/A2remlife))</f>
        <v>0.98303727696952614</v>
      </c>
      <c r="P57" s="66">
        <f>IF(P$3&gt;A2remlife,A2value-SUM($G57:O57),IF(A2remlife="N/A","n/a",A2value/A2remlife))</f>
        <v>0.98303727696952614</v>
      </c>
      <c r="Q57" s="66">
        <f>IF(Q$3&gt;A2remlife,A2value-SUM($G57:P57),IF(A2remlife="N/A","n/a",A2value/A2remlife))</f>
        <v>0.98303727696952614</v>
      </c>
      <c r="R57" s="66"/>
      <c r="S57" s="102"/>
      <c r="T57" s="102"/>
      <c r="U57" s="102"/>
      <c r="V57" s="102"/>
      <c r="W57" s="102"/>
      <c r="X57" s="102"/>
      <c r="Y57" s="102"/>
      <c r="Z57" s="102"/>
      <c r="AA57" s="102"/>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102"/>
      <c r="BE57" s="102"/>
      <c r="BF57" s="102"/>
      <c r="BG57" s="102"/>
      <c r="BH57" s="102"/>
      <c r="BI57" s="102"/>
      <c r="BJ57" s="102"/>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5"/>
      <c r="E58" s="375" t="s">
        <v>85</v>
      </c>
      <c r="F58" s="85">
        <v>0</v>
      </c>
      <c r="G58" s="122"/>
      <c r="H58" s="67"/>
      <c r="I58" s="67"/>
      <c r="J58" s="67"/>
      <c r="K58" s="67"/>
      <c r="L58" s="67"/>
      <c r="M58" s="163"/>
      <c r="N58" s="111"/>
      <c r="O58" s="67"/>
      <c r="P58" s="67"/>
      <c r="Q58" s="67"/>
      <c r="R58" s="67"/>
      <c r="S58" s="102"/>
      <c r="T58" s="102"/>
      <c r="U58" s="102"/>
      <c r="V58" s="102"/>
      <c r="W58" s="102"/>
      <c r="X58" s="102"/>
      <c r="Y58" s="102"/>
      <c r="Z58" s="102"/>
      <c r="AA58" s="102"/>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102"/>
      <c r="BE58" s="102"/>
      <c r="BF58" s="102"/>
      <c r="BG58" s="102"/>
      <c r="BH58" s="102"/>
      <c r="BI58" s="102"/>
      <c r="BJ58" s="102"/>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hidden="1" customHeight="1" outlineLevel="2">
      <c r="A59" s="9"/>
      <c r="B59" s="9"/>
      <c r="C59" s="9"/>
      <c r="D59" s="25"/>
      <c r="E59" s="376"/>
      <c r="F59" s="85">
        <v>1</v>
      </c>
      <c r="G59" s="122"/>
      <c r="H59" s="145"/>
      <c r="I59" s="67">
        <f>IF(A2stdlife="n/a","n/a",IF(I$3&gt;(A2stdlife+$F59),(Input!$H$144*(1+vanilla1)^0.5)-SUM($H59:H59),(Input!$H$144*(1+vanilla1)^0.5)/A2stdlife))</f>
        <v>0.31663526594179442</v>
      </c>
      <c r="J59" s="67">
        <f>IF(A2stdlife="n/a","n/a",IF(J$3&gt;(A2stdlife+$F59),(Input!$H$144*(1+vanilla1)^0.5)-SUM($H59:I59),(Input!$H$144*(1+vanilla1)^0.5)/A2stdlife))</f>
        <v>0.31663526594179442</v>
      </c>
      <c r="K59" s="67">
        <f>IF(A2stdlife="n/a","n/a",IF(K$3&gt;(A2stdlife+$F59),(Input!$H$144*(1+vanilla1)^0.5)-SUM($H59:J59),(Input!$H$144*(1+vanilla1)^0.5)/A2stdlife))</f>
        <v>0.31663526594179442</v>
      </c>
      <c r="L59" s="67">
        <f>IF(A2stdlife="n/a","n/a",IF(L$3&gt;(A2stdlife+$F59),(Input!$H$144*(1+vanilla1)^0.5)-SUM($H59:K59),(Input!$H$144*(1+vanilla1)^0.5)/A2stdlife))</f>
        <v>0.31663526594179442</v>
      </c>
      <c r="M59" s="67">
        <f>IF(A2stdlife="n/a","n/a",IF(M$3&gt;(A2stdlife+$F59),(Input!$H$144*(1+vanilla1)^0.5)-SUM($H59:L59),(Input!$H$144*(1+vanilla1)^0.5)/A2stdlife))</f>
        <v>0.31663526594179442</v>
      </c>
      <c r="N59" s="67">
        <f>IF(A2stdlife="n/a","n/a",IF(N$3&gt;(A2stdlife+$F59),(Input!$H$144*(1+vanilla1)^0.5)-SUM($H59:M59),(Input!$H$144*(1+vanilla1)^0.5)/A2stdlife))</f>
        <v>0.31663526594179442</v>
      </c>
      <c r="O59" s="67">
        <f>IF(A2stdlife="n/a","n/a",IF(O$3&gt;(A2stdlife+$F59),(Input!$H$144*(1+vanilla1)^0.5)-SUM($H59:N59),(Input!$H$144*(1+vanilla1)^0.5)/A2stdlife))</f>
        <v>0.31663526594179442</v>
      </c>
      <c r="P59" s="67">
        <f>IF(A2stdlife="n/a","n/a",IF(P$3&gt;(A2stdlife+$F59),(Input!$H$144*(1+vanilla1)^0.5)-SUM($H59:O59),(Input!$H$144*(1+vanilla1)^0.5)/A2stdlife))</f>
        <v>0.31663526594179442</v>
      </c>
      <c r="Q59" s="67">
        <f>IF(A2stdlife="n/a","n/a",IF(Q$3&gt;(A2stdlife+$F59),(Input!$H$144*(1+vanilla1)^0.5)-SUM($H59:P59),(Input!$H$144*(1+vanilla1)^0.5)/A2stdlife))</f>
        <v>0.31663526594179442</v>
      </c>
      <c r="R59" s="67"/>
      <c r="S59" s="102"/>
      <c r="T59" s="102"/>
      <c r="U59" s="102"/>
      <c r="V59" s="102"/>
      <c r="W59" s="102"/>
      <c r="X59" s="102"/>
      <c r="Y59" s="102"/>
      <c r="Z59" s="102"/>
      <c r="AA59" s="102"/>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102"/>
      <c r="BE59" s="102"/>
      <c r="BF59" s="102"/>
      <c r="BG59" s="102"/>
      <c r="BH59" s="102"/>
      <c r="BI59" s="102"/>
      <c r="BJ59" s="102"/>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hidden="1" customHeight="1" outlineLevel="2">
      <c r="A60" s="9"/>
      <c r="B60" s="9"/>
      <c r="C60" s="9"/>
      <c r="D60" s="25"/>
      <c r="E60" s="376"/>
      <c r="F60" s="85">
        <v>2</v>
      </c>
      <c r="G60" s="122"/>
      <c r="H60" s="146"/>
      <c r="I60" s="147"/>
      <c r="J60" s="67">
        <f>IF(A2stdlife="n/a","n/a",IF(J$3&gt;(A2stdlife+$F60),(Input!$I$144*(1+vanilla2)^0.5)-SUM($I60:I60),(Input!$I$144*(1+vanilla2)^0.5)/A2stdlife))</f>
        <v>7.5144322704905758E-2</v>
      </c>
      <c r="K60" s="67">
        <f>IF(A2stdlife="n/a","n/a",IF(K$3&gt;(A2stdlife+$F60),(Input!$I$144*(1+vanilla2)^0.5)-SUM($I60:J60),(Input!$I$144*(1+vanilla2)^0.5)/A2stdlife))</f>
        <v>7.5144322704905758E-2</v>
      </c>
      <c r="L60" s="67">
        <f>IF(A2stdlife="n/a","n/a",IF(L$3&gt;(A2stdlife+$F60),(Input!$I$144*(1+vanilla2)^0.5)-SUM($I60:K60),(Input!$I$144*(1+vanilla2)^0.5)/A2stdlife))</f>
        <v>7.5144322704905758E-2</v>
      </c>
      <c r="M60" s="67">
        <f>IF(A2stdlife="n/a","n/a",IF(M$3&gt;(A2stdlife+$F60),(Input!$I$144*(1+vanilla2)^0.5)-SUM($I60:L60),(Input!$I$144*(1+vanilla2)^0.5)/A2stdlife))</f>
        <v>7.5144322704905758E-2</v>
      </c>
      <c r="N60" s="67">
        <f>IF(A2stdlife="n/a","n/a",IF(N$3&gt;(A2stdlife+$F60),(Input!$I$144*(1+vanilla2)^0.5)-SUM($I60:M60),(Input!$I$144*(1+vanilla2)^0.5)/A2stdlife))</f>
        <v>7.5144322704905758E-2</v>
      </c>
      <c r="O60" s="67">
        <f>IF(A2stdlife="n/a","n/a",IF(O$3&gt;(A2stdlife+$F60),(Input!$I$144*(1+vanilla2)^0.5)-SUM($I60:N60),(Input!$I$144*(1+vanilla2)^0.5)/A2stdlife))</f>
        <v>7.5144322704905758E-2</v>
      </c>
      <c r="P60" s="67">
        <f>IF(A2stdlife="n/a","n/a",IF(P$3&gt;(A2stdlife+$F60),(Input!$I$144*(1+vanilla2)^0.5)-SUM($I60:O60),(Input!$I$144*(1+vanilla2)^0.5)/A2stdlife))</f>
        <v>7.5144322704905758E-2</v>
      </c>
      <c r="Q60" s="67">
        <f>IF(A2stdlife="n/a","n/a",IF(Q$3&gt;(A2stdlife+$F60),(Input!$I$144*(1+vanilla2)^0.5)-SUM($I60:P60),(Input!$I$144*(1+vanilla2)^0.5)/A2stdlife))</f>
        <v>7.5144322704905758E-2</v>
      </c>
      <c r="R60" s="67"/>
      <c r="S60" s="102"/>
      <c r="T60" s="102"/>
      <c r="U60" s="102"/>
      <c r="V60" s="102"/>
      <c r="W60" s="102"/>
      <c r="X60" s="102"/>
      <c r="Y60" s="102"/>
      <c r="Z60" s="102"/>
      <c r="AA60" s="102"/>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102"/>
      <c r="BE60" s="102"/>
      <c r="BF60" s="102"/>
      <c r="BG60" s="102"/>
      <c r="BH60" s="102"/>
      <c r="BI60" s="102"/>
      <c r="BJ60" s="102"/>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hidden="1" customHeight="1" outlineLevel="2">
      <c r="A61" s="9"/>
      <c r="B61" s="9"/>
      <c r="C61" s="9"/>
      <c r="D61" s="25"/>
      <c r="E61" s="376"/>
      <c r="F61" s="85">
        <v>3</v>
      </c>
      <c r="G61" s="122"/>
      <c r="H61" s="146"/>
      <c r="I61" s="148"/>
      <c r="J61" s="147"/>
      <c r="K61" s="67">
        <f>IF(A2stdlife="n/a","n/a",IF(K$3&gt;(A2stdlife+$F61),(Input!$J$144*(1+vanilla3)^0.5)-SUM($J61:J61),(Input!$J$144*(1+vanilla3)^0.5)/A2stdlife))</f>
        <v>4.861410056210827E-2</v>
      </c>
      <c r="L61" s="67">
        <f>IF(A2stdlife="n/a","n/a",IF(L$3&gt;(A2stdlife+$F61),(Input!$J$144*(1+vanilla3)^0.5)-SUM($J61:K61),(Input!$J$144*(1+vanilla3)^0.5)/A2stdlife))</f>
        <v>4.861410056210827E-2</v>
      </c>
      <c r="M61" s="67">
        <f>IF(A2stdlife="n/a","n/a",IF(M$3&gt;(A2stdlife+$F61),(Input!$J$144*(1+vanilla3)^0.5)-SUM($J61:L61),(Input!$J$144*(1+vanilla3)^0.5)/A2stdlife))</f>
        <v>4.861410056210827E-2</v>
      </c>
      <c r="N61" s="67">
        <f>IF(A2stdlife="n/a","n/a",IF(N$3&gt;(A2stdlife+$F61),(Input!$J$144*(1+vanilla3)^0.5)-SUM($J61:M61),(Input!$J$144*(1+vanilla3)^0.5)/A2stdlife))</f>
        <v>4.861410056210827E-2</v>
      </c>
      <c r="O61" s="67">
        <f>IF(A2stdlife="n/a","n/a",IF(O$3&gt;(A2stdlife+$F61),(Input!$J$144*(1+vanilla3)^0.5)-SUM($J61:N61),(Input!$J$144*(1+vanilla3)^0.5)/A2stdlife))</f>
        <v>4.861410056210827E-2</v>
      </c>
      <c r="P61" s="67">
        <f>IF(A2stdlife="n/a","n/a",IF(P$3&gt;(A2stdlife+$F61),(Input!$J$144*(1+vanilla3)^0.5)-SUM($J61:O61),(Input!$J$144*(1+vanilla3)^0.5)/A2stdlife))</f>
        <v>4.861410056210827E-2</v>
      </c>
      <c r="Q61" s="67">
        <f>IF(A2stdlife="n/a","n/a",IF(Q$3&gt;(A2stdlife+$F61),(Input!$J$144*(1+vanilla3)^0.5)-SUM($J61:P61),(Input!$J$144*(1+vanilla3)^0.5)/A2stdlife))</f>
        <v>4.861410056210827E-2</v>
      </c>
      <c r="R61" s="67"/>
      <c r="S61" s="102"/>
      <c r="T61" s="102"/>
      <c r="U61" s="102"/>
      <c r="V61" s="102"/>
      <c r="W61" s="102"/>
      <c r="X61" s="102"/>
      <c r="Y61" s="102"/>
      <c r="Z61" s="102"/>
      <c r="AA61" s="102"/>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102"/>
      <c r="BE61" s="102"/>
      <c r="BF61" s="102"/>
      <c r="BG61" s="102"/>
      <c r="BH61" s="102"/>
      <c r="BI61" s="102"/>
      <c r="BJ61" s="102"/>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hidden="1" customHeight="1" outlineLevel="2">
      <c r="A62" s="9"/>
      <c r="B62" s="9"/>
      <c r="C62" s="9"/>
      <c r="D62" s="25"/>
      <c r="E62" s="376"/>
      <c r="F62" s="85">
        <v>4</v>
      </c>
      <c r="G62" s="122"/>
      <c r="H62" s="146"/>
      <c r="I62" s="148"/>
      <c r="J62" s="148"/>
      <c r="K62" s="147"/>
      <c r="L62" s="67">
        <f>IF(A2stdlife="n/a","n/a",IF(L$3&gt;(A2stdlife+$F62),(Input!$K$144*(1+vanilla4)^0.5)-SUM($K62:K62),(Input!$K$144*(1+vanilla4)^0.5)/A2stdlife))</f>
        <v>9.8505224582806833E-2</v>
      </c>
      <c r="M62" s="67">
        <f>IF(A2stdlife="n/a","n/a",IF(M$3&gt;(A2stdlife+$F62),(Input!$K$144*(1+vanilla4)^0.5)-SUM($K62:L62),(Input!$K$144*(1+vanilla4)^0.5)/A2stdlife))</f>
        <v>9.8505224582806833E-2</v>
      </c>
      <c r="N62" s="67">
        <f>IF(A2stdlife="n/a","n/a",IF(N$3&gt;(A2stdlife+$F62),(Input!$K$144*(1+vanilla4)^0.5)-SUM($K62:M62),(Input!$K$144*(1+vanilla4)^0.5)/A2stdlife))</f>
        <v>9.8505224582806833E-2</v>
      </c>
      <c r="O62" s="67">
        <f>IF(A2stdlife="n/a","n/a",IF(O$3&gt;(A2stdlife+$F62),(Input!$K$144*(1+vanilla4)^0.5)-SUM($K62:N62),(Input!$K$144*(1+vanilla4)^0.5)/A2stdlife))</f>
        <v>9.8505224582806833E-2</v>
      </c>
      <c r="P62" s="67">
        <f>IF(A2stdlife="n/a","n/a",IF(P$3&gt;(A2stdlife+$F62),(Input!$K$144*(1+vanilla4)^0.5)-SUM($K62:O62),(Input!$K$144*(1+vanilla4)^0.5)/A2stdlife))</f>
        <v>9.8505224582806833E-2</v>
      </c>
      <c r="Q62" s="67">
        <f>IF(A2stdlife="n/a","n/a",IF(Q$3&gt;(A2stdlife+$F62),(Input!$K$144*(1+vanilla4)^0.5)-SUM($K62:P62),(Input!$K$144*(1+vanilla4)^0.5)/A2stdlife))</f>
        <v>9.8505224582806833E-2</v>
      </c>
      <c r="R62" s="67"/>
      <c r="S62" s="102"/>
      <c r="T62" s="102"/>
      <c r="U62" s="102"/>
      <c r="V62" s="102"/>
      <c r="W62" s="102"/>
      <c r="X62" s="102"/>
      <c r="Y62" s="102"/>
      <c r="Z62" s="102"/>
      <c r="AA62" s="102"/>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102"/>
      <c r="BE62" s="102"/>
      <c r="BF62" s="102"/>
      <c r="BG62" s="102"/>
      <c r="BH62" s="102"/>
      <c r="BI62" s="102"/>
      <c r="BJ62" s="102"/>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hidden="1" customHeight="1" outlineLevel="2">
      <c r="A63" s="9"/>
      <c r="B63" s="9"/>
      <c r="C63" s="9"/>
      <c r="D63" s="25"/>
      <c r="E63" s="376"/>
      <c r="F63" s="85">
        <v>5</v>
      </c>
      <c r="G63" s="122"/>
      <c r="H63" s="146"/>
      <c r="I63" s="148"/>
      <c r="J63" s="148"/>
      <c r="K63" s="148"/>
      <c r="L63" s="147"/>
      <c r="M63" s="67">
        <f>IF(A2stdlife="n/a","n/a",IF(M$3&gt;(A2stdlife+$F63),(Input!$L$144*(1+vanilla5)^0.5)-SUM($L63:L63),(Input!$L$144*(1+vanilla5)^0.5)/A2stdlife))</f>
        <v>7.3876816976352594E-2</v>
      </c>
      <c r="N63" s="67">
        <f>IF(A2stdlife="n/a","n/a",IF(N$3&gt;(A2stdlife+$F63),(Input!$L$144*(1+vanilla5)^0.5)-SUM($L63:M63),(Input!$L$144*(1+vanilla5)^0.5)/A2stdlife))</f>
        <v>7.3876816976352594E-2</v>
      </c>
      <c r="O63" s="67">
        <f>IF(A2stdlife="n/a","n/a",IF(O$3&gt;(A2stdlife+$F63),(Input!$L$144*(1+vanilla5)^0.5)-SUM($L63:N63),(Input!$L$144*(1+vanilla5)^0.5)/A2stdlife))</f>
        <v>7.3876816976352594E-2</v>
      </c>
      <c r="P63" s="67">
        <f>IF(A2stdlife="n/a","n/a",IF(P$3&gt;(A2stdlife+$F63),(Input!$L$144*(1+vanilla5)^0.5)-SUM($L63:O63),(Input!$L$144*(1+vanilla5)^0.5)/A2stdlife))</f>
        <v>7.3876816976352594E-2</v>
      </c>
      <c r="Q63" s="67">
        <f>IF(A2stdlife="n/a","n/a",IF(Q$3&gt;(A2stdlife+$F63),(Input!$L$144*(1+vanilla5)^0.5)-SUM($L63:P63),(Input!$L$144*(1+vanilla5)^0.5)/A2stdlife))</f>
        <v>7.3876816976352594E-2</v>
      </c>
      <c r="R63" s="67"/>
      <c r="S63" s="102"/>
      <c r="T63" s="102"/>
      <c r="U63" s="102"/>
      <c r="V63" s="102"/>
      <c r="W63" s="102"/>
      <c r="X63" s="102"/>
      <c r="Y63" s="102"/>
      <c r="Z63" s="102"/>
      <c r="AA63" s="102"/>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102"/>
      <c r="BE63" s="102"/>
      <c r="BF63" s="102"/>
      <c r="BG63" s="102"/>
      <c r="BH63" s="102"/>
      <c r="BI63" s="102"/>
      <c r="BJ63" s="102"/>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hidden="1" customHeight="1" outlineLevel="2">
      <c r="A64" s="9"/>
      <c r="B64" s="9"/>
      <c r="C64" s="9"/>
      <c r="D64" s="25"/>
      <c r="E64" s="376"/>
      <c r="F64" s="85">
        <v>6</v>
      </c>
      <c r="G64" s="122"/>
      <c r="H64" s="146"/>
      <c r="I64" s="148"/>
      <c r="J64" s="148"/>
      <c r="K64" s="148"/>
      <c r="L64" s="148"/>
      <c r="M64" s="147"/>
      <c r="N64" s="67">
        <f>IF(A2stdlife="n/a","n/a",IF(N$3&gt;(A2stdlife+$F64),(Input!$M$144*(1+vanilla6)^0.5)-SUM($M64:M64),(Input!$M$144*(1+vanilla6)^0.5)/A2stdlife))</f>
        <v>0</v>
      </c>
      <c r="O64" s="67">
        <f>IF(A2stdlife="n/a","n/a",IF(O$3&gt;(A2stdlife+$F64),(Input!$M$144*(1+vanilla6)^0.5)-SUM($M64:N64),(Input!$M$144*(1+vanilla6)^0.5)/A2stdlife))</f>
        <v>0</v>
      </c>
      <c r="P64" s="67">
        <f>IF(A2stdlife="n/a","n/a",IF(P$3&gt;(A2stdlife+$F64),(Input!$M$144*(1+vanilla6)^0.5)-SUM($M64:O64),(Input!$M$144*(1+vanilla6)^0.5)/A2stdlife))</f>
        <v>0</v>
      </c>
      <c r="Q64" s="67">
        <f>IF(A2stdlife="n/a","n/a",IF(Q$3&gt;(A2stdlife+$F64),(Input!$M$144*(1+vanilla6)^0.5)-SUM($M64:P64),(Input!$M$144*(1+vanilla6)^0.5)/A2stdlife))</f>
        <v>0</v>
      </c>
      <c r="R64" s="67"/>
      <c r="S64" s="102"/>
      <c r="T64" s="102"/>
      <c r="U64" s="102"/>
      <c r="V64" s="102"/>
      <c r="W64" s="102"/>
      <c r="X64" s="102"/>
      <c r="Y64" s="102"/>
      <c r="Z64" s="102"/>
      <c r="AA64" s="102"/>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102"/>
      <c r="BE64" s="102"/>
      <c r="BF64" s="102"/>
      <c r="BG64" s="102"/>
      <c r="BH64" s="102"/>
      <c r="BI64" s="102"/>
      <c r="BJ64" s="102"/>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hidden="1" customHeight="1" outlineLevel="2">
      <c r="A65" s="9"/>
      <c r="B65" s="9"/>
      <c r="C65" s="9"/>
      <c r="D65" s="25"/>
      <c r="E65" s="376"/>
      <c r="F65" s="85">
        <v>7</v>
      </c>
      <c r="G65" s="122"/>
      <c r="H65" s="146"/>
      <c r="I65" s="148"/>
      <c r="J65" s="148"/>
      <c r="K65" s="148"/>
      <c r="L65" s="148"/>
      <c r="M65" s="148"/>
      <c r="N65" s="147"/>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2"/>
      <c r="T65" s="102"/>
      <c r="U65" s="102"/>
      <c r="V65" s="102"/>
      <c r="W65" s="102"/>
      <c r="X65" s="102"/>
      <c r="Y65" s="102"/>
      <c r="Z65" s="102"/>
      <c r="AA65" s="102"/>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102"/>
      <c r="BE65" s="102"/>
      <c r="BF65" s="102"/>
      <c r="BG65" s="102"/>
      <c r="BH65" s="102"/>
      <c r="BI65" s="102"/>
      <c r="BJ65" s="102"/>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hidden="1" customHeight="1" outlineLevel="2">
      <c r="A66" s="9"/>
      <c r="B66" s="9"/>
      <c r="C66" s="9"/>
      <c r="D66" s="25"/>
      <c r="E66" s="376"/>
      <c r="F66" s="85">
        <v>8</v>
      </c>
      <c r="G66" s="122"/>
      <c r="H66" s="146"/>
      <c r="I66" s="148"/>
      <c r="J66" s="148"/>
      <c r="K66" s="148"/>
      <c r="L66" s="148"/>
      <c r="M66" s="148"/>
      <c r="N66" s="148"/>
      <c r="O66" s="147"/>
      <c r="P66" s="67">
        <f>IF(A2stdlife="n/a","n/a",IF(P$3&gt;(A2stdlife+$F66),(Input!$O$144*(1+vanilla8)^0.5)-SUM($O66:O66),(Input!$O$144*(1+vanilla8)^0.5)/A2stdlife))</f>
        <v>0</v>
      </c>
      <c r="Q66" s="67">
        <f>IF(A2stdlife="n/a","n/a",IF(Q$3&gt;(A2stdlife+$F66),(Input!$O$144*(1+vanilla8)^0.5)-SUM($O66:P66),(Input!$O$144*(1+vanilla8)^0.5)/A2stdlife))</f>
        <v>0</v>
      </c>
      <c r="R66" s="67"/>
      <c r="S66" s="102"/>
      <c r="T66" s="102"/>
      <c r="U66" s="102"/>
      <c r="V66" s="102"/>
      <c r="W66" s="102"/>
      <c r="X66" s="102"/>
      <c r="Y66" s="102"/>
      <c r="Z66" s="102"/>
      <c r="AA66" s="102"/>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102"/>
      <c r="BE66" s="102"/>
      <c r="BF66" s="102"/>
      <c r="BG66" s="102"/>
      <c r="BH66" s="102"/>
      <c r="BI66" s="102"/>
      <c r="BJ66" s="102"/>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hidden="1" customHeight="1" outlineLevel="2">
      <c r="A67" s="9"/>
      <c r="B67" s="9"/>
      <c r="C67" s="9"/>
      <c r="D67" s="25"/>
      <c r="E67" s="376"/>
      <c r="F67" s="85">
        <v>9</v>
      </c>
      <c r="G67" s="122"/>
      <c r="H67" s="146"/>
      <c r="I67" s="148"/>
      <c r="J67" s="148"/>
      <c r="K67" s="148"/>
      <c r="L67" s="148"/>
      <c r="M67" s="148"/>
      <c r="N67" s="148"/>
      <c r="O67" s="148"/>
      <c r="P67" s="147"/>
      <c r="Q67" s="67">
        <f>IF(A2stdlife="n/a","n/a",IF(Q$3&gt;(A2stdlife+$F67),(Input!$P$144*(1+vanilla9)^0.5)-SUM($P67:P67),(Input!$P$144*(1+vanilla9)^0.5)/A2stdlife))</f>
        <v>0</v>
      </c>
      <c r="R67" s="67"/>
      <c r="S67" s="102"/>
      <c r="T67" s="102"/>
      <c r="U67" s="102"/>
      <c r="V67" s="102"/>
      <c r="W67" s="102"/>
      <c r="X67" s="102"/>
      <c r="Y67" s="102"/>
      <c r="Z67" s="102"/>
      <c r="AA67" s="102"/>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102"/>
      <c r="BE67" s="102"/>
      <c r="BF67" s="102"/>
      <c r="BG67" s="102"/>
      <c r="BH67" s="102"/>
      <c r="BI67" s="102"/>
      <c r="BJ67" s="102"/>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hidden="1" customHeight="1" outlineLevel="2">
      <c r="A68" s="9"/>
      <c r="B68" s="9"/>
      <c r="C68" s="9"/>
      <c r="D68" s="25"/>
      <c r="E68" s="376"/>
      <c r="F68" s="86">
        <v>10</v>
      </c>
      <c r="G68" s="122"/>
      <c r="H68" s="146"/>
      <c r="I68" s="148"/>
      <c r="J68" s="148"/>
      <c r="K68" s="148"/>
      <c r="L68" s="148"/>
      <c r="M68" s="148"/>
      <c r="N68" s="148"/>
      <c r="O68" s="148"/>
      <c r="P68" s="148"/>
      <c r="Q68" s="147"/>
      <c r="R68" s="67"/>
      <c r="S68" s="102"/>
      <c r="T68" s="102"/>
      <c r="U68" s="102"/>
      <c r="V68" s="102"/>
      <c r="W68" s="102"/>
      <c r="X68" s="102"/>
      <c r="Y68" s="102"/>
      <c r="Z68" s="102"/>
      <c r="AA68" s="102"/>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102"/>
      <c r="BE68" s="102"/>
      <c r="BF68" s="102"/>
      <c r="BG68" s="102"/>
      <c r="BH68" s="102"/>
      <c r="BI68" s="102"/>
      <c r="BJ68" s="102"/>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customHeight="1" outlineLevel="1" collapsed="1">
      <c r="A69" s="9"/>
      <c r="B69" s="9"/>
      <c r="C69" s="9"/>
      <c r="D69" s="25" t="str">
        <f>Asset2</f>
        <v>Transmission buildings 132/66kV</v>
      </c>
      <c r="E69" s="9"/>
      <c r="F69" s="9"/>
      <c r="G69" s="122"/>
      <c r="H69" s="67">
        <f>-SUM(H57:H68)</f>
        <v>-0.98303727696952614</v>
      </c>
      <c r="I69" s="67">
        <f>-SUM(I57:I68)</f>
        <v>-1.2996725429113205</v>
      </c>
      <c r="J69" s="67">
        <f>-SUM(J57:J68)</f>
        <v>-1.3748168656162263</v>
      </c>
      <c r="K69" s="67">
        <f>-SUM(K57:K68)</f>
        <v>-1.4234309661783346</v>
      </c>
      <c r="L69" s="67">
        <f>-SUM(L57:L68)</f>
        <v>-1.5219361907611415</v>
      </c>
      <c r="M69" s="67">
        <f>IF(Input!M173&gt;0, -SUM(M57:M68), 0)</f>
        <v>0</v>
      </c>
      <c r="N69" s="67">
        <f>IF(Input!N173&gt;0, -SUM(N57:N68), 0)</f>
        <v>0</v>
      </c>
      <c r="O69" s="67">
        <f>IF(Input!O173&gt;0, -SUM(O57:O68), 0)</f>
        <v>0</v>
      </c>
      <c r="P69" s="67">
        <f>IF(Input!P173&gt;0, -SUM(P57:P68), 0)</f>
        <v>0</v>
      </c>
      <c r="Q69" s="67">
        <f>IF(Input!Q173&gt;0, -SUM(Q57:Q68), 0)</f>
        <v>0</v>
      </c>
      <c r="R69" s="64"/>
      <c r="S69" s="103"/>
      <c r="T69" s="103"/>
      <c r="U69" s="103"/>
      <c r="V69" s="103"/>
      <c r="W69" s="103"/>
      <c r="X69" s="103"/>
      <c r="Y69" s="103"/>
      <c r="Z69" s="103"/>
      <c r="AA69" s="103"/>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103"/>
      <c r="BE69" s="103"/>
      <c r="BF69" s="103"/>
      <c r="BG69" s="103"/>
      <c r="BH69" s="103"/>
      <c r="BI69" s="103"/>
      <c r="BJ69" s="103"/>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31" t="str">
        <f>Asset3</f>
        <v>Zone buildings 132/66kV</v>
      </c>
      <c r="D70" s="161"/>
      <c r="E70" s="33" t="s">
        <v>28</v>
      </c>
      <c r="F70" s="32"/>
      <c r="G70" s="174"/>
      <c r="H70" s="66">
        <f>IF(H$3&gt;A3remlife,A3value-SUM($G70:G70),IF(A3remlife="N/A","n/a",A3value/A3remlife))</f>
        <v>1.2587496744965521</v>
      </c>
      <c r="I70" s="66">
        <f>IF(I$3&gt;A3remlife,A3value-SUM($G70:H70),IF(A3remlife="N/A","n/a",A3value/A3remlife))</f>
        <v>1.2587496744965521</v>
      </c>
      <c r="J70" s="66">
        <f>IF(J$3&gt;A3remlife,A3value-SUM($G70:I70),IF(A3remlife="N/A","n/a",A3value/A3remlife))</f>
        <v>1.2587496744965521</v>
      </c>
      <c r="K70" s="66">
        <f>IF(K$3&gt;A3remlife,A3value-SUM($G70:J70),IF(A3remlife="N/A","n/a",A3value/A3remlife))</f>
        <v>1.2587496744965521</v>
      </c>
      <c r="L70" s="66">
        <f>IF(L$3&gt;A3remlife,A3value-SUM($G70:K70),IF(A3remlife="N/A","n/a",A3value/A3remlife))</f>
        <v>1.2587496744965521</v>
      </c>
      <c r="M70" s="66">
        <f>IF(M$3&gt;A3remlife,A3value-SUM($G70:L70),IF(A3remlife="N/A","n/a",A3value/A3remlife))</f>
        <v>1.2587496744965521</v>
      </c>
      <c r="N70" s="66">
        <f>IF(N$3&gt;A3remlife,A3value-SUM($G70:M70),IF(A3remlife="N/A","n/a",A3value/A3remlife))</f>
        <v>1.2587496744965521</v>
      </c>
      <c r="O70" s="66">
        <f>IF(O$3&gt;A3remlife,A3value-SUM($G70:N70),IF(A3remlife="N/A","n/a",A3value/A3remlife))</f>
        <v>1.2587496744965521</v>
      </c>
      <c r="P70" s="66">
        <f>IF(P$3&gt;A3remlife,A3value-SUM($G70:O70),IF(A3remlife="N/A","n/a",A3value/A3remlife))</f>
        <v>1.2587496744965521</v>
      </c>
      <c r="Q70" s="66">
        <f>IF(Q$3&gt;A3remlife,A3value-SUM($G70:P70),IF(A3remlife="N/A","n/a",A3value/A3remlife))</f>
        <v>1.2587496744965521</v>
      </c>
      <c r="R70" s="66"/>
      <c r="S70" s="102"/>
      <c r="T70" s="102"/>
      <c r="U70" s="102"/>
      <c r="V70" s="102"/>
      <c r="W70" s="102"/>
      <c r="X70" s="102"/>
      <c r="Y70" s="102"/>
      <c r="Z70" s="102"/>
      <c r="AA70" s="102"/>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102"/>
      <c r="BE70" s="102"/>
      <c r="BF70" s="102"/>
      <c r="BG70" s="102"/>
      <c r="BH70" s="102"/>
      <c r="BI70" s="102"/>
      <c r="BJ70" s="102"/>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5"/>
      <c r="E71" s="375" t="s">
        <v>85</v>
      </c>
      <c r="F71" s="85">
        <v>0</v>
      </c>
      <c r="G71" s="122"/>
      <c r="H71" s="67"/>
      <c r="I71" s="67"/>
      <c r="J71" s="67"/>
      <c r="K71" s="67"/>
      <c r="L71" s="67"/>
      <c r="M71" s="163"/>
      <c r="N71" s="111"/>
      <c r="O71" s="67"/>
      <c r="P71" s="67"/>
      <c r="Q71" s="67"/>
      <c r="R71" s="67"/>
      <c r="S71" s="102"/>
      <c r="T71" s="102"/>
      <c r="U71" s="102"/>
      <c r="V71" s="102"/>
      <c r="W71" s="102"/>
      <c r="X71" s="102"/>
      <c r="Y71" s="102"/>
      <c r="Z71" s="102"/>
      <c r="AA71" s="102"/>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102"/>
      <c r="BE71" s="102"/>
      <c r="BF71" s="102"/>
      <c r="BG71" s="102"/>
      <c r="BH71" s="102"/>
      <c r="BI71" s="102"/>
      <c r="BJ71" s="102"/>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hidden="1" customHeight="1" outlineLevel="2">
      <c r="A72" s="9"/>
      <c r="B72" s="9"/>
      <c r="C72" s="9"/>
      <c r="D72" s="25"/>
      <c r="E72" s="376"/>
      <c r="F72" s="85">
        <v>1</v>
      </c>
      <c r="G72" s="122"/>
      <c r="H72" s="145"/>
      <c r="I72" s="67">
        <f>IF(A3stdlife="n/a","n/a",IF(I$3&gt;(A3stdlife+$F72),(Input!$H$145*(1+vanilla1)^0.5)-SUM($H72:H72),(Input!$H$145*(1+vanilla1)^0.5)/A3stdlife))</f>
        <v>6.8160101613394929E-3</v>
      </c>
      <c r="J72" s="67">
        <f>IF(A3stdlife="n/a","n/a",IF(J$3&gt;(A3stdlife+$F72),(Input!$H$145*(1+vanilla1)^0.5)-SUM($H72:I72),(Input!$H$145*(1+vanilla1)^0.5)/A3stdlife))</f>
        <v>6.8160101613394929E-3</v>
      </c>
      <c r="K72" s="67">
        <f>IF(A3stdlife="n/a","n/a",IF(K$3&gt;(A3stdlife+$F72),(Input!$H$145*(1+vanilla1)^0.5)-SUM($H72:J72),(Input!$H$145*(1+vanilla1)^0.5)/A3stdlife))</f>
        <v>6.8160101613394929E-3</v>
      </c>
      <c r="L72" s="67">
        <f>IF(A3stdlife="n/a","n/a",IF(L$3&gt;(A3stdlife+$F72),(Input!$H$145*(1+vanilla1)^0.5)-SUM($H72:K72),(Input!$H$145*(1+vanilla1)^0.5)/A3stdlife))</f>
        <v>6.8160101613394929E-3</v>
      </c>
      <c r="M72" s="67">
        <f>IF(A3stdlife="n/a","n/a",IF(M$3&gt;(A3stdlife+$F72),(Input!$H$145*(1+vanilla1)^0.5)-SUM($H72:L72),(Input!$H$145*(1+vanilla1)^0.5)/A3stdlife))</f>
        <v>6.8160101613394929E-3</v>
      </c>
      <c r="N72" s="67">
        <f>IF(A3stdlife="n/a","n/a",IF(N$3&gt;(A3stdlife+$F72),(Input!$H$145*(1+vanilla1)^0.5)-SUM($H72:M72),(Input!$H$145*(1+vanilla1)^0.5)/A3stdlife))</f>
        <v>6.8160101613394929E-3</v>
      </c>
      <c r="O72" s="67">
        <f>IF(A3stdlife="n/a","n/a",IF(O$3&gt;(A3stdlife+$F72),(Input!$H$145*(1+vanilla1)^0.5)-SUM($H72:N72),(Input!$H$145*(1+vanilla1)^0.5)/A3stdlife))</f>
        <v>6.8160101613394929E-3</v>
      </c>
      <c r="P72" s="67">
        <f>IF(A3stdlife="n/a","n/a",IF(P$3&gt;(A3stdlife+$F72),(Input!$H$145*(1+vanilla1)^0.5)-SUM($H72:O72),(Input!$H$145*(1+vanilla1)^0.5)/A3stdlife))</f>
        <v>6.8160101613394929E-3</v>
      </c>
      <c r="Q72" s="67">
        <f>IF(A3stdlife="n/a","n/a",IF(Q$3&gt;(A3stdlife+$F72),(Input!$H$145*(1+vanilla1)^0.5)-SUM($H72:P72),(Input!$H$145*(1+vanilla1)^0.5)/A3stdlife))</f>
        <v>6.8160101613394929E-3</v>
      </c>
      <c r="R72" s="67"/>
      <c r="S72" s="102"/>
      <c r="T72" s="102"/>
      <c r="U72" s="102"/>
      <c r="V72" s="102"/>
      <c r="W72" s="102"/>
      <c r="X72" s="102"/>
      <c r="Y72" s="102"/>
      <c r="Z72" s="102"/>
      <c r="AA72" s="102"/>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102"/>
      <c r="BE72" s="102"/>
      <c r="BF72" s="102"/>
      <c r="BG72" s="102"/>
      <c r="BH72" s="102"/>
      <c r="BI72" s="102"/>
      <c r="BJ72" s="102"/>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376"/>
      <c r="F73" s="85">
        <v>2</v>
      </c>
      <c r="G73" s="122"/>
      <c r="H73" s="146"/>
      <c r="I73" s="147"/>
      <c r="J73" s="67">
        <f>IF(A3stdlife="n/a","n/a",IF(J$3&gt;(A3stdlife+$F73),(Input!$I$145*(1+vanilla2)^0.5)-SUM($I73:I73),(Input!$I$145*(1+vanilla2)^0.5)/A3stdlife))</f>
        <v>0.10816805672449986</v>
      </c>
      <c r="K73" s="67">
        <f>IF(A3stdlife="n/a","n/a",IF(K$3&gt;(A3stdlife+$F73),(Input!$I$145*(1+vanilla2)^0.5)-SUM($I73:J73),(Input!$I$145*(1+vanilla2)^0.5)/A3stdlife))</f>
        <v>0.10816805672449986</v>
      </c>
      <c r="L73" s="67">
        <f>IF(A3stdlife="n/a","n/a",IF(L$3&gt;(A3stdlife+$F73),(Input!$I$145*(1+vanilla2)^0.5)-SUM($I73:K73),(Input!$I$145*(1+vanilla2)^0.5)/A3stdlife))</f>
        <v>0.10816805672449986</v>
      </c>
      <c r="M73" s="67">
        <f>IF(A3stdlife="n/a","n/a",IF(M$3&gt;(A3stdlife+$F73),(Input!$I$145*(1+vanilla2)^0.5)-SUM($I73:L73),(Input!$I$145*(1+vanilla2)^0.5)/A3stdlife))</f>
        <v>0.10816805672449986</v>
      </c>
      <c r="N73" s="67">
        <f>IF(A3stdlife="n/a","n/a",IF(N$3&gt;(A3stdlife+$F73),(Input!$I$145*(1+vanilla2)^0.5)-SUM($I73:M73),(Input!$I$145*(1+vanilla2)^0.5)/A3stdlife))</f>
        <v>0.10816805672449986</v>
      </c>
      <c r="O73" s="67">
        <f>IF(A3stdlife="n/a","n/a",IF(O$3&gt;(A3stdlife+$F73),(Input!$I$145*(1+vanilla2)^0.5)-SUM($I73:N73),(Input!$I$145*(1+vanilla2)^0.5)/A3stdlife))</f>
        <v>0.10816805672449986</v>
      </c>
      <c r="P73" s="67">
        <f>IF(A3stdlife="n/a","n/a",IF(P$3&gt;(A3stdlife+$F73),(Input!$I$145*(1+vanilla2)^0.5)-SUM($I73:O73),(Input!$I$145*(1+vanilla2)^0.5)/A3stdlife))</f>
        <v>0.10816805672449986</v>
      </c>
      <c r="Q73" s="67">
        <f>IF(A3stdlife="n/a","n/a",IF(Q$3&gt;(A3stdlife+$F73),(Input!$I$145*(1+vanilla2)^0.5)-SUM($I73:P73),(Input!$I$145*(1+vanilla2)^0.5)/A3stdlife))</f>
        <v>0.10816805672449986</v>
      </c>
      <c r="R73" s="67"/>
      <c r="S73" s="102"/>
      <c r="T73" s="102"/>
      <c r="U73" s="102"/>
      <c r="V73" s="102"/>
      <c r="W73" s="102"/>
      <c r="X73" s="102"/>
      <c r="Y73" s="102"/>
      <c r="Z73" s="102"/>
      <c r="AA73" s="102"/>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102"/>
      <c r="BE73" s="102"/>
      <c r="BF73" s="102"/>
      <c r="BG73" s="102"/>
      <c r="BH73" s="102"/>
      <c r="BI73" s="102"/>
      <c r="BJ73" s="102"/>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hidden="1" customHeight="1" outlineLevel="2">
      <c r="A74" s="9"/>
      <c r="B74" s="9"/>
      <c r="C74" s="9"/>
      <c r="D74" s="25"/>
      <c r="E74" s="376"/>
      <c r="F74" s="85">
        <v>3</v>
      </c>
      <c r="G74" s="122"/>
      <c r="H74" s="146"/>
      <c r="I74" s="148"/>
      <c r="J74" s="147"/>
      <c r="K74" s="67">
        <f>IF(A3stdlife="n/a","n/a",IF(K$3&gt;(A3stdlife+$F74),(Input!$J$145*(1+vanilla3)^0.5)-SUM($J74:J74),(Input!$J$145*(1+vanilla3)^0.5)/A3stdlife))</f>
        <v>7.6396701412484974E-2</v>
      </c>
      <c r="L74" s="67">
        <f>IF(A3stdlife="n/a","n/a",IF(L$3&gt;(A3stdlife+$F74),(Input!$J$145*(1+vanilla3)^0.5)-SUM($J74:K74),(Input!$J$145*(1+vanilla3)^0.5)/A3stdlife))</f>
        <v>7.6396701412484974E-2</v>
      </c>
      <c r="M74" s="67">
        <f>IF(A3stdlife="n/a","n/a",IF(M$3&gt;(A3stdlife+$F74),(Input!$J$145*(1+vanilla3)^0.5)-SUM($J74:L74),(Input!$J$145*(1+vanilla3)^0.5)/A3stdlife))</f>
        <v>7.6396701412484974E-2</v>
      </c>
      <c r="N74" s="67">
        <f>IF(A3stdlife="n/a","n/a",IF(N$3&gt;(A3stdlife+$F74),(Input!$J$145*(1+vanilla3)^0.5)-SUM($J74:M74),(Input!$J$145*(1+vanilla3)^0.5)/A3stdlife))</f>
        <v>7.6396701412484974E-2</v>
      </c>
      <c r="O74" s="67">
        <f>IF(A3stdlife="n/a","n/a",IF(O$3&gt;(A3stdlife+$F74),(Input!$J$145*(1+vanilla3)^0.5)-SUM($J74:N74),(Input!$J$145*(1+vanilla3)^0.5)/A3stdlife))</f>
        <v>7.6396701412484974E-2</v>
      </c>
      <c r="P74" s="67">
        <f>IF(A3stdlife="n/a","n/a",IF(P$3&gt;(A3stdlife+$F74),(Input!$J$145*(1+vanilla3)^0.5)-SUM($J74:O74),(Input!$J$145*(1+vanilla3)^0.5)/A3stdlife))</f>
        <v>7.6396701412484974E-2</v>
      </c>
      <c r="Q74" s="67">
        <f>IF(A3stdlife="n/a","n/a",IF(Q$3&gt;(A3stdlife+$F74),(Input!$J$145*(1+vanilla3)^0.5)-SUM($J74:P74),(Input!$J$145*(1+vanilla3)^0.5)/A3stdlife))</f>
        <v>7.6396701412484974E-2</v>
      </c>
      <c r="R74" s="67"/>
      <c r="S74" s="102"/>
      <c r="T74" s="102"/>
      <c r="U74" s="102"/>
      <c r="V74" s="102"/>
      <c r="W74" s="102"/>
      <c r="X74" s="102"/>
      <c r="Y74" s="102"/>
      <c r="Z74" s="102"/>
      <c r="AA74" s="102"/>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102"/>
      <c r="BE74" s="102"/>
      <c r="BF74" s="102"/>
      <c r="BG74" s="102"/>
      <c r="BH74" s="102"/>
      <c r="BI74" s="102"/>
      <c r="BJ74" s="102"/>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hidden="1" customHeight="1" outlineLevel="2">
      <c r="A75" s="9"/>
      <c r="B75" s="9"/>
      <c r="C75" s="9"/>
      <c r="D75" s="25"/>
      <c r="E75" s="376"/>
      <c r="F75" s="85">
        <v>4</v>
      </c>
      <c r="G75" s="122"/>
      <c r="H75" s="146"/>
      <c r="I75" s="148"/>
      <c r="J75" s="148"/>
      <c r="K75" s="147"/>
      <c r="L75" s="67">
        <f>IF(A3stdlife="n/a","n/a",IF(L$3&gt;(A3stdlife+$F75),(Input!$K$145*(1+vanilla4)^0.5)-SUM($K75:K75),(Input!$K$145*(1+vanilla4)^0.5)/A3stdlife))</f>
        <v>0.52160921396180859</v>
      </c>
      <c r="M75" s="67">
        <f>IF(A3stdlife="n/a","n/a",IF(M$3&gt;(A3stdlife+$F75),(Input!$K$145*(1+vanilla4)^0.5)-SUM($K75:L75),(Input!$K$145*(1+vanilla4)^0.5)/A3stdlife))</f>
        <v>0.52160921396180859</v>
      </c>
      <c r="N75" s="67">
        <f>IF(A3stdlife="n/a","n/a",IF(N$3&gt;(A3stdlife+$F75),(Input!$K$145*(1+vanilla4)^0.5)-SUM($K75:M75),(Input!$K$145*(1+vanilla4)^0.5)/A3stdlife))</f>
        <v>0.52160921396180859</v>
      </c>
      <c r="O75" s="67">
        <f>IF(A3stdlife="n/a","n/a",IF(O$3&gt;(A3stdlife+$F75),(Input!$K$145*(1+vanilla4)^0.5)-SUM($K75:N75),(Input!$K$145*(1+vanilla4)^0.5)/A3stdlife))</f>
        <v>0.52160921396180859</v>
      </c>
      <c r="P75" s="67">
        <f>IF(A3stdlife="n/a","n/a",IF(P$3&gt;(A3stdlife+$F75),(Input!$K$145*(1+vanilla4)^0.5)-SUM($K75:O75),(Input!$K$145*(1+vanilla4)^0.5)/A3stdlife))</f>
        <v>0.52160921396180859</v>
      </c>
      <c r="Q75" s="67">
        <f>IF(A3stdlife="n/a","n/a",IF(Q$3&gt;(A3stdlife+$F75),(Input!$K$145*(1+vanilla4)^0.5)-SUM($K75:P75),(Input!$K$145*(1+vanilla4)^0.5)/A3stdlife))</f>
        <v>0.52160921396180859</v>
      </c>
      <c r="R75" s="67"/>
      <c r="S75" s="102"/>
      <c r="T75" s="102"/>
      <c r="U75" s="102"/>
      <c r="V75" s="102"/>
      <c r="W75" s="102"/>
      <c r="X75" s="102"/>
      <c r="Y75" s="102"/>
      <c r="Z75" s="102"/>
      <c r="AA75" s="102"/>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102"/>
      <c r="BE75" s="102"/>
      <c r="BF75" s="102"/>
      <c r="BG75" s="102"/>
      <c r="BH75" s="102"/>
      <c r="BI75" s="102"/>
      <c r="BJ75" s="102"/>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hidden="1" customHeight="1" outlineLevel="2">
      <c r="A76" s="9"/>
      <c r="B76" s="9"/>
      <c r="C76" s="9"/>
      <c r="D76" s="25"/>
      <c r="E76" s="376"/>
      <c r="F76" s="85">
        <v>5</v>
      </c>
      <c r="G76" s="122"/>
      <c r="H76" s="146"/>
      <c r="I76" s="148"/>
      <c r="J76" s="148"/>
      <c r="K76" s="148"/>
      <c r="L76" s="147"/>
      <c r="M76" s="67">
        <f>IF(A3stdlife="n/a","n/a",IF(M$3&gt;(A3stdlife+$F76),(Input!$L$145*(1+vanilla5)^0.5)-SUM($L76:L76),(Input!$L$145*(1+vanilla5)^0.5)/A3stdlife))</f>
        <v>0.39954467797754561</v>
      </c>
      <c r="N76" s="67">
        <f>IF(A3stdlife="n/a","n/a",IF(N$3&gt;(A3stdlife+$F76),(Input!$L$145*(1+vanilla5)^0.5)-SUM($L76:M76),(Input!$L$145*(1+vanilla5)^0.5)/A3stdlife))</f>
        <v>0.39954467797754561</v>
      </c>
      <c r="O76" s="67">
        <f>IF(A3stdlife="n/a","n/a",IF(O$3&gt;(A3stdlife+$F76),(Input!$L$145*(1+vanilla5)^0.5)-SUM($L76:N76),(Input!$L$145*(1+vanilla5)^0.5)/A3stdlife))</f>
        <v>0.39954467797754561</v>
      </c>
      <c r="P76" s="67">
        <f>IF(A3stdlife="n/a","n/a",IF(P$3&gt;(A3stdlife+$F76),(Input!$L$145*(1+vanilla5)^0.5)-SUM($L76:O76),(Input!$L$145*(1+vanilla5)^0.5)/A3stdlife))</f>
        <v>0.39954467797754561</v>
      </c>
      <c r="Q76" s="67">
        <f>IF(A3stdlife="n/a","n/a",IF(Q$3&gt;(A3stdlife+$F76),(Input!$L$145*(1+vanilla5)^0.5)-SUM($L76:P76),(Input!$L$145*(1+vanilla5)^0.5)/A3stdlife))</f>
        <v>0.39954467797754561</v>
      </c>
      <c r="R76" s="67"/>
      <c r="S76" s="102"/>
      <c r="T76" s="102"/>
      <c r="U76" s="102"/>
      <c r="V76" s="102"/>
      <c r="W76" s="102"/>
      <c r="X76" s="102"/>
      <c r="Y76" s="102"/>
      <c r="Z76" s="102"/>
      <c r="AA76" s="102"/>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102"/>
      <c r="BE76" s="102"/>
      <c r="BF76" s="102"/>
      <c r="BG76" s="102"/>
      <c r="BH76" s="102"/>
      <c r="BI76" s="102"/>
      <c r="BJ76" s="102"/>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9"/>
      <c r="D77" s="25"/>
      <c r="E77" s="376"/>
      <c r="F77" s="85">
        <v>6</v>
      </c>
      <c r="G77" s="122"/>
      <c r="H77" s="146"/>
      <c r="I77" s="148"/>
      <c r="J77" s="148"/>
      <c r="K77" s="148"/>
      <c r="L77" s="148"/>
      <c r="M77" s="147"/>
      <c r="N77" s="67">
        <f>IF(A3stdlife="n/a","n/a",IF(N$3&gt;(A3stdlife+$F77),(Input!$M$145*(1+vanilla6)^0.5)-SUM($M77:M77),(Input!$M$145*(1+vanilla6)^0.5)/A3stdlife))</f>
        <v>0</v>
      </c>
      <c r="O77" s="67">
        <f>IF(A3stdlife="n/a","n/a",IF(O$3&gt;(A3stdlife+$F77),(Input!$M$145*(1+vanilla6)^0.5)-SUM($M77:N77),(Input!$M$145*(1+vanilla6)^0.5)/A3stdlife))</f>
        <v>0</v>
      </c>
      <c r="P77" s="67">
        <f>IF(A3stdlife="n/a","n/a",IF(P$3&gt;(A3stdlife+$F77),(Input!$M$145*(1+vanilla6)^0.5)-SUM($M77:O77),(Input!$M$145*(1+vanilla6)^0.5)/A3stdlife))</f>
        <v>0</v>
      </c>
      <c r="Q77" s="67">
        <f>IF(A3stdlife="n/a","n/a",IF(Q$3&gt;(A3stdlife+$F77),(Input!$M$145*(1+vanilla6)^0.5)-SUM($M77:P77),(Input!$M$145*(1+vanilla6)^0.5)/A3stdlife))</f>
        <v>0</v>
      </c>
      <c r="R77" s="67"/>
      <c r="S77" s="102"/>
      <c r="T77" s="102"/>
      <c r="U77" s="102"/>
      <c r="V77" s="102"/>
      <c r="W77" s="102"/>
      <c r="X77" s="102"/>
      <c r="Y77" s="102"/>
      <c r="Z77" s="102"/>
      <c r="AA77" s="102"/>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102"/>
      <c r="BE77" s="102"/>
      <c r="BF77" s="102"/>
      <c r="BG77" s="102"/>
      <c r="BH77" s="102"/>
      <c r="BI77" s="102"/>
      <c r="BJ77" s="102"/>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9"/>
      <c r="D78" s="25"/>
      <c r="E78" s="376"/>
      <c r="F78" s="85">
        <v>7</v>
      </c>
      <c r="G78" s="122"/>
      <c r="H78" s="146"/>
      <c r="I78" s="148"/>
      <c r="J78" s="148"/>
      <c r="K78" s="148"/>
      <c r="L78" s="148"/>
      <c r="M78" s="148"/>
      <c r="N78" s="147"/>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2"/>
      <c r="T78" s="102"/>
      <c r="U78" s="102"/>
      <c r="V78" s="102"/>
      <c r="W78" s="102"/>
      <c r="X78" s="102"/>
      <c r="Y78" s="102"/>
      <c r="Z78" s="102"/>
      <c r="AA78" s="102"/>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102"/>
      <c r="BE78" s="102"/>
      <c r="BF78" s="102"/>
      <c r="BG78" s="102"/>
      <c r="BH78" s="102"/>
      <c r="BI78" s="102"/>
      <c r="BJ78" s="102"/>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9"/>
      <c r="D79" s="25"/>
      <c r="E79" s="376"/>
      <c r="F79" s="85">
        <v>8</v>
      </c>
      <c r="G79" s="122"/>
      <c r="H79" s="146"/>
      <c r="I79" s="148"/>
      <c r="J79" s="148"/>
      <c r="K79" s="148"/>
      <c r="L79" s="148"/>
      <c r="M79" s="148"/>
      <c r="N79" s="148"/>
      <c r="O79" s="147"/>
      <c r="P79" s="67">
        <f>IF(A3stdlife="n/a","n/a",IF(P$3&gt;(A3stdlife+$F79),(Input!$O$145*(1+vanilla8)^0.5)-SUM($O79:O79),(Input!$O$145*(1+vanilla8)^0.5)/A3stdlife))</f>
        <v>0</v>
      </c>
      <c r="Q79" s="67">
        <f>IF(A3stdlife="n/a","n/a",IF(Q$3&gt;(A3stdlife+$F79),(Input!$O$145*(1+vanilla8)^0.5)-SUM($O79:P79),(Input!$O$145*(1+vanilla8)^0.5)/A3stdlife))</f>
        <v>0</v>
      </c>
      <c r="R79" s="67"/>
      <c r="S79" s="102"/>
      <c r="T79" s="102"/>
      <c r="U79" s="102"/>
      <c r="V79" s="102"/>
      <c r="W79" s="102"/>
      <c r="X79" s="102"/>
      <c r="Y79" s="102"/>
      <c r="Z79" s="102"/>
      <c r="AA79" s="102"/>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102"/>
      <c r="BE79" s="102"/>
      <c r="BF79" s="102"/>
      <c r="BG79" s="102"/>
      <c r="BH79" s="102"/>
      <c r="BI79" s="102"/>
      <c r="BJ79" s="102"/>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9"/>
      <c r="D80" s="25"/>
      <c r="E80" s="376"/>
      <c r="F80" s="85">
        <v>9</v>
      </c>
      <c r="G80" s="122"/>
      <c r="H80" s="146"/>
      <c r="I80" s="148"/>
      <c r="J80" s="148"/>
      <c r="K80" s="148"/>
      <c r="L80" s="148"/>
      <c r="M80" s="148"/>
      <c r="N80" s="148"/>
      <c r="O80" s="148"/>
      <c r="P80" s="147"/>
      <c r="Q80" s="67">
        <f>IF(A3stdlife="n/a","n/a",IF(Q$3&gt;(A3stdlife+$F80),(Input!$P$145*(1+vanilla9)^0.5)-SUM($P80:P80),(Input!$P$145*(1+vanilla9)^0.5)/A3stdlife))</f>
        <v>0</v>
      </c>
      <c r="R80" s="67"/>
      <c r="S80" s="102"/>
      <c r="T80" s="102"/>
      <c r="U80" s="102"/>
      <c r="V80" s="102"/>
      <c r="W80" s="102"/>
      <c r="X80" s="102"/>
      <c r="Y80" s="102"/>
      <c r="Z80" s="102"/>
      <c r="AA80" s="102"/>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102"/>
      <c r="BE80" s="102"/>
      <c r="BF80" s="102"/>
      <c r="BG80" s="102"/>
      <c r="BH80" s="102"/>
      <c r="BI80" s="102"/>
      <c r="BJ80" s="102"/>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9"/>
      <c r="D81" s="25"/>
      <c r="E81" s="376"/>
      <c r="F81" s="86">
        <v>10</v>
      </c>
      <c r="G81" s="122"/>
      <c r="H81" s="146"/>
      <c r="I81" s="148"/>
      <c r="J81" s="148"/>
      <c r="K81" s="148"/>
      <c r="L81" s="148"/>
      <c r="M81" s="148"/>
      <c r="N81" s="148"/>
      <c r="O81" s="148"/>
      <c r="P81" s="148"/>
      <c r="Q81" s="147"/>
      <c r="R81" s="67"/>
      <c r="S81" s="102"/>
      <c r="T81" s="102"/>
      <c r="U81" s="102"/>
      <c r="V81" s="102"/>
      <c r="W81" s="102"/>
      <c r="X81" s="102"/>
      <c r="Y81" s="102"/>
      <c r="Z81" s="102"/>
      <c r="AA81" s="102"/>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102"/>
      <c r="BE81" s="102"/>
      <c r="BF81" s="102"/>
      <c r="BG81" s="102"/>
      <c r="BH81" s="102"/>
      <c r="BI81" s="102"/>
      <c r="BJ81" s="102"/>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1" collapsed="1">
      <c r="A82" s="9"/>
      <c r="B82" s="9"/>
      <c r="C82" s="9"/>
      <c r="D82" s="25" t="str">
        <f>Asset3</f>
        <v>Zone buildings 132/66kV</v>
      </c>
      <c r="E82" s="9"/>
      <c r="F82" s="9"/>
      <c r="G82" s="122"/>
      <c r="H82" s="165">
        <f>-SUM(H70:H81)</f>
        <v>-1.2587496744965521</v>
      </c>
      <c r="I82" s="165">
        <f>-SUM(I70:I81)</f>
        <v>-1.2655656846578915</v>
      </c>
      <c r="J82" s="165">
        <f>-SUM(J70:J81)</f>
        <v>-1.3737337413823913</v>
      </c>
      <c r="K82" s="165">
        <f>-SUM(K70:K81)</f>
        <v>-1.4501304427948762</v>
      </c>
      <c r="L82" s="165">
        <f>-SUM(L70:L81)</f>
        <v>-1.9717396567566849</v>
      </c>
      <c r="M82" s="165">
        <f>IF(Input!M173&gt;0, -SUM(M70:M81), 0)</f>
        <v>0</v>
      </c>
      <c r="N82" s="165">
        <f>IF(Input!N173&gt;0, -SUM(N70:N81), 0)</f>
        <v>0</v>
      </c>
      <c r="O82" s="165">
        <f>IF(Input!O173&gt;0, -SUM(O70:O81), 0)</f>
        <v>0</v>
      </c>
      <c r="P82" s="165">
        <f>IF(Input!P173&gt;0, -SUM(P70:P81), 0)</f>
        <v>0</v>
      </c>
      <c r="Q82" s="165">
        <f>IF(Input!Q173&gt;0, -SUM(Q70:Q81), 0)</f>
        <v>0</v>
      </c>
      <c r="R82" s="65"/>
      <c r="S82" s="104"/>
      <c r="T82" s="104"/>
      <c r="U82" s="104"/>
      <c r="V82" s="104"/>
      <c r="W82" s="104"/>
      <c r="X82" s="104"/>
      <c r="Y82" s="104"/>
      <c r="Z82" s="104"/>
      <c r="AA82" s="104"/>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104"/>
      <c r="BE82" s="104"/>
      <c r="BF82" s="104"/>
      <c r="BG82" s="104"/>
      <c r="BH82" s="104"/>
      <c r="BI82" s="104"/>
      <c r="BJ82" s="104"/>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31" t="str">
        <f>Asset4</f>
        <v>Transmission transformers 132/66kV</v>
      </c>
      <c r="D83" s="161"/>
      <c r="E83" s="33" t="s">
        <v>28</v>
      </c>
      <c r="F83" s="32"/>
      <c r="G83" s="174"/>
      <c r="H83" s="66">
        <f>IF(H$3&gt;A4remlife,A4value-SUM($G83:G83),IF(A4remlife="N/A","n/a",A4value/A4remlife))</f>
        <v>0.66457491952768777</v>
      </c>
      <c r="I83" s="66">
        <f>IF(I$3&gt;A4remlife,A4value-SUM($G83:H83),IF(A4remlife="N/A","n/a",A4value/A4remlife))</f>
        <v>0.66457491952768777</v>
      </c>
      <c r="J83" s="66">
        <f>IF(J$3&gt;A4remlife,A4value-SUM($G83:I83),IF(A4remlife="N/A","n/a",A4value/A4remlife))</f>
        <v>0.66457491952768777</v>
      </c>
      <c r="K83" s="66">
        <f>IF(K$3&gt;A4remlife,A4value-SUM($G83:J83),IF(A4remlife="N/A","n/a",A4value/A4remlife))</f>
        <v>0.66457491952768777</v>
      </c>
      <c r="L83" s="66">
        <f>IF(L$3&gt;A4remlife,A4value-SUM($G83:K83),IF(A4remlife="N/A","n/a",A4value/A4remlife))</f>
        <v>0.66457491952768777</v>
      </c>
      <c r="M83" s="66">
        <f>IF(M$3&gt;A4remlife,A4value-SUM($G83:L83),IF(A4remlife="N/A","n/a",A4value/A4remlife))</f>
        <v>0.66457491952768777</v>
      </c>
      <c r="N83" s="66">
        <f>IF(N$3&gt;A4remlife,A4value-SUM($G83:M83),IF(A4remlife="N/A","n/a",A4value/A4remlife))</f>
        <v>0.66457491952768777</v>
      </c>
      <c r="O83" s="66">
        <f>IF(O$3&gt;A4remlife,A4value-SUM($G83:N83),IF(A4remlife="N/A","n/a",A4value/A4remlife))</f>
        <v>0.66457491952768777</v>
      </c>
      <c r="P83" s="66">
        <f>IF(P$3&gt;A4remlife,A4value-SUM($G83:O83),IF(A4remlife="N/A","n/a",A4value/A4remlife))</f>
        <v>0.66457491952768777</v>
      </c>
      <c r="Q83" s="66">
        <f>IF(Q$3&gt;A4remlife,A4value-SUM($G83:P83),IF(A4remlife="N/A","n/a",A4value/A4remlife))</f>
        <v>0.66457491952768777</v>
      </c>
      <c r="R83" s="66"/>
      <c r="S83" s="102"/>
      <c r="T83" s="102"/>
      <c r="U83" s="102"/>
      <c r="V83" s="102"/>
      <c r="W83" s="102"/>
      <c r="X83" s="102"/>
      <c r="Y83" s="102"/>
      <c r="Z83" s="102"/>
      <c r="AA83" s="102"/>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102"/>
      <c r="BE83" s="102"/>
      <c r="BF83" s="102"/>
      <c r="BG83" s="102"/>
      <c r="BH83" s="102"/>
      <c r="BI83" s="102"/>
      <c r="BJ83" s="102"/>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5"/>
      <c r="E84" s="375" t="s">
        <v>85</v>
      </c>
      <c r="F84" s="85">
        <v>0</v>
      </c>
      <c r="G84" s="122"/>
      <c r="H84" s="67"/>
      <c r="I84" s="67"/>
      <c r="J84" s="67"/>
      <c r="K84" s="67"/>
      <c r="L84" s="67"/>
      <c r="M84" s="163"/>
      <c r="N84" s="111"/>
      <c r="O84" s="67"/>
      <c r="P84" s="67"/>
      <c r="Q84" s="67"/>
      <c r="R84" s="67"/>
      <c r="S84" s="102"/>
      <c r="T84" s="102"/>
      <c r="U84" s="102"/>
      <c r="V84" s="102"/>
      <c r="W84" s="102"/>
      <c r="X84" s="102"/>
      <c r="Y84" s="102"/>
      <c r="Z84" s="102"/>
      <c r="AA84" s="102"/>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9"/>
      <c r="D85" s="25"/>
      <c r="E85" s="376"/>
      <c r="F85" s="85">
        <v>1</v>
      </c>
      <c r="G85" s="122"/>
      <c r="H85" s="145"/>
      <c r="I85" s="67">
        <f>IF(A4stdlife="n/a","n/a",IF(I$3&gt;(A4stdlife+$F85),(Input!$H$146*(1+vanilla1)^0.5)-SUM($H85:H85),(Input!$H$146*(1+vanilla1)^0.5)/A4stdlife))</f>
        <v>6.5875698420917422E-2</v>
      </c>
      <c r="J85" s="67">
        <f>IF(A4stdlife="n/a","n/a",IF(J$3&gt;(A4stdlife+$F85),(Input!$H$146*(1+vanilla1)^0.5)-SUM($H85:I85),(Input!$H$146*(1+vanilla1)^0.5)/A4stdlife))</f>
        <v>6.5875698420917422E-2</v>
      </c>
      <c r="K85" s="67">
        <f>IF(A4stdlife="n/a","n/a",IF(K$3&gt;(A4stdlife+$F85),(Input!$H$146*(1+vanilla1)^0.5)-SUM($H85:J85),(Input!$H$146*(1+vanilla1)^0.5)/A4stdlife))</f>
        <v>6.5875698420917422E-2</v>
      </c>
      <c r="L85" s="67">
        <f>IF(A4stdlife="n/a","n/a",IF(L$3&gt;(A4stdlife+$F85),(Input!$H$146*(1+vanilla1)^0.5)-SUM($H85:K85),(Input!$H$146*(1+vanilla1)^0.5)/A4stdlife))</f>
        <v>6.5875698420917422E-2</v>
      </c>
      <c r="M85" s="67">
        <f>IF(A4stdlife="n/a","n/a",IF(M$3&gt;(A4stdlife+$F85),(Input!$H$146*(1+vanilla1)^0.5)-SUM($H85:L85),(Input!$H$146*(1+vanilla1)^0.5)/A4stdlife))</f>
        <v>6.5875698420917422E-2</v>
      </c>
      <c r="N85" s="67">
        <f>IF(A4stdlife="n/a","n/a",IF(N$3&gt;(A4stdlife+$F85),(Input!$H$146*(1+vanilla1)^0.5)-SUM($H85:M85),(Input!$H$146*(1+vanilla1)^0.5)/A4stdlife))</f>
        <v>6.5875698420917422E-2</v>
      </c>
      <c r="O85" s="67">
        <f>IF(A4stdlife="n/a","n/a",IF(O$3&gt;(A4stdlife+$F85),(Input!$H$146*(1+vanilla1)^0.5)-SUM($H85:N85),(Input!$H$146*(1+vanilla1)^0.5)/A4stdlife))</f>
        <v>6.5875698420917422E-2</v>
      </c>
      <c r="P85" s="67">
        <f>IF(A4stdlife="n/a","n/a",IF(P$3&gt;(A4stdlife+$F85),(Input!$H$146*(1+vanilla1)^0.5)-SUM($H85:O85),(Input!$H$146*(1+vanilla1)^0.5)/A4stdlife))</f>
        <v>6.5875698420917422E-2</v>
      </c>
      <c r="Q85" s="67">
        <f>IF(A4stdlife="n/a","n/a",IF(Q$3&gt;(A4stdlife+$F85),(Input!$H$146*(1+vanilla1)^0.5)-SUM($H85:P85),(Input!$H$146*(1+vanilla1)^0.5)/A4stdlife))</f>
        <v>6.5875698420917422E-2</v>
      </c>
      <c r="R85" s="67"/>
      <c r="S85" s="102"/>
      <c r="T85" s="102"/>
      <c r="U85" s="102"/>
      <c r="V85" s="102"/>
      <c r="W85" s="102"/>
      <c r="X85" s="102"/>
      <c r="Y85" s="102"/>
      <c r="Z85" s="102"/>
      <c r="AA85" s="102"/>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102"/>
      <c r="BE85" s="102"/>
      <c r="BF85" s="102"/>
      <c r="BG85" s="102"/>
      <c r="BH85" s="102"/>
      <c r="BI85" s="102"/>
      <c r="BJ85" s="102"/>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376"/>
      <c r="F86" s="85">
        <v>2</v>
      </c>
      <c r="G86" s="122"/>
      <c r="H86" s="146"/>
      <c r="I86" s="147"/>
      <c r="J86" s="67">
        <f>IF(A4stdlife="n/a","n/a",IF(J$3&gt;(A4stdlife+$F86),(Input!$I$146*(1+vanilla2)^0.5)-SUM($I86:I86),(Input!$I$146*(1+vanilla2)^0.5)/A4stdlife))</f>
        <v>2.3014674778376792E-2</v>
      </c>
      <c r="K86" s="67">
        <f>IF(A4stdlife="n/a","n/a",IF(K$3&gt;(A4stdlife+$F86),(Input!$I$146*(1+vanilla2)^0.5)-SUM($I86:J86),(Input!$I$146*(1+vanilla2)^0.5)/A4stdlife))</f>
        <v>2.3014674778376792E-2</v>
      </c>
      <c r="L86" s="67">
        <f>IF(A4stdlife="n/a","n/a",IF(L$3&gt;(A4stdlife+$F86),(Input!$I$146*(1+vanilla2)^0.5)-SUM($I86:K86),(Input!$I$146*(1+vanilla2)^0.5)/A4stdlife))</f>
        <v>2.3014674778376792E-2</v>
      </c>
      <c r="M86" s="67">
        <f>IF(A4stdlife="n/a","n/a",IF(M$3&gt;(A4stdlife+$F86),(Input!$I$146*(1+vanilla2)^0.5)-SUM($I86:L86),(Input!$I$146*(1+vanilla2)^0.5)/A4stdlife))</f>
        <v>2.3014674778376792E-2</v>
      </c>
      <c r="N86" s="67">
        <f>IF(A4stdlife="n/a","n/a",IF(N$3&gt;(A4stdlife+$F86),(Input!$I$146*(1+vanilla2)^0.5)-SUM($I86:M86),(Input!$I$146*(1+vanilla2)^0.5)/A4stdlife))</f>
        <v>2.3014674778376792E-2</v>
      </c>
      <c r="O86" s="67">
        <f>IF(A4stdlife="n/a","n/a",IF(O$3&gt;(A4stdlife+$F86),(Input!$I$146*(1+vanilla2)^0.5)-SUM($I86:N86),(Input!$I$146*(1+vanilla2)^0.5)/A4stdlife))</f>
        <v>2.3014674778376792E-2</v>
      </c>
      <c r="P86" s="67">
        <f>IF(A4stdlife="n/a","n/a",IF(P$3&gt;(A4stdlife+$F86),(Input!$I$146*(1+vanilla2)^0.5)-SUM($I86:O86),(Input!$I$146*(1+vanilla2)^0.5)/A4stdlife))</f>
        <v>2.3014674778376792E-2</v>
      </c>
      <c r="Q86" s="67">
        <f>IF(A4stdlife="n/a","n/a",IF(Q$3&gt;(A4stdlife+$F86),(Input!$I$146*(1+vanilla2)^0.5)-SUM($I86:P86),(Input!$I$146*(1+vanilla2)^0.5)/A4stdlife))</f>
        <v>2.3014674778376792E-2</v>
      </c>
      <c r="R86" s="67"/>
      <c r="S86" s="102"/>
      <c r="T86" s="102"/>
      <c r="U86" s="102"/>
      <c r="V86" s="102"/>
      <c r="W86" s="102"/>
      <c r="X86" s="102"/>
      <c r="Y86" s="102"/>
      <c r="Z86" s="102"/>
      <c r="AA86" s="102"/>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102"/>
      <c r="BE86" s="102"/>
      <c r="BF86" s="102"/>
      <c r="BG86" s="102"/>
      <c r="BH86" s="102"/>
      <c r="BI86" s="102"/>
      <c r="BJ86" s="102"/>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9"/>
      <c r="D87" s="25"/>
      <c r="E87" s="376"/>
      <c r="F87" s="85">
        <v>3</v>
      </c>
      <c r="G87" s="122"/>
      <c r="H87" s="146"/>
      <c r="I87" s="148"/>
      <c r="J87" s="147"/>
      <c r="K87" s="67">
        <f>IF(A4stdlife="n/a","n/a",IF(K$3&gt;(A4stdlife+$F87),(Input!$J$146*(1+vanilla3)^0.5)-SUM($J87:J87),(Input!$J$146*(1+vanilla3)^0.5)/A4stdlife))</f>
        <v>4.9436096581436606E-2</v>
      </c>
      <c r="L87" s="67">
        <f>IF(A4stdlife="n/a","n/a",IF(L$3&gt;(A4stdlife+$F87),(Input!$J$146*(1+vanilla3)^0.5)-SUM($J87:K87),(Input!$J$146*(1+vanilla3)^0.5)/A4stdlife))</f>
        <v>4.9436096581436606E-2</v>
      </c>
      <c r="M87" s="67">
        <f>IF(A4stdlife="n/a","n/a",IF(M$3&gt;(A4stdlife+$F87),(Input!$J$146*(1+vanilla3)^0.5)-SUM($J87:L87),(Input!$J$146*(1+vanilla3)^0.5)/A4stdlife))</f>
        <v>4.9436096581436606E-2</v>
      </c>
      <c r="N87" s="67">
        <f>IF(A4stdlife="n/a","n/a",IF(N$3&gt;(A4stdlife+$F87),(Input!$J$146*(1+vanilla3)^0.5)-SUM($J87:M87),(Input!$J$146*(1+vanilla3)^0.5)/A4stdlife))</f>
        <v>4.9436096581436606E-2</v>
      </c>
      <c r="O87" s="67">
        <f>IF(A4stdlife="n/a","n/a",IF(O$3&gt;(A4stdlife+$F87),(Input!$J$146*(1+vanilla3)^0.5)-SUM($J87:N87),(Input!$J$146*(1+vanilla3)^0.5)/A4stdlife))</f>
        <v>4.9436096581436606E-2</v>
      </c>
      <c r="P87" s="67">
        <f>IF(A4stdlife="n/a","n/a",IF(P$3&gt;(A4stdlife+$F87),(Input!$J$146*(1+vanilla3)^0.5)-SUM($J87:O87),(Input!$J$146*(1+vanilla3)^0.5)/A4stdlife))</f>
        <v>4.9436096581436606E-2</v>
      </c>
      <c r="Q87" s="67">
        <f>IF(A4stdlife="n/a","n/a",IF(Q$3&gt;(A4stdlife+$F87),(Input!$J$146*(1+vanilla3)^0.5)-SUM($J87:P87),(Input!$J$146*(1+vanilla3)^0.5)/A4stdlife))</f>
        <v>4.9436096581436606E-2</v>
      </c>
      <c r="R87" s="67"/>
      <c r="S87" s="102"/>
      <c r="T87" s="102"/>
      <c r="U87" s="102"/>
      <c r="V87" s="102"/>
      <c r="W87" s="102"/>
      <c r="X87" s="102"/>
      <c r="Y87" s="102"/>
      <c r="Z87" s="102"/>
      <c r="AA87" s="102"/>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102"/>
      <c r="BE87" s="102"/>
      <c r="BF87" s="102"/>
      <c r="BG87" s="102"/>
      <c r="BH87" s="102"/>
      <c r="BI87" s="102"/>
      <c r="BJ87" s="102"/>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hidden="1" customHeight="1" outlineLevel="2">
      <c r="A88" s="9"/>
      <c r="B88" s="9"/>
      <c r="C88" s="9"/>
      <c r="D88" s="25"/>
      <c r="E88" s="376"/>
      <c r="F88" s="85">
        <v>4</v>
      </c>
      <c r="G88" s="122"/>
      <c r="H88" s="146"/>
      <c r="I88" s="148"/>
      <c r="J88" s="148"/>
      <c r="K88" s="147"/>
      <c r="L88" s="67">
        <f>IF(A4stdlife="n/a","n/a",IF(L$3&gt;(A4stdlife+$F88),(Input!$K$146*(1+vanilla4)^0.5)-SUM($K88:K88),(Input!$K$146*(1+vanilla4)^0.5)/A4stdlife))</f>
        <v>0.11150887069894827</v>
      </c>
      <c r="M88" s="67">
        <f>IF(A4stdlife="n/a","n/a",IF(M$3&gt;(A4stdlife+$F88),(Input!$K$146*(1+vanilla4)^0.5)-SUM($K88:L88),(Input!$K$146*(1+vanilla4)^0.5)/A4stdlife))</f>
        <v>0.11150887069894827</v>
      </c>
      <c r="N88" s="67">
        <f>IF(A4stdlife="n/a","n/a",IF(N$3&gt;(A4stdlife+$F88),(Input!$K$146*(1+vanilla4)^0.5)-SUM($K88:M88),(Input!$K$146*(1+vanilla4)^0.5)/A4stdlife))</f>
        <v>0.11150887069894827</v>
      </c>
      <c r="O88" s="67">
        <f>IF(A4stdlife="n/a","n/a",IF(O$3&gt;(A4stdlife+$F88),(Input!$K$146*(1+vanilla4)^0.5)-SUM($K88:N88),(Input!$K$146*(1+vanilla4)^0.5)/A4stdlife))</f>
        <v>0.11150887069894827</v>
      </c>
      <c r="P88" s="67">
        <f>IF(A4stdlife="n/a","n/a",IF(P$3&gt;(A4stdlife+$F88),(Input!$K$146*(1+vanilla4)^0.5)-SUM($K88:O88),(Input!$K$146*(1+vanilla4)^0.5)/A4stdlife))</f>
        <v>0.11150887069894827</v>
      </c>
      <c r="Q88" s="67">
        <f>IF(A4stdlife="n/a","n/a",IF(Q$3&gt;(A4stdlife+$F88),(Input!$K$146*(1+vanilla4)^0.5)-SUM($K88:P88),(Input!$K$146*(1+vanilla4)^0.5)/A4stdlife))</f>
        <v>0.11150887069894827</v>
      </c>
      <c r="R88" s="67"/>
      <c r="S88" s="102"/>
      <c r="T88" s="102"/>
      <c r="U88" s="102"/>
      <c r="V88" s="102"/>
      <c r="W88" s="102"/>
      <c r="X88" s="102"/>
      <c r="Y88" s="102"/>
      <c r="Z88" s="102"/>
      <c r="AA88" s="102"/>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102"/>
      <c r="BE88" s="102"/>
      <c r="BF88" s="102"/>
      <c r="BG88" s="102"/>
      <c r="BH88" s="102"/>
      <c r="BI88" s="102"/>
      <c r="BJ88" s="102"/>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hidden="1" customHeight="1" outlineLevel="2">
      <c r="A89" s="9"/>
      <c r="B89" s="9"/>
      <c r="C89" s="9"/>
      <c r="D89" s="25"/>
      <c r="E89" s="376"/>
      <c r="F89" s="85">
        <v>5</v>
      </c>
      <c r="G89" s="122"/>
      <c r="H89" s="146"/>
      <c r="I89" s="148"/>
      <c r="J89" s="148"/>
      <c r="K89" s="148"/>
      <c r="L89" s="147"/>
      <c r="M89" s="67">
        <f>IF(A4stdlife="n/a","n/a",IF(M$3&gt;(A4stdlife+$F89),(Input!$L$146*(1+vanilla5)^0.5)-SUM($L89:L89),(Input!$L$146*(1+vanilla5)^0.5)/A4stdlife))</f>
        <v>9.1300928585568958E-2</v>
      </c>
      <c r="N89" s="67">
        <f>IF(A4stdlife="n/a","n/a",IF(N$3&gt;(A4stdlife+$F89),(Input!$L$146*(1+vanilla5)^0.5)-SUM($L89:M89),(Input!$L$146*(1+vanilla5)^0.5)/A4stdlife))</f>
        <v>9.1300928585568958E-2</v>
      </c>
      <c r="O89" s="67">
        <f>IF(A4stdlife="n/a","n/a",IF(O$3&gt;(A4stdlife+$F89),(Input!$L$146*(1+vanilla5)^0.5)-SUM($L89:N89),(Input!$L$146*(1+vanilla5)^0.5)/A4stdlife))</f>
        <v>9.1300928585568958E-2</v>
      </c>
      <c r="P89" s="67">
        <f>IF(A4stdlife="n/a","n/a",IF(P$3&gt;(A4stdlife+$F89),(Input!$L$146*(1+vanilla5)^0.5)-SUM($L89:O89),(Input!$L$146*(1+vanilla5)^0.5)/A4stdlife))</f>
        <v>9.1300928585568958E-2</v>
      </c>
      <c r="Q89" s="67">
        <f>IF(A4stdlife="n/a","n/a",IF(Q$3&gt;(A4stdlife+$F89),(Input!$L$146*(1+vanilla5)^0.5)-SUM($L89:P89),(Input!$L$146*(1+vanilla5)^0.5)/A4stdlife))</f>
        <v>9.1300928585568958E-2</v>
      </c>
      <c r="R89" s="67"/>
      <c r="S89" s="102"/>
      <c r="T89" s="102"/>
      <c r="U89" s="102"/>
      <c r="V89" s="102"/>
      <c r="W89" s="102"/>
      <c r="X89" s="102"/>
      <c r="Y89" s="102"/>
      <c r="Z89" s="102"/>
      <c r="AA89" s="102"/>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102"/>
      <c r="BE89" s="102"/>
      <c r="BF89" s="102"/>
      <c r="BG89" s="102"/>
      <c r="BH89" s="102"/>
      <c r="BI89" s="102"/>
      <c r="BJ89" s="102"/>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376"/>
      <c r="F90" s="85">
        <v>6</v>
      </c>
      <c r="G90" s="122"/>
      <c r="H90" s="146"/>
      <c r="I90" s="148"/>
      <c r="J90" s="148"/>
      <c r="K90" s="148"/>
      <c r="L90" s="148"/>
      <c r="M90" s="147"/>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2"/>
      <c r="T90" s="102"/>
      <c r="U90" s="102"/>
      <c r="V90" s="102"/>
      <c r="W90" s="102"/>
      <c r="X90" s="102"/>
      <c r="Y90" s="102"/>
      <c r="Z90" s="102"/>
      <c r="AA90" s="102"/>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102"/>
      <c r="BE90" s="102"/>
      <c r="BF90" s="102"/>
      <c r="BG90" s="102"/>
      <c r="BH90" s="102"/>
      <c r="BI90" s="102"/>
      <c r="BJ90" s="102"/>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hidden="1" customHeight="1" outlineLevel="2">
      <c r="A91" s="9"/>
      <c r="B91" s="9"/>
      <c r="C91" s="9"/>
      <c r="D91" s="25"/>
      <c r="E91" s="376"/>
      <c r="F91" s="85">
        <v>7</v>
      </c>
      <c r="G91" s="122"/>
      <c r="H91" s="146"/>
      <c r="I91" s="148"/>
      <c r="J91" s="148"/>
      <c r="K91" s="148"/>
      <c r="L91" s="148"/>
      <c r="M91" s="148"/>
      <c r="N91" s="147"/>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2"/>
      <c r="T91" s="102"/>
      <c r="U91" s="102"/>
      <c r="V91" s="102"/>
      <c r="W91" s="102"/>
      <c r="X91" s="102"/>
      <c r="Y91" s="102"/>
      <c r="Z91" s="102"/>
      <c r="AA91" s="102"/>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102"/>
      <c r="BE91" s="102"/>
      <c r="BF91" s="102"/>
      <c r="BG91" s="102"/>
      <c r="BH91" s="102"/>
      <c r="BI91" s="102"/>
      <c r="BJ91" s="102"/>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hidden="1" customHeight="1" outlineLevel="2">
      <c r="A92" s="9"/>
      <c r="B92" s="9"/>
      <c r="C92" s="9"/>
      <c r="D92" s="25"/>
      <c r="E92" s="376"/>
      <c r="F92" s="85">
        <v>8</v>
      </c>
      <c r="G92" s="122"/>
      <c r="H92" s="146"/>
      <c r="I92" s="148"/>
      <c r="J92" s="148"/>
      <c r="K92" s="148"/>
      <c r="L92" s="148"/>
      <c r="M92" s="148"/>
      <c r="N92" s="148"/>
      <c r="O92" s="147"/>
      <c r="P92" s="67">
        <f>IF(A4stdlife="n/a","n/a",IF(P$3&gt;(A4stdlife+$F92),(Input!$O$146*(1+vanilla8)^0.5)-SUM($O92:O92),(Input!$O$146*(1+vanilla8)^0.5)/A4stdlife))</f>
        <v>0</v>
      </c>
      <c r="Q92" s="67">
        <f>IF(A4stdlife="n/a","n/a",IF(Q$3&gt;(A4stdlife+$F92),(Input!$O$146*(1+vanilla8)^0.5)-SUM($O92:P92),(Input!$O$146*(1+vanilla8)^0.5)/A4stdlife))</f>
        <v>0</v>
      </c>
      <c r="R92" s="67"/>
      <c r="S92" s="102"/>
      <c r="T92" s="102"/>
      <c r="U92" s="102"/>
      <c r="V92" s="102"/>
      <c r="W92" s="102"/>
      <c r="X92" s="102"/>
      <c r="Y92" s="102"/>
      <c r="Z92" s="102"/>
      <c r="AA92" s="102"/>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102"/>
      <c r="BE92" s="102"/>
      <c r="BF92" s="102"/>
      <c r="BG92" s="102"/>
      <c r="BH92" s="102"/>
      <c r="BI92" s="102"/>
      <c r="BJ92" s="102"/>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hidden="1" customHeight="1" outlineLevel="2">
      <c r="A93" s="9"/>
      <c r="B93" s="9"/>
      <c r="C93" s="9"/>
      <c r="D93" s="25"/>
      <c r="E93" s="376"/>
      <c r="F93" s="85">
        <v>9</v>
      </c>
      <c r="G93" s="122"/>
      <c r="H93" s="146"/>
      <c r="I93" s="148"/>
      <c r="J93" s="148"/>
      <c r="K93" s="148"/>
      <c r="L93" s="148"/>
      <c r="M93" s="148"/>
      <c r="N93" s="148"/>
      <c r="O93" s="148"/>
      <c r="P93" s="147"/>
      <c r="Q93" s="67">
        <f>IF(A4stdlife="n/a","n/a",IF(Q$3&gt;(A4stdlife+$F93),(Input!$P$146*(1+vanilla9)^0.5)-SUM($P93:P93),(Input!$P$146*(1+vanilla9)^0.5)/A4stdlife))</f>
        <v>0</v>
      </c>
      <c r="R93" s="67"/>
      <c r="S93" s="102"/>
      <c r="T93" s="102"/>
      <c r="U93" s="102"/>
      <c r="V93" s="102"/>
      <c r="W93" s="102"/>
      <c r="X93" s="102"/>
      <c r="Y93" s="102"/>
      <c r="Z93" s="102"/>
      <c r="AA93" s="102"/>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102"/>
      <c r="BE93" s="102"/>
      <c r="BF93" s="102"/>
      <c r="BG93" s="102"/>
      <c r="BH93" s="102"/>
      <c r="BI93" s="102"/>
      <c r="BJ93" s="102"/>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hidden="1" customHeight="1" outlineLevel="2">
      <c r="A94" s="9"/>
      <c r="B94" s="9"/>
      <c r="C94" s="9"/>
      <c r="D94" s="25"/>
      <c r="E94" s="376"/>
      <c r="F94" s="86">
        <v>10</v>
      </c>
      <c r="G94" s="122"/>
      <c r="H94" s="146"/>
      <c r="I94" s="148"/>
      <c r="J94" s="148"/>
      <c r="K94" s="148"/>
      <c r="L94" s="148"/>
      <c r="M94" s="148"/>
      <c r="N94" s="148"/>
      <c r="O94" s="148"/>
      <c r="P94" s="148"/>
      <c r="Q94" s="147"/>
      <c r="R94" s="67"/>
      <c r="S94" s="102"/>
      <c r="T94" s="102"/>
      <c r="U94" s="102"/>
      <c r="V94" s="102"/>
      <c r="W94" s="102"/>
      <c r="X94" s="102"/>
      <c r="Y94" s="102"/>
      <c r="Z94" s="102"/>
      <c r="AA94" s="102"/>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102"/>
      <c r="BE94" s="102"/>
      <c r="BF94" s="102"/>
      <c r="BG94" s="102"/>
      <c r="BH94" s="102"/>
      <c r="BI94" s="102"/>
      <c r="BJ94" s="102"/>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customHeight="1" outlineLevel="1" collapsed="1">
      <c r="A95" s="9"/>
      <c r="B95" s="9"/>
      <c r="C95" s="9"/>
      <c r="D95" s="25" t="str">
        <f>Asset4</f>
        <v>Transmission transformers 132/66kV</v>
      </c>
      <c r="E95" s="9"/>
      <c r="F95" s="9"/>
      <c r="G95" s="122"/>
      <c r="H95" s="165">
        <f>-SUM(H83:H94)</f>
        <v>-0.66457491952768777</v>
      </c>
      <c r="I95" s="165">
        <f>-SUM(I83:I94)</f>
        <v>-0.73045061794860522</v>
      </c>
      <c r="J95" s="165">
        <f>-SUM(J83:J94)</f>
        <v>-0.75346529272698204</v>
      </c>
      <c r="K95" s="165">
        <f>-SUM(K83:K94)</f>
        <v>-0.8029013893084187</v>
      </c>
      <c r="L95" s="165">
        <f>-SUM(L83:L94)</f>
        <v>-0.91441026000736692</v>
      </c>
      <c r="M95" s="165">
        <f>IF(Input!M173&gt;0, -SUM(M83:M94), 0)</f>
        <v>0</v>
      </c>
      <c r="N95" s="165">
        <f>IF(Input!N173&gt;0, -SUM(N83:N94), 0)</f>
        <v>0</v>
      </c>
      <c r="O95" s="165">
        <f>IF(Input!O173&gt;0, -SUM(O83:O94), 0)</f>
        <v>0</v>
      </c>
      <c r="P95" s="165">
        <f>IF(Input!P173&gt;0, -SUM(P83:P94), 0)</f>
        <v>0</v>
      </c>
      <c r="Q95" s="165">
        <f>IF(Input!Q173&gt;0, -SUM(Q83:Q94), 0)</f>
        <v>0</v>
      </c>
      <c r="R95" s="65"/>
      <c r="S95" s="104"/>
      <c r="T95" s="104"/>
      <c r="U95" s="104"/>
      <c r="V95" s="104"/>
      <c r="W95" s="104"/>
      <c r="X95" s="104"/>
      <c r="Y95" s="104"/>
      <c r="Z95" s="104"/>
      <c r="AA95" s="104"/>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104"/>
      <c r="BE95" s="104"/>
      <c r="BF95" s="104"/>
      <c r="BG95" s="104"/>
      <c r="BH95" s="104"/>
      <c r="BI95" s="104"/>
      <c r="BJ95" s="104"/>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hidden="1" customHeight="1" outlineLevel="2">
      <c r="A96" s="9"/>
      <c r="B96" s="9"/>
      <c r="C96" s="31" t="str">
        <f>Asset5</f>
        <v>Zone transformers 132/66kV</v>
      </c>
      <c r="D96" s="161"/>
      <c r="E96" s="33" t="s">
        <v>28</v>
      </c>
      <c r="F96" s="32"/>
      <c r="G96" s="174"/>
      <c r="H96" s="66">
        <f>IF(H$3&gt;A5remlife,A5value-SUM($G96:G96),IF(A5remlife="N/A","n/a",A5value/A5remlife))</f>
        <v>0.62908537352247595</v>
      </c>
      <c r="I96" s="66">
        <f>IF(I$3&gt;A5remlife,A5value-SUM($G96:H96),IF(A5remlife="N/A","n/a",A5value/A5remlife))</f>
        <v>0.62908537352247595</v>
      </c>
      <c r="J96" s="66">
        <f>IF(J$3&gt;A5remlife,A5value-SUM($G96:I96),IF(A5remlife="N/A","n/a",A5value/A5remlife))</f>
        <v>0.62908537352247595</v>
      </c>
      <c r="K96" s="66">
        <f>IF(K$3&gt;A5remlife,A5value-SUM($G96:J96),IF(A5remlife="N/A","n/a",A5value/A5remlife))</f>
        <v>0.62908537352247595</v>
      </c>
      <c r="L96" s="66">
        <f>IF(L$3&gt;A5remlife,A5value-SUM($G96:K96),IF(A5remlife="N/A","n/a",A5value/A5remlife))</f>
        <v>0.62908537352247595</v>
      </c>
      <c r="M96" s="66">
        <f>IF(M$3&gt;A5remlife,A5value-SUM($G96:L96),IF(A5remlife="N/A","n/a",A5value/A5remlife))</f>
        <v>0.62908537352247595</v>
      </c>
      <c r="N96" s="66">
        <f>IF(N$3&gt;A5remlife,A5value-SUM($G96:M96),IF(A5remlife="N/A","n/a",A5value/A5remlife))</f>
        <v>0.62908537352247595</v>
      </c>
      <c r="O96" s="66">
        <f>IF(O$3&gt;A5remlife,A5value-SUM($G96:N96),IF(A5remlife="N/A","n/a",A5value/A5remlife))</f>
        <v>0.62908537352247595</v>
      </c>
      <c r="P96" s="66">
        <f>IF(P$3&gt;A5remlife,A5value-SUM($G96:O96),IF(A5remlife="N/A","n/a",A5value/A5remlife))</f>
        <v>0.62908537352247595</v>
      </c>
      <c r="Q96" s="66">
        <f>IF(Q$3&gt;A5remlife,A5value-SUM($G96:P96),IF(A5remlife="N/A","n/a",A5value/A5remlife))</f>
        <v>0.62908537352247595</v>
      </c>
      <c r="R96" s="66"/>
      <c r="S96" s="102"/>
      <c r="T96" s="102"/>
      <c r="U96" s="102"/>
      <c r="V96" s="102"/>
      <c r="W96" s="102"/>
      <c r="X96" s="102"/>
      <c r="Y96" s="102"/>
      <c r="Z96" s="102"/>
      <c r="AA96" s="102"/>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102"/>
      <c r="BE96" s="102"/>
      <c r="BF96" s="102"/>
      <c r="BG96" s="102"/>
      <c r="BH96" s="102"/>
      <c r="BI96" s="102"/>
      <c r="BJ96" s="102"/>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5"/>
      <c r="E97" s="375" t="s">
        <v>85</v>
      </c>
      <c r="F97" s="85">
        <v>0</v>
      </c>
      <c r="G97" s="122"/>
      <c r="H97" s="67"/>
      <c r="I97" s="67"/>
      <c r="J97" s="67"/>
      <c r="K97" s="67"/>
      <c r="L97" s="67"/>
      <c r="M97" s="163"/>
      <c r="N97" s="111"/>
      <c r="O97" s="67"/>
      <c r="P97" s="67"/>
      <c r="Q97" s="67"/>
      <c r="R97" s="67"/>
      <c r="S97" s="102"/>
      <c r="T97" s="102"/>
      <c r="U97" s="102"/>
      <c r="V97" s="102"/>
      <c r="W97" s="102"/>
      <c r="X97" s="102"/>
      <c r="Y97" s="102"/>
      <c r="Z97" s="102"/>
      <c r="AA97" s="102"/>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102"/>
      <c r="BE97" s="102"/>
      <c r="BF97" s="102"/>
      <c r="BG97" s="102"/>
      <c r="BH97" s="102"/>
      <c r="BI97" s="102"/>
      <c r="BJ97" s="102"/>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hidden="1" customHeight="1" outlineLevel="2">
      <c r="A98" s="9"/>
      <c r="B98" s="9"/>
      <c r="C98" s="9"/>
      <c r="D98" s="25"/>
      <c r="E98" s="376"/>
      <c r="F98" s="85">
        <v>1</v>
      </c>
      <c r="G98" s="122"/>
      <c r="H98" s="145"/>
      <c r="I98" s="67">
        <f>IF(A5stdlife="n/a","n/a",IF(I$3&gt;(A5stdlife+$F98),(Input!$H$147*(1+vanilla1)^0.5)-SUM($H98:H98),(Input!$H$147*(1+vanilla1)^0.5)/A5stdlife))</f>
        <v>6.1296230204596173E-2</v>
      </c>
      <c r="J98" s="67">
        <f>IF(A5stdlife="n/a","n/a",IF(J$3&gt;(A5stdlife+$F98),(Input!$H$147*(1+vanilla1)^0.5)-SUM($H98:I98),(Input!$H$147*(1+vanilla1)^0.5)/A5stdlife))</f>
        <v>6.1296230204596173E-2</v>
      </c>
      <c r="K98" s="67">
        <f>IF(A5stdlife="n/a","n/a",IF(K$3&gt;(A5stdlife+$F98),(Input!$H$147*(1+vanilla1)^0.5)-SUM($H98:J98),(Input!$H$147*(1+vanilla1)^0.5)/A5stdlife))</f>
        <v>6.1296230204596173E-2</v>
      </c>
      <c r="L98" s="67">
        <f>IF(A5stdlife="n/a","n/a",IF(L$3&gt;(A5stdlife+$F98),(Input!$H$147*(1+vanilla1)^0.5)-SUM($H98:K98),(Input!$H$147*(1+vanilla1)^0.5)/A5stdlife))</f>
        <v>6.1296230204596173E-2</v>
      </c>
      <c r="M98" s="67">
        <f>IF(A5stdlife="n/a","n/a",IF(M$3&gt;(A5stdlife+$F98),(Input!$H$147*(1+vanilla1)^0.5)-SUM($H98:L98),(Input!$H$147*(1+vanilla1)^0.5)/A5stdlife))</f>
        <v>6.1296230204596173E-2</v>
      </c>
      <c r="N98" s="67">
        <f>IF(A5stdlife="n/a","n/a",IF(N$3&gt;(A5stdlife+$F98),(Input!$H$147*(1+vanilla1)^0.5)-SUM($H98:M98),(Input!$H$147*(1+vanilla1)^0.5)/A5stdlife))</f>
        <v>6.1296230204596173E-2</v>
      </c>
      <c r="O98" s="67">
        <f>IF(A5stdlife="n/a","n/a",IF(O$3&gt;(A5stdlife+$F98),(Input!$H$147*(1+vanilla1)^0.5)-SUM($H98:N98),(Input!$H$147*(1+vanilla1)^0.5)/A5stdlife))</f>
        <v>6.1296230204596173E-2</v>
      </c>
      <c r="P98" s="67">
        <f>IF(A5stdlife="n/a","n/a",IF(P$3&gt;(A5stdlife+$F98),(Input!$H$147*(1+vanilla1)^0.5)-SUM($H98:O98),(Input!$H$147*(1+vanilla1)^0.5)/A5stdlife))</f>
        <v>6.1296230204596173E-2</v>
      </c>
      <c r="Q98" s="67">
        <f>IF(A5stdlife="n/a","n/a",IF(Q$3&gt;(A5stdlife+$F98),(Input!$H$147*(1+vanilla1)^0.5)-SUM($H98:P98),(Input!$H$147*(1+vanilla1)^0.5)/A5stdlife))</f>
        <v>6.1296230204596173E-2</v>
      </c>
      <c r="R98" s="67"/>
      <c r="S98" s="102"/>
      <c r="T98" s="102"/>
      <c r="U98" s="102"/>
      <c r="V98" s="102"/>
      <c r="W98" s="102"/>
      <c r="X98" s="102"/>
      <c r="Y98" s="102"/>
      <c r="Z98" s="102"/>
      <c r="AA98" s="102"/>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102"/>
      <c r="BE98" s="102"/>
      <c r="BF98" s="102"/>
      <c r="BG98" s="102"/>
      <c r="BH98" s="102"/>
      <c r="BI98" s="102"/>
      <c r="BJ98" s="102"/>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376"/>
      <c r="F99" s="85">
        <v>2</v>
      </c>
      <c r="G99" s="122"/>
      <c r="H99" s="146"/>
      <c r="I99" s="147"/>
      <c r="J99" s="67">
        <f>IF(A5stdlife="n/a","n/a",IF(J$3&gt;(A5stdlife+$F99),(Input!$I$147*(1+vanilla2)^0.5)-SUM($I99:I99),(Input!$I$147*(1+vanilla2)^0.5)/A5stdlife))</f>
        <v>5.8025761474049115E-2</v>
      </c>
      <c r="K99" s="67">
        <f>IF(A5stdlife="n/a","n/a",IF(K$3&gt;(A5stdlife+$F99),(Input!$I$147*(1+vanilla2)^0.5)-SUM($I99:J99),(Input!$I$147*(1+vanilla2)^0.5)/A5stdlife))</f>
        <v>5.8025761474049115E-2</v>
      </c>
      <c r="L99" s="67">
        <f>IF(A5stdlife="n/a","n/a",IF(L$3&gt;(A5stdlife+$F99),(Input!$I$147*(1+vanilla2)^0.5)-SUM($I99:K99),(Input!$I$147*(1+vanilla2)^0.5)/A5stdlife))</f>
        <v>5.8025761474049115E-2</v>
      </c>
      <c r="M99" s="67">
        <f>IF(A5stdlife="n/a","n/a",IF(M$3&gt;(A5stdlife+$F99),(Input!$I$147*(1+vanilla2)^0.5)-SUM($I99:L99),(Input!$I$147*(1+vanilla2)^0.5)/A5stdlife))</f>
        <v>5.8025761474049115E-2</v>
      </c>
      <c r="N99" s="67">
        <f>IF(A5stdlife="n/a","n/a",IF(N$3&gt;(A5stdlife+$F99),(Input!$I$147*(1+vanilla2)^0.5)-SUM($I99:M99),(Input!$I$147*(1+vanilla2)^0.5)/A5stdlife))</f>
        <v>5.8025761474049115E-2</v>
      </c>
      <c r="O99" s="67">
        <f>IF(A5stdlife="n/a","n/a",IF(O$3&gt;(A5stdlife+$F99),(Input!$I$147*(1+vanilla2)^0.5)-SUM($I99:N99),(Input!$I$147*(1+vanilla2)^0.5)/A5stdlife))</f>
        <v>5.8025761474049115E-2</v>
      </c>
      <c r="P99" s="67">
        <f>IF(A5stdlife="n/a","n/a",IF(P$3&gt;(A5stdlife+$F99),(Input!$I$147*(1+vanilla2)^0.5)-SUM($I99:O99),(Input!$I$147*(1+vanilla2)^0.5)/A5stdlife))</f>
        <v>5.8025761474049115E-2</v>
      </c>
      <c r="Q99" s="67">
        <f>IF(A5stdlife="n/a","n/a",IF(Q$3&gt;(A5stdlife+$F99),(Input!$I$147*(1+vanilla2)^0.5)-SUM($I99:P99),(Input!$I$147*(1+vanilla2)^0.5)/A5stdlife))</f>
        <v>5.8025761474049115E-2</v>
      </c>
      <c r="R99" s="67"/>
      <c r="S99" s="102"/>
      <c r="T99" s="102"/>
      <c r="U99" s="102"/>
      <c r="V99" s="102"/>
      <c r="W99" s="102"/>
      <c r="X99" s="102"/>
      <c r="Y99" s="102"/>
      <c r="Z99" s="102"/>
      <c r="AA99" s="102"/>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102"/>
      <c r="BE99" s="102"/>
      <c r="BF99" s="102"/>
      <c r="BG99" s="102"/>
      <c r="BH99" s="102"/>
      <c r="BI99" s="102"/>
      <c r="BJ99" s="102"/>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hidden="1" customHeight="1" outlineLevel="2">
      <c r="A100" s="9"/>
      <c r="B100" s="9"/>
      <c r="C100" s="9"/>
      <c r="D100" s="25"/>
      <c r="E100" s="376"/>
      <c r="F100" s="85">
        <v>3</v>
      </c>
      <c r="G100" s="122"/>
      <c r="H100" s="146"/>
      <c r="I100" s="148"/>
      <c r="J100" s="147"/>
      <c r="K100" s="67">
        <f>IF(A5stdlife="n/a","n/a",IF(K$3&gt;(A5stdlife+$F100),(Input!$J$147*(1+vanilla3)^0.5)-SUM($J100:J100),(Input!$J$147*(1+vanilla3)^0.5)/A5stdlife))</f>
        <v>5.7364982033630385E-2</v>
      </c>
      <c r="L100" s="67">
        <f>IF(A5stdlife="n/a","n/a",IF(L$3&gt;(A5stdlife+$F100),(Input!$J$147*(1+vanilla3)^0.5)-SUM($J100:K100),(Input!$J$147*(1+vanilla3)^0.5)/A5stdlife))</f>
        <v>5.7364982033630385E-2</v>
      </c>
      <c r="M100" s="67">
        <f>IF(A5stdlife="n/a","n/a",IF(M$3&gt;(A5stdlife+$F100),(Input!$J$147*(1+vanilla3)^0.5)-SUM($J100:L100),(Input!$J$147*(1+vanilla3)^0.5)/A5stdlife))</f>
        <v>5.7364982033630385E-2</v>
      </c>
      <c r="N100" s="67">
        <f>IF(A5stdlife="n/a","n/a",IF(N$3&gt;(A5stdlife+$F100),(Input!$J$147*(1+vanilla3)^0.5)-SUM($J100:M100),(Input!$J$147*(1+vanilla3)^0.5)/A5stdlife))</f>
        <v>5.7364982033630385E-2</v>
      </c>
      <c r="O100" s="67">
        <f>IF(A5stdlife="n/a","n/a",IF(O$3&gt;(A5stdlife+$F100),(Input!$J$147*(1+vanilla3)^0.5)-SUM($J100:N100),(Input!$J$147*(1+vanilla3)^0.5)/A5stdlife))</f>
        <v>5.7364982033630385E-2</v>
      </c>
      <c r="P100" s="67">
        <f>IF(A5stdlife="n/a","n/a",IF(P$3&gt;(A5stdlife+$F100),(Input!$J$147*(1+vanilla3)^0.5)-SUM($J100:O100),(Input!$J$147*(1+vanilla3)^0.5)/A5stdlife))</f>
        <v>5.7364982033630385E-2</v>
      </c>
      <c r="Q100" s="67">
        <f>IF(A5stdlife="n/a","n/a",IF(Q$3&gt;(A5stdlife+$F100),(Input!$J$147*(1+vanilla3)^0.5)-SUM($J100:P100),(Input!$J$147*(1+vanilla3)^0.5)/A5stdlife))</f>
        <v>5.7364982033630385E-2</v>
      </c>
      <c r="R100" s="67"/>
      <c r="S100" s="102"/>
      <c r="T100" s="102"/>
      <c r="U100" s="102"/>
      <c r="V100" s="102"/>
      <c r="W100" s="102"/>
      <c r="X100" s="102"/>
      <c r="Y100" s="102"/>
      <c r="Z100" s="102"/>
      <c r="AA100" s="102"/>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102"/>
      <c r="BE100" s="102"/>
      <c r="BF100" s="102"/>
      <c r="BG100" s="102"/>
      <c r="BH100" s="102"/>
      <c r="BI100" s="102"/>
      <c r="BJ100" s="102"/>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hidden="1" customHeight="1" outlineLevel="2">
      <c r="A101" s="9"/>
      <c r="B101" s="9"/>
      <c r="C101" s="9"/>
      <c r="D101" s="25"/>
      <c r="E101" s="376"/>
      <c r="F101" s="85">
        <v>4</v>
      </c>
      <c r="G101" s="122"/>
      <c r="H101" s="146"/>
      <c r="I101" s="148"/>
      <c r="J101" s="148"/>
      <c r="K101" s="147"/>
      <c r="L101" s="67">
        <f>IF(A5stdlife="n/a","n/a",IF(L$3&gt;(A5stdlife+$F101),(Input!$K$147*(1+vanilla4)^0.5)-SUM($K101:K101),(Input!$K$147*(1+vanilla4)^0.5)/A5stdlife))</f>
        <v>0</v>
      </c>
      <c r="M101" s="67">
        <f>IF(A5stdlife="n/a","n/a",IF(M$3&gt;(A5stdlife+$F101),(Input!$K$147*(1+vanilla4)^0.5)-SUM($K101:L101),(Input!$K$147*(1+vanilla4)^0.5)/A5stdlife))</f>
        <v>0</v>
      </c>
      <c r="N101" s="67">
        <f>IF(A5stdlife="n/a","n/a",IF(N$3&gt;(A5stdlife+$F101),(Input!$K$147*(1+vanilla4)^0.5)-SUM($K101:M101),(Input!$K$147*(1+vanilla4)^0.5)/A5stdlife))</f>
        <v>0</v>
      </c>
      <c r="O101" s="67">
        <f>IF(A5stdlife="n/a","n/a",IF(O$3&gt;(A5stdlife+$F101),(Input!$K$147*(1+vanilla4)^0.5)-SUM($K101:N101),(Input!$K$147*(1+vanilla4)^0.5)/A5stdlife))</f>
        <v>0</v>
      </c>
      <c r="P101" s="67">
        <f>IF(A5stdlife="n/a","n/a",IF(P$3&gt;(A5stdlife+$F101),(Input!$K$147*(1+vanilla4)^0.5)-SUM($K101:O101),(Input!$K$147*(1+vanilla4)^0.5)/A5stdlife))</f>
        <v>0</v>
      </c>
      <c r="Q101" s="67">
        <f>IF(A5stdlife="n/a","n/a",IF(Q$3&gt;(A5stdlife+$F101),(Input!$K$147*(1+vanilla4)^0.5)-SUM($K101:P101),(Input!$K$147*(1+vanilla4)^0.5)/A5stdlife))</f>
        <v>0</v>
      </c>
      <c r="R101" s="67"/>
      <c r="S101" s="102"/>
      <c r="T101" s="102"/>
      <c r="U101" s="102"/>
      <c r="V101" s="102"/>
      <c r="W101" s="102"/>
      <c r="X101" s="102"/>
      <c r="Y101" s="102"/>
      <c r="Z101" s="102"/>
      <c r="AA101" s="102"/>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102"/>
      <c r="BE101" s="102"/>
      <c r="BF101" s="102"/>
      <c r="BG101" s="102"/>
      <c r="BH101" s="102"/>
      <c r="BI101" s="102"/>
      <c r="BJ101" s="102"/>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hidden="1" customHeight="1" outlineLevel="2">
      <c r="A102" s="9"/>
      <c r="B102" s="9"/>
      <c r="C102" s="9"/>
      <c r="D102" s="25"/>
      <c r="E102" s="376"/>
      <c r="F102" s="85">
        <v>5</v>
      </c>
      <c r="G102" s="122"/>
      <c r="H102" s="146"/>
      <c r="I102" s="148"/>
      <c r="J102" s="148"/>
      <c r="K102" s="148"/>
      <c r="L102" s="147"/>
      <c r="M102" s="67">
        <f>IF(A5stdlife="n/a","n/a",IF(M$3&gt;(A5stdlife+$F102),(Input!$L$147*(1+vanilla5)^0.5)-SUM($L102:L102),(Input!$L$147*(1+vanilla5)^0.5)/A5stdlife))</f>
        <v>0</v>
      </c>
      <c r="N102" s="67">
        <f>IF(A5stdlife="n/a","n/a",IF(N$3&gt;(A5stdlife+$F102),(Input!$L$147*(1+vanilla5)^0.5)-SUM($L102:M102),(Input!$L$147*(1+vanilla5)^0.5)/A5stdlife))</f>
        <v>0</v>
      </c>
      <c r="O102" s="67">
        <f>IF(A5stdlife="n/a","n/a",IF(O$3&gt;(A5stdlife+$F102),(Input!$L$147*(1+vanilla5)^0.5)-SUM($L102:N102),(Input!$L$147*(1+vanilla5)^0.5)/A5stdlife))</f>
        <v>0</v>
      </c>
      <c r="P102" s="67">
        <f>IF(A5stdlife="n/a","n/a",IF(P$3&gt;(A5stdlife+$F102),(Input!$L$147*(1+vanilla5)^0.5)-SUM($L102:O102),(Input!$L$147*(1+vanilla5)^0.5)/A5stdlife))</f>
        <v>0</v>
      </c>
      <c r="Q102" s="67">
        <f>IF(A5stdlife="n/a","n/a",IF(Q$3&gt;(A5stdlife+$F102),(Input!$L$147*(1+vanilla5)^0.5)-SUM($L102:P102),(Input!$L$147*(1+vanilla5)^0.5)/A5stdlife))</f>
        <v>0</v>
      </c>
      <c r="R102" s="67"/>
      <c r="S102" s="102"/>
      <c r="T102" s="102"/>
      <c r="U102" s="102"/>
      <c r="V102" s="102"/>
      <c r="W102" s="102"/>
      <c r="X102" s="102"/>
      <c r="Y102" s="102"/>
      <c r="Z102" s="102"/>
      <c r="AA102" s="102"/>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102"/>
      <c r="BE102" s="102"/>
      <c r="BF102" s="102"/>
      <c r="BG102" s="102"/>
      <c r="BH102" s="102"/>
      <c r="BI102" s="102"/>
      <c r="BJ102" s="102"/>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376"/>
      <c r="F103" s="85">
        <v>6</v>
      </c>
      <c r="G103" s="122"/>
      <c r="H103" s="146"/>
      <c r="I103" s="148"/>
      <c r="J103" s="148"/>
      <c r="K103" s="148"/>
      <c r="L103" s="148"/>
      <c r="M103" s="147"/>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2"/>
      <c r="T103" s="102"/>
      <c r="U103" s="102"/>
      <c r="V103" s="102"/>
      <c r="W103" s="102"/>
      <c r="X103" s="102"/>
      <c r="Y103" s="102"/>
      <c r="Z103" s="102"/>
      <c r="AA103" s="102"/>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102"/>
      <c r="BE103" s="102"/>
      <c r="BF103" s="102"/>
      <c r="BG103" s="102"/>
      <c r="BH103" s="102"/>
      <c r="BI103" s="102"/>
      <c r="BJ103" s="102"/>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hidden="1" customHeight="1" outlineLevel="2">
      <c r="A104" s="9"/>
      <c r="B104" s="9"/>
      <c r="C104" s="9"/>
      <c r="D104" s="25"/>
      <c r="E104" s="376"/>
      <c r="F104" s="85">
        <v>7</v>
      </c>
      <c r="G104" s="122"/>
      <c r="H104" s="146"/>
      <c r="I104" s="148"/>
      <c r="J104" s="148"/>
      <c r="K104" s="148"/>
      <c r="L104" s="148"/>
      <c r="M104" s="148"/>
      <c r="N104" s="147"/>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2"/>
      <c r="T104" s="102"/>
      <c r="U104" s="102"/>
      <c r="V104" s="102"/>
      <c r="W104" s="102"/>
      <c r="X104" s="102"/>
      <c r="Y104" s="102"/>
      <c r="Z104" s="102"/>
      <c r="AA104" s="102"/>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102"/>
      <c r="BE104" s="102"/>
      <c r="BF104" s="102"/>
      <c r="BG104" s="102"/>
      <c r="BH104" s="102"/>
      <c r="BI104" s="102"/>
      <c r="BJ104" s="102"/>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hidden="1" customHeight="1" outlineLevel="2">
      <c r="A105" s="9"/>
      <c r="B105" s="9"/>
      <c r="C105" s="9"/>
      <c r="D105" s="25"/>
      <c r="E105" s="376"/>
      <c r="F105" s="85">
        <v>8</v>
      </c>
      <c r="G105" s="122"/>
      <c r="H105" s="146"/>
      <c r="I105" s="148"/>
      <c r="J105" s="148"/>
      <c r="K105" s="148"/>
      <c r="L105" s="148"/>
      <c r="M105" s="148"/>
      <c r="N105" s="148"/>
      <c r="O105" s="147"/>
      <c r="P105" s="67">
        <f>IF(A5stdlife="n/a","n/a",IF(P$3&gt;(A5stdlife+$F105),(Input!$O$147*(1+vanilla8)^0.5)-SUM($O105:O105),(Input!$O$147*(1+vanilla8)^0.5)/A5stdlife))</f>
        <v>0</v>
      </c>
      <c r="Q105" s="67">
        <f>IF(A5stdlife="n/a","n/a",IF(Q$3&gt;(A5stdlife+$F105),(Input!$O$147*(1+vanilla8)^0.5)-SUM($O105:P105),(Input!$O$147*(1+vanilla8)^0.5)/A5stdlife))</f>
        <v>0</v>
      </c>
      <c r="R105" s="67"/>
      <c r="S105" s="102"/>
      <c r="T105" s="102"/>
      <c r="U105" s="102"/>
      <c r="V105" s="102"/>
      <c r="W105" s="102"/>
      <c r="X105" s="102"/>
      <c r="Y105" s="102"/>
      <c r="Z105" s="102"/>
      <c r="AA105" s="102"/>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102"/>
      <c r="BE105" s="102"/>
      <c r="BF105" s="102"/>
      <c r="BG105" s="102"/>
      <c r="BH105" s="102"/>
      <c r="BI105" s="102"/>
      <c r="BJ105" s="102"/>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hidden="1" customHeight="1" outlineLevel="2">
      <c r="A106" s="9"/>
      <c r="B106" s="9"/>
      <c r="C106" s="9"/>
      <c r="D106" s="25"/>
      <c r="E106" s="376"/>
      <c r="F106" s="85">
        <v>9</v>
      </c>
      <c r="G106" s="122"/>
      <c r="H106" s="146"/>
      <c r="I106" s="148"/>
      <c r="J106" s="148"/>
      <c r="K106" s="148"/>
      <c r="L106" s="148"/>
      <c r="M106" s="148"/>
      <c r="N106" s="148"/>
      <c r="O106" s="148"/>
      <c r="P106" s="147"/>
      <c r="Q106" s="67">
        <f>IF(A5stdlife="n/a","n/a",IF(Q$3&gt;(A5stdlife+$F106),(Input!$P$147*(1+vanilla9)^0.5)-SUM($P106:P106),(Input!$P$147*(1+vanilla9)^0.5)/A5stdlife))</f>
        <v>0</v>
      </c>
      <c r="R106" s="67"/>
      <c r="S106" s="102"/>
      <c r="T106" s="102"/>
      <c r="U106" s="102"/>
      <c r="V106" s="102"/>
      <c r="W106" s="102"/>
      <c r="X106" s="102"/>
      <c r="Y106" s="102"/>
      <c r="Z106" s="102"/>
      <c r="AA106" s="102"/>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102"/>
      <c r="BE106" s="102"/>
      <c r="BF106" s="102"/>
      <c r="BG106" s="102"/>
      <c r="BH106" s="102"/>
      <c r="BI106" s="102"/>
      <c r="BJ106" s="102"/>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hidden="1" customHeight="1" outlineLevel="2">
      <c r="A107" s="9"/>
      <c r="B107" s="9"/>
      <c r="C107" s="9"/>
      <c r="D107" s="25"/>
      <c r="E107" s="376"/>
      <c r="F107" s="86">
        <v>10</v>
      </c>
      <c r="G107" s="122"/>
      <c r="H107" s="146"/>
      <c r="I107" s="148"/>
      <c r="J107" s="148"/>
      <c r="K107" s="148"/>
      <c r="L107" s="148"/>
      <c r="M107" s="148"/>
      <c r="N107" s="148"/>
      <c r="O107" s="148"/>
      <c r="P107" s="148"/>
      <c r="Q107" s="147"/>
      <c r="R107" s="67"/>
      <c r="S107" s="102"/>
      <c r="T107" s="102"/>
      <c r="U107" s="102"/>
      <c r="V107" s="102"/>
      <c r="W107" s="102"/>
      <c r="X107" s="102"/>
      <c r="Y107" s="102"/>
      <c r="Z107" s="102"/>
      <c r="AA107" s="102"/>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102"/>
      <c r="BE107" s="102"/>
      <c r="BF107" s="102"/>
      <c r="BG107" s="102"/>
      <c r="BH107" s="102"/>
      <c r="BI107" s="102"/>
      <c r="BJ107" s="102"/>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customHeight="1" outlineLevel="1" collapsed="1">
      <c r="A108" s="9"/>
      <c r="B108" s="9"/>
      <c r="C108" s="9"/>
      <c r="D108" s="25" t="str">
        <f>Asset5</f>
        <v>Zone transformers 132/66kV</v>
      </c>
      <c r="E108" s="9"/>
      <c r="F108" s="9"/>
      <c r="G108" s="122"/>
      <c r="H108" s="165">
        <f>-SUM(H96:H107)</f>
        <v>-0.62908537352247595</v>
      </c>
      <c r="I108" s="165">
        <f>-SUM(I96:I107)</f>
        <v>-0.69038160372707214</v>
      </c>
      <c r="J108" s="165">
        <f>-SUM(J96:J107)</f>
        <v>-0.74840736520112128</v>
      </c>
      <c r="K108" s="165">
        <f>-SUM(K96:K107)</f>
        <v>-0.80577234723475166</v>
      </c>
      <c r="L108" s="165">
        <f>-SUM(L96:L107)</f>
        <v>-0.80577234723475166</v>
      </c>
      <c r="M108" s="165">
        <f>IF(Input!M173&gt;0, -SUM(M96:M107), 0)</f>
        <v>0</v>
      </c>
      <c r="N108" s="165">
        <f>IF(Input!N173&gt;0, -SUM(N96:N107), 0)</f>
        <v>0</v>
      </c>
      <c r="O108" s="165">
        <f>IF(Input!O173&gt;0, -SUM(O96:O107), 0)</f>
        <v>0</v>
      </c>
      <c r="P108" s="165">
        <f>IF(Input!P173&gt;0, -SUM(P96:P107), 0)</f>
        <v>0</v>
      </c>
      <c r="Q108" s="165">
        <f>IF(Input!Q173&gt;0, -SUM(Q96:Q107), 0)</f>
        <v>0</v>
      </c>
      <c r="R108" s="65"/>
      <c r="S108" s="104"/>
      <c r="T108" s="104"/>
      <c r="U108" s="104"/>
      <c r="V108" s="104"/>
      <c r="W108" s="104"/>
      <c r="X108" s="104"/>
      <c r="Y108" s="104"/>
      <c r="Z108" s="104"/>
      <c r="AA108" s="104"/>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104"/>
      <c r="BE108" s="104"/>
      <c r="BF108" s="104"/>
      <c r="BG108" s="104"/>
      <c r="BH108" s="104"/>
      <c r="BI108" s="104"/>
      <c r="BJ108" s="104"/>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hidden="1" customHeight="1" outlineLevel="2">
      <c r="A109" s="9"/>
      <c r="B109" s="9"/>
      <c r="C109" s="31" t="str">
        <f>Asset6</f>
        <v>Transmission substation equip 132/66kV</v>
      </c>
      <c r="D109" s="161"/>
      <c r="E109" s="33" t="s">
        <v>28</v>
      </c>
      <c r="F109" s="32"/>
      <c r="G109" s="174"/>
      <c r="H109" s="66">
        <f>IF(H$3&gt;A6remlife,A6value-SUM($G109:G109),IF(A6remlife="N/A","n/a",A6value/A6remlife))</f>
        <v>3.4775861272696376</v>
      </c>
      <c r="I109" s="66">
        <f>IF(I$3&gt;A6remlife,A6value-SUM($G109:H109),IF(A6remlife="N/A","n/a",A6value/A6remlife))</f>
        <v>3.4775861272696376</v>
      </c>
      <c r="J109" s="66">
        <f>IF(J$3&gt;A6remlife,A6value-SUM($G109:I109),IF(A6remlife="N/A","n/a",A6value/A6remlife))</f>
        <v>3.4775861272696376</v>
      </c>
      <c r="K109" s="66">
        <f>IF(K$3&gt;A6remlife,A6value-SUM($G109:J109),IF(A6remlife="N/A","n/a",A6value/A6remlife))</f>
        <v>3.4775861272696376</v>
      </c>
      <c r="L109" s="66">
        <f>IF(L$3&gt;A6remlife,A6value-SUM($G109:K109),IF(A6remlife="N/A","n/a",A6value/A6remlife))</f>
        <v>3.4775861272696376</v>
      </c>
      <c r="M109" s="66">
        <f>IF(M$3&gt;A6remlife,A6value-SUM($G109:L109),IF(A6remlife="N/A","n/a",A6value/A6remlife))</f>
        <v>3.4775861272696376</v>
      </c>
      <c r="N109" s="66">
        <f>IF(N$3&gt;A6remlife,A6value-SUM($G109:M109),IF(A6remlife="N/A","n/a",A6value/A6remlife))</f>
        <v>3.4775861272696376</v>
      </c>
      <c r="O109" s="66">
        <f>IF(O$3&gt;A6remlife,A6value-SUM($G109:N109),IF(A6remlife="N/A","n/a",A6value/A6remlife))</f>
        <v>3.4775861272696376</v>
      </c>
      <c r="P109" s="66">
        <f>IF(P$3&gt;A6remlife,A6value-SUM($G109:O109),IF(A6remlife="N/A","n/a",A6value/A6remlife))</f>
        <v>3.4775861272696376</v>
      </c>
      <c r="Q109" s="66">
        <f>IF(Q$3&gt;A6remlife,A6value-SUM($G109:P109),IF(A6remlife="N/A","n/a",A6value/A6remlife))</f>
        <v>3.4775861272696376</v>
      </c>
      <c r="R109" s="66"/>
      <c r="S109" s="102"/>
      <c r="T109" s="102"/>
      <c r="U109" s="102"/>
      <c r="V109" s="102"/>
      <c r="W109" s="102"/>
      <c r="X109" s="102"/>
      <c r="Y109" s="102"/>
      <c r="Z109" s="102"/>
      <c r="AA109" s="102"/>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102"/>
      <c r="BE109" s="102"/>
      <c r="BF109" s="102"/>
      <c r="BG109" s="102"/>
      <c r="BH109" s="102"/>
      <c r="BI109" s="102"/>
      <c r="BJ109" s="102"/>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5"/>
      <c r="E110" s="375" t="s">
        <v>85</v>
      </c>
      <c r="F110" s="85">
        <v>0</v>
      </c>
      <c r="G110" s="122"/>
      <c r="H110" s="67"/>
      <c r="I110" s="67"/>
      <c r="J110" s="67"/>
      <c r="K110" s="67"/>
      <c r="L110" s="67"/>
      <c r="M110" s="163"/>
      <c r="N110" s="111"/>
      <c r="O110" s="67"/>
      <c r="P110" s="67"/>
      <c r="Q110" s="67"/>
      <c r="R110" s="67"/>
      <c r="S110" s="102"/>
      <c r="T110" s="102"/>
      <c r="U110" s="102"/>
      <c r="V110" s="102"/>
      <c r="W110" s="102"/>
      <c r="X110" s="102"/>
      <c r="Y110" s="102"/>
      <c r="Z110" s="102"/>
      <c r="AA110" s="102"/>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102"/>
      <c r="BE110" s="102"/>
      <c r="BF110" s="102"/>
      <c r="BG110" s="102"/>
      <c r="BH110" s="102"/>
      <c r="BI110" s="102"/>
      <c r="BJ110" s="102"/>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hidden="1" customHeight="1" outlineLevel="2">
      <c r="A111" s="9"/>
      <c r="B111" s="9"/>
      <c r="C111" s="9"/>
      <c r="D111" s="25"/>
      <c r="E111" s="376"/>
      <c r="F111" s="85">
        <v>1</v>
      </c>
      <c r="G111" s="122"/>
      <c r="H111" s="145"/>
      <c r="I111" s="67">
        <f>IF(A6stdlife="n/a","n/a",IF(I$3&gt;(A6stdlife+$F111),(Input!$H$148*(1+vanilla1)^0.5)-SUM($H111:H111),(Input!$H$148*(1+vanilla1)^0.5)/A6stdlife))</f>
        <v>0.56655334396685064</v>
      </c>
      <c r="J111" s="67">
        <f>IF(A6stdlife="n/a","n/a",IF(J$3&gt;(A6stdlife+$F111),(Input!$H$148*(1+vanilla1)^0.5)-SUM($H111:I111),(Input!$H$148*(1+vanilla1)^0.5)/A6stdlife))</f>
        <v>0.56655334396685064</v>
      </c>
      <c r="K111" s="67">
        <f>IF(A6stdlife="n/a","n/a",IF(K$3&gt;(A6stdlife+$F111),(Input!$H$148*(1+vanilla1)^0.5)-SUM($H111:J111),(Input!$H$148*(1+vanilla1)^0.5)/A6stdlife))</f>
        <v>0.56655334396685064</v>
      </c>
      <c r="L111" s="67">
        <f>IF(A6stdlife="n/a","n/a",IF(L$3&gt;(A6stdlife+$F111),(Input!$H$148*(1+vanilla1)^0.5)-SUM($H111:K111),(Input!$H$148*(1+vanilla1)^0.5)/A6stdlife))</f>
        <v>0.56655334396685064</v>
      </c>
      <c r="M111" s="67">
        <f>IF(A6stdlife="n/a","n/a",IF(M$3&gt;(A6stdlife+$F111),(Input!$H$148*(1+vanilla1)^0.5)-SUM($H111:L111),(Input!$H$148*(1+vanilla1)^0.5)/A6stdlife))</f>
        <v>0.56655334396685064</v>
      </c>
      <c r="N111" s="67">
        <f>IF(A6stdlife="n/a","n/a",IF(N$3&gt;(A6stdlife+$F111),(Input!$H$148*(1+vanilla1)^0.5)-SUM($H111:M111),(Input!$H$148*(1+vanilla1)^0.5)/A6stdlife))</f>
        <v>0.56655334396685064</v>
      </c>
      <c r="O111" s="67">
        <f>IF(A6stdlife="n/a","n/a",IF(O$3&gt;(A6stdlife+$F111),(Input!$H$148*(1+vanilla1)^0.5)-SUM($H111:N111),(Input!$H$148*(1+vanilla1)^0.5)/A6stdlife))</f>
        <v>0.56655334396685064</v>
      </c>
      <c r="P111" s="67">
        <f>IF(A6stdlife="n/a","n/a",IF(P$3&gt;(A6stdlife+$F111),(Input!$H$148*(1+vanilla1)^0.5)-SUM($H111:O111),(Input!$H$148*(1+vanilla1)^0.5)/A6stdlife))</f>
        <v>0.56655334396685064</v>
      </c>
      <c r="Q111" s="67">
        <f>IF(A6stdlife="n/a","n/a",IF(Q$3&gt;(A6stdlife+$F111),(Input!$H$148*(1+vanilla1)^0.5)-SUM($H111:P111),(Input!$H$148*(1+vanilla1)^0.5)/A6stdlife))</f>
        <v>0.56655334396685064</v>
      </c>
      <c r="R111" s="67"/>
      <c r="S111" s="102"/>
      <c r="T111" s="102"/>
      <c r="U111" s="102"/>
      <c r="V111" s="102"/>
      <c r="W111" s="102"/>
      <c r="X111" s="102"/>
      <c r="Y111" s="102"/>
      <c r="Z111" s="102"/>
      <c r="AA111" s="102"/>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102"/>
      <c r="BE111" s="102"/>
      <c r="BF111" s="102"/>
      <c r="BG111" s="102"/>
      <c r="BH111" s="102"/>
      <c r="BI111" s="102"/>
      <c r="BJ111" s="102"/>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376"/>
      <c r="F112" s="85">
        <v>2</v>
      </c>
      <c r="G112" s="122"/>
      <c r="H112" s="146"/>
      <c r="I112" s="147"/>
      <c r="J112" s="67">
        <f>IF(A6stdlife="n/a","n/a",IF(J$3&gt;(A6stdlife+$F112),(Input!$I$148*(1+vanilla2)^0.5)-SUM($I112:I112),(Input!$I$148*(1+vanilla2)^0.5)/A6stdlife))</f>
        <v>0.44234224153576651</v>
      </c>
      <c r="K112" s="67">
        <f>IF(A6stdlife="n/a","n/a",IF(K$3&gt;(A6stdlife+$F112),(Input!$I$148*(1+vanilla2)^0.5)-SUM($I112:J112),(Input!$I$148*(1+vanilla2)^0.5)/A6stdlife))</f>
        <v>0.44234224153576651</v>
      </c>
      <c r="L112" s="67">
        <f>IF(A6stdlife="n/a","n/a",IF(L$3&gt;(A6stdlife+$F112),(Input!$I$148*(1+vanilla2)^0.5)-SUM($I112:K112),(Input!$I$148*(1+vanilla2)^0.5)/A6stdlife))</f>
        <v>0.44234224153576651</v>
      </c>
      <c r="M112" s="67">
        <f>IF(A6stdlife="n/a","n/a",IF(M$3&gt;(A6stdlife+$F112),(Input!$I$148*(1+vanilla2)^0.5)-SUM($I112:L112),(Input!$I$148*(1+vanilla2)^0.5)/A6stdlife))</f>
        <v>0.44234224153576651</v>
      </c>
      <c r="N112" s="67">
        <f>IF(A6stdlife="n/a","n/a",IF(N$3&gt;(A6stdlife+$F112),(Input!$I$148*(1+vanilla2)^0.5)-SUM($I112:M112),(Input!$I$148*(1+vanilla2)^0.5)/A6stdlife))</f>
        <v>0.44234224153576651</v>
      </c>
      <c r="O112" s="67">
        <f>IF(A6stdlife="n/a","n/a",IF(O$3&gt;(A6stdlife+$F112),(Input!$I$148*(1+vanilla2)^0.5)-SUM($I112:N112),(Input!$I$148*(1+vanilla2)^0.5)/A6stdlife))</f>
        <v>0.44234224153576651</v>
      </c>
      <c r="P112" s="67">
        <f>IF(A6stdlife="n/a","n/a",IF(P$3&gt;(A6stdlife+$F112),(Input!$I$148*(1+vanilla2)^0.5)-SUM($I112:O112),(Input!$I$148*(1+vanilla2)^0.5)/A6stdlife))</f>
        <v>0.44234224153576651</v>
      </c>
      <c r="Q112" s="67">
        <f>IF(A6stdlife="n/a","n/a",IF(Q$3&gt;(A6stdlife+$F112),(Input!$I$148*(1+vanilla2)^0.5)-SUM($I112:P112),(Input!$I$148*(1+vanilla2)^0.5)/A6stdlife))</f>
        <v>0.44234224153576651</v>
      </c>
      <c r="R112" s="67"/>
      <c r="S112" s="102"/>
      <c r="T112" s="102"/>
      <c r="U112" s="102"/>
      <c r="V112" s="102"/>
      <c r="W112" s="102"/>
      <c r="X112" s="102"/>
      <c r="Y112" s="102"/>
      <c r="Z112" s="102"/>
      <c r="AA112" s="102"/>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102"/>
      <c r="BE112" s="102"/>
      <c r="BF112" s="102"/>
      <c r="BG112" s="102"/>
      <c r="BH112" s="102"/>
      <c r="BI112" s="102"/>
      <c r="BJ112" s="102"/>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hidden="1" customHeight="1" outlineLevel="2">
      <c r="A113" s="9"/>
      <c r="B113" s="9"/>
      <c r="C113" s="9"/>
      <c r="D113" s="25"/>
      <c r="E113" s="376"/>
      <c r="F113" s="85">
        <v>3</v>
      </c>
      <c r="G113" s="122"/>
      <c r="H113" s="146"/>
      <c r="I113" s="148"/>
      <c r="J113" s="147"/>
      <c r="K113" s="67">
        <f>IF(A6stdlife="n/a","n/a",IF(K$3&gt;(A6stdlife+$F113),(Input!$J$148*(1+vanilla3)^0.5)-SUM($J113:J113),(Input!$J$148*(1+vanilla3)^0.5)/A6stdlife))</f>
        <v>0.57853950606967275</v>
      </c>
      <c r="L113" s="67">
        <f>IF(A6stdlife="n/a","n/a",IF(L$3&gt;(A6stdlife+$F113),(Input!$J$148*(1+vanilla3)^0.5)-SUM($J113:K113),(Input!$J$148*(1+vanilla3)^0.5)/A6stdlife))</f>
        <v>0.57853950606967275</v>
      </c>
      <c r="M113" s="67">
        <f>IF(A6stdlife="n/a","n/a",IF(M$3&gt;(A6stdlife+$F113),(Input!$J$148*(1+vanilla3)^0.5)-SUM($J113:L113),(Input!$J$148*(1+vanilla3)^0.5)/A6stdlife))</f>
        <v>0.57853950606967275</v>
      </c>
      <c r="N113" s="67">
        <f>IF(A6stdlife="n/a","n/a",IF(N$3&gt;(A6stdlife+$F113),(Input!$J$148*(1+vanilla3)^0.5)-SUM($J113:M113),(Input!$J$148*(1+vanilla3)^0.5)/A6stdlife))</f>
        <v>0.57853950606967275</v>
      </c>
      <c r="O113" s="67">
        <f>IF(A6stdlife="n/a","n/a",IF(O$3&gt;(A6stdlife+$F113),(Input!$J$148*(1+vanilla3)^0.5)-SUM($J113:N113),(Input!$J$148*(1+vanilla3)^0.5)/A6stdlife))</f>
        <v>0.57853950606967275</v>
      </c>
      <c r="P113" s="67">
        <f>IF(A6stdlife="n/a","n/a",IF(P$3&gt;(A6stdlife+$F113),(Input!$J$148*(1+vanilla3)^0.5)-SUM($J113:O113),(Input!$J$148*(1+vanilla3)^0.5)/A6stdlife))</f>
        <v>0.57853950606967275</v>
      </c>
      <c r="Q113" s="67">
        <f>IF(A6stdlife="n/a","n/a",IF(Q$3&gt;(A6stdlife+$F113),(Input!$J$148*(1+vanilla3)^0.5)-SUM($J113:P113),(Input!$J$148*(1+vanilla3)^0.5)/A6stdlife))</f>
        <v>0.57853950606967275</v>
      </c>
      <c r="R113" s="67"/>
      <c r="S113" s="102"/>
      <c r="T113" s="102"/>
      <c r="U113" s="102"/>
      <c r="V113" s="102"/>
      <c r="W113" s="102"/>
      <c r="X113" s="102"/>
      <c r="Y113" s="102"/>
      <c r="Z113" s="102"/>
      <c r="AA113" s="102"/>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102"/>
      <c r="BE113" s="102"/>
      <c r="BF113" s="102"/>
      <c r="BG113" s="102"/>
      <c r="BH113" s="102"/>
      <c r="BI113" s="102"/>
      <c r="BJ113" s="102"/>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hidden="1" customHeight="1" outlineLevel="2">
      <c r="A114" s="9"/>
      <c r="B114" s="9"/>
      <c r="C114" s="9"/>
      <c r="D114" s="25"/>
      <c r="E114" s="376"/>
      <c r="F114" s="85">
        <v>4</v>
      </c>
      <c r="G114" s="122"/>
      <c r="H114" s="146"/>
      <c r="I114" s="148"/>
      <c r="J114" s="148"/>
      <c r="K114" s="147"/>
      <c r="L114" s="67">
        <f>IF(A6stdlife="n/a","n/a",IF(L$3&gt;(A6stdlife+$F114),(Input!$K$148*(1+vanilla4)^0.5)-SUM($K114:K114),(Input!$K$148*(1+vanilla4)^0.5)/A6stdlife))</f>
        <v>0.38642197015532143</v>
      </c>
      <c r="M114" s="67">
        <f>IF(A6stdlife="n/a","n/a",IF(M$3&gt;(A6stdlife+$F114),(Input!$K$148*(1+vanilla4)^0.5)-SUM($K114:L114),(Input!$K$148*(1+vanilla4)^0.5)/A6stdlife))</f>
        <v>0.38642197015532143</v>
      </c>
      <c r="N114" s="67">
        <f>IF(A6stdlife="n/a","n/a",IF(N$3&gt;(A6stdlife+$F114),(Input!$K$148*(1+vanilla4)^0.5)-SUM($K114:M114),(Input!$K$148*(1+vanilla4)^0.5)/A6stdlife))</f>
        <v>0.38642197015532143</v>
      </c>
      <c r="O114" s="67">
        <f>IF(A6stdlife="n/a","n/a",IF(O$3&gt;(A6stdlife+$F114),(Input!$K$148*(1+vanilla4)^0.5)-SUM($K114:N114),(Input!$K$148*(1+vanilla4)^0.5)/A6stdlife))</f>
        <v>0.38642197015532143</v>
      </c>
      <c r="P114" s="67">
        <f>IF(A6stdlife="n/a","n/a",IF(P$3&gt;(A6stdlife+$F114),(Input!$K$148*(1+vanilla4)^0.5)-SUM($K114:O114),(Input!$K$148*(1+vanilla4)^0.5)/A6stdlife))</f>
        <v>0.38642197015532143</v>
      </c>
      <c r="Q114" s="67">
        <f>IF(A6stdlife="n/a","n/a",IF(Q$3&gt;(A6stdlife+$F114),(Input!$K$148*(1+vanilla4)^0.5)-SUM($K114:P114),(Input!$K$148*(1+vanilla4)^0.5)/A6stdlife))</f>
        <v>0.38642197015532143</v>
      </c>
      <c r="R114" s="67"/>
      <c r="S114" s="102"/>
      <c r="T114" s="102"/>
      <c r="U114" s="102"/>
      <c r="V114" s="102"/>
      <c r="W114" s="102"/>
      <c r="X114" s="102"/>
      <c r="Y114" s="102"/>
      <c r="Z114" s="102"/>
      <c r="AA114" s="102"/>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102"/>
      <c r="BE114" s="102"/>
      <c r="BF114" s="102"/>
      <c r="BG114" s="102"/>
      <c r="BH114" s="102"/>
      <c r="BI114" s="102"/>
      <c r="BJ114" s="102"/>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hidden="1" customHeight="1" outlineLevel="2">
      <c r="A115" s="9"/>
      <c r="B115" s="9"/>
      <c r="C115" s="9"/>
      <c r="D115" s="25"/>
      <c r="E115" s="376"/>
      <c r="F115" s="85">
        <v>5</v>
      </c>
      <c r="G115" s="122"/>
      <c r="H115" s="146"/>
      <c r="I115" s="148"/>
      <c r="J115" s="148"/>
      <c r="K115" s="148"/>
      <c r="L115" s="147"/>
      <c r="M115" s="67">
        <f>IF(A6stdlife="n/a","n/a",IF(M$3&gt;(A6stdlife+$F115),(Input!$L$148*(1+vanilla5)^0.5)-SUM($L115:L115),(Input!$L$148*(1+vanilla5)^0.5)/A6stdlife))</f>
        <v>0.2898082338851799</v>
      </c>
      <c r="N115" s="67">
        <f>IF(A6stdlife="n/a","n/a",IF(N$3&gt;(A6stdlife+$F115),(Input!$L$148*(1+vanilla5)^0.5)-SUM($L115:M115),(Input!$L$148*(1+vanilla5)^0.5)/A6stdlife))</f>
        <v>0.2898082338851799</v>
      </c>
      <c r="O115" s="67">
        <f>IF(A6stdlife="n/a","n/a",IF(O$3&gt;(A6stdlife+$F115),(Input!$L$148*(1+vanilla5)^0.5)-SUM($L115:N115),(Input!$L$148*(1+vanilla5)^0.5)/A6stdlife))</f>
        <v>0.2898082338851799</v>
      </c>
      <c r="P115" s="67">
        <f>IF(A6stdlife="n/a","n/a",IF(P$3&gt;(A6stdlife+$F115),(Input!$L$148*(1+vanilla5)^0.5)-SUM($L115:O115),(Input!$L$148*(1+vanilla5)^0.5)/A6stdlife))</f>
        <v>0.2898082338851799</v>
      </c>
      <c r="Q115" s="67">
        <f>IF(A6stdlife="n/a","n/a",IF(Q$3&gt;(A6stdlife+$F115),(Input!$L$148*(1+vanilla5)^0.5)-SUM($L115:P115),(Input!$L$148*(1+vanilla5)^0.5)/A6stdlife))</f>
        <v>0.2898082338851799</v>
      </c>
      <c r="R115" s="67"/>
      <c r="S115" s="102"/>
      <c r="T115" s="102"/>
      <c r="U115" s="102"/>
      <c r="V115" s="102"/>
      <c r="W115" s="102"/>
      <c r="X115" s="102"/>
      <c r="Y115" s="102"/>
      <c r="Z115" s="102"/>
      <c r="AA115" s="102"/>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102"/>
      <c r="BE115" s="102"/>
      <c r="BF115" s="102"/>
      <c r="BG115" s="102"/>
      <c r="BH115" s="102"/>
      <c r="BI115" s="102"/>
      <c r="BJ115" s="102"/>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376"/>
      <c r="F116" s="85">
        <v>6</v>
      </c>
      <c r="G116" s="122"/>
      <c r="H116" s="146"/>
      <c r="I116" s="148"/>
      <c r="J116" s="148"/>
      <c r="K116" s="148"/>
      <c r="L116" s="148"/>
      <c r="M116" s="147"/>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2"/>
      <c r="T116" s="102"/>
      <c r="U116" s="102"/>
      <c r="V116" s="102"/>
      <c r="W116" s="102"/>
      <c r="X116" s="102"/>
      <c r="Y116" s="102"/>
      <c r="Z116" s="102"/>
      <c r="AA116" s="102"/>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102"/>
      <c r="BE116" s="102"/>
      <c r="BF116" s="102"/>
      <c r="BG116" s="102"/>
      <c r="BH116" s="102"/>
      <c r="BI116" s="102"/>
      <c r="BJ116" s="102"/>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hidden="1" customHeight="1" outlineLevel="2">
      <c r="A117" s="9"/>
      <c r="B117" s="9"/>
      <c r="C117" s="9"/>
      <c r="D117" s="25"/>
      <c r="E117" s="376"/>
      <c r="F117" s="85">
        <v>7</v>
      </c>
      <c r="G117" s="122"/>
      <c r="H117" s="146"/>
      <c r="I117" s="148"/>
      <c r="J117" s="148"/>
      <c r="K117" s="148"/>
      <c r="L117" s="148"/>
      <c r="M117" s="148"/>
      <c r="N117" s="147"/>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2"/>
      <c r="T117" s="102"/>
      <c r="U117" s="102"/>
      <c r="V117" s="102"/>
      <c r="W117" s="102"/>
      <c r="X117" s="102"/>
      <c r="Y117" s="102"/>
      <c r="Z117" s="102"/>
      <c r="AA117" s="102"/>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102"/>
      <c r="BE117" s="102"/>
      <c r="BF117" s="102"/>
      <c r="BG117" s="102"/>
      <c r="BH117" s="102"/>
      <c r="BI117" s="102"/>
      <c r="BJ117" s="102"/>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hidden="1" customHeight="1" outlineLevel="2">
      <c r="A118" s="9"/>
      <c r="B118" s="9"/>
      <c r="C118" s="9"/>
      <c r="D118" s="25"/>
      <c r="E118" s="376"/>
      <c r="F118" s="85">
        <v>8</v>
      </c>
      <c r="G118" s="122"/>
      <c r="H118" s="146"/>
      <c r="I118" s="148"/>
      <c r="J118" s="148"/>
      <c r="K118" s="148"/>
      <c r="L118" s="148"/>
      <c r="M118" s="148"/>
      <c r="N118" s="148"/>
      <c r="O118" s="147"/>
      <c r="P118" s="67">
        <f>IF(A6stdlife="n/a","n/a",IF(P$3&gt;(A6stdlife+$F118),(Input!$O$148*(1+vanilla8)^0.5)-SUM($O118:O118),(Input!$O$148*(1+vanilla8)^0.5)/A6stdlife))</f>
        <v>0</v>
      </c>
      <c r="Q118" s="67">
        <f>IF(A6stdlife="n/a","n/a",IF(Q$3&gt;(A6stdlife+$F118),(Input!$O$148*(1+vanilla8)^0.5)-SUM($O118:P118),(Input!$O$148*(1+vanilla8)^0.5)/A6stdlife))</f>
        <v>0</v>
      </c>
      <c r="R118" s="67"/>
      <c r="S118" s="102"/>
      <c r="T118" s="102"/>
      <c r="U118" s="102"/>
      <c r="V118" s="102"/>
      <c r="W118" s="102"/>
      <c r="X118" s="102"/>
      <c r="Y118" s="102"/>
      <c r="Z118" s="102"/>
      <c r="AA118" s="102"/>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102"/>
      <c r="BE118" s="102"/>
      <c r="BF118" s="102"/>
      <c r="BG118" s="102"/>
      <c r="BH118" s="102"/>
      <c r="BI118" s="102"/>
      <c r="BJ118" s="102"/>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hidden="1" customHeight="1" outlineLevel="2">
      <c r="A119" s="9"/>
      <c r="B119" s="9"/>
      <c r="C119" s="9"/>
      <c r="D119" s="25"/>
      <c r="E119" s="376"/>
      <c r="F119" s="85">
        <v>9</v>
      </c>
      <c r="G119" s="122"/>
      <c r="H119" s="146"/>
      <c r="I119" s="148"/>
      <c r="J119" s="148"/>
      <c r="K119" s="148"/>
      <c r="L119" s="148"/>
      <c r="M119" s="148"/>
      <c r="N119" s="148"/>
      <c r="O119" s="148"/>
      <c r="P119" s="147"/>
      <c r="Q119" s="67">
        <f>IF(A6stdlife="n/a","n/a",IF(Q$3&gt;(A6stdlife+$F119),(Input!$P$148*(1+vanilla9)^0.5)-SUM($P119:P119),(Input!$P$148*(1+vanilla9)^0.5)/A6stdlife))</f>
        <v>0</v>
      </c>
      <c r="R119" s="67"/>
      <c r="S119" s="102"/>
      <c r="T119" s="102"/>
      <c r="U119" s="102"/>
      <c r="V119" s="102"/>
      <c r="W119" s="102"/>
      <c r="X119" s="102"/>
      <c r="Y119" s="102"/>
      <c r="Z119" s="102"/>
      <c r="AA119" s="102"/>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102"/>
      <c r="BE119" s="102"/>
      <c r="BF119" s="102"/>
      <c r="BG119" s="102"/>
      <c r="BH119" s="102"/>
      <c r="BI119" s="102"/>
      <c r="BJ119" s="102"/>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hidden="1" customHeight="1" outlineLevel="2">
      <c r="A120" s="9"/>
      <c r="B120" s="9"/>
      <c r="C120" s="9"/>
      <c r="D120" s="25"/>
      <c r="E120" s="376"/>
      <c r="F120" s="86">
        <v>10</v>
      </c>
      <c r="G120" s="122"/>
      <c r="H120" s="146"/>
      <c r="I120" s="148"/>
      <c r="J120" s="148"/>
      <c r="K120" s="148"/>
      <c r="L120" s="148"/>
      <c r="M120" s="148"/>
      <c r="N120" s="148"/>
      <c r="O120" s="148"/>
      <c r="P120" s="148"/>
      <c r="Q120" s="147"/>
      <c r="R120" s="67"/>
      <c r="S120" s="102"/>
      <c r="T120" s="102"/>
      <c r="U120" s="102"/>
      <c r="V120" s="102"/>
      <c r="W120" s="102"/>
      <c r="X120" s="102"/>
      <c r="Y120" s="102"/>
      <c r="Z120" s="102"/>
      <c r="AA120" s="102"/>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102"/>
      <c r="BE120" s="102"/>
      <c r="BF120" s="102"/>
      <c r="BG120" s="102"/>
      <c r="BH120" s="102"/>
      <c r="BI120" s="102"/>
      <c r="BJ120" s="102"/>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customHeight="1" outlineLevel="1" collapsed="1">
      <c r="A121" s="9"/>
      <c r="B121" s="9"/>
      <c r="C121" s="9"/>
      <c r="D121" s="25" t="str">
        <f>Asset6</f>
        <v>Transmission substation equip 132/66kV</v>
      </c>
      <c r="E121" s="9"/>
      <c r="F121" s="9"/>
      <c r="G121" s="122"/>
      <c r="H121" s="165">
        <f>-SUM(H109:H120)</f>
        <v>-3.4775861272696376</v>
      </c>
      <c r="I121" s="165">
        <f>-SUM(I109:I120)</f>
        <v>-4.0441394712364884</v>
      </c>
      <c r="J121" s="165">
        <f>-SUM(J109:J120)</f>
        <v>-4.4864817127722549</v>
      </c>
      <c r="K121" s="165">
        <f>-SUM(K109:K120)</f>
        <v>-5.0650212188419275</v>
      </c>
      <c r="L121" s="165">
        <f>-SUM(L109:L120)</f>
        <v>-5.4514431889972492</v>
      </c>
      <c r="M121" s="165">
        <f>IF(Input!M173&gt;0, -SUM(M109:M120), 0)</f>
        <v>0</v>
      </c>
      <c r="N121" s="165">
        <f>IF(Input!N173&gt;0, -SUM(N109:N120), 0)</f>
        <v>0</v>
      </c>
      <c r="O121" s="165">
        <f>IF(Input!O173&gt;0, -SUM(O109:O120), 0)</f>
        <v>0</v>
      </c>
      <c r="P121" s="165">
        <f>IF(Input!P173&gt;0, -SUM(P109:P120), 0)</f>
        <v>0</v>
      </c>
      <c r="Q121" s="165">
        <f>IF(Input!Q173&gt;0, -SUM(Q109:Q120), 0)</f>
        <v>0</v>
      </c>
      <c r="R121" s="65"/>
      <c r="S121" s="104"/>
      <c r="T121" s="104"/>
      <c r="U121" s="104"/>
      <c r="V121" s="104"/>
      <c r="W121" s="104"/>
      <c r="X121" s="104"/>
      <c r="Y121" s="104"/>
      <c r="Z121" s="104"/>
      <c r="AA121" s="104"/>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104"/>
      <c r="BE121" s="104"/>
      <c r="BF121" s="104"/>
      <c r="BG121" s="104"/>
      <c r="BH121" s="104"/>
      <c r="BI121" s="104"/>
      <c r="BJ121" s="104"/>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hidden="1" customHeight="1" outlineLevel="2">
      <c r="A122" s="9"/>
      <c r="B122" s="9"/>
      <c r="C122" s="31" t="str">
        <f>Asset7</f>
        <v>Zone substation equip 132/66kV</v>
      </c>
      <c r="D122" s="161"/>
      <c r="E122" s="33" t="s">
        <v>28</v>
      </c>
      <c r="F122" s="32"/>
      <c r="G122" s="174"/>
      <c r="H122" s="66">
        <f>IF(H$3&gt;A7remlife,A7value-SUM($G122:G122),IF(A7remlife="N/A","n/a",A7value/A7remlife))</f>
        <v>3.8015936326221782</v>
      </c>
      <c r="I122" s="66">
        <f>IF(I$3&gt;A7remlife,A7value-SUM($G122:H122),IF(A7remlife="N/A","n/a",A7value/A7remlife))</f>
        <v>3.8015936326221782</v>
      </c>
      <c r="J122" s="66">
        <f>IF(J$3&gt;A7remlife,A7value-SUM($G122:I122),IF(A7remlife="N/A","n/a",A7value/A7remlife))</f>
        <v>3.8015936326221782</v>
      </c>
      <c r="K122" s="66">
        <f>IF(K$3&gt;A7remlife,A7value-SUM($G122:J122),IF(A7remlife="N/A","n/a",A7value/A7remlife))</f>
        <v>3.8015936326221782</v>
      </c>
      <c r="L122" s="66">
        <f>IF(L$3&gt;A7remlife,A7value-SUM($G122:K122),IF(A7remlife="N/A","n/a",A7value/A7remlife))</f>
        <v>3.8015936326221782</v>
      </c>
      <c r="M122" s="66">
        <f>IF(M$3&gt;A7remlife,A7value-SUM($G122:L122),IF(A7remlife="N/A","n/a",A7value/A7remlife))</f>
        <v>3.8015936326221782</v>
      </c>
      <c r="N122" s="66">
        <f>IF(N$3&gt;A7remlife,A7value-SUM($G122:M122),IF(A7remlife="N/A","n/a",A7value/A7remlife))</f>
        <v>3.8015936326221782</v>
      </c>
      <c r="O122" s="66">
        <f>IF(O$3&gt;A7remlife,A7value-SUM($G122:N122),IF(A7remlife="N/A","n/a",A7value/A7remlife))</f>
        <v>3.8015936326221782</v>
      </c>
      <c r="P122" s="66">
        <f>IF(P$3&gt;A7remlife,A7value-SUM($G122:O122),IF(A7remlife="N/A","n/a",A7value/A7remlife))</f>
        <v>3.8015936326221782</v>
      </c>
      <c r="Q122" s="66">
        <f>IF(Q$3&gt;A7remlife,A7value-SUM($G122:P122),IF(A7remlife="N/A","n/a",A7value/A7remlife))</f>
        <v>3.8015936326221782</v>
      </c>
      <c r="R122" s="66"/>
      <c r="S122" s="102"/>
      <c r="T122" s="102"/>
      <c r="U122" s="102"/>
      <c r="V122" s="102"/>
      <c r="W122" s="102"/>
      <c r="X122" s="102"/>
      <c r="Y122" s="102"/>
      <c r="Z122" s="102"/>
      <c r="AA122" s="102"/>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102"/>
      <c r="BE122" s="102"/>
      <c r="BF122" s="102"/>
      <c r="BG122" s="102"/>
      <c r="BH122" s="102"/>
      <c r="BI122" s="102"/>
      <c r="BJ122" s="102"/>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5"/>
      <c r="E123" s="375" t="s">
        <v>85</v>
      </c>
      <c r="F123" s="85">
        <v>0</v>
      </c>
      <c r="G123" s="122"/>
      <c r="H123" s="67"/>
      <c r="I123" s="67"/>
      <c r="J123" s="67"/>
      <c r="K123" s="67"/>
      <c r="L123" s="67"/>
      <c r="M123" s="163"/>
      <c r="N123" s="111"/>
      <c r="O123" s="67"/>
      <c r="P123" s="67"/>
      <c r="Q123" s="67"/>
      <c r="R123" s="67"/>
      <c r="S123" s="102"/>
      <c r="T123" s="102"/>
      <c r="U123" s="102"/>
      <c r="V123" s="102"/>
      <c r="W123" s="102"/>
      <c r="X123" s="102"/>
      <c r="Y123" s="102"/>
      <c r="Z123" s="102"/>
      <c r="AA123" s="102"/>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102"/>
      <c r="BE123" s="102"/>
      <c r="BF123" s="102"/>
      <c r="BG123" s="102"/>
      <c r="BH123" s="102"/>
      <c r="BI123" s="102"/>
      <c r="BJ123" s="102"/>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hidden="1" customHeight="1" outlineLevel="2">
      <c r="A124" s="9"/>
      <c r="B124" s="9"/>
      <c r="C124" s="9"/>
      <c r="D124" s="25"/>
      <c r="E124" s="376"/>
      <c r="F124" s="85">
        <v>1</v>
      </c>
      <c r="G124" s="122"/>
      <c r="H124" s="145"/>
      <c r="I124" s="67">
        <f>IF(A7stdlife="n/a","n/a",IF(I$3&gt;(A7stdlife+$F124),(Input!$H$149*(1+vanilla1)^0.5)-SUM($H124:H124),(Input!$H$149*(1+vanilla1)^0.5)/A7stdlife))</f>
        <v>0.80762117371881648</v>
      </c>
      <c r="J124" s="67">
        <f>IF(A7stdlife="n/a","n/a",IF(J$3&gt;(A7stdlife+$F124),(Input!$H$149*(1+vanilla1)^0.5)-SUM($H124:I124),(Input!$H$149*(1+vanilla1)^0.5)/A7stdlife))</f>
        <v>0.80762117371881648</v>
      </c>
      <c r="K124" s="67">
        <f>IF(A7stdlife="n/a","n/a",IF(K$3&gt;(A7stdlife+$F124),(Input!$H$149*(1+vanilla1)^0.5)-SUM($H124:J124),(Input!$H$149*(1+vanilla1)^0.5)/A7stdlife))</f>
        <v>0.80762117371881648</v>
      </c>
      <c r="L124" s="67">
        <f>IF(A7stdlife="n/a","n/a",IF(L$3&gt;(A7stdlife+$F124),(Input!$H$149*(1+vanilla1)^0.5)-SUM($H124:K124),(Input!$H$149*(1+vanilla1)^0.5)/A7stdlife))</f>
        <v>0.80762117371881648</v>
      </c>
      <c r="M124" s="67">
        <f>IF(A7stdlife="n/a","n/a",IF(M$3&gt;(A7stdlife+$F124),(Input!$H$149*(1+vanilla1)^0.5)-SUM($H124:L124),(Input!$H$149*(1+vanilla1)^0.5)/A7stdlife))</f>
        <v>0.80762117371881648</v>
      </c>
      <c r="N124" s="67">
        <f>IF(A7stdlife="n/a","n/a",IF(N$3&gt;(A7stdlife+$F124),(Input!$H$149*(1+vanilla1)^0.5)-SUM($H124:M124),(Input!$H$149*(1+vanilla1)^0.5)/A7stdlife))</f>
        <v>0.80762117371881648</v>
      </c>
      <c r="O124" s="67">
        <f>IF(A7stdlife="n/a","n/a",IF(O$3&gt;(A7stdlife+$F124),(Input!$H$149*(1+vanilla1)^0.5)-SUM($H124:N124),(Input!$H$149*(1+vanilla1)^0.5)/A7stdlife))</f>
        <v>0.80762117371881648</v>
      </c>
      <c r="P124" s="67">
        <f>IF(A7stdlife="n/a","n/a",IF(P$3&gt;(A7stdlife+$F124),(Input!$H$149*(1+vanilla1)^0.5)-SUM($H124:O124),(Input!$H$149*(1+vanilla1)^0.5)/A7stdlife))</f>
        <v>0.80762117371881648</v>
      </c>
      <c r="Q124" s="67">
        <f>IF(A7stdlife="n/a","n/a",IF(Q$3&gt;(A7stdlife+$F124),(Input!$H$149*(1+vanilla1)^0.5)-SUM($H124:P124),(Input!$H$149*(1+vanilla1)^0.5)/A7stdlife))</f>
        <v>0.80762117371881648</v>
      </c>
      <c r="R124" s="67"/>
      <c r="S124" s="102"/>
      <c r="T124" s="102"/>
      <c r="U124" s="102"/>
      <c r="V124" s="102"/>
      <c r="W124" s="102"/>
      <c r="X124" s="102"/>
      <c r="Y124" s="102"/>
      <c r="Z124" s="102"/>
      <c r="AA124" s="102"/>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102"/>
      <c r="BE124" s="102"/>
      <c r="BF124" s="102"/>
      <c r="BG124" s="102"/>
      <c r="BH124" s="102"/>
      <c r="BI124" s="102"/>
      <c r="BJ124" s="102"/>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376"/>
      <c r="F125" s="85">
        <v>2</v>
      </c>
      <c r="G125" s="122"/>
      <c r="H125" s="146"/>
      <c r="I125" s="147"/>
      <c r="J125" s="67">
        <f>IF(A7stdlife="n/a","n/a",IF(J$3&gt;(A7stdlife+$F125),(Input!$I$149*(1+vanilla2)^0.5)-SUM($I125:I125),(Input!$I$149*(1+vanilla2)^0.5)/A7stdlife))</f>
        <v>1.8760585406617711</v>
      </c>
      <c r="K125" s="67">
        <f>IF(A7stdlife="n/a","n/a",IF(K$3&gt;(A7stdlife+$F125),(Input!$I$149*(1+vanilla2)^0.5)-SUM($I125:J125),(Input!$I$149*(1+vanilla2)^0.5)/A7stdlife))</f>
        <v>1.8760585406617711</v>
      </c>
      <c r="L125" s="67">
        <f>IF(A7stdlife="n/a","n/a",IF(L$3&gt;(A7stdlife+$F125),(Input!$I$149*(1+vanilla2)^0.5)-SUM($I125:K125),(Input!$I$149*(1+vanilla2)^0.5)/A7stdlife))</f>
        <v>1.8760585406617711</v>
      </c>
      <c r="M125" s="67">
        <f>IF(A7stdlife="n/a","n/a",IF(M$3&gt;(A7stdlife+$F125),(Input!$I$149*(1+vanilla2)^0.5)-SUM($I125:L125),(Input!$I$149*(1+vanilla2)^0.5)/A7stdlife))</f>
        <v>1.8760585406617711</v>
      </c>
      <c r="N125" s="67">
        <f>IF(A7stdlife="n/a","n/a",IF(N$3&gt;(A7stdlife+$F125),(Input!$I$149*(1+vanilla2)^0.5)-SUM($I125:M125),(Input!$I$149*(1+vanilla2)^0.5)/A7stdlife))</f>
        <v>1.8760585406617711</v>
      </c>
      <c r="O125" s="67">
        <f>IF(A7stdlife="n/a","n/a",IF(O$3&gt;(A7stdlife+$F125),(Input!$I$149*(1+vanilla2)^0.5)-SUM($I125:N125),(Input!$I$149*(1+vanilla2)^0.5)/A7stdlife))</f>
        <v>1.8760585406617711</v>
      </c>
      <c r="P125" s="67">
        <f>IF(A7stdlife="n/a","n/a",IF(P$3&gt;(A7stdlife+$F125),(Input!$I$149*(1+vanilla2)^0.5)-SUM($I125:O125),(Input!$I$149*(1+vanilla2)^0.5)/A7stdlife))</f>
        <v>1.8760585406617711</v>
      </c>
      <c r="Q125" s="67">
        <f>IF(A7stdlife="n/a","n/a",IF(Q$3&gt;(A7stdlife+$F125),(Input!$I$149*(1+vanilla2)^0.5)-SUM($I125:P125),(Input!$I$149*(1+vanilla2)^0.5)/A7stdlife))</f>
        <v>1.8760585406617711</v>
      </c>
      <c r="R125" s="67"/>
      <c r="S125" s="102"/>
      <c r="T125" s="102"/>
      <c r="U125" s="102"/>
      <c r="V125" s="102"/>
      <c r="W125" s="102"/>
      <c r="X125" s="102"/>
      <c r="Y125" s="102"/>
      <c r="Z125" s="102"/>
      <c r="AA125" s="102"/>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102"/>
      <c r="BE125" s="102"/>
      <c r="BF125" s="102"/>
      <c r="BG125" s="102"/>
      <c r="BH125" s="102"/>
      <c r="BI125" s="102"/>
      <c r="BJ125" s="102"/>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hidden="1" customHeight="1" outlineLevel="2">
      <c r="A126" s="9"/>
      <c r="B126" s="9"/>
      <c r="C126" s="9"/>
      <c r="D126" s="25"/>
      <c r="E126" s="376"/>
      <c r="F126" s="85">
        <v>3</v>
      </c>
      <c r="G126" s="122"/>
      <c r="H126" s="146"/>
      <c r="I126" s="148"/>
      <c r="J126" s="147"/>
      <c r="K126" s="67">
        <f>IF(A7stdlife="n/a","n/a",IF(K$3&gt;(A7stdlife+$F126),(Input!$J$149*(1+vanilla3)^0.5)-SUM($J126:J126),(Input!$J$149*(1+vanilla3)^0.5)/A7stdlife))</f>
        <v>1.7284850873294002</v>
      </c>
      <c r="L126" s="67">
        <f>IF(A7stdlife="n/a","n/a",IF(L$3&gt;(A7stdlife+$F126),(Input!$J$149*(1+vanilla3)^0.5)-SUM($J126:K126),(Input!$J$149*(1+vanilla3)^0.5)/A7stdlife))</f>
        <v>1.7284850873294002</v>
      </c>
      <c r="M126" s="67">
        <f>IF(A7stdlife="n/a","n/a",IF(M$3&gt;(A7stdlife+$F126),(Input!$J$149*(1+vanilla3)^0.5)-SUM($J126:L126),(Input!$J$149*(1+vanilla3)^0.5)/A7stdlife))</f>
        <v>1.7284850873294002</v>
      </c>
      <c r="N126" s="67">
        <f>IF(A7stdlife="n/a","n/a",IF(N$3&gt;(A7stdlife+$F126),(Input!$J$149*(1+vanilla3)^0.5)-SUM($J126:M126),(Input!$J$149*(1+vanilla3)^0.5)/A7stdlife))</f>
        <v>1.7284850873294002</v>
      </c>
      <c r="O126" s="67">
        <f>IF(A7stdlife="n/a","n/a",IF(O$3&gt;(A7stdlife+$F126),(Input!$J$149*(1+vanilla3)^0.5)-SUM($J126:N126),(Input!$J$149*(1+vanilla3)^0.5)/A7stdlife))</f>
        <v>1.7284850873294002</v>
      </c>
      <c r="P126" s="67">
        <f>IF(A7stdlife="n/a","n/a",IF(P$3&gt;(A7stdlife+$F126),(Input!$J$149*(1+vanilla3)^0.5)-SUM($J126:O126),(Input!$J$149*(1+vanilla3)^0.5)/A7stdlife))</f>
        <v>1.7284850873294002</v>
      </c>
      <c r="Q126" s="67">
        <f>IF(A7stdlife="n/a","n/a",IF(Q$3&gt;(A7stdlife+$F126),(Input!$J$149*(1+vanilla3)^0.5)-SUM($J126:P126),(Input!$J$149*(1+vanilla3)^0.5)/A7stdlife))</f>
        <v>1.7284850873294002</v>
      </c>
      <c r="R126" s="67"/>
      <c r="S126" s="102"/>
      <c r="T126" s="102"/>
      <c r="U126" s="102"/>
      <c r="V126" s="102"/>
      <c r="W126" s="102"/>
      <c r="X126" s="102"/>
      <c r="Y126" s="102"/>
      <c r="Z126" s="102"/>
      <c r="AA126" s="102"/>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102"/>
      <c r="BE126" s="102"/>
      <c r="BF126" s="102"/>
      <c r="BG126" s="102"/>
      <c r="BH126" s="102"/>
      <c r="BI126" s="102"/>
      <c r="BJ126" s="102"/>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hidden="1" customHeight="1" outlineLevel="2">
      <c r="A127" s="9"/>
      <c r="B127" s="9"/>
      <c r="C127" s="9"/>
      <c r="D127" s="25"/>
      <c r="E127" s="376"/>
      <c r="F127" s="85">
        <v>4</v>
      </c>
      <c r="G127" s="122"/>
      <c r="H127" s="146"/>
      <c r="I127" s="148"/>
      <c r="J127" s="148"/>
      <c r="K127" s="147"/>
      <c r="L127" s="67">
        <f>IF(A7stdlife="n/a","n/a",IF(L$3&gt;(A7stdlife+$F127),(Input!$K$149*(1+vanilla4)^0.5)-SUM($K127:K127),(Input!$K$149*(1+vanilla4)^0.5)/A7stdlife))</f>
        <v>0.69709261608502548</v>
      </c>
      <c r="M127" s="67">
        <f>IF(A7stdlife="n/a","n/a",IF(M$3&gt;(A7stdlife+$F127),(Input!$K$149*(1+vanilla4)^0.5)-SUM($K127:L127),(Input!$K$149*(1+vanilla4)^0.5)/A7stdlife))</f>
        <v>0.69709261608502548</v>
      </c>
      <c r="N127" s="67">
        <f>IF(A7stdlife="n/a","n/a",IF(N$3&gt;(A7stdlife+$F127),(Input!$K$149*(1+vanilla4)^0.5)-SUM($K127:M127),(Input!$K$149*(1+vanilla4)^0.5)/A7stdlife))</f>
        <v>0.69709261608502548</v>
      </c>
      <c r="O127" s="67">
        <f>IF(A7stdlife="n/a","n/a",IF(O$3&gt;(A7stdlife+$F127),(Input!$K$149*(1+vanilla4)^0.5)-SUM($K127:N127),(Input!$K$149*(1+vanilla4)^0.5)/A7stdlife))</f>
        <v>0.69709261608502548</v>
      </c>
      <c r="P127" s="67">
        <f>IF(A7stdlife="n/a","n/a",IF(P$3&gt;(A7stdlife+$F127),(Input!$K$149*(1+vanilla4)^0.5)-SUM($K127:O127),(Input!$K$149*(1+vanilla4)^0.5)/A7stdlife))</f>
        <v>0.69709261608502548</v>
      </c>
      <c r="Q127" s="67">
        <f>IF(A7stdlife="n/a","n/a",IF(Q$3&gt;(A7stdlife+$F127),(Input!$K$149*(1+vanilla4)^0.5)-SUM($K127:P127),(Input!$K$149*(1+vanilla4)^0.5)/A7stdlife))</f>
        <v>0.69709261608502548</v>
      </c>
      <c r="R127" s="67"/>
      <c r="S127" s="102"/>
      <c r="T127" s="102"/>
      <c r="U127" s="102"/>
      <c r="V127" s="102"/>
      <c r="W127" s="102"/>
      <c r="X127" s="102"/>
      <c r="Y127" s="102"/>
      <c r="Z127" s="102"/>
      <c r="AA127" s="102"/>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102"/>
      <c r="BE127" s="102"/>
      <c r="BF127" s="102"/>
      <c r="BG127" s="102"/>
      <c r="BH127" s="102"/>
      <c r="BI127" s="102"/>
      <c r="BJ127" s="102"/>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hidden="1" customHeight="1" outlineLevel="2">
      <c r="A128" s="9"/>
      <c r="B128" s="9"/>
      <c r="C128" s="9"/>
      <c r="D128" s="25"/>
      <c r="E128" s="376"/>
      <c r="F128" s="85">
        <v>5</v>
      </c>
      <c r="G128" s="122"/>
      <c r="H128" s="146"/>
      <c r="I128" s="148"/>
      <c r="J128" s="148"/>
      <c r="K128" s="148"/>
      <c r="L128" s="147"/>
      <c r="M128" s="67">
        <f>IF(A7stdlife="n/a","n/a",IF(M$3&gt;(A7stdlife+$F128),(Input!$L$149*(1+vanilla5)^0.5)-SUM($L128:L128),(Input!$L$149*(1+vanilla5)^0.5)/A7stdlife))</f>
        <v>0.52280459064167151</v>
      </c>
      <c r="N128" s="67">
        <f>IF(A7stdlife="n/a","n/a",IF(N$3&gt;(A7stdlife+$F128),(Input!$L$149*(1+vanilla5)^0.5)-SUM($L128:M128),(Input!$L$149*(1+vanilla5)^0.5)/A7stdlife))</f>
        <v>0.52280459064167151</v>
      </c>
      <c r="O128" s="67">
        <f>IF(A7stdlife="n/a","n/a",IF(O$3&gt;(A7stdlife+$F128),(Input!$L$149*(1+vanilla5)^0.5)-SUM($L128:N128),(Input!$L$149*(1+vanilla5)^0.5)/A7stdlife))</f>
        <v>0.52280459064167151</v>
      </c>
      <c r="P128" s="67">
        <f>IF(A7stdlife="n/a","n/a",IF(P$3&gt;(A7stdlife+$F128),(Input!$L$149*(1+vanilla5)^0.5)-SUM($L128:O128),(Input!$L$149*(1+vanilla5)^0.5)/A7stdlife))</f>
        <v>0.52280459064167151</v>
      </c>
      <c r="Q128" s="67">
        <f>IF(A7stdlife="n/a","n/a",IF(Q$3&gt;(A7stdlife+$F128),(Input!$L$149*(1+vanilla5)^0.5)-SUM($L128:P128),(Input!$L$149*(1+vanilla5)^0.5)/A7stdlife))</f>
        <v>0.52280459064167151</v>
      </c>
      <c r="R128" s="67"/>
      <c r="S128" s="102"/>
      <c r="T128" s="102"/>
      <c r="U128" s="102"/>
      <c r="V128" s="102"/>
      <c r="W128" s="102"/>
      <c r="X128" s="102"/>
      <c r="Y128" s="102"/>
      <c r="Z128" s="102"/>
      <c r="AA128" s="102"/>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102"/>
      <c r="BE128" s="102"/>
      <c r="BF128" s="102"/>
      <c r="BG128" s="102"/>
      <c r="BH128" s="102"/>
      <c r="BI128" s="102"/>
      <c r="BJ128" s="102"/>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376"/>
      <c r="F129" s="85">
        <v>6</v>
      </c>
      <c r="G129" s="122"/>
      <c r="H129" s="146"/>
      <c r="I129" s="148"/>
      <c r="J129" s="148"/>
      <c r="K129" s="148"/>
      <c r="L129" s="148"/>
      <c r="M129" s="147"/>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2"/>
      <c r="T129" s="102"/>
      <c r="U129" s="102"/>
      <c r="V129" s="102"/>
      <c r="W129" s="102"/>
      <c r="X129" s="102"/>
      <c r="Y129" s="102"/>
      <c r="Z129" s="102"/>
      <c r="AA129" s="102"/>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102"/>
      <c r="BE129" s="102"/>
      <c r="BF129" s="102"/>
      <c r="BG129" s="102"/>
      <c r="BH129" s="102"/>
      <c r="BI129" s="102"/>
      <c r="BJ129" s="102"/>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hidden="1" customHeight="1" outlineLevel="2">
      <c r="A130" s="9"/>
      <c r="B130" s="9"/>
      <c r="C130" s="9"/>
      <c r="D130" s="25"/>
      <c r="E130" s="376"/>
      <c r="F130" s="85">
        <v>7</v>
      </c>
      <c r="G130" s="122"/>
      <c r="H130" s="146"/>
      <c r="I130" s="148"/>
      <c r="J130" s="148"/>
      <c r="K130" s="148"/>
      <c r="L130" s="148"/>
      <c r="M130" s="148"/>
      <c r="N130" s="147"/>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2"/>
      <c r="T130" s="102"/>
      <c r="U130" s="102"/>
      <c r="V130" s="102"/>
      <c r="W130" s="102"/>
      <c r="X130" s="102"/>
      <c r="Y130" s="102"/>
      <c r="Z130" s="102"/>
      <c r="AA130" s="102"/>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102"/>
      <c r="BE130" s="102"/>
      <c r="BF130" s="102"/>
      <c r="BG130" s="102"/>
      <c r="BH130" s="102"/>
      <c r="BI130" s="102"/>
      <c r="BJ130" s="102"/>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hidden="1" customHeight="1" outlineLevel="2">
      <c r="A131" s="9"/>
      <c r="B131" s="9"/>
      <c r="C131" s="9"/>
      <c r="D131" s="25"/>
      <c r="E131" s="376"/>
      <c r="F131" s="85">
        <v>8</v>
      </c>
      <c r="G131" s="122"/>
      <c r="H131" s="146"/>
      <c r="I131" s="148"/>
      <c r="J131" s="148"/>
      <c r="K131" s="148"/>
      <c r="L131" s="148"/>
      <c r="M131" s="148"/>
      <c r="N131" s="148"/>
      <c r="O131" s="147"/>
      <c r="P131" s="67">
        <f>IF(A7stdlife="n/a","n/a",IF(P$3&gt;(A7stdlife+$F131),(Input!$O$149*(1+vanilla8)^0.5)-SUM($O131:O131),(Input!$O$149*(1+vanilla8)^0.5)/A7stdlife))</f>
        <v>0</v>
      </c>
      <c r="Q131" s="67">
        <f>IF(A7stdlife="n/a","n/a",IF(Q$3&gt;(A7stdlife+$F131),(Input!$O$149*(1+vanilla8)^0.5)-SUM($O131:P131),(Input!$O$149*(1+vanilla8)^0.5)/A7stdlife))</f>
        <v>0</v>
      </c>
      <c r="R131" s="67"/>
      <c r="S131" s="102"/>
      <c r="T131" s="102"/>
      <c r="U131" s="102"/>
      <c r="V131" s="102"/>
      <c r="W131" s="102"/>
      <c r="X131" s="102"/>
      <c r="Y131" s="102"/>
      <c r="Z131" s="102"/>
      <c r="AA131" s="102"/>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102"/>
      <c r="BE131" s="102"/>
      <c r="BF131" s="102"/>
      <c r="BG131" s="102"/>
      <c r="BH131" s="102"/>
      <c r="BI131" s="102"/>
      <c r="BJ131" s="102"/>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hidden="1" customHeight="1" outlineLevel="2">
      <c r="A132" s="9"/>
      <c r="B132" s="9"/>
      <c r="C132" s="9"/>
      <c r="D132" s="25"/>
      <c r="E132" s="376"/>
      <c r="F132" s="85">
        <v>9</v>
      </c>
      <c r="G132" s="122"/>
      <c r="H132" s="146"/>
      <c r="I132" s="148"/>
      <c r="J132" s="148"/>
      <c r="K132" s="148"/>
      <c r="L132" s="148"/>
      <c r="M132" s="148"/>
      <c r="N132" s="148"/>
      <c r="O132" s="148"/>
      <c r="P132" s="147"/>
      <c r="Q132" s="67">
        <f>IF(A7stdlife="n/a","n/a",IF(Q$3&gt;(A7stdlife+$F132),(Input!$P$149*(1+vanilla9)^0.5)-SUM($P132:P132),(Input!$P$149*(1+vanilla9)^0.5)/A7stdlife))</f>
        <v>0</v>
      </c>
      <c r="R132" s="67"/>
      <c r="S132" s="102"/>
      <c r="T132" s="102"/>
      <c r="U132" s="102"/>
      <c r="V132" s="102"/>
      <c r="W132" s="102"/>
      <c r="X132" s="102"/>
      <c r="Y132" s="102"/>
      <c r="Z132" s="102"/>
      <c r="AA132" s="102"/>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102"/>
      <c r="BE132" s="102"/>
      <c r="BF132" s="102"/>
      <c r="BG132" s="102"/>
      <c r="BH132" s="102"/>
      <c r="BI132" s="102"/>
      <c r="BJ132" s="102"/>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hidden="1" customHeight="1" outlineLevel="2">
      <c r="A133" s="9"/>
      <c r="B133" s="9"/>
      <c r="C133" s="9"/>
      <c r="D133" s="25"/>
      <c r="E133" s="376"/>
      <c r="F133" s="86">
        <v>10</v>
      </c>
      <c r="G133" s="122"/>
      <c r="H133" s="146"/>
      <c r="I133" s="148"/>
      <c r="J133" s="148"/>
      <c r="K133" s="148"/>
      <c r="L133" s="148"/>
      <c r="M133" s="148"/>
      <c r="N133" s="148"/>
      <c r="O133" s="148"/>
      <c r="P133" s="148"/>
      <c r="Q133" s="147"/>
      <c r="R133" s="67"/>
      <c r="S133" s="102"/>
      <c r="T133" s="102"/>
      <c r="U133" s="102"/>
      <c r="V133" s="102"/>
      <c r="W133" s="102"/>
      <c r="X133" s="102"/>
      <c r="Y133" s="102"/>
      <c r="Z133" s="102"/>
      <c r="AA133" s="102"/>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102"/>
      <c r="BE133" s="102"/>
      <c r="BF133" s="102"/>
      <c r="BG133" s="102"/>
      <c r="BH133" s="102"/>
      <c r="BI133" s="102"/>
      <c r="BJ133" s="102"/>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customHeight="1" outlineLevel="1" collapsed="1">
      <c r="A134" s="9"/>
      <c r="B134" s="9"/>
      <c r="C134" s="9"/>
      <c r="D134" s="25" t="str">
        <f>Asset7</f>
        <v>Zone substation equip 132/66kV</v>
      </c>
      <c r="E134" s="9"/>
      <c r="F134" s="9"/>
      <c r="G134" s="122"/>
      <c r="H134" s="165">
        <f>-SUM(H122:H133)</f>
        <v>-3.8015936326221782</v>
      </c>
      <c r="I134" s="165">
        <f>-SUM(I122:I133)</f>
        <v>-4.6092148063409946</v>
      </c>
      <c r="J134" s="165">
        <f>-SUM(J122:J133)</f>
        <v>-6.4852733470027655</v>
      </c>
      <c r="K134" s="165">
        <f>-SUM(K122:K133)</f>
        <v>-8.2137584343321652</v>
      </c>
      <c r="L134" s="165">
        <f>-SUM(L122:L133)</f>
        <v>-8.9108510504171914</v>
      </c>
      <c r="M134" s="165">
        <f>IF(Input!M173&gt;0, -SUM(M122:M133), 0)</f>
        <v>0</v>
      </c>
      <c r="N134" s="165">
        <f>IF(Input!N173&gt;0, -SUM(N122:N133), 0)</f>
        <v>0</v>
      </c>
      <c r="O134" s="165">
        <f>IF(Input!O173&gt;0, -SUM(O122:O133), 0)</f>
        <v>0</v>
      </c>
      <c r="P134" s="165">
        <f>IF(Input!P173&gt;0, -SUM(P122:P133), 0)</f>
        <v>0</v>
      </c>
      <c r="Q134" s="165">
        <f>IF(Input!Q173&gt;0, -SUM(Q122:Q133), 0)</f>
        <v>0</v>
      </c>
      <c r="R134" s="65"/>
      <c r="S134" s="104"/>
      <c r="T134" s="104"/>
      <c r="U134" s="104"/>
      <c r="V134" s="104"/>
      <c r="W134" s="104"/>
      <c r="X134" s="104"/>
      <c r="Y134" s="104"/>
      <c r="Z134" s="104"/>
      <c r="AA134" s="104"/>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104"/>
      <c r="BE134" s="104"/>
      <c r="BF134" s="104"/>
      <c r="BG134" s="104"/>
      <c r="BH134" s="104"/>
      <c r="BI134" s="104"/>
      <c r="BJ134" s="104"/>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hidden="1" customHeight="1" outlineLevel="2">
      <c r="A135" s="9"/>
      <c r="B135" s="9"/>
      <c r="C135" s="31" t="str">
        <f>Asset8</f>
        <v>Transmission &amp; Zone emergency spares</v>
      </c>
      <c r="D135" s="161"/>
      <c r="E135" s="33" t="s">
        <v>28</v>
      </c>
      <c r="F135" s="32"/>
      <c r="G135" s="174"/>
      <c r="H135" s="66">
        <f>IF(H$3&gt;A8remlife,A8value-SUM($G135:G135),IF(A8remlife="N/A","n/a",A8value/A8remlife))</f>
        <v>5.2903939673341858E-2</v>
      </c>
      <c r="I135" s="66">
        <f>IF(I$3&gt;A8remlife,A8value-SUM($G135:H135),IF(A8remlife="N/A","n/a",A8value/A8remlife))</f>
        <v>5.2903939673341858E-2</v>
      </c>
      <c r="J135" s="66">
        <f>IF(J$3&gt;A8remlife,A8value-SUM($G135:I135),IF(A8remlife="N/A","n/a",A8value/A8remlife))</f>
        <v>5.2903939673341858E-2</v>
      </c>
      <c r="K135" s="66">
        <f>IF(K$3&gt;A8remlife,A8value-SUM($G135:J135),IF(A8remlife="N/A","n/a",A8value/A8remlife))</f>
        <v>5.2903939673341858E-2</v>
      </c>
      <c r="L135" s="66">
        <f>IF(L$3&gt;A8remlife,A8value-SUM($G135:K135),IF(A8remlife="N/A","n/a",A8value/A8remlife))</f>
        <v>5.2903939673341858E-2</v>
      </c>
      <c r="M135" s="66">
        <f>IF(M$3&gt;A8remlife,A8value-SUM($G135:L135),IF(A8remlife="N/A","n/a",A8value/A8remlife))</f>
        <v>5.2903939673341858E-2</v>
      </c>
      <c r="N135" s="66">
        <f>IF(N$3&gt;A8remlife,A8value-SUM($G135:M135),IF(A8remlife="N/A","n/a",A8value/A8remlife))</f>
        <v>5.2903939673341858E-2</v>
      </c>
      <c r="O135" s="66">
        <f>IF(O$3&gt;A8remlife,A8value-SUM($G135:N135),IF(A8remlife="N/A","n/a",A8value/A8remlife))</f>
        <v>5.2903939673341858E-2</v>
      </c>
      <c r="P135" s="66">
        <f>IF(P$3&gt;A8remlife,A8value-SUM($G135:O135),IF(A8remlife="N/A","n/a",A8value/A8remlife))</f>
        <v>5.2903939673341858E-2</v>
      </c>
      <c r="Q135" s="66">
        <f>IF(Q$3&gt;A8remlife,A8value-SUM($G135:P135),IF(A8remlife="N/A","n/a",A8value/A8remlife))</f>
        <v>5.2903939673341858E-2</v>
      </c>
      <c r="R135" s="66"/>
      <c r="S135" s="102"/>
      <c r="T135" s="102"/>
      <c r="U135" s="102"/>
      <c r="V135" s="102"/>
      <c r="W135" s="102"/>
      <c r="X135" s="102"/>
      <c r="Y135" s="102"/>
      <c r="Z135" s="102"/>
      <c r="AA135" s="102"/>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102"/>
      <c r="BE135" s="102"/>
      <c r="BF135" s="102"/>
      <c r="BG135" s="102"/>
      <c r="BH135" s="102"/>
      <c r="BI135" s="102"/>
      <c r="BJ135" s="102"/>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5"/>
      <c r="E136" s="375" t="s">
        <v>85</v>
      </c>
      <c r="F136" s="85">
        <v>0</v>
      </c>
      <c r="G136" s="122"/>
      <c r="H136" s="67"/>
      <c r="I136" s="67"/>
      <c r="J136" s="67"/>
      <c r="K136" s="67"/>
      <c r="L136" s="67"/>
      <c r="M136" s="163"/>
      <c r="N136" s="111"/>
      <c r="O136" s="67"/>
      <c r="P136" s="67"/>
      <c r="Q136" s="67"/>
      <c r="R136" s="67"/>
      <c r="S136" s="102"/>
      <c r="T136" s="102"/>
      <c r="U136" s="102"/>
      <c r="V136" s="102"/>
      <c r="W136" s="102"/>
      <c r="X136" s="102"/>
      <c r="Y136" s="102"/>
      <c r="Z136" s="102"/>
      <c r="AA136" s="102"/>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102"/>
      <c r="BE136" s="102"/>
      <c r="BF136" s="102"/>
      <c r="BG136" s="102"/>
      <c r="BH136" s="102"/>
      <c r="BI136" s="102"/>
      <c r="BJ136" s="102"/>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hidden="1" customHeight="1" outlineLevel="2">
      <c r="A137" s="9"/>
      <c r="B137" s="9"/>
      <c r="C137" s="9"/>
      <c r="D137" s="25"/>
      <c r="E137" s="376"/>
      <c r="F137" s="85">
        <v>1</v>
      </c>
      <c r="G137" s="122"/>
      <c r="H137" s="145"/>
      <c r="I137" s="67">
        <f>IF(A8stdlife="n/a","n/a",IF(I$3&gt;(A8stdlife+$F137),(Input!$H$150*(1+vanilla1)^0.5)-SUM($H137:H137),(Input!$H$150*(1+vanilla1)^0.5)/A8stdlife))</f>
        <v>0</v>
      </c>
      <c r="J137" s="67">
        <f>IF(A8stdlife="n/a","n/a",IF(J$3&gt;(A8stdlife+$F137),(Input!$H$150*(1+vanilla1)^0.5)-SUM($H137:I137),(Input!$H$150*(1+vanilla1)^0.5)/A8stdlife))</f>
        <v>0</v>
      </c>
      <c r="K137" s="67">
        <f>IF(A8stdlife="n/a","n/a",IF(K$3&gt;(A8stdlife+$F137),(Input!$H$150*(1+vanilla1)^0.5)-SUM($H137:J137),(Input!$H$150*(1+vanilla1)^0.5)/A8stdlife))</f>
        <v>0</v>
      </c>
      <c r="L137" s="67">
        <f>IF(A8stdlife="n/a","n/a",IF(L$3&gt;(A8stdlife+$F137),(Input!$H$150*(1+vanilla1)^0.5)-SUM($H137:K137),(Input!$H$150*(1+vanilla1)^0.5)/A8stdlife))</f>
        <v>0</v>
      </c>
      <c r="M137" s="67">
        <f>IF(A8stdlife="n/a","n/a",IF(M$3&gt;(A8stdlife+$F137),(Input!$H$150*(1+vanilla1)^0.5)-SUM($H137:L137),(Input!$H$150*(1+vanilla1)^0.5)/A8stdlife))</f>
        <v>0</v>
      </c>
      <c r="N137" s="67">
        <f>IF(A8stdlife="n/a","n/a",IF(N$3&gt;(A8stdlife+$F137),(Input!$H$150*(1+vanilla1)^0.5)-SUM($H137:M137),(Input!$H$150*(1+vanilla1)^0.5)/A8stdlife))</f>
        <v>0</v>
      </c>
      <c r="O137" s="67">
        <f>IF(A8stdlife="n/a","n/a",IF(O$3&gt;(A8stdlife+$F137),(Input!$H$150*(1+vanilla1)^0.5)-SUM($H137:N137),(Input!$H$150*(1+vanilla1)^0.5)/A8stdlife))</f>
        <v>0</v>
      </c>
      <c r="P137" s="67">
        <f>IF(A8stdlife="n/a","n/a",IF(P$3&gt;(A8stdlife+$F137),(Input!$H$150*(1+vanilla1)^0.5)-SUM($H137:O137),(Input!$H$150*(1+vanilla1)^0.5)/A8stdlife))</f>
        <v>0</v>
      </c>
      <c r="Q137" s="67">
        <f>IF(A8stdlife="n/a","n/a",IF(Q$3&gt;(A8stdlife+$F137),(Input!$H$150*(1+vanilla1)^0.5)-SUM($H137:P137),(Input!$H$150*(1+vanilla1)^0.5)/A8stdlife))</f>
        <v>0</v>
      </c>
      <c r="R137" s="67"/>
      <c r="S137" s="102"/>
      <c r="T137" s="102"/>
      <c r="U137" s="102"/>
      <c r="V137" s="102"/>
      <c r="W137" s="102"/>
      <c r="X137" s="102"/>
      <c r="Y137" s="102"/>
      <c r="Z137" s="102"/>
      <c r="AA137" s="102"/>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102"/>
      <c r="BE137" s="102"/>
      <c r="BF137" s="102"/>
      <c r="BG137" s="102"/>
      <c r="BH137" s="102"/>
      <c r="BI137" s="102"/>
      <c r="BJ137" s="102"/>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376"/>
      <c r="F138" s="85">
        <v>2</v>
      </c>
      <c r="G138" s="122"/>
      <c r="H138" s="146"/>
      <c r="I138" s="147"/>
      <c r="J138" s="67">
        <f>IF(A8stdlife="n/a","n/a",IF(J$3&gt;(A8stdlife+$F138),(Input!$I$150*(1+vanilla2)^0.5)-SUM($I138:I138),(Input!$I$150*(1+vanilla2)^0.5)/A8stdlife))</f>
        <v>0</v>
      </c>
      <c r="K138" s="67">
        <f>IF(A8stdlife="n/a","n/a",IF(K$3&gt;(A8stdlife+$F138),(Input!$I$150*(1+vanilla2)^0.5)-SUM($I138:J138),(Input!$I$150*(1+vanilla2)^0.5)/A8stdlife))</f>
        <v>0</v>
      </c>
      <c r="L138" s="67">
        <f>IF(A8stdlife="n/a","n/a",IF(L$3&gt;(A8stdlife+$F138),(Input!$I$150*(1+vanilla2)^0.5)-SUM($I138:K138),(Input!$I$150*(1+vanilla2)^0.5)/A8stdlife))</f>
        <v>0</v>
      </c>
      <c r="M138" s="67">
        <f>IF(A8stdlife="n/a","n/a",IF(M$3&gt;(A8stdlife+$F138),(Input!$I$150*(1+vanilla2)^0.5)-SUM($I138:L138),(Input!$I$150*(1+vanilla2)^0.5)/A8stdlife))</f>
        <v>0</v>
      </c>
      <c r="N138" s="67">
        <f>IF(A8stdlife="n/a","n/a",IF(N$3&gt;(A8stdlife+$F138),(Input!$I$150*(1+vanilla2)^0.5)-SUM($I138:M138),(Input!$I$150*(1+vanilla2)^0.5)/A8stdlife))</f>
        <v>0</v>
      </c>
      <c r="O138" s="67">
        <f>IF(A8stdlife="n/a","n/a",IF(O$3&gt;(A8stdlife+$F138),(Input!$I$150*(1+vanilla2)^0.5)-SUM($I138:N138),(Input!$I$150*(1+vanilla2)^0.5)/A8stdlife))</f>
        <v>0</v>
      </c>
      <c r="P138" s="67">
        <f>IF(A8stdlife="n/a","n/a",IF(P$3&gt;(A8stdlife+$F138),(Input!$I$150*(1+vanilla2)^0.5)-SUM($I138:O138),(Input!$I$150*(1+vanilla2)^0.5)/A8stdlife))</f>
        <v>0</v>
      </c>
      <c r="Q138" s="67">
        <f>IF(A8stdlife="n/a","n/a",IF(Q$3&gt;(A8stdlife+$F138),(Input!$I$150*(1+vanilla2)^0.5)-SUM($I138:P138),(Input!$I$150*(1+vanilla2)^0.5)/A8stdlife))</f>
        <v>0</v>
      </c>
      <c r="R138" s="67"/>
      <c r="S138" s="102"/>
      <c r="T138" s="102"/>
      <c r="U138" s="102"/>
      <c r="V138" s="102"/>
      <c r="W138" s="102"/>
      <c r="X138" s="102"/>
      <c r="Y138" s="102"/>
      <c r="Z138" s="102"/>
      <c r="AA138" s="102"/>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102"/>
      <c r="BE138" s="102"/>
      <c r="BF138" s="102"/>
      <c r="BG138" s="102"/>
      <c r="BH138" s="102"/>
      <c r="BI138" s="102"/>
      <c r="BJ138" s="102"/>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hidden="1" customHeight="1" outlineLevel="2">
      <c r="A139" s="9"/>
      <c r="B139" s="9"/>
      <c r="C139" s="9"/>
      <c r="D139" s="25"/>
      <c r="E139" s="376"/>
      <c r="F139" s="85">
        <v>3</v>
      </c>
      <c r="G139" s="122"/>
      <c r="H139" s="146"/>
      <c r="I139" s="148"/>
      <c r="J139" s="147"/>
      <c r="K139" s="67">
        <f>IF(A8stdlife="n/a","n/a",IF(K$3&gt;(A8stdlife+$F139),(Input!$J$150*(1+vanilla3)^0.5)-SUM($J139:J139),(Input!$J$150*(1+vanilla3)^0.5)/A8stdlife))</f>
        <v>0</v>
      </c>
      <c r="L139" s="67">
        <f>IF(A8stdlife="n/a","n/a",IF(L$3&gt;(A8stdlife+$F139),(Input!$J$150*(1+vanilla3)^0.5)-SUM($J139:K139),(Input!$J$150*(1+vanilla3)^0.5)/A8stdlife))</f>
        <v>0</v>
      </c>
      <c r="M139" s="67">
        <f>IF(A8stdlife="n/a","n/a",IF(M$3&gt;(A8stdlife+$F139),(Input!$J$150*(1+vanilla3)^0.5)-SUM($J139:L139),(Input!$J$150*(1+vanilla3)^0.5)/A8stdlife))</f>
        <v>0</v>
      </c>
      <c r="N139" s="67">
        <f>IF(A8stdlife="n/a","n/a",IF(N$3&gt;(A8stdlife+$F139),(Input!$J$150*(1+vanilla3)^0.5)-SUM($J139:M139),(Input!$J$150*(1+vanilla3)^0.5)/A8stdlife))</f>
        <v>0</v>
      </c>
      <c r="O139" s="67">
        <f>IF(A8stdlife="n/a","n/a",IF(O$3&gt;(A8stdlife+$F139),(Input!$J$150*(1+vanilla3)^0.5)-SUM($J139:N139),(Input!$J$150*(1+vanilla3)^0.5)/A8stdlife))</f>
        <v>0</v>
      </c>
      <c r="P139" s="67">
        <f>IF(A8stdlife="n/a","n/a",IF(P$3&gt;(A8stdlife+$F139),(Input!$J$150*(1+vanilla3)^0.5)-SUM($J139:O139),(Input!$J$150*(1+vanilla3)^0.5)/A8stdlife))</f>
        <v>0</v>
      </c>
      <c r="Q139" s="67">
        <f>IF(A8stdlife="n/a","n/a",IF(Q$3&gt;(A8stdlife+$F139),(Input!$J$150*(1+vanilla3)^0.5)-SUM($J139:P139),(Input!$J$150*(1+vanilla3)^0.5)/A8stdlife))</f>
        <v>0</v>
      </c>
      <c r="R139" s="67"/>
      <c r="S139" s="102"/>
      <c r="T139" s="102"/>
      <c r="U139" s="102"/>
      <c r="V139" s="102"/>
      <c r="W139" s="102"/>
      <c r="X139" s="102"/>
      <c r="Y139" s="102"/>
      <c r="Z139" s="102"/>
      <c r="AA139" s="102"/>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102"/>
      <c r="BE139" s="102"/>
      <c r="BF139" s="102"/>
      <c r="BG139" s="102"/>
      <c r="BH139" s="102"/>
      <c r="BI139" s="102"/>
      <c r="BJ139" s="102"/>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hidden="1" customHeight="1" outlineLevel="2">
      <c r="A140" s="9"/>
      <c r="B140" s="9"/>
      <c r="C140" s="9"/>
      <c r="D140" s="25"/>
      <c r="E140" s="376"/>
      <c r="F140" s="85">
        <v>4</v>
      </c>
      <c r="G140" s="122"/>
      <c r="H140" s="146"/>
      <c r="I140" s="148"/>
      <c r="J140" s="148"/>
      <c r="K140" s="147"/>
      <c r="L140" s="67">
        <f>IF(A8stdlife="n/a","n/a",IF(L$3&gt;(A8stdlife+$F140),(Input!$K$150*(1+vanilla4)^0.5)-SUM($K140:K140),(Input!$K$150*(1+vanilla4)^0.5)/A8stdlife))</f>
        <v>0</v>
      </c>
      <c r="M140" s="67">
        <f>IF(A8stdlife="n/a","n/a",IF(M$3&gt;(A8stdlife+$F140),(Input!$K$150*(1+vanilla4)^0.5)-SUM($K140:L140),(Input!$K$150*(1+vanilla4)^0.5)/A8stdlife))</f>
        <v>0</v>
      </c>
      <c r="N140" s="67">
        <f>IF(A8stdlife="n/a","n/a",IF(N$3&gt;(A8stdlife+$F140),(Input!$K$150*(1+vanilla4)^0.5)-SUM($K140:M140),(Input!$K$150*(1+vanilla4)^0.5)/A8stdlife))</f>
        <v>0</v>
      </c>
      <c r="O140" s="67">
        <f>IF(A8stdlife="n/a","n/a",IF(O$3&gt;(A8stdlife+$F140),(Input!$K$150*(1+vanilla4)^0.5)-SUM($K140:N140),(Input!$K$150*(1+vanilla4)^0.5)/A8stdlife))</f>
        <v>0</v>
      </c>
      <c r="P140" s="67">
        <f>IF(A8stdlife="n/a","n/a",IF(P$3&gt;(A8stdlife+$F140),(Input!$K$150*(1+vanilla4)^0.5)-SUM($K140:O140),(Input!$K$150*(1+vanilla4)^0.5)/A8stdlife))</f>
        <v>0</v>
      </c>
      <c r="Q140" s="67">
        <f>IF(A8stdlife="n/a","n/a",IF(Q$3&gt;(A8stdlife+$F140),(Input!$K$150*(1+vanilla4)^0.5)-SUM($K140:P140),(Input!$K$150*(1+vanilla4)^0.5)/A8stdlife))</f>
        <v>0</v>
      </c>
      <c r="R140" s="67"/>
      <c r="S140" s="102"/>
      <c r="T140" s="102"/>
      <c r="U140" s="102"/>
      <c r="V140" s="102"/>
      <c r="W140" s="102"/>
      <c r="X140" s="102"/>
      <c r="Y140" s="102"/>
      <c r="Z140" s="102"/>
      <c r="AA140" s="102"/>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102"/>
      <c r="BE140" s="102"/>
      <c r="BF140" s="102"/>
      <c r="BG140" s="102"/>
      <c r="BH140" s="102"/>
      <c r="BI140" s="102"/>
      <c r="BJ140" s="102"/>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hidden="1" customHeight="1" outlineLevel="2">
      <c r="A141" s="9"/>
      <c r="B141" s="9"/>
      <c r="C141" s="9"/>
      <c r="D141" s="25"/>
      <c r="E141" s="376"/>
      <c r="F141" s="85">
        <v>5</v>
      </c>
      <c r="G141" s="122"/>
      <c r="H141" s="146"/>
      <c r="I141" s="148"/>
      <c r="J141" s="148"/>
      <c r="K141" s="148"/>
      <c r="L141" s="147"/>
      <c r="M141" s="67">
        <f>IF(A8stdlife="n/a","n/a",IF(M$3&gt;(A8stdlife+$F141),(Input!$L$150*(1+vanilla5)^0.5)-SUM($L141:L141),(Input!$L$150*(1+vanilla5)^0.5)/A8stdlife))</f>
        <v>0</v>
      </c>
      <c r="N141" s="67">
        <f>IF(A8stdlife="n/a","n/a",IF(N$3&gt;(A8stdlife+$F141),(Input!$L$150*(1+vanilla5)^0.5)-SUM($L141:M141),(Input!$L$150*(1+vanilla5)^0.5)/A8stdlife))</f>
        <v>0</v>
      </c>
      <c r="O141" s="67">
        <f>IF(A8stdlife="n/a","n/a",IF(O$3&gt;(A8stdlife+$F141),(Input!$L$150*(1+vanilla5)^0.5)-SUM($L141:N141),(Input!$L$150*(1+vanilla5)^0.5)/A8stdlife))</f>
        <v>0</v>
      </c>
      <c r="P141" s="67">
        <f>IF(A8stdlife="n/a","n/a",IF(P$3&gt;(A8stdlife+$F141),(Input!$L$150*(1+vanilla5)^0.5)-SUM($L141:O141),(Input!$L$150*(1+vanilla5)^0.5)/A8stdlife))</f>
        <v>0</v>
      </c>
      <c r="Q141" s="67">
        <f>IF(A8stdlife="n/a","n/a",IF(Q$3&gt;(A8stdlife+$F141),(Input!$L$150*(1+vanilla5)^0.5)-SUM($L141:P141),(Input!$L$150*(1+vanilla5)^0.5)/A8stdlife))</f>
        <v>0</v>
      </c>
      <c r="R141" s="67"/>
      <c r="S141" s="102"/>
      <c r="T141" s="102"/>
      <c r="U141" s="102"/>
      <c r="V141" s="102"/>
      <c r="W141" s="102"/>
      <c r="X141" s="102"/>
      <c r="Y141" s="102"/>
      <c r="Z141" s="102"/>
      <c r="AA141" s="102"/>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102"/>
      <c r="BE141" s="102"/>
      <c r="BF141" s="102"/>
      <c r="BG141" s="102"/>
      <c r="BH141" s="102"/>
      <c r="BI141" s="102"/>
      <c r="BJ141" s="102"/>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376"/>
      <c r="F142" s="85">
        <v>6</v>
      </c>
      <c r="G142" s="122"/>
      <c r="H142" s="146"/>
      <c r="I142" s="148"/>
      <c r="J142" s="148"/>
      <c r="K142" s="148"/>
      <c r="L142" s="148"/>
      <c r="M142" s="147"/>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2"/>
      <c r="T142" s="102"/>
      <c r="U142" s="102"/>
      <c r="V142" s="102"/>
      <c r="W142" s="102"/>
      <c r="X142" s="102"/>
      <c r="Y142" s="102"/>
      <c r="Z142" s="102"/>
      <c r="AA142" s="102"/>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102"/>
      <c r="BE142" s="102"/>
      <c r="BF142" s="102"/>
      <c r="BG142" s="102"/>
      <c r="BH142" s="102"/>
      <c r="BI142" s="102"/>
      <c r="BJ142" s="102"/>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9"/>
      <c r="D143" s="25"/>
      <c r="E143" s="376"/>
      <c r="F143" s="85">
        <v>7</v>
      </c>
      <c r="G143" s="122"/>
      <c r="H143" s="146"/>
      <c r="I143" s="148"/>
      <c r="J143" s="148"/>
      <c r="K143" s="148"/>
      <c r="L143" s="148"/>
      <c r="M143" s="148"/>
      <c r="N143" s="147"/>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2"/>
      <c r="T143" s="102"/>
      <c r="U143" s="102"/>
      <c r="V143" s="102"/>
      <c r="W143" s="102"/>
      <c r="X143" s="102"/>
      <c r="Y143" s="102"/>
      <c r="Z143" s="102"/>
      <c r="AA143" s="102"/>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102"/>
      <c r="BE143" s="102"/>
      <c r="BF143" s="102"/>
      <c r="BG143" s="102"/>
      <c r="BH143" s="102"/>
      <c r="BI143" s="102"/>
      <c r="BJ143" s="102"/>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9"/>
      <c r="D144" s="25"/>
      <c r="E144" s="376"/>
      <c r="F144" s="85">
        <v>8</v>
      </c>
      <c r="G144" s="122"/>
      <c r="H144" s="146"/>
      <c r="I144" s="148"/>
      <c r="J144" s="148"/>
      <c r="K144" s="148"/>
      <c r="L144" s="148"/>
      <c r="M144" s="148"/>
      <c r="N144" s="148"/>
      <c r="O144" s="147"/>
      <c r="P144" s="67">
        <f>IF(A8stdlife="n/a","n/a",IF(P$3&gt;(A8stdlife+$F144),(Input!$O$150*(1+vanilla8)^0.5)-SUM($O144:O144),(Input!$O$150*(1+vanilla8)^0.5)/A8stdlife))</f>
        <v>0</v>
      </c>
      <c r="Q144" s="67">
        <f>IF(A8stdlife="n/a","n/a",IF(Q$3&gt;(A8stdlife+$F144),(Input!$O$150*(1+vanilla8)^0.5)-SUM($O144:P144),(Input!$O$150*(1+vanilla8)^0.5)/A8stdlife))</f>
        <v>0</v>
      </c>
      <c r="R144" s="67"/>
      <c r="S144" s="102"/>
      <c r="T144" s="102"/>
      <c r="U144" s="102"/>
      <c r="V144" s="102"/>
      <c r="W144" s="102"/>
      <c r="X144" s="102"/>
      <c r="Y144" s="102"/>
      <c r="Z144" s="102"/>
      <c r="AA144" s="102"/>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102"/>
      <c r="BE144" s="102"/>
      <c r="BF144" s="102"/>
      <c r="BG144" s="102"/>
      <c r="BH144" s="102"/>
      <c r="BI144" s="102"/>
      <c r="BJ144" s="102"/>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9"/>
      <c r="D145" s="25"/>
      <c r="E145" s="376"/>
      <c r="F145" s="85">
        <v>9</v>
      </c>
      <c r="G145" s="122"/>
      <c r="H145" s="146"/>
      <c r="I145" s="148"/>
      <c r="J145" s="148"/>
      <c r="K145" s="148"/>
      <c r="L145" s="148"/>
      <c r="M145" s="148"/>
      <c r="N145" s="148"/>
      <c r="O145" s="148"/>
      <c r="P145" s="147"/>
      <c r="Q145" s="67">
        <f>IF(A8stdlife="n/a","n/a",IF(Q$3&gt;(A8stdlife+$F145),(Input!$P$150*(1+vanilla9)^0.5)-SUM($P145:P145),(Input!$P$150*(1+vanilla9)^0.5)/A8stdlife))</f>
        <v>0</v>
      </c>
      <c r="R145" s="67"/>
      <c r="S145" s="102"/>
      <c r="T145" s="102"/>
      <c r="U145" s="102"/>
      <c r="V145" s="102"/>
      <c r="W145" s="102"/>
      <c r="X145" s="102"/>
      <c r="Y145" s="102"/>
      <c r="Z145" s="102"/>
      <c r="AA145" s="102"/>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102"/>
      <c r="BE145" s="102"/>
      <c r="BF145" s="102"/>
      <c r="BG145" s="102"/>
      <c r="BH145" s="102"/>
      <c r="BI145" s="102"/>
      <c r="BJ145" s="102"/>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9"/>
      <c r="D146" s="25"/>
      <c r="E146" s="376"/>
      <c r="F146" s="86">
        <v>10</v>
      </c>
      <c r="G146" s="122"/>
      <c r="H146" s="146"/>
      <c r="I146" s="148"/>
      <c r="J146" s="148"/>
      <c r="K146" s="148"/>
      <c r="L146" s="148"/>
      <c r="M146" s="148"/>
      <c r="N146" s="148"/>
      <c r="O146" s="148"/>
      <c r="P146" s="148"/>
      <c r="Q146" s="147"/>
      <c r="R146" s="67"/>
      <c r="S146" s="102"/>
      <c r="T146" s="102"/>
      <c r="U146" s="102"/>
      <c r="V146" s="102"/>
      <c r="W146" s="102"/>
      <c r="X146" s="102"/>
      <c r="Y146" s="102"/>
      <c r="Z146" s="102"/>
      <c r="AA146" s="102"/>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102"/>
      <c r="BE146" s="102"/>
      <c r="BF146" s="102"/>
      <c r="BG146" s="102"/>
      <c r="BH146" s="102"/>
      <c r="BI146" s="102"/>
      <c r="BJ146" s="102"/>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1" collapsed="1">
      <c r="A147" s="9"/>
      <c r="B147" s="9"/>
      <c r="C147" s="9"/>
      <c r="D147" s="25" t="str">
        <f>Asset8</f>
        <v>Transmission &amp; Zone emergency spares</v>
      </c>
      <c r="E147" s="9"/>
      <c r="F147" s="9"/>
      <c r="G147" s="122"/>
      <c r="H147" s="165">
        <f>-SUM(H135:H146)</f>
        <v>-5.2903939673341858E-2</v>
      </c>
      <c r="I147" s="165">
        <f>-SUM(I135:I146)</f>
        <v>-5.2903939673341858E-2</v>
      </c>
      <c r="J147" s="165">
        <f>-SUM(J135:J146)</f>
        <v>-5.2903939673341858E-2</v>
      </c>
      <c r="K147" s="165">
        <f>-SUM(K135:K146)</f>
        <v>-5.2903939673341858E-2</v>
      </c>
      <c r="L147" s="165">
        <f>-SUM(L135:L146)</f>
        <v>-5.2903939673341858E-2</v>
      </c>
      <c r="M147" s="165">
        <f>IF(Input!M173&gt;0, -SUM(M135:M146), 0)</f>
        <v>0</v>
      </c>
      <c r="N147" s="165">
        <f>IF(Input!N173&gt;0, -SUM(N135:N146), 0)</f>
        <v>0</v>
      </c>
      <c r="O147" s="165">
        <f>IF(Input!O173&gt;0, -SUM(O135:O146), 0)</f>
        <v>0</v>
      </c>
      <c r="P147" s="165">
        <f>IF(Input!P173&gt;0, -SUM(P135:P146), 0)</f>
        <v>0</v>
      </c>
      <c r="Q147" s="165">
        <f>IF(Input!Q173&gt;0, -SUM(Q135:Q146), 0)</f>
        <v>0</v>
      </c>
      <c r="R147" s="65"/>
      <c r="S147" s="104"/>
      <c r="T147" s="104"/>
      <c r="U147" s="104"/>
      <c r="V147" s="104"/>
      <c r="W147" s="104"/>
      <c r="X147" s="104"/>
      <c r="Y147" s="104"/>
      <c r="Z147" s="104"/>
      <c r="AA147" s="104"/>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104"/>
      <c r="BE147" s="104"/>
      <c r="BF147" s="104"/>
      <c r="BG147" s="104"/>
      <c r="BH147" s="104"/>
      <c r="BI147" s="104"/>
      <c r="BJ147" s="104"/>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31" t="str">
        <f>Asset9</f>
        <v>Ancillary substation equipment (tx)</v>
      </c>
      <c r="D148" s="161"/>
      <c r="E148" s="33" t="s">
        <v>28</v>
      </c>
      <c r="F148" s="32"/>
      <c r="G148" s="174"/>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2"/>
      <c r="T148" s="102"/>
      <c r="U148" s="102"/>
      <c r="V148" s="102"/>
      <c r="W148" s="102"/>
      <c r="X148" s="102"/>
      <c r="Y148" s="102"/>
      <c r="Z148" s="102"/>
      <c r="AA148" s="102"/>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102"/>
      <c r="BE148" s="102"/>
      <c r="BF148" s="102"/>
      <c r="BG148" s="102"/>
      <c r="BH148" s="102"/>
      <c r="BI148" s="102"/>
      <c r="BJ148" s="102"/>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5"/>
      <c r="E149" s="375" t="s">
        <v>85</v>
      </c>
      <c r="F149" s="85">
        <v>0</v>
      </c>
      <c r="G149" s="122"/>
      <c r="H149" s="67"/>
      <c r="I149" s="67"/>
      <c r="J149" s="67"/>
      <c r="K149" s="67"/>
      <c r="L149" s="67"/>
      <c r="M149" s="163"/>
      <c r="N149" s="111"/>
      <c r="O149" s="67"/>
      <c r="P149" s="67"/>
      <c r="Q149" s="67"/>
      <c r="R149" s="67"/>
      <c r="S149" s="102"/>
      <c r="T149" s="102"/>
      <c r="U149" s="102"/>
      <c r="V149" s="102"/>
      <c r="W149" s="102"/>
      <c r="X149" s="102"/>
      <c r="Y149" s="102"/>
      <c r="Z149" s="102"/>
      <c r="AA149" s="102"/>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102"/>
      <c r="BE149" s="102"/>
      <c r="BF149" s="102"/>
      <c r="BG149" s="102"/>
      <c r="BH149" s="102"/>
      <c r="BI149" s="102"/>
      <c r="BJ149" s="102"/>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9"/>
      <c r="D150" s="25"/>
      <c r="E150" s="376"/>
      <c r="F150" s="85">
        <v>1</v>
      </c>
      <c r="G150" s="122"/>
      <c r="H150" s="145"/>
      <c r="I150" s="67">
        <f>IF(A9stdlife="n/a","n/a",IF(I$3&gt;(A9stdlife+$F150),(Input!$H$151*(1+vanilla1)^0.5)-SUM($H150:H150),(Input!$H$151*(1+vanilla1)^0.5)/A9stdlife))</f>
        <v>7.6825863883533962E-2</v>
      </c>
      <c r="J150" s="67">
        <f>IF(A9stdlife="n/a","n/a",IF(J$3&gt;(A9stdlife+$F150),(Input!$H$151*(1+vanilla1)^0.5)-SUM($H150:I150),(Input!$H$151*(1+vanilla1)^0.5)/A9stdlife))</f>
        <v>7.6825863883533962E-2</v>
      </c>
      <c r="K150" s="67">
        <f>IF(A9stdlife="n/a","n/a",IF(K$3&gt;(A9stdlife+$F150),(Input!$H$151*(1+vanilla1)^0.5)-SUM($H150:J150),(Input!$H$151*(1+vanilla1)^0.5)/A9stdlife))</f>
        <v>7.6825863883533962E-2</v>
      </c>
      <c r="L150" s="67">
        <f>IF(A9stdlife="n/a","n/a",IF(L$3&gt;(A9stdlife+$F150),(Input!$H$151*(1+vanilla1)^0.5)-SUM($H150:K150),(Input!$H$151*(1+vanilla1)^0.5)/A9stdlife))</f>
        <v>7.6825863883533962E-2</v>
      </c>
      <c r="M150" s="67">
        <f>IF(A9stdlife="n/a","n/a",IF(M$3&gt;(A9stdlife+$F150),(Input!$H$151*(1+vanilla1)^0.5)-SUM($H150:L150),(Input!$H$151*(1+vanilla1)^0.5)/A9stdlife))</f>
        <v>7.6825863883533962E-2</v>
      </c>
      <c r="N150" s="67">
        <f>IF(A9stdlife="n/a","n/a",IF(N$3&gt;(A9stdlife+$F150),(Input!$H$151*(1+vanilla1)^0.5)-SUM($H150:M150),(Input!$H$151*(1+vanilla1)^0.5)/A9stdlife))</f>
        <v>7.6825863883533962E-2</v>
      </c>
      <c r="O150" s="67">
        <f>IF(A9stdlife="n/a","n/a",IF(O$3&gt;(A9stdlife+$F150),(Input!$H$151*(1+vanilla1)^0.5)-SUM($H150:N150),(Input!$H$151*(1+vanilla1)^0.5)/A9stdlife))</f>
        <v>7.6825863883533962E-2</v>
      </c>
      <c r="P150" s="67">
        <f>IF(A9stdlife="n/a","n/a",IF(P$3&gt;(A9stdlife+$F150),(Input!$H$151*(1+vanilla1)^0.5)-SUM($H150:O150),(Input!$H$151*(1+vanilla1)^0.5)/A9stdlife))</f>
        <v>7.6825863883533962E-2</v>
      </c>
      <c r="Q150" s="67">
        <f>IF(A9stdlife="n/a","n/a",IF(Q$3&gt;(A9stdlife+$F150),(Input!$H$151*(1+vanilla1)^0.5)-SUM($H150:P150),(Input!$H$151*(1+vanilla1)^0.5)/A9stdlife))</f>
        <v>7.6825863883533962E-2</v>
      </c>
      <c r="R150" s="67"/>
      <c r="S150" s="102"/>
      <c r="T150" s="102"/>
      <c r="U150" s="102"/>
      <c r="V150" s="102"/>
      <c r="W150" s="102"/>
      <c r="X150" s="102"/>
      <c r="Y150" s="102"/>
      <c r="Z150" s="102"/>
      <c r="AA150" s="102"/>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102"/>
      <c r="BE150" s="102"/>
      <c r="BF150" s="102"/>
      <c r="BG150" s="102"/>
      <c r="BH150" s="102"/>
      <c r="BI150" s="102"/>
      <c r="BJ150" s="102"/>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376"/>
      <c r="F151" s="85">
        <v>2</v>
      </c>
      <c r="G151" s="122"/>
      <c r="H151" s="146"/>
      <c r="I151" s="147"/>
      <c r="J151" s="67">
        <f>IF(A9stdlife="n/a","n/a",IF(J$3&gt;(A9stdlife+$F151),(Input!$I$151*(1+vanilla2)^0.5)-SUM($I151:I151),(Input!$I$151*(1+vanilla2)^0.5)/A9stdlife))</f>
        <v>0.20668560554578028</v>
      </c>
      <c r="K151" s="67">
        <f>IF(A9stdlife="n/a","n/a",IF(K$3&gt;(A9stdlife+$F151),(Input!$I$151*(1+vanilla2)^0.5)-SUM($I151:J151),(Input!$I$151*(1+vanilla2)^0.5)/A9stdlife))</f>
        <v>0.20668560554578028</v>
      </c>
      <c r="L151" s="67">
        <f>IF(A9stdlife="n/a","n/a",IF(L$3&gt;(A9stdlife+$F151),(Input!$I$151*(1+vanilla2)^0.5)-SUM($I151:K151),(Input!$I$151*(1+vanilla2)^0.5)/A9stdlife))</f>
        <v>0.20668560554578028</v>
      </c>
      <c r="M151" s="67">
        <f>IF(A9stdlife="n/a","n/a",IF(M$3&gt;(A9stdlife+$F151),(Input!$I$151*(1+vanilla2)^0.5)-SUM($I151:L151),(Input!$I$151*(1+vanilla2)^0.5)/A9stdlife))</f>
        <v>0.20668560554578028</v>
      </c>
      <c r="N151" s="67">
        <f>IF(A9stdlife="n/a","n/a",IF(N$3&gt;(A9stdlife+$F151),(Input!$I$151*(1+vanilla2)^0.5)-SUM($I151:M151),(Input!$I$151*(1+vanilla2)^0.5)/A9stdlife))</f>
        <v>0.20668560554578028</v>
      </c>
      <c r="O151" s="67">
        <f>IF(A9stdlife="n/a","n/a",IF(O$3&gt;(A9stdlife+$F151),(Input!$I$151*(1+vanilla2)^0.5)-SUM($I151:N151),(Input!$I$151*(1+vanilla2)^0.5)/A9stdlife))</f>
        <v>0.20668560554578028</v>
      </c>
      <c r="P151" s="67">
        <f>IF(A9stdlife="n/a","n/a",IF(P$3&gt;(A9stdlife+$F151),(Input!$I$151*(1+vanilla2)^0.5)-SUM($I151:O151),(Input!$I$151*(1+vanilla2)^0.5)/A9stdlife))</f>
        <v>0.20668560554578028</v>
      </c>
      <c r="Q151" s="67">
        <f>IF(A9stdlife="n/a","n/a",IF(Q$3&gt;(A9stdlife+$F151),(Input!$I$151*(1+vanilla2)^0.5)-SUM($I151:P151),(Input!$I$151*(1+vanilla2)^0.5)/A9stdlife))</f>
        <v>0.20668560554578028</v>
      </c>
      <c r="R151" s="67"/>
      <c r="S151" s="102"/>
      <c r="T151" s="102"/>
      <c r="U151" s="102"/>
      <c r="V151" s="102"/>
      <c r="W151" s="102"/>
      <c r="X151" s="102"/>
      <c r="Y151" s="102"/>
      <c r="Z151" s="102"/>
      <c r="AA151" s="102"/>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102"/>
      <c r="BE151" s="102"/>
      <c r="BF151" s="102"/>
      <c r="BG151" s="102"/>
      <c r="BH151" s="102"/>
      <c r="BI151" s="102"/>
      <c r="BJ151" s="102"/>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9"/>
      <c r="D152" s="25"/>
      <c r="E152" s="376"/>
      <c r="F152" s="85">
        <v>3</v>
      </c>
      <c r="G152" s="122"/>
      <c r="H152" s="146"/>
      <c r="I152" s="148"/>
      <c r="J152" s="147"/>
      <c r="K152" s="67">
        <f>IF(A9stdlife="n/a","n/a",IF(K$3&gt;(A9stdlife+$F152),(Input!$J$151*(1+vanilla3)^0.5)-SUM($J152:J152),(Input!$J$151*(1+vanilla3)^0.5)/A9stdlife))</f>
        <v>0.41852275837392</v>
      </c>
      <c r="L152" s="67">
        <f>IF(A9stdlife="n/a","n/a",IF(L$3&gt;(A9stdlife+$F152),(Input!$J$151*(1+vanilla3)^0.5)-SUM($J152:K152),(Input!$J$151*(1+vanilla3)^0.5)/A9stdlife))</f>
        <v>0.41852275837392</v>
      </c>
      <c r="M152" s="67">
        <f>IF(A9stdlife="n/a","n/a",IF(M$3&gt;(A9stdlife+$F152),(Input!$J$151*(1+vanilla3)^0.5)-SUM($J152:L152),(Input!$J$151*(1+vanilla3)^0.5)/A9stdlife))</f>
        <v>0.41852275837392</v>
      </c>
      <c r="N152" s="67">
        <f>IF(A9stdlife="n/a","n/a",IF(N$3&gt;(A9stdlife+$F152),(Input!$J$151*(1+vanilla3)^0.5)-SUM($J152:M152),(Input!$J$151*(1+vanilla3)^0.5)/A9stdlife))</f>
        <v>0.41852275837392</v>
      </c>
      <c r="O152" s="67">
        <f>IF(A9stdlife="n/a","n/a",IF(O$3&gt;(A9stdlife+$F152),(Input!$J$151*(1+vanilla3)^0.5)-SUM($J152:N152),(Input!$J$151*(1+vanilla3)^0.5)/A9stdlife))</f>
        <v>0.41852275837392</v>
      </c>
      <c r="P152" s="67">
        <f>IF(A9stdlife="n/a","n/a",IF(P$3&gt;(A9stdlife+$F152),(Input!$J$151*(1+vanilla3)^0.5)-SUM($J152:O152),(Input!$J$151*(1+vanilla3)^0.5)/A9stdlife))</f>
        <v>0.41852275837392</v>
      </c>
      <c r="Q152" s="67">
        <f>IF(A9stdlife="n/a","n/a",IF(Q$3&gt;(A9stdlife+$F152),(Input!$J$151*(1+vanilla3)^0.5)-SUM($J152:P152),(Input!$J$151*(1+vanilla3)^0.5)/A9stdlife))</f>
        <v>0.41852275837392</v>
      </c>
      <c r="R152" s="67"/>
      <c r="S152" s="102"/>
      <c r="T152" s="102"/>
      <c r="U152" s="102"/>
      <c r="V152" s="102"/>
      <c r="W152" s="102"/>
      <c r="X152" s="102"/>
      <c r="Y152" s="102"/>
      <c r="Z152" s="102"/>
      <c r="AA152" s="102"/>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102"/>
      <c r="BE152" s="102"/>
      <c r="BF152" s="102"/>
      <c r="BG152" s="102"/>
      <c r="BH152" s="102"/>
      <c r="BI152" s="102"/>
      <c r="BJ152" s="102"/>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9"/>
      <c r="D153" s="25"/>
      <c r="E153" s="376"/>
      <c r="F153" s="85">
        <v>4</v>
      </c>
      <c r="G153" s="122"/>
      <c r="H153" s="146"/>
      <c r="I153" s="148"/>
      <c r="J153" s="148"/>
      <c r="K153" s="147"/>
      <c r="L153" s="67">
        <f>IF(A9stdlife="n/a","n/a",IF(L$3&gt;(A9stdlife+$F153),(Input!$K$151*(1+vanilla4)^0.5)-SUM($K153:K153),(Input!$K$151*(1+vanilla4)^0.5)/A9stdlife))</f>
        <v>1.3760442982173144</v>
      </c>
      <c r="M153" s="67">
        <f>IF(A9stdlife="n/a","n/a",IF(M$3&gt;(A9stdlife+$F153),(Input!$K$151*(1+vanilla4)^0.5)-SUM($K153:L153),(Input!$K$151*(1+vanilla4)^0.5)/A9stdlife))</f>
        <v>1.3760442982173144</v>
      </c>
      <c r="N153" s="67">
        <f>IF(A9stdlife="n/a","n/a",IF(N$3&gt;(A9stdlife+$F153),(Input!$K$151*(1+vanilla4)^0.5)-SUM($K153:M153),(Input!$K$151*(1+vanilla4)^0.5)/A9stdlife))</f>
        <v>1.3760442982173144</v>
      </c>
      <c r="O153" s="67">
        <f>IF(A9stdlife="n/a","n/a",IF(O$3&gt;(A9stdlife+$F153),(Input!$K$151*(1+vanilla4)^0.5)-SUM($K153:N153),(Input!$K$151*(1+vanilla4)^0.5)/A9stdlife))</f>
        <v>1.3760442982173144</v>
      </c>
      <c r="P153" s="67">
        <f>IF(A9stdlife="n/a","n/a",IF(P$3&gt;(A9stdlife+$F153),(Input!$K$151*(1+vanilla4)^0.5)-SUM($K153:O153),(Input!$K$151*(1+vanilla4)^0.5)/A9stdlife))</f>
        <v>1.3760442982173144</v>
      </c>
      <c r="Q153" s="67">
        <f>IF(A9stdlife="n/a","n/a",IF(Q$3&gt;(A9stdlife+$F153),(Input!$K$151*(1+vanilla4)^0.5)-SUM($K153:P153),(Input!$K$151*(1+vanilla4)^0.5)/A9stdlife))</f>
        <v>1.3760442982173144</v>
      </c>
      <c r="R153" s="67"/>
      <c r="S153" s="102"/>
      <c r="T153" s="102"/>
      <c r="U153" s="102"/>
      <c r="V153" s="102"/>
      <c r="W153" s="102"/>
      <c r="X153" s="102"/>
      <c r="Y153" s="102"/>
      <c r="Z153" s="102"/>
      <c r="AA153" s="102"/>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102"/>
      <c r="BE153" s="102"/>
      <c r="BF153" s="102"/>
      <c r="BG153" s="102"/>
      <c r="BH153" s="102"/>
      <c r="BI153" s="102"/>
      <c r="BJ153" s="102"/>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9"/>
      <c r="D154" s="25"/>
      <c r="E154" s="376"/>
      <c r="F154" s="85">
        <v>5</v>
      </c>
      <c r="G154" s="122"/>
      <c r="H154" s="146"/>
      <c r="I154" s="148"/>
      <c r="J154" s="148"/>
      <c r="K154" s="148"/>
      <c r="L154" s="147"/>
      <c r="M154" s="67">
        <f>IF(A9stdlife="n/a","n/a",IF(M$3&gt;(A9stdlife+$F154),(Input!$L$151*(1+vanilla5)^0.5)-SUM($L154:L154),(Input!$L$151*(1+vanilla5)^0.5)/A9stdlife))</f>
        <v>1.0320038678283212</v>
      </c>
      <c r="N154" s="67">
        <f>IF(A9stdlife="n/a","n/a",IF(N$3&gt;(A9stdlife+$F154),(Input!$L$151*(1+vanilla5)^0.5)-SUM($L154:M154),(Input!$L$151*(1+vanilla5)^0.5)/A9stdlife))</f>
        <v>1.0320038678283212</v>
      </c>
      <c r="O154" s="67">
        <f>IF(A9stdlife="n/a","n/a",IF(O$3&gt;(A9stdlife+$F154),(Input!$L$151*(1+vanilla5)^0.5)-SUM($L154:N154),(Input!$L$151*(1+vanilla5)^0.5)/A9stdlife))</f>
        <v>1.0320038678283212</v>
      </c>
      <c r="P154" s="67">
        <f>IF(A9stdlife="n/a","n/a",IF(P$3&gt;(A9stdlife+$F154),(Input!$L$151*(1+vanilla5)^0.5)-SUM($L154:O154),(Input!$L$151*(1+vanilla5)^0.5)/A9stdlife))</f>
        <v>1.0320038678283212</v>
      </c>
      <c r="Q154" s="67">
        <f>IF(A9stdlife="n/a","n/a",IF(Q$3&gt;(A9stdlife+$F154),(Input!$L$151*(1+vanilla5)^0.5)-SUM($L154:P154),(Input!$L$151*(1+vanilla5)^0.5)/A9stdlife))</f>
        <v>1.0320038678283212</v>
      </c>
      <c r="R154" s="67"/>
      <c r="S154" s="102"/>
      <c r="T154" s="102"/>
      <c r="U154" s="102"/>
      <c r="V154" s="102"/>
      <c r="W154" s="102"/>
      <c r="X154" s="102"/>
      <c r="Y154" s="102"/>
      <c r="Z154" s="102"/>
      <c r="AA154" s="102"/>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102"/>
      <c r="BE154" s="102"/>
      <c r="BF154" s="102"/>
      <c r="BG154" s="102"/>
      <c r="BH154" s="102"/>
      <c r="BI154" s="102"/>
      <c r="BJ154" s="102"/>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376"/>
      <c r="F155" s="85">
        <v>6</v>
      </c>
      <c r="G155" s="122"/>
      <c r="H155" s="146"/>
      <c r="I155" s="148"/>
      <c r="J155" s="148"/>
      <c r="K155" s="148"/>
      <c r="L155" s="148"/>
      <c r="M155" s="147"/>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2"/>
      <c r="T155" s="102"/>
      <c r="U155" s="102"/>
      <c r="V155" s="102"/>
      <c r="W155" s="102"/>
      <c r="X155" s="102"/>
      <c r="Y155" s="102"/>
      <c r="Z155" s="102"/>
      <c r="AA155" s="102"/>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102"/>
      <c r="BE155" s="102"/>
      <c r="BF155" s="102"/>
      <c r="BG155" s="102"/>
      <c r="BH155" s="102"/>
      <c r="BI155" s="102"/>
      <c r="BJ155" s="102"/>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9"/>
      <c r="C156" s="9"/>
      <c r="D156" s="25"/>
      <c r="E156" s="376"/>
      <c r="F156" s="85">
        <v>7</v>
      </c>
      <c r="G156" s="122"/>
      <c r="H156" s="146"/>
      <c r="I156" s="148"/>
      <c r="J156" s="148"/>
      <c r="K156" s="148"/>
      <c r="L156" s="148"/>
      <c r="M156" s="148"/>
      <c r="N156" s="147"/>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2"/>
      <c r="T156" s="102"/>
      <c r="U156" s="102"/>
      <c r="V156" s="102"/>
      <c r="W156" s="102"/>
      <c r="X156" s="102"/>
      <c r="Y156" s="102"/>
      <c r="Z156" s="102"/>
      <c r="AA156" s="102"/>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102"/>
      <c r="BE156" s="102"/>
      <c r="BF156" s="102"/>
      <c r="BG156" s="102"/>
      <c r="BH156" s="102"/>
      <c r="BI156" s="102"/>
      <c r="BJ156" s="102"/>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9"/>
      <c r="D157" s="25"/>
      <c r="E157" s="376"/>
      <c r="F157" s="85">
        <v>8</v>
      </c>
      <c r="G157" s="122"/>
      <c r="H157" s="146"/>
      <c r="I157" s="148"/>
      <c r="J157" s="148"/>
      <c r="K157" s="148"/>
      <c r="L157" s="148"/>
      <c r="M157" s="148"/>
      <c r="N157" s="148"/>
      <c r="O157" s="147"/>
      <c r="P157" s="67">
        <f>IF(A9stdlife="n/a","n/a",IF(P$3&gt;(A9stdlife+$F157),(Input!$O$151*(1+vanilla8)^0.5)-SUM($O157:O157),(Input!$O$151*(1+vanilla8)^0.5)/A9stdlife))</f>
        <v>0</v>
      </c>
      <c r="Q157" s="67">
        <f>IF(A9stdlife="n/a","n/a",IF(Q$3&gt;(A9stdlife+$F157),(Input!$O$151*(1+vanilla8)^0.5)-SUM($O157:P157),(Input!$O$151*(1+vanilla8)^0.5)/A9stdlife))</f>
        <v>0</v>
      </c>
      <c r="R157" s="67"/>
      <c r="S157" s="102"/>
      <c r="T157" s="102"/>
      <c r="U157" s="102"/>
      <c r="V157" s="102"/>
      <c r="W157" s="102"/>
      <c r="X157" s="102"/>
      <c r="Y157" s="102"/>
      <c r="Z157" s="102"/>
      <c r="AA157" s="102"/>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102"/>
      <c r="BE157" s="102"/>
      <c r="BF157" s="102"/>
      <c r="BG157" s="102"/>
      <c r="BH157" s="102"/>
      <c r="BI157" s="102"/>
      <c r="BJ157" s="102"/>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9"/>
      <c r="D158" s="25"/>
      <c r="E158" s="376"/>
      <c r="F158" s="85">
        <v>9</v>
      </c>
      <c r="G158" s="122"/>
      <c r="H158" s="146"/>
      <c r="I158" s="148"/>
      <c r="J158" s="148"/>
      <c r="K158" s="148"/>
      <c r="L158" s="148"/>
      <c r="M158" s="148"/>
      <c r="N158" s="148"/>
      <c r="O158" s="148"/>
      <c r="P158" s="147"/>
      <c r="Q158" s="67">
        <f>IF(A9stdlife="n/a","n/a",IF(Q$3&gt;(A9stdlife+$F158),(Input!$P$151*(1+vanilla9)^0.5)-SUM($P158:P158),(Input!$P$151*(1+vanilla9)^0.5)/A9stdlife))</f>
        <v>0</v>
      </c>
      <c r="R158" s="67"/>
      <c r="S158" s="102"/>
      <c r="T158" s="102"/>
      <c r="U158" s="102"/>
      <c r="V158" s="102"/>
      <c r="W158" s="102"/>
      <c r="X158" s="102"/>
      <c r="Y158" s="102"/>
      <c r="Z158" s="102"/>
      <c r="AA158" s="102"/>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102"/>
      <c r="BE158" s="102"/>
      <c r="BF158" s="102"/>
      <c r="BG158" s="102"/>
      <c r="BH158" s="102"/>
      <c r="BI158" s="102"/>
      <c r="BJ158" s="102"/>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9"/>
      <c r="D159" s="25"/>
      <c r="E159" s="376"/>
      <c r="F159" s="86">
        <v>10</v>
      </c>
      <c r="G159" s="122"/>
      <c r="H159" s="146"/>
      <c r="I159" s="148"/>
      <c r="J159" s="148"/>
      <c r="K159" s="148"/>
      <c r="L159" s="148"/>
      <c r="M159" s="148"/>
      <c r="N159" s="148"/>
      <c r="O159" s="148"/>
      <c r="P159" s="148"/>
      <c r="Q159" s="147"/>
      <c r="R159" s="67"/>
      <c r="S159" s="102"/>
      <c r="T159" s="102"/>
      <c r="U159" s="102"/>
      <c r="V159" s="102"/>
      <c r="W159" s="102"/>
      <c r="X159" s="102"/>
      <c r="Y159" s="102"/>
      <c r="Z159" s="102"/>
      <c r="AA159" s="102"/>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102"/>
      <c r="BE159" s="102"/>
      <c r="BF159" s="102"/>
      <c r="BG159" s="102"/>
      <c r="BH159" s="102"/>
      <c r="BI159" s="102"/>
      <c r="BJ159" s="102"/>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1" collapsed="1">
      <c r="A160" s="9"/>
      <c r="B160" s="9"/>
      <c r="C160" s="9"/>
      <c r="D160" s="25" t="str">
        <f>Asset9</f>
        <v>Ancillary substation equipment (tx)</v>
      </c>
      <c r="E160" s="9"/>
      <c r="F160" s="9"/>
      <c r="G160" s="122"/>
      <c r="H160" s="165">
        <f>-SUM(H148:H159)</f>
        <v>0</v>
      </c>
      <c r="I160" s="165">
        <f>-SUM(I148:I159)</f>
        <v>-7.6825863883533962E-2</v>
      </c>
      <c r="J160" s="165">
        <f>-SUM(J148:J159)</f>
        <v>-0.28351146942931427</v>
      </c>
      <c r="K160" s="165">
        <f>-SUM(K148:K159)</f>
        <v>-0.70203422780323432</v>
      </c>
      <c r="L160" s="165">
        <f>-SUM(L148:L159)</f>
        <v>-2.0780785260205485</v>
      </c>
      <c r="M160" s="165">
        <f>IF(Input!M173&gt;0, -SUM(M148:M159), 0)</f>
        <v>0</v>
      </c>
      <c r="N160" s="165">
        <f>IF(Input!N173&gt;0, -SUM(N148:N159), 0)</f>
        <v>0</v>
      </c>
      <c r="O160" s="165">
        <f>IF(Input!O173&gt;0, -SUM(O148:O159), 0)</f>
        <v>0</v>
      </c>
      <c r="P160" s="165">
        <f>IF(Input!P173&gt;0, -SUM(P148:P159), 0)</f>
        <v>0</v>
      </c>
      <c r="Q160" s="165">
        <f>IF(Input!Q173&gt;0, -SUM(Q148:Q159), 0)</f>
        <v>0</v>
      </c>
      <c r="R160" s="65"/>
      <c r="S160" s="104"/>
      <c r="T160" s="104"/>
      <c r="U160" s="104"/>
      <c r="V160" s="104"/>
      <c r="W160" s="104"/>
      <c r="X160" s="104"/>
      <c r="Y160" s="104"/>
      <c r="Z160" s="104"/>
      <c r="AA160" s="104"/>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104"/>
      <c r="BE160" s="104"/>
      <c r="BF160" s="104"/>
      <c r="BG160" s="104"/>
      <c r="BH160" s="104"/>
      <c r="BI160" s="104"/>
      <c r="BJ160" s="104"/>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31" t="str">
        <f>Asset10</f>
        <v>132kV tower lines</v>
      </c>
      <c r="D161" s="161"/>
      <c r="E161" s="33" t="s">
        <v>28</v>
      </c>
      <c r="F161" s="32"/>
      <c r="G161" s="174"/>
      <c r="H161" s="66">
        <f>IF(H$3&gt;A10remlife,A10value-SUM($G161:G161),IF(A10remlife="N/A","n/a",A10value/A10remlife))</f>
        <v>0.65583236416621293</v>
      </c>
      <c r="I161" s="66">
        <f>IF(I$3&gt;A10remlife,A10value-SUM($G161:H161),IF(A10remlife="N/A","n/a",A10value/A10remlife))</f>
        <v>0.65583236416621293</v>
      </c>
      <c r="J161" s="66">
        <f>IF(J$3&gt;A10remlife,A10value-SUM($G161:I161),IF(A10remlife="N/A","n/a",A10value/A10remlife))</f>
        <v>0.65583236416621293</v>
      </c>
      <c r="K161" s="66">
        <f>IF(K$3&gt;A10remlife,A10value-SUM($G161:J161),IF(A10remlife="N/A","n/a",A10value/A10remlife))</f>
        <v>0.65583236416621293</v>
      </c>
      <c r="L161" s="66">
        <f>IF(L$3&gt;A10remlife,A10value-SUM($G161:K161),IF(A10remlife="N/A","n/a",A10value/A10remlife))</f>
        <v>0.65583236416621293</v>
      </c>
      <c r="M161" s="66">
        <f>IF(M$3&gt;A10remlife,A10value-SUM($G161:L161),IF(A10remlife="N/A","n/a",A10value/A10remlife))</f>
        <v>0.65583236416621293</v>
      </c>
      <c r="N161" s="66">
        <f>IF(N$3&gt;A10remlife,A10value-SUM($G161:M161),IF(A10remlife="N/A","n/a",A10value/A10remlife))</f>
        <v>0.65583236416621293</v>
      </c>
      <c r="O161" s="66">
        <f>IF(O$3&gt;A10remlife,A10value-SUM($G161:N161),IF(A10remlife="N/A","n/a",A10value/A10remlife))</f>
        <v>0.65583236416621293</v>
      </c>
      <c r="P161" s="66">
        <f>IF(P$3&gt;A10remlife,A10value-SUM($G161:O161),IF(A10remlife="N/A","n/a",A10value/A10remlife))</f>
        <v>0.65583236416621293</v>
      </c>
      <c r="Q161" s="66">
        <f>IF(Q$3&gt;A10remlife,A10value-SUM($G161:P161),IF(A10remlife="N/A","n/a",A10value/A10remlife))</f>
        <v>0.65583236416621293</v>
      </c>
      <c r="R161" s="66"/>
      <c r="S161" s="102"/>
      <c r="T161" s="102"/>
      <c r="U161" s="102"/>
      <c r="V161" s="102"/>
      <c r="W161" s="102"/>
      <c r="X161" s="102"/>
      <c r="Y161" s="102"/>
      <c r="Z161" s="102"/>
      <c r="AA161" s="102"/>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102"/>
      <c r="BE161" s="102"/>
      <c r="BF161" s="102"/>
      <c r="BG161" s="102"/>
      <c r="BH161" s="102"/>
      <c r="BI161" s="102"/>
      <c r="BJ161" s="102"/>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2"/>
      <c r="E162" s="375" t="s">
        <v>85</v>
      </c>
      <c r="F162" s="85">
        <v>0</v>
      </c>
      <c r="G162" s="122"/>
      <c r="H162" s="67"/>
      <c r="I162" s="67"/>
      <c r="J162" s="67"/>
      <c r="K162" s="67"/>
      <c r="L162" s="67"/>
      <c r="M162" s="163"/>
      <c r="N162" s="111"/>
      <c r="O162" s="67"/>
      <c r="P162" s="67"/>
      <c r="Q162" s="67"/>
      <c r="R162" s="67"/>
      <c r="S162" s="102"/>
      <c r="T162" s="102"/>
      <c r="U162" s="102"/>
      <c r="V162" s="102"/>
      <c r="W162" s="102"/>
      <c r="X162" s="102"/>
      <c r="Y162" s="102"/>
      <c r="Z162" s="102"/>
      <c r="AA162" s="102"/>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102"/>
      <c r="BE162" s="102"/>
      <c r="BF162" s="102"/>
      <c r="BG162" s="102"/>
      <c r="BH162" s="102"/>
      <c r="BI162" s="102"/>
      <c r="BJ162" s="102"/>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9"/>
      <c r="D163" s="25"/>
      <c r="E163" s="376"/>
      <c r="F163" s="85">
        <v>1</v>
      </c>
      <c r="G163" s="122"/>
      <c r="H163" s="145"/>
      <c r="I163" s="67">
        <f>IF(A10stdlife="n/a","n/a",IF(I$3&gt;(A10stdlife+$F163),(Input!$H$152*(1+vanilla1)^0.5)-SUM($H163:H163),(Input!$H$152*(1+vanilla1)^0.5)/A10stdlife))</f>
        <v>7.1048970959543697E-2</v>
      </c>
      <c r="J163" s="67">
        <f>IF(A10stdlife="n/a","n/a",IF(J$3&gt;(A10stdlife+$F163),(Input!$H$152*(1+vanilla1)^0.5)-SUM($H163:I163),(Input!$H$152*(1+vanilla1)^0.5)/A10stdlife))</f>
        <v>7.1048970959543697E-2</v>
      </c>
      <c r="K163" s="67">
        <f>IF(A10stdlife="n/a","n/a",IF(K$3&gt;(A10stdlife+$F163),(Input!$H$152*(1+vanilla1)^0.5)-SUM($H163:J163),(Input!$H$152*(1+vanilla1)^0.5)/A10stdlife))</f>
        <v>7.1048970959543697E-2</v>
      </c>
      <c r="L163" s="67">
        <f>IF(A10stdlife="n/a","n/a",IF(L$3&gt;(A10stdlife+$F163),(Input!$H$152*(1+vanilla1)^0.5)-SUM($H163:K163),(Input!$H$152*(1+vanilla1)^0.5)/A10stdlife))</f>
        <v>7.1048970959543697E-2</v>
      </c>
      <c r="M163" s="67">
        <f>IF(A10stdlife="n/a","n/a",IF(M$3&gt;(A10stdlife+$F163),(Input!$H$152*(1+vanilla1)^0.5)-SUM($H163:L163),(Input!$H$152*(1+vanilla1)^0.5)/A10stdlife))</f>
        <v>7.1048970959543697E-2</v>
      </c>
      <c r="N163" s="67">
        <f>IF(A10stdlife="n/a","n/a",IF(N$3&gt;(A10stdlife+$F163),(Input!$H$152*(1+vanilla1)^0.5)-SUM($H163:M163),(Input!$H$152*(1+vanilla1)^0.5)/A10stdlife))</f>
        <v>7.1048970959543697E-2</v>
      </c>
      <c r="O163" s="67">
        <f>IF(A10stdlife="n/a","n/a",IF(O$3&gt;(A10stdlife+$F163),(Input!$H$152*(1+vanilla1)^0.5)-SUM($H163:N163),(Input!$H$152*(1+vanilla1)^0.5)/A10stdlife))</f>
        <v>7.1048970959543697E-2</v>
      </c>
      <c r="P163" s="67">
        <f>IF(A10stdlife="n/a","n/a",IF(P$3&gt;(A10stdlife+$F163),(Input!$H$152*(1+vanilla1)^0.5)-SUM($H163:O163),(Input!$H$152*(1+vanilla1)^0.5)/A10stdlife))</f>
        <v>7.1048970959543697E-2</v>
      </c>
      <c r="Q163" s="67">
        <f>IF(A10stdlife="n/a","n/a",IF(Q$3&gt;(A10stdlife+$F163),(Input!$H$152*(1+vanilla1)^0.5)-SUM($H163:P163),(Input!$H$152*(1+vanilla1)^0.5)/A10stdlife))</f>
        <v>7.1048970959543697E-2</v>
      </c>
      <c r="R163" s="67"/>
      <c r="S163" s="102"/>
      <c r="T163" s="102"/>
      <c r="U163" s="102"/>
      <c r="V163" s="102"/>
      <c r="W163" s="102"/>
      <c r="X163" s="102"/>
      <c r="Y163" s="102"/>
      <c r="Z163" s="102"/>
      <c r="AA163" s="102"/>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102"/>
      <c r="BE163" s="102"/>
      <c r="BF163" s="102"/>
      <c r="BG163" s="102"/>
      <c r="BH163" s="102"/>
      <c r="BI163" s="102"/>
      <c r="BJ163" s="102"/>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376"/>
      <c r="F164" s="85">
        <v>2</v>
      </c>
      <c r="G164" s="122"/>
      <c r="H164" s="146"/>
      <c r="I164" s="147"/>
      <c r="J164" s="67">
        <f>IF(A10stdlife="n/a","n/a",IF(J$3&gt;(A10stdlife+$F164),(Input!$I$152*(1+vanilla2)^0.5)-SUM($I164:I164),(Input!$I$152*(1+vanilla2)^0.5)/A10stdlife))</f>
        <v>0.1444848140065482</v>
      </c>
      <c r="K164" s="67">
        <f>IF(A10stdlife="n/a","n/a",IF(K$3&gt;(A10stdlife+$F164),(Input!$I$152*(1+vanilla2)^0.5)-SUM($I164:J164),(Input!$I$152*(1+vanilla2)^0.5)/A10stdlife))</f>
        <v>0.1444848140065482</v>
      </c>
      <c r="L164" s="67">
        <f>IF(A10stdlife="n/a","n/a",IF(L$3&gt;(A10stdlife+$F164),(Input!$I$152*(1+vanilla2)^0.5)-SUM($I164:K164),(Input!$I$152*(1+vanilla2)^0.5)/A10stdlife))</f>
        <v>0.1444848140065482</v>
      </c>
      <c r="M164" s="67">
        <f>IF(A10stdlife="n/a","n/a",IF(M$3&gt;(A10stdlife+$F164),(Input!$I$152*(1+vanilla2)^0.5)-SUM($I164:L164),(Input!$I$152*(1+vanilla2)^0.5)/A10stdlife))</f>
        <v>0.1444848140065482</v>
      </c>
      <c r="N164" s="67">
        <f>IF(A10stdlife="n/a","n/a",IF(N$3&gt;(A10stdlife+$F164),(Input!$I$152*(1+vanilla2)^0.5)-SUM($I164:M164),(Input!$I$152*(1+vanilla2)^0.5)/A10stdlife))</f>
        <v>0.1444848140065482</v>
      </c>
      <c r="O164" s="67">
        <f>IF(A10stdlife="n/a","n/a",IF(O$3&gt;(A10stdlife+$F164),(Input!$I$152*(1+vanilla2)^0.5)-SUM($I164:N164),(Input!$I$152*(1+vanilla2)^0.5)/A10stdlife))</f>
        <v>0.1444848140065482</v>
      </c>
      <c r="P164" s="67">
        <f>IF(A10stdlife="n/a","n/a",IF(P$3&gt;(A10stdlife+$F164),(Input!$I$152*(1+vanilla2)^0.5)-SUM($I164:O164),(Input!$I$152*(1+vanilla2)^0.5)/A10stdlife))</f>
        <v>0.1444848140065482</v>
      </c>
      <c r="Q164" s="67">
        <f>IF(A10stdlife="n/a","n/a",IF(Q$3&gt;(A10stdlife+$F164),(Input!$I$152*(1+vanilla2)^0.5)-SUM($I164:P164),(Input!$I$152*(1+vanilla2)^0.5)/A10stdlife))</f>
        <v>0.1444848140065482</v>
      </c>
      <c r="R164" s="67"/>
      <c r="S164" s="102"/>
      <c r="T164" s="102"/>
      <c r="U164" s="102"/>
      <c r="V164" s="102"/>
      <c r="W164" s="102"/>
      <c r="X164" s="102"/>
      <c r="Y164" s="102"/>
      <c r="Z164" s="102"/>
      <c r="AA164" s="102"/>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102"/>
      <c r="BE164" s="102"/>
      <c r="BF164" s="102"/>
      <c r="BG164" s="102"/>
      <c r="BH164" s="102"/>
      <c r="BI164" s="102"/>
      <c r="BJ164" s="102"/>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9"/>
      <c r="D165" s="25"/>
      <c r="E165" s="376"/>
      <c r="F165" s="85">
        <v>3</v>
      </c>
      <c r="G165" s="122"/>
      <c r="H165" s="146"/>
      <c r="I165" s="148"/>
      <c r="J165" s="147"/>
      <c r="K165" s="67">
        <f>IF(A10stdlife="n/a","n/a",IF(K$3&gt;(A10stdlife+$F165),(Input!$J$152*(1+vanilla3)^0.5)-SUM($J165:J165),(Input!$J$152*(1+vanilla3)^0.5)/A10stdlife))</f>
        <v>9.3865787804172998E-2</v>
      </c>
      <c r="L165" s="67">
        <f>IF(A10stdlife="n/a","n/a",IF(L$3&gt;(A10stdlife+$F165),(Input!$J$152*(1+vanilla3)^0.5)-SUM($J165:K165),(Input!$J$152*(1+vanilla3)^0.5)/A10stdlife))</f>
        <v>9.3865787804172998E-2</v>
      </c>
      <c r="M165" s="67">
        <f>IF(A10stdlife="n/a","n/a",IF(M$3&gt;(A10stdlife+$F165),(Input!$J$152*(1+vanilla3)^0.5)-SUM($J165:L165),(Input!$J$152*(1+vanilla3)^0.5)/A10stdlife))</f>
        <v>9.3865787804172998E-2</v>
      </c>
      <c r="N165" s="67">
        <f>IF(A10stdlife="n/a","n/a",IF(N$3&gt;(A10stdlife+$F165),(Input!$J$152*(1+vanilla3)^0.5)-SUM($J165:M165),(Input!$J$152*(1+vanilla3)^0.5)/A10stdlife))</f>
        <v>9.3865787804172998E-2</v>
      </c>
      <c r="O165" s="67">
        <f>IF(A10stdlife="n/a","n/a",IF(O$3&gt;(A10stdlife+$F165),(Input!$J$152*(1+vanilla3)^0.5)-SUM($J165:N165),(Input!$J$152*(1+vanilla3)^0.5)/A10stdlife))</f>
        <v>9.3865787804172998E-2</v>
      </c>
      <c r="P165" s="67">
        <f>IF(A10stdlife="n/a","n/a",IF(P$3&gt;(A10stdlife+$F165),(Input!$J$152*(1+vanilla3)^0.5)-SUM($J165:O165),(Input!$J$152*(1+vanilla3)^0.5)/A10stdlife))</f>
        <v>9.3865787804172998E-2</v>
      </c>
      <c r="Q165" s="67">
        <f>IF(A10stdlife="n/a","n/a",IF(Q$3&gt;(A10stdlife+$F165),(Input!$J$152*(1+vanilla3)^0.5)-SUM($J165:P165),(Input!$J$152*(1+vanilla3)^0.5)/A10stdlife))</f>
        <v>9.3865787804172998E-2</v>
      </c>
      <c r="R165" s="67"/>
      <c r="S165" s="102"/>
      <c r="T165" s="102"/>
      <c r="U165" s="102"/>
      <c r="V165" s="102"/>
      <c r="W165" s="102"/>
      <c r="X165" s="102"/>
      <c r="Y165" s="102"/>
      <c r="Z165" s="102"/>
      <c r="AA165" s="102"/>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102"/>
      <c r="BE165" s="102"/>
      <c r="BF165" s="102"/>
      <c r="BG165" s="102"/>
      <c r="BH165" s="102"/>
      <c r="BI165" s="102"/>
      <c r="BJ165" s="102"/>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9"/>
      <c r="D166" s="25"/>
      <c r="E166" s="376"/>
      <c r="F166" s="85">
        <v>4</v>
      </c>
      <c r="G166" s="122"/>
      <c r="H166" s="146"/>
      <c r="I166" s="148"/>
      <c r="J166" s="148"/>
      <c r="K166" s="147"/>
      <c r="L166" s="67">
        <f>IF(A10stdlife="n/a","n/a",IF(L$3&gt;(A10stdlife+$F166),(Input!$K$152*(1+vanilla4)^0.5)-SUM($K166:K166),(Input!$K$152*(1+vanilla4)^0.5)/A10stdlife))</f>
        <v>-1.2794437723689248E-2</v>
      </c>
      <c r="M166" s="67">
        <f>IF(A10stdlife="n/a","n/a",IF(M$3&gt;(A10stdlife+$F166),(Input!$K$152*(1+vanilla4)^0.5)-SUM($K166:L166),(Input!$K$152*(1+vanilla4)^0.5)/A10stdlife))</f>
        <v>-1.2794437723689248E-2</v>
      </c>
      <c r="N166" s="67">
        <f>IF(A10stdlife="n/a","n/a",IF(N$3&gt;(A10stdlife+$F166),(Input!$K$152*(1+vanilla4)^0.5)-SUM($K166:M166),(Input!$K$152*(1+vanilla4)^0.5)/A10stdlife))</f>
        <v>-1.2794437723689248E-2</v>
      </c>
      <c r="O166" s="67">
        <f>IF(A10stdlife="n/a","n/a",IF(O$3&gt;(A10stdlife+$F166),(Input!$K$152*(1+vanilla4)^0.5)-SUM($K166:N166),(Input!$K$152*(1+vanilla4)^0.5)/A10stdlife))</f>
        <v>-1.2794437723689248E-2</v>
      </c>
      <c r="P166" s="67">
        <f>IF(A10stdlife="n/a","n/a",IF(P$3&gt;(A10stdlife+$F166),(Input!$K$152*(1+vanilla4)^0.5)-SUM($K166:O166),(Input!$K$152*(1+vanilla4)^0.5)/A10stdlife))</f>
        <v>-1.2794437723689248E-2</v>
      </c>
      <c r="Q166" s="67">
        <f>IF(A10stdlife="n/a","n/a",IF(Q$3&gt;(A10stdlife+$F166),(Input!$K$152*(1+vanilla4)^0.5)-SUM($K166:P166),(Input!$K$152*(1+vanilla4)^0.5)/A10stdlife))</f>
        <v>-1.2794437723689248E-2</v>
      </c>
      <c r="R166" s="67"/>
      <c r="S166" s="102"/>
      <c r="T166" s="102"/>
      <c r="U166" s="102"/>
      <c r="V166" s="102"/>
      <c r="W166" s="102"/>
      <c r="X166" s="102"/>
      <c r="Y166" s="102"/>
      <c r="Z166" s="102"/>
      <c r="AA166" s="102"/>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102"/>
      <c r="BE166" s="102"/>
      <c r="BF166" s="102"/>
      <c r="BG166" s="102"/>
      <c r="BH166" s="102"/>
      <c r="BI166" s="102"/>
      <c r="BJ166" s="102"/>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9"/>
      <c r="D167" s="25"/>
      <c r="E167" s="376"/>
      <c r="F167" s="85">
        <v>5</v>
      </c>
      <c r="G167" s="26"/>
      <c r="H167" s="146"/>
      <c r="I167" s="148"/>
      <c r="J167" s="148"/>
      <c r="K167" s="148"/>
      <c r="L167" s="147"/>
      <c r="M167" s="67">
        <f>IF(A10stdlife="n/a","n/a",IF(M$3&gt;(A10stdlife+$F167),(Input!$L$152*(1+vanilla5)^0.5)-SUM($L167:L167),(Input!$L$152*(1+vanilla5)^0.5)/A10stdlife))</f>
        <v>5.8396455304128743E-3</v>
      </c>
      <c r="N167" s="67">
        <f>IF(A10stdlife="n/a","n/a",IF(N$3&gt;(A10stdlife+$F167),(Input!$L$152*(1+vanilla5)^0.5)-SUM($L167:M167),(Input!$L$152*(1+vanilla5)^0.5)/A10stdlife))</f>
        <v>5.8396455304128743E-3</v>
      </c>
      <c r="O167" s="67">
        <f>IF(A10stdlife="n/a","n/a",IF(O$3&gt;(A10stdlife+$F167),(Input!$L$152*(1+vanilla5)^0.5)-SUM($L167:N167),(Input!$L$152*(1+vanilla5)^0.5)/A10stdlife))</f>
        <v>5.8396455304128743E-3</v>
      </c>
      <c r="P167" s="67">
        <f>IF(A10stdlife="n/a","n/a",IF(P$3&gt;(A10stdlife+$F167),(Input!$L$152*(1+vanilla5)^0.5)-SUM($L167:O167),(Input!$L$152*(1+vanilla5)^0.5)/A10stdlife))</f>
        <v>5.8396455304128743E-3</v>
      </c>
      <c r="Q167" s="67">
        <f>IF(A10stdlife="n/a","n/a",IF(Q$3&gt;(A10stdlife+$F167),(Input!$L$152*(1+vanilla5)^0.5)-SUM($L167:P167),(Input!$L$152*(1+vanilla5)^0.5)/A10stdlife))</f>
        <v>5.8396455304128743E-3</v>
      </c>
      <c r="R167" s="67"/>
      <c r="S167" s="102"/>
      <c r="T167" s="102"/>
      <c r="U167" s="102"/>
      <c r="V167" s="102"/>
      <c r="W167" s="102"/>
      <c r="X167" s="102"/>
      <c r="Y167" s="102"/>
      <c r="Z167" s="102"/>
      <c r="AA167" s="102"/>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102"/>
      <c r="BE167" s="102"/>
      <c r="BF167" s="102"/>
      <c r="BG167" s="102"/>
      <c r="BH167" s="102"/>
      <c r="BI167" s="102"/>
      <c r="BJ167" s="102"/>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376"/>
      <c r="F168" s="85">
        <v>6</v>
      </c>
      <c r="G168" s="26"/>
      <c r="H168" s="146"/>
      <c r="I168" s="148"/>
      <c r="J168" s="148"/>
      <c r="K168" s="148"/>
      <c r="L168" s="148"/>
      <c r="M168" s="147"/>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2"/>
      <c r="T168" s="102"/>
      <c r="U168" s="102"/>
      <c r="V168" s="102"/>
      <c r="W168" s="102"/>
      <c r="X168" s="102"/>
      <c r="Y168" s="102"/>
      <c r="Z168" s="102"/>
      <c r="AA168" s="102"/>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102"/>
      <c r="BE168" s="102"/>
      <c r="BF168" s="102"/>
      <c r="BG168" s="102"/>
      <c r="BH168" s="102"/>
      <c r="BI168" s="102"/>
      <c r="BJ168" s="102"/>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hidden="1" customHeight="1" outlineLevel="2">
      <c r="A169" s="9"/>
      <c r="B169" s="9"/>
      <c r="C169" s="9"/>
      <c r="D169" s="25"/>
      <c r="E169" s="376"/>
      <c r="F169" s="85">
        <v>7</v>
      </c>
      <c r="G169" s="26"/>
      <c r="H169" s="146"/>
      <c r="I169" s="148"/>
      <c r="J169" s="148"/>
      <c r="K169" s="148"/>
      <c r="L169" s="148"/>
      <c r="M169" s="148"/>
      <c r="N169" s="147"/>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2"/>
      <c r="T169" s="102"/>
      <c r="U169" s="102"/>
      <c r="V169" s="102"/>
      <c r="W169" s="102"/>
      <c r="X169" s="102"/>
      <c r="Y169" s="102"/>
      <c r="Z169" s="102"/>
      <c r="AA169" s="102"/>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102"/>
      <c r="BE169" s="102"/>
      <c r="BF169" s="102"/>
      <c r="BG169" s="102"/>
      <c r="BH169" s="102"/>
      <c r="BI169" s="102"/>
      <c r="BJ169" s="102"/>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9"/>
      <c r="C170" s="9"/>
      <c r="D170" s="25"/>
      <c r="E170" s="376"/>
      <c r="F170" s="85">
        <v>8</v>
      </c>
      <c r="G170" s="26"/>
      <c r="H170" s="146"/>
      <c r="I170" s="148"/>
      <c r="J170" s="148"/>
      <c r="K170" s="148"/>
      <c r="L170" s="148"/>
      <c r="M170" s="148"/>
      <c r="N170" s="148"/>
      <c r="O170" s="147"/>
      <c r="P170" s="67">
        <f>IF(A10stdlife="n/a","n/a",IF(P$3&gt;(A10stdlife+$F170),(Input!$O$152*(1+vanilla8)^0.5)-SUM($O170:O170),(Input!$O$152*(1+vanilla8)^0.5)/A10stdlife))</f>
        <v>0</v>
      </c>
      <c r="Q170" s="67">
        <f>IF(A10stdlife="n/a","n/a",IF(Q$3&gt;(A10stdlife+$F170),(Input!$O$152*(1+vanilla8)^0.5)-SUM($O170:P170),(Input!$O$152*(1+vanilla8)^0.5)/A10stdlife))</f>
        <v>0</v>
      </c>
      <c r="R170" s="67"/>
      <c r="S170" s="102"/>
      <c r="T170" s="102"/>
      <c r="U170" s="102"/>
      <c r="V170" s="102"/>
      <c r="W170" s="102"/>
      <c r="X170" s="102"/>
      <c r="Y170" s="102"/>
      <c r="Z170" s="102"/>
      <c r="AA170" s="102"/>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102"/>
      <c r="BE170" s="102"/>
      <c r="BF170" s="102"/>
      <c r="BG170" s="102"/>
      <c r="BH170" s="102"/>
      <c r="BI170" s="102"/>
      <c r="BJ170" s="102"/>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9"/>
      <c r="D171" s="25"/>
      <c r="E171" s="376"/>
      <c r="F171" s="85">
        <v>9</v>
      </c>
      <c r="G171" s="26"/>
      <c r="H171" s="146"/>
      <c r="I171" s="148"/>
      <c r="J171" s="148"/>
      <c r="K171" s="148"/>
      <c r="L171" s="148"/>
      <c r="M171" s="148"/>
      <c r="N171" s="148"/>
      <c r="O171" s="148"/>
      <c r="P171" s="147"/>
      <c r="Q171" s="67">
        <f>IF(A10stdlife="n/a","n/a",IF(Q$3&gt;(A10stdlife+$F171),(Input!$P$152*(1+vanilla9)^0.5)-SUM($P171:P171),(Input!$P$152*(1+vanilla9)^0.5)/A10stdlife))</f>
        <v>0</v>
      </c>
      <c r="R171" s="67"/>
      <c r="S171" s="102"/>
      <c r="T171" s="102"/>
      <c r="U171" s="102"/>
      <c r="V171" s="102"/>
      <c r="W171" s="102"/>
      <c r="X171" s="102"/>
      <c r="Y171" s="102"/>
      <c r="Z171" s="102"/>
      <c r="AA171" s="102"/>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102"/>
      <c r="BE171" s="102"/>
      <c r="BF171" s="102"/>
      <c r="BG171" s="102"/>
      <c r="BH171" s="102"/>
      <c r="BI171" s="102"/>
      <c r="BJ171" s="102"/>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9"/>
      <c r="D172" s="25"/>
      <c r="E172" s="376"/>
      <c r="F172" s="86">
        <v>10</v>
      </c>
      <c r="G172" s="26"/>
      <c r="H172" s="146"/>
      <c r="I172" s="148"/>
      <c r="J172" s="148"/>
      <c r="K172" s="148"/>
      <c r="L172" s="148"/>
      <c r="M172" s="148"/>
      <c r="N172" s="148"/>
      <c r="O172" s="148"/>
      <c r="P172" s="148"/>
      <c r="Q172" s="147"/>
      <c r="R172" s="67"/>
      <c r="S172" s="102"/>
      <c r="T172" s="102"/>
      <c r="U172" s="102"/>
      <c r="V172" s="102"/>
      <c r="W172" s="102"/>
      <c r="X172" s="102"/>
      <c r="Y172" s="102"/>
      <c r="Z172" s="102"/>
      <c r="AA172" s="102"/>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102"/>
      <c r="BE172" s="102"/>
      <c r="BF172" s="102"/>
      <c r="BG172" s="102"/>
      <c r="BH172" s="102"/>
      <c r="BI172" s="102"/>
      <c r="BJ172" s="102"/>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1" collapsed="1">
      <c r="A173" s="9"/>
      <c r="B173" s="9"/>
      <c r="C173" s="9"/>
      <c r="D173" s="25" t="str">
        <f>Asset10</f>
        <v>132kV tower lines</v>
      </c>
      <c r="E173" s="9"/>
      <c r="F173" s="9"/>
      <c r="G173" s="122"/>
      <c r="H173" s="165">
        <f>-SUM(H161:H172)</f>
        <v>-0.65583236416621293</v>
      </c>
      <c r="I173" s="165">
        <f>-SUM(I161:I172)</f>
        <v>-0.72688133512575659</v>
      </c>
      <c r="J173" s="165">
        <f>-SUM(J161:J172)</f>
        <v>-0.87136614913230481</v>
      </c>
      <c r="K173" s="165">
        <f>-SUM(K161:K172)</f>
        <v>-0.9652319369364778</v>
      </c>
      <c r="L173" s="165">
        <f>-SUM(L161:L172)</f>
        <v>-0.95243749921278853</v>
      </c>
      <c r="M173" s="165">
        <f>IF(Input!M173&gt;0, -SUM(M161:M172), 0)</f>
        <v>0</v>
      </c>
      <c r="N173" s="165">
        <f>IF(Input!N173&gt;0, -SUM(N161:N172), 0)</f>
        <v>0</v>
      </c>
      <c r="O173" s="165">
        <f>IF(Input!O173&gt;0, -SUM(O161:O172), 0)</f>
        <v>0</v>
      </c>
      <c r="P173" s="165">
        <f>IF(Input!P173&gt;0, -SUM(P161:P172), 0)</f>
        <v>0</v>
      </c>
      <c r="Q173" s="165">
        <f>IF(Input!Q173&gt;0, -SUM(Q161:Q172), 0)</f>
        <v>0</v>
      </c>
      <c r="R173" s="65"/>
      <c r="S173" s="104"/>
      <c r="T173" s="104"/>
      <c r="U173" s="104"/>
      <c r="V173" s="104"/>
      <c r="W173" s="104"/>
      <c r="X173" s="104"/>
      <c r="Y173" s="104"/>
      <c r="Z173" s="104"/>
      <c r="AA173" s="104"/>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104"/>
      <c r="BE173" s="104"/>
      <c r="BF173" s="104"/>
      <c r="BG173" s="104"/>
      <c r="BH173" s="104"/>
      <c r="BI173" s="104"/>
      <c r="BJ173" s="104"/>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31" t="str">
        <f>Asset11</f>
        <v>132kV concrete &amp; steel pole lines</v>
      </c>
      <c r="D174" s="161"/>
      <c r="E174" s="33" t="s">
        <v>28</v>
      </c>
      <c r="F174" s="32"/>
      <c r="G174" s="174"/>
      <c r="H174" s="66">
        <f>IF(H$3&gt;A11remlife,A11value-SUM($G174:G174),IF(A11remlife="N/A","n/a",A11value/A11remlife))</f>
        <v>0.25247009849357788</v>
      </c>
      <c r="I174" s="66">
        <f>IF(I$3&gt;A11remlife,A11value-SUM($G174:H174),IF(A11remlife="N/A","n/a",A11value/A11remlife))</f>
        <v>0.25247009849357788</v>
      </c>
      <c r="J174" s="66">
        <f>IF(J$3&gt;A11remlife,A11value-SUM($G174:I174),IF(A11remlife="N/A","n/a",A11value/A11remlife))</f>
        <v>0.25247009849357788</v>
      </c>
      <c r="K174" s="66">
        <f>IF(K$3&gt;A11remlife,A11value-SUM($G174:J174),IF(A11remlife="N/A","n/a",A11value/A11remlife))</f>
        <v>0.25247009849357788</v>
      </c>
      <c r="L174" s="66">
        <f>IF(L$3&gt;A11remlife,A11value-SUM($G174:K174),IF(A11remlife="N/A","n/a",A11value/A11remlife))</f>
        <v>0.25247009849357788</v>
      </c>
      <c r="M174" s="66">
        <f>IF(M$3&gt;A11remlife,A11value-SUM($G174:L174),IF(A11remlife="N/A","n/a",A11value/A11remlife))</f>
        <v>0.25247009849357788</v>
      </c>
      <c r="N174" s="66">
        <f>IF(N$3&gt;A11remlife,A11value-SUM($G174:M174),IF(A11remlife="N/A","n/a",A11value/A11remlife))</f>
        <v>0.25247009849357788</v>
      </c>
      <c r="O174" s="66">
        <f>IF(O$3&gt;A11remlife,A11value-SUM($G174:N174),IF(A11remlife="N/A","n/a",A11value/A11remlife))</f>
        <v>0.25247009849357788</v>
      </c>
      <c r="P174" s="66">
        <f>IF(P$3&gt;A11remlife,A11value-SUM($G174:O174),IF(A11remlife="N/A","n/a",A11value/A11remlife))</f>
        <v>0.25247009849357788</v>
      </c>
      <c r="Q174" s="66">
        <f>IF(Q$3&gt;A11remlife,A11value-SUM($G174:P174),IF(A11remlife="N/A","n/a",A11value/A11remlife))</f>
        <v>0.25247009849357788</v>
      </c>
      <c r="R174" s="66"/>
      <c r="S174" s="102"/>
      <c r="T174" s="102"/>
      <c r="U174" s="102"/>
      <c r="V174" s="102"/>
      <c r="W174" s="102"/>
      <c r="X174" s="102"/>
      <c r="Y174" s="102"/>
      <c r="Z174" s="102"/>
      <c r="AA174" s="102"/>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102"/>
      <c r="BE174" s="102"/>
      <c r="BF174" s="102"/>
      <c r="BG174" s="102"/>
      <c r="BH174" s="102"/>
      <c r="BI174" s="102"/>
      <c r="BJ174" s="102"/>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5"/>
      <c r="E175" s="375" t="s">
        <v>85</v>
      </c>
      <c r="F175" s="85">
        <v>0</v>
      </c>
      <c r="G175" s="122"/>
      <c r="H175" s="67"/>
      <c r="I175" s="67"/>
      <c r="J175" s="67"/>
      <c r="K175" s="67"/>
      <c r="L175" s="67"/>
      <c r="M175" s="163"/>
      <c r="N175" s="111"/>
      <c r="O175" s="67"/>
      <c r="P175" s="67"/>
      <c r="Q175" s="67"/>
      <c r="R175" s="67"/>
      <c r="S175" s="102"/>
      <c r="T175" s="102"/>
      <c r="U175" s="102"/>
      <c r="V175" s="102"/>
      <c r="W175" s="102"/>
      <c r="X175" s="102"/>
      <c r="Y175" s="102"/>
      <c r="Z175" s="102"/>
      <c r="AA175" s="102"/>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102"/>
      <c r="BE175" s="102"/>
      <c r="BF175" s="102"/>
      <c r="BG175" s="102"/>
      <c r="BH175" s="102"/>
      <c r="BI175" s="102"/>
      <c r="BJ175" s="102"/>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9"/>
      <c r="D176" s="25"/>
      <c r="E176" s="376"/>
      <c r="F176" s="85">
        <v>1</v>
      </c>
      <c r="G176" s="122"/>
      <c r="H176" s="145"/>
      <c r="I176" s="67">
        <f>IF(A11stdlife="n/a","n/a",IF(I$3&gt;(A11stdlife+$F176),(Input!$H$153*(1+vanilla1)^0.5)-SUM($H176:H176),(Input!$H$153*(1+vanilla1)^0.5)/A11stdlife))</f>
        <v>0.26306610574586398</v>
      </c>
      <c r="J176" s="67">
        <f>IF(A11stdlife="n/a","n/a",IF(J$3&gt;(A11stdlife+$F176),(Input!$H$153*(1+vanilla1)^0.5)-SUM($H176:I176),(Input!$H$153*(1+vanilla1)^0.5)/A11stdlife))</f>
        <v>0.26306610574586398</v>
      </c>
      <c r="K176" s="67">
        <f>IF(A11stdlife="n/a","n/a",IF(K$3&gt;(A11stdlife+$F176),(Input!$H$153*(1+vanilla1)^0.5)-SUM($H176:J176),(Input!$H$153*(1+vanilla1)^0.5)/A11stdlife))</f>
        <v>0.26306610574586398</v>
      </c>
      <c r="L176" s="67">
        <f>IF(A11stdlife="n/a","n/a",IF(L$3&gt;(A11stdlife+$F176),(Input!$H$153*(1+vanilla1)^0.5)-SUM($H176:K176),(Input!$H$153*(1+vanilla1)^0.5)/A11stdlife))</f>
        <v>0.26306610574586398</v>
      </c>
      <c r="M176" s="67">
        <f>IF(A11stdlife="n/a","n/a",IF(M$3&gt;(A11stdlife+$F176),(Input!$H$153*(1+vanilla1)^0.5)-SUM($H176:L176),(Input!$H$153*(1+vanilla1)^0.5)/A11stdlife))</f>
        <v>0.26306610574586398</v>
      </c>
      <c r="N176" s="67">
        <f>IF(A11stdlife="n/a","n/a",IF(N$3&gt;(A11stdlife+$F176),(Input!$H$153*(1+vanilla1)^0.5)-SUM($H176:M176),(Input!$H$153*(1+vanilla1)^0.5)/A11stdlife))</f>
        <v>0.26306610574586398</v>
      </c>
      <c r="O176" s="67">
        <f>IF(A11stdlife="n/a","n/a",IF(O$3&gt;(A11stdlife+$F176),(Input!$H$153*(1+vanilla1)^0.5)-SUM($H176:N176),(Input!$H$153*(1+vanilla1)^0.5)/A11stdlife))</f>
        <v>0.26306610574586398</v>
      </c>
      <c r="P176" s="67">
        <f>IF(A11stdlife="n/a","n/a",IF(P$3&gt;(A11stdlife+$F176),(Input!$H$153*(1+vanilla1)^0.5)-SUM($H176:O176),(Input!$H$153*(1+vanilla1)^0.5)/A11stdlife))</f>
        <v>0.26306610574586398</v>
      </c>
      <c r="Q176" s="67">
        <f>IF(A11stdlife="n/a","n/a",IF(Q$3&gt;(A11stdlife+$F176),(Input!$H$153*(1+vanilla1)^0.5)-SUM($H176:P176),(Input!$H$153*(1+vanilla1)^0.5)/A11stdlife))</f>
        <v>0.26306610574586398</v>
      </c>
      <c r="R176" s="67"/>
      <c r="S176" s="102"/>
      <c r="T176" s="102"/>
      <c r="U176" s="102"/>
      <c r="V176" s="102"/>
      <c r="W176" s="102"/>
      <c r="X176" s="102"/>
      <c r="Y176" s="102"/>
      <c r="Z176" s="102"/>
      <c r="AA176" s="102"/>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102"/>
      <c r="BE176" s="102"/>
      <c r="BF176" s="102"/>
      <c r="BG176" s="102"/>
      <c r="BH176" s="102"/>
      <c r="BI176" s="102"/>
      <c r="BJ176" s="102"/>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25"/>
      <c r="E177" s="376"/>
      <c r="F177" s="85">
        <v>2</v>
      </c>
      <c r="G177" s="122"/>
      <c r="H177" s="146"/>
      <c r="I177" s="147"/>
      <c r="J177" s="67">
        <f>IF(A11stdlife="n/a","n/a",IF(J$3&gt;(A11stdlife+$F177),(Input!$I$153*(1+vanilla2)^0.5)-SUM($I177:I177),(Input!$I$153*(1+vanilla2)^0.5)/A11stdlife))</f>
        <v>7.09920117843722E-2</v>
      </c>
      <c r="K177" s="67">
        <f>IF(A11stdlife="n/a","n/a",IF(K$3&gt;(A11stdlife+$F177),(Input!$I$153*(1+vanilla2)^0.5)-SUM($I177:J177),(Input!$I$153*(1+vanilla2)^0.5)/A11stdlife))</f>
        <v>7.09920117843722E-2</v>
      </c>
      <c r="L177" s="67">
        <f>IF(A11stdlife="n/a","n/a",IF(L$3&gt;(A11stdlife+$F177),(Input!$I$153*(1+vanilla2)^0.5)-SUM($I177:K177),(Input!$I$153*(1+vanilla2)^0.5)/A11stdlife))</f>
        <v>7.09920117843722E-2</v>
      </c>
      <c r="M177" s="67">
        <f>IF(A11stdlife="n/a","n/a",IF(M$3&gt;(A11stdlife+$F177),(Input!$I$153*(1+vanilla2)^0.5)-SUM($I177:L177),(Input!$I$153*(1+vanilla2)^0.5)/A11stdlife))</f>
        <v>7.09920117843722E-2</v>
      </c>
      <c r="N177" s="67">
        <f>IF(A11stdlife="n/a","n/a",IF(N$3&gt;(A11stdlife+$F177),(Input!$I$153*(1+vanilla2)^0.5)-SUM($I177:M177),(Input!$I$153*(1+vanilla2)^0.5)/A11stdlife))</f>
        <v>7.09920117843722E-2</v>
      </c>
      <c r="O177" s="67">
        <f>IF(A11stdlife="n/a","n/a",IF(O$3&gt;(A11stdlife+$F177),(Input!$I$153*(1+vanilla2)^0.5)-SUM($I177:N177),(Input!$I$153*(1+vanilla2)^0.5)/A11stdlife))</f>
        <v>7.09920117843722E-2</v>
      </c>
      <c r="P177" s="67">
        <f>IF(A11stdlife="n/a","n/a",IF(P$3&gt;(A11stdlife+$F177),(Input!$I$153*(1+vanilla2)^0.5)-SUM($I177:O177),(Input!$I$153*(1+vanilla2)^0.5)/A11stdlife))</f>
        <v>7.09920117843722E-2</v>
      </c>
      <c r="Q177" s="67">
        <f>IF(A11stdlife="n/a","n/a",IF(Q$3&gt;(A11stdlife+$F177),(Input!$I$153*(1+vanilla2)^0.5)-SUM($I177:P177),(Input!$I$153*(1+vanilla2)^0.5)/A11stdlife))</f>
        <v>7.09920117843722E-2</v>
      </c>
      <c r="R177" s="67"/>
      <c r="S177" s="102"/>
      <c r="T177" s="102"/>
      <c r="U177" s="102"/>
      <c r="V177" s="102"/>
      <c r="W177" s="102"/>
      <c r="X177" s="102"/>
      <c r="Y177" s="102"/>
      <c r="Z177" s="102"/>
      <c r="AA177" s="102"/>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102"/>
      <c r="BE177" s="102"/>
      <c r="BF177" s="102"/>
      <c r="BG177" s="102"/>
      <c r="BH177" s="102"/>
      <c r="BI177" s="102"/>
      <c r="BJ177" s="102"/>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9"/>
      <c r="D178" s="25"/>
      <c r="E178" s="376"/>
      <c r="F178" s="85">
        <v>3</v>
      </c>
      <c r="G178" s="122"/>
      <c r="H178" s="146"/>
      <c r="I178" s="148"/>
      <c r="J178" s="147"/>
      <c r="K178" s="67">
        <f>IF(A11stdlife="n/a","n/a",IF(K$3&gt;(A11stdlife+$F178),(Input!$J$153*(1+vanilla3)^0.5)-SUM($J178:J178),(Input!$J$153*(1+vanilla3)^0.5)/A11stdlife))</f>
        <v>1.371754710119784E-2</v>
      </c>
      <c r="L178" s="67">
        <f>IF(A11stdlife="n/a","n/a",IF(L$3&gt;(A11stdlife+$F178),(Input!$J$153*(1+vanilla3)^0.5)-SUM($J178:K178),(Input!$J$153*(1+vanilla3)^0.5)/A11stdlife))</f>
        <v>1.371754710119784E-2</v>
      </c>
      <c r="M178" s="67">
        <f>IF(A11stdlife="n/a","n/a",IF(M$3&gt;(A11stdlife+$F178),(Input!$J$153*(1+vanilla3)^0.5)-SUM($J178:L178),(Input!$J$153*(1+vanilla3)^0.5)/A11stdlife))</f>
        <v>1.371754710119784E-2</v>
      </c>
      <c r="N178" s="67">
        <f>IF(A11stdlife="n/a","n/a",IF(N$3&gt;(A11stdlife+$F178),(Input!$J$153*(1+vanilla3)^0.5)-SUM($J178:M178),(Input!$J$153*(1+vanilla3)^0.5)/A11stdlife))</f>
        <v>1.371754710119784E-2</v>
      </c>
      <c r="O178" s="67">
        <f>IF(A11stdlife="n/a","n/a",IF(O$3&gt;(A11stdlife+$F178),(Input!$J$153*(1+vanilla3)^0.5)-SUM($J178:N178),(Input!$J$153*(1+vanilla3)^0.5)/A11stdlife))</f>
        <v>1.371754710119784E-2</v>
      </c>
      <c r="P178" s="67">
        <f>IF(A11stdlife="n/a","n/a",IF(P$3&gt;(A11stdlife+$F178),(Input!$J$153*(1+vanilla3)^0.5)-SUM($J178:O178),(Input!$J$153*(1+vanilla3)^0.5)/A11stdlife))</f>
        <v>1.371754710119784E-2</v>
      </c>
      <c r="Q178" s="67">
        <f>IF(A11stdlife="n/a","n/a",IF(Q$3&gt;(A11stdlife+$F178),(Input!$J$153*(1+vanilla3)^0.5)-SUM($J178:P178),(Input!$J$153*(1+vanilla3)^0.5)/A11stdlife))</f>
        <v>1.371754710119784E-2</v>
      </c>
      <c r="R178" s="67"/>
      <c r="S178" s="102"/>
      <c r="T178" s="102"/>
      <c r="U178" s="102"/>
      <c r="V178" s="102"/>
      <c r="W178" s="102"/>
      <c r="X178" s="102"/>
      <c r="Y178" s="102"/>
      <c r="Z178" s="102"/>
      <c r="AA178" s="102"/>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102"/>
      <c r="BE178" s="102"/>
      <c r="BF178" s="102"/>
      <c r="BG178" s="102"/>
      <c r="BH178" s="102"/>
      <c r="BI178" s="102"/>
      <c r="BJ178" s="102"/>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9"/>
      <c r="D179" s="25"/>
      <c r="E179" s="376"/>
      <c r="F179" s="85">
        <v>4</v>
      </c>
      <c r="G179" s="122"/>
      <c r="H179" s="146"/>
      <c r="I179" s="148"/>
      <c r="J179" s="148"/>
      <c r="K179" s="147"/>
      <c r="L179" s="67">
        <f>IF(A11stdlife="n/a","n/a",IF(L$3&gt;(A11stdlife+$F179),(Input!$K$153*(1+vanilla4)^0.5)-SUM($K179:K179),(Input!$K$153*(1+vanilla4)^0.5)/A11stdlife))</f>
        <v>-3.614494150535142E-2</v>
      </c>
      <c r="M179" s="67">
        <f>IF(A11stdlife="n/a","n/a",IF(M$3&gt;(A11stdlife+$F179),(Input!$K$153*(1+vanilla4)^0.5)-SUM($K179:L179),(Input!$K$153*(1+vanilla4)^0.5)/A11stdlife))</f>
        <v>-3.614494150535142E-2</v>
      </c>
      <c r="N179" s="67">
        <f>IF(A11stdlife="n/a","n/a",IF(N$3&gt;(A11stdlife+$F179),(Input!$K$153*(1+vanilla4)^0.5)-SUM($K179:M179),(Input!$K$153*(1+vanilla4)^0.5)/A11stdlife))</f>
        <v>-3.614494150535142E-2</v>
      </c>
      <c r="O179" s="67">
        <f>IF(A11stdlife="n/a","n/a",IF(O$3&gt;(A11stdlife+$F179),(Input!$K$153*(1+vanilla4)^0.5)-SUM($K179:N179),(Input!$K$153*(1+vanilla4)^0.5)/A11stdlife))</f>
        <v>-3.614494150535142E-2</v>
      </c>
      <c r="P179" s="67">
        <f>IF(A11stdlife="n/a","n/a",IF(P$3&gt;(A11stdlife+$F179),(Input!$K$153*(1+vanilla4)^0.5)-SUM($K179:O179),(Input!$K$153*(1+vanilla4)^0.5)/A11stdlife))</f>
        <v>-3.614494150535142E-2</v>
      </c>
      <c r="Q179" s="67">
        <f>IF(A11stdlife="n/a","n/a",IF(Q$3&gt;(A11stdlife+$F179),(Input!$K$153*(1+vanilla4)^0.5)-SUM($K179:P179),(Input!$K$153*(1+vanilla4)^0.5)/A11stdlife))</f>
        <v>-3.614494150535142E-2</v>
      </c>
      <c r="R179" s="67"/>
      <c r="S179" s="102"/>
      <c r="T179" s="102"/>
      <c r="U179" s="102"/>
      <c r="V179" s="102"/>
      <c r="W179" s="102"/>
      <c r="X179" s="102"/>
      <c r="Y179" s="102"/>
      <c r="Z179" s="102"/>
      <c r="AA179" s="102"/>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102"/>
      <c r="BE179" s="102"/>
      <c r="BF179" s="102"/>
      <c r="BG179" s="102"/>
      <c r="BH179" s="102"/>
      <c r="BI179" s="102"/>
      <c r="BJ179" s="102"/>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9"/>
      <c r="D180" s="25"/>
      <c r="E180" s="376"/>
      <c r="F180" s="85">
        <v>5</v>
      </c>
      <c r="G180" s="26"/>
      <c r="H180" s="146"/>
      <c r="I180" s="148"/>
      <c r="J180" s="148"/>
      <c r="K180" s="148"/>
      <c r="L180" s="147"/>
      <c r="M180" s="67">
        <f>IF(A11stdlife="n/a","n/a",IF(M$3&gt;(A11stdlife+$F180),(Input!$L$153*(1+vanilla5)^0.5)-SUM($L180:L180),(Input!$L153*(1+vanilla5)^0.5)/A11stdlife))</f>
        <v>-4.0921293606711743E-3</v>
      </c>
      <c r="N180" s="67">
        <f>IF(A11stdlife="n/a","n/a",IF(N$3&gt;(A11stdlife+$F180),(Input!$L$153*(1+vanilla5)^0.5)-SUM($L180:M180),(Input!$L153*(1+vanilla5)^0.5)/A11stdlife))</f>
        <v>-4.0921293606711743E-3</v>
      </c>
      <c r="O180" s="67">
        <f>IF(A11stdlife="n/a","n/a",IF(O$3&gt;(A11stdlife+$F180),(Input!$L$153*(1+vanilla5)^0.5)-SUM($L180:N180),(Input!$L153*(1+vanilla5)^0.5)/A11stdlife))</f>
        <v>-4.0921293606711743E-3</v>
      </c>
      <c r="P180" s="67">
        <f>IF(A11stdlife="n/a","n/a",IF(P$3&gt;(A11stdlife+$F180),(Input!$L$153*(1+vanilla5)^0.5)-SUM($L180:O180),(Input!$L153*(1+vanilla5)^0.5)/A11stdlife))</f>
        <v>-4.0921293606711743E-3</v>
      </c>
      <c r="Q180" s="67">
        <f>IF(A11stdlife="n/a","n/a",IF(Q$3&gt;(A11stdlife+$F180),(Input!$L$153*(1+vanilla5)^0.5)-SUM($L180:P180),(Input!$L153*(1+vanilla5)^0.5)/A11stdlife))</f>
        <v>-4.0921293606711743E-3</v>
      </c>
      <c r="R180" s="67"/>
      <c r="S180" s="102"/>
      <c r="T180" s="102"/>
      <c r="U180" s="102"/>
      <c r="V180" s="102"/>
      <c r="W180" s="102"/>
      <c r="X180" s="102"/>
      <c r="Y180" s="102"/>
      <c r="Z180" s="102"/>
      <c r="AA180" s="102"/>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102"/>
      <c r="BE180" s="102"/>
      <c r="BF180" s="102"/>
      <c r="BG180" s="102"/>
      <c r="BH180" s="102"/>
      <c r="BI180" s="102"/>
      <c r="BJ180" s="102"/>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376"/>
      <c r="F181" s="85">
        <v>6</v>
      </c>
      <c r="G181" s="26"/>
      <c r="H181" s="146"/>
      <c r="I181" s="148"/>
      <c r="J181" s="148"/>
      <c r="K181" s="148"/>
      <c r="L181" s="148"/>
      <c r="M181" s="147"/>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2"/>
      <c r="T181" s="102"/>
      <c r="U181" s="102"/>
      <c r="V181" s="102"/>
      <c r="W181" s="102"/>
      <c r="X181" s="102"/>
      <c r="Y181" s="102"/>
      <c r="Z181" s="102"/>
      <c r="AA181" s="102"/>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102"/>
      <c r="BE181" s="102"/>
      <c r="BF181" s="102"/>
      <c r="BG181" s="102"/>
      <c r="BH181" s="102"/>
      <c r="BI181" s="102"/>
      <c r="BJ181" s="102"/>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9"/>
      <c r="D182" s="25"/>
      <c r="E182" s="376"/>
      <c r="F182" s="85">
        <v>7</v>
      </c>
      <c r="G182" s="26"/>
      <c r="H182" s="146"/>
      <c r="I182" s="148"/>
      <c r="J182" s="148"/>
      <c r="K182" s="148"/>
      <c r="L182" s="148"/>
      <c r="M182" s="148"/>
      <c r="N182" s="147"/>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2"/>
      <c r="T182" s="102"/>
      <c r="U182" s="102"/>
      <c r="V182" s="102"/>
      <c r="W182" s="102"/>
      <c r="X182" s="102"/>
      <c r="Y182" s="102"/>
      <c r="Z182" s="102"/>
      <c r="AA182" s="102"/>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102"/>
      <c r="BE182" s="102"/>
      <c r="BF182" s="102"/>
      <c r="BG182" s="102"/>
      <c r="BH182" s="102"/>
      <c r="BI182" s="102"/>
      <c r="BJ182" s="102"/>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9"/>
      <c r="D183" s="25"/>
      <c r="E183" s="376"/>
      <c r="F183" s="85">
        <v>8</v>
      </c>
      <c r="G183" s="26"/>
      <c r="H183" s="146"/>
      <c r="I183" s="148"/>
      <c r="J183" s="148"/>
      <c r="K183" s="148"/>
      <c r="L183" s="148"/>
      <c r="M183" s="148"/>
      <c r="N183" s="148"/>
      <c r="O183" s="147"/>
      <c r="P183" s="67">
        <f>IF(A11stdlife="n/a","n/a",IF(P$3&gt;(A11stdlife+$F183),(Input!$O$153*(1+vanilla8)^0.5)-SUM($O183:O183),(Input!$O$153*(1+vanilla8)^0.5)/A11stdlife))</f>
        <v>0</v>
      </c>
      <c r="Q183" s="67">
        <f>IF(A11stdlife="n/a","n/a",IF(Q$3&gt;(A11stdlife+$F183),(Input!$O$153*(1+vanilla8)^0.5)-SUM($O183:P183),(Input!$O$153*(1+vanilla8)^0.5)/A11stdlife))</f>
        <v>0</v>
      </c>
      <c r="R183" s="67"/>
      <c r="S183" s="102"/>
      <c r="T183" s="102"/>
      <c r="U183" s="102"/>
      <c r="V183" s="102"/>
      <c r="W183" s="102"/>
      <c r="X183" s="102"/>
      <c r="Y183" s="102"/>
      <c r="Z183" s="102"/>
      <c r="AA183" s="102"/>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102"/>
      <c r="BE183" s="102"/>
      <c r="BF183" s="102"/>
      <c r="BG183" s="102"/>
      <c r="BH183" s="102"/>
      <c r="BI183" s="102"/>
      <c r="BJ183" s="102"/>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9"/>
      <c r="D184" s="25"/>
      <c r="E184" s="376"/>
      <c r="F184" s="85">
        <v>9</v>
      </c>
      <c r="G184" s="26"/>
      <c r="H184" s="146"/>
      <c r="I184" s="148"/>
      <c r="J184" s="148"/>
      <c r="K184" s="148"/>
      <c r="L184" s="148"/>
      <c r="M184" s="148"/>
      <c r="N184" s="148"/>
      <c r="O184" s="148"/>
      <c r="P184" s="147"/>
      <c r="Q184" s="67">
        <f>IF(A11stdlife="n/a","n/a",IF(Q$3&gt;(A11stdlife+$F184),(Input!$P$153*(1+vanilla9)^0.5)-SUM($P184:P184),(Input!$P$153*(1+vanilla9)^0.5)/A11stdlife))</f>
        <v>0</v>
      </c>
      <c r="R184" s="67"/>
      <c r="S184" s="102"/>
      <c r="T184" s="102"/>
      <c r="U184" s="102"/>
      <c r="V184" s="102"/>
      <c r="W184" s="102"/>
      <c r="X184" s="102"/>
      <c r="Y184" s="102"/>
      <c r="Z184" s="102"/>
      <c r="AA184" s="102"/>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102"/>
      <c r="BE184" s="102"/>
      <c r="BF184" s="102"/>
      <c r="BG184" s="102"/>
      <c r="BH184" s="102"/>
      <c r="BI184" s="102"/>
      <c r="BJ184" s="102"/>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9"/>
      <c r="D185" s="25"/>
      <c r="E185" s="376"/>
      <c r="F185" s="86">
        <v>10</v>
      </c>
      <c r="G185" s="26"/>
      <c r="H185" s="146"/>
      <c r="I185" s="148"/>
      <c r="J185" s="148"/>
      <c r="K185" s="148"/>
      <c r="L185" s="148"/>
      <c r="M185" s="148"/>
      <c r="N185" s="148"/>
      <c r="O185" s="148"/>
      <c r="P185" s="148"/>
      <c r="Q185" s="147"/>
      <c r="R185" s="67"/>
      <c r="S185" s="102"/>
      <c r="T185" s="102"/>
      <c r="U185" s="102"/>
      <c r="V185" s="102"/>
      <c r="W185" s="102"/>
      <c r="X185" s="102"/>
      <c r="Y185" s="102"/>
      <c r="Z185" s="102"/>
      <c r="AA185" s="102"/>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102"/>
      <c r="BE185" s="102"/>
      <c r="BF185" s="102"/>
      <c r="BG185" s="102"/>
      <c r="BH185" s="102"/>
      <c r="BI185" s="102"/>
      <c r="BJ185" s="102"/>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1" collapsed="1">
      <c r="A186" s="9"/>
      <c r="B186" s="9"/>
      <c r="C186" s="9"/>
      <c r="D186" s="25" t="str">
        <f>Asset11</f>
        <v>132kV concrete &amp; steel pole lines</v>
      </c>
      <c r="E186" s="9"/>
      <c r="F186" s="9"/>
      <c r="G186" s="122"/>
      <c r="H186" s="165">
        <f>-SUM(H174:H185)</f>
        <v>-0.25247009849357788</v>
      </c>
      <c r="I186" s="165">
        <f>-SUM(I174:I185)</f>
        <v>-0.5155362042394418</v>
      </c>
      <c r="J186" s="165">
        <f>-SUM(J174:J185)</f>
        <v>-0.586528216023814</v>
      </c>
      <c r="K186" s="165">
        <f>-SUM(K174:K185)</f>
        <v>-0.60024576312501188</v>
      </c>
      <c r="L186" s="165">
        <f>-SUM(L174:L185)</f>
        <v>-0.56410082161966046</v>
      </c>
      <c r="M186" s="165">
        <f>IF(Input!M173&gt;0, -SUM(M174:M185), 0)</f>
        <v>0</v>
      </c>
      <c r="N186" s="165">
        <f>IF(Input!N173&gt;0, -SUM(N174:N185), 0)</f>
        <v>0</v>
      </c>
      <c r="O186" s="165">
        <f>IF(Input!O173&gt;0, -SUM(O174:O185), 0)</f>
        <v>0</v>
      </c>
      <c r="P186" s="165">
        <f>IF(Input!P173&gt;0, -SUM(P174:P185), 0)</f>
        <v>0</v>
      </c>
      <c r="Q186" s="165">
        <f>IF(Input!Q173&gt;0, -SUM(Q174:Q185), 0)</f>
        <v>0</v>
      </c>
      <c r="R186" s="65"/>
      <c r="S186" s="104"/>
      <c r="T186" s="104"/>
      <c r="U186" s="104"/>
      <c r="V186" s="104"/>
      <c r="W186" s="104"/>
      <c r="X186" s="104"/>
      <c r="Y186" s="104"/>
      <c r="Z186" s="104"/>
      <c r="AA186" s="104"/>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104"/>
      <c r="BE186" s="104"/>
      <c r="BF186" s="104"/>
      <c r="BG186" s="104"/>
      <c r="BH186" s="104"/>
      <c r="BI186" s="104"/>
      <c r="BJ186" s="104"/>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31" t="str">
        <f>Asset12</f>
        <v>132kV wood pole lines</v>
      </c>
      <c r="D187" s="161"/>
      <c r="E187" s="33" t="s">
        <v>28</v>
      </c>
      <c r="F187" s="32"/>
      <c r="G187" s="174"/>
      <c r="H187" s="66">
        <f>IF(H$3&gt;A12remlife,A12value-SUM($G187:G187),IF(A12remlife="N/A","n/a",A12value/A12remlife))</f>
        <v>0.81765932256586304</v>
      </c>
      <c r="I187" s="66">
        <f>IF(I$3&gt;A12remlife,A12value-SUM($G187:H187),IF(A12remlife="N/A","n/a",A12value/A12remlife))</f>
        <v>0.81765932256586304</v>
      </c>
      <c r="J187" s="66">
        <f>IF(J$3&gt;A12remlife,A12value-SUM($G187:I187),IF(A12remlife="N/A","n/a",A12value/A12remlife))</f>
        <v>0.81765932256586304</v>
      </c>
      <c r="K187" s="66">
        <f>IF(K$3&gt;A12remlife,A12value-SUM($G187:J187),IF(A12remlife="N/A","n/a",A12value/A12remlife))</f>
        <v>0.81765932256586304</v>
      </c>
      <c r="L187" s="66">
        <f>IF(L$3&gt;A12remlife,A12value-SUM($G187:K187),IF(A12remlife="N/A","n/a",A12value/A12remlife))</f>
        <v>0.81765932256586304</v>
      </c>
      <c r="M187" s="66">
        <f>IF(M$3&gt;A12remlife,A12value-SUM($G187:L187),IF(A12remlife="N/A","n/a",A12value/A12remlife))</f>
        <v>0.81765932256586304</v>
      </c>
      <c r="N187" s="66">
        <f>IF(N$3&gt;A12remlife,A12value-SUM($G187:M187),IF(A12remlife="N/A","n/a",A12value/A12remlife))</f>
        <v>0.81765932256586304</v>
      </c>
      <c r="O187" s="66">
        <f>IF(O$3&gt;A12remlife,A12value-SUM($G187:N187),IF(A12remlife="N/A","n/a",A12value/A12remlife))</f>
        <v>0.81765932256586304</v>
      </c>
      <c r="P187" s="66">
        <f>IF(P$3&gt;A12remlife,A12value-SUM($G187:O187),IF(A12remlife="N/A","n/a",A12value/A12remlife))</f>
        <v>0.81765932256586304</v>
      </c>
      <c r="Q187" s="66">
        <f>IF(Q$3&gt;A12remlife,A12value-SUM($G187:P187),IF(A12remlife="N/A","n/a",A12value/A12remlife))</f>
        <v>0.81765932256586304</v>
      </c>
      <c r="R187" s="66"/>
      <c r="S187" s="102"/>
      <c r="T187" s="102"/>
      <c r="U187" s="102"/>
      <c r="V187" s="102"/>
      <c r="W187" s="102"/>
      <c r="X187" s="102"/>
      <c r="Y187" s="102"/>
      <c r="Z187" s="102"/>
      <c r="AA187" s="102"/>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102"/>
      <c r="BE187" s="102"/>
      <c r="BF187" s="102"/>
      <c r="BG187" s="102"/>
      <c r="BH187" s="102"/>
      <c r="BI187" s="102"/>
      <c r="BJ187" s="102"/>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5"/>
      <c r="E188" s="375" t="s">
        <v>85</v>
      </c>
      <c r="F188" s="85">
        <v>0</v>
      </c>
      <c r="G188" s="122"/>
      <c r="H188" s="67"/>
      <c r="I188" s="67"/>
      <c r="J188" s="67"/>
      <c r="K188" s="67"/>
      <c r="L188" s="67"/>
      <c r="M188" s="163"/>
      <c r="N188" s="111"/>
      <c r="O188" s="67"/>
      <c r="P188" s="67"/>
      <c r="Q188" s="67"/>
      <c r="R188" s="67"/>
      <c r="S188" s="102"/>
      <c r="T188" s="102"/>
      <c r="U188" s="102"/>
      <c r="V188" s="102"/>
      <c r="W188" s="102"/>
      <c r="X188" s="102"/>
      <c r="Y188" s="102"/>
      <c r="Z188" s="102"/>
      <c r="AA188" s="102"/>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102"/>
      <c r="BE188" s="102"/>
      <c r="BF188" s="102"/>
      <c r="BG188" s="102"/>
      <c r="BH188" s="102"/>
      <c r="BI188" s="102"/>
      <c r="BJ188" s="102"/>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9"/>
      <c r="D189" s="25"/>
      <c r="E189" s="376"/>
      <c r="F189" s="85">
        <v>1</v>
      </c>
      <c r="G189" s="122"/>
      <c r="H189" s="145"/>
      <c r="I189" s="67">
        <f>IF(A12stdlife="n/a","n/a",IF(I$3&gt;(A12stdlife+$F189),(Input!$H$154*(1+vanilla1)^0.5)-SUM($H189:H189),(Input!$H$154*(1+vanilla1)^0.5)/A12stdlife))</f>
        <v>0.22893199956483687</v>
      </c>
      <c r="J189" s="67">
        <f>IF(A12stdlife="n/a","n/a",IF(J$3&gt;(A12stdlife+$F189),(Input!$H$154*(1+vanilla1)^0.5)-SUM($H189:I189),(Input!$H$154*(1+vanilla1)^0.5)/A12stdlife))</f>
        <v>0.22893199956483687</v>
      </c>
      <c r="K189" s="67">
        <f>IF(A12stdlife="n/a","n/a",IF(K$3&gt;(A12stdlife+$F189),(Input!$H$154*(1+vanilla1)^0.5)-SUM($H189:J189),(Input!$H$154*(1+vanilla1)^0.5)/A12stdlife))</f>
        <v>0.22893199956483687</v>
      </c>
      <c r="L189" s="67">
        <f>IF(A12stdlife="n/a","n/a",IF(L$3&gt;(A12stdlife+$F189),(Input!$H$154*(1+vanilla1)^0.5)-SUM($H189:K189),(Input!$H$154*(1+vanilla1)^0.5)/A12stdlife))</f>
        <v>0.22893199956483687</v>
      </c>
      <c r="M189" s="67">
        <f>IF(A12stdlife="n/a","n/a",IF(M$3&gt;(A12stdlife+$F189),(Input!$H$154*(1+vanilla1)^0.5)-SUM($H189:L189),(Input!$H$154*(1+vanilla1)^0.5)/A12stdlife))</f>
        <v>0.22893199956483687</v>
      </c>
      <c r="N189" s="67">
        <f>IF(A12stdlife="n/a","n/a",IF(N$3&gt;(A12stdlife+$F189),(Input!$H$154*(1+vanilla1)^0.5)-SUM($H189:M189),(Input!$H$154*(1+vanilla1)^0.5)/A12stdlife))</f>
        <v>0.22893199956483687</v>
      </c>
      <c r="O189" s="67">
        <f>IF(A12stdlife="n/a","n/a",IF(O$3&gt;(A12stdlife+$F189),(Input!$H$154*(1+vanilla1)^0.5)-SUM($H189:N189),(Input!$H$154*(1+vanilla1)^0.5)/A12stdlife))</f>
        <v>0.22893199956483687</v>
      </c>
      <c r="P189" s="67">
        <f>IF(A12stdlife="n/a","n/a",IF(P$3&gt;(A12stdlife+$F189),(Input!$H$154*(1+vanilla1)^0.5)-SUM($H189:O189),(Input!$H$154*(1+vanilla1)^0.5)/A12stdlife))</f>
        <v>0.22893199956483687</v>
      </c>
      <c r="Q189" s="67">
        <f>IF(A12stdlife="n/a","n/a",IF(Q$3&gt;(A12stdlife+$F189),(Input!$H$154*(1+vanilla1)^0.5)-SUM($H189:P189),(Input!$H$154*(1+vanilla1)^0.5)/A12stdlife))</f>
        <v>0.22893199956483687</v>
      </c>
      <c r="R189" s="67"/>
      <c r="S189" s="102"/>
      <c r="T189" s="102"/>
      <c r="U189" s="102"/>
      <c r="V189" s="102"/>
      <c r="W189" s="102"/>
      <c r="X189" s="102"/>
      <c r="Y189" s="102"/>
      <c r="Z189" s="102"/>
      <c r="AA189" s="102"/>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102"/>
      <c r="BE189" s="102"/>
      <c r="BF189" s="102"/>
      <c r="BG189" s="102"/>
      <c r="BH189" s="102"/>
      <c r="BI189" s="102"/>
      <c r="BJ189" s="102"/>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376"/>
      <c r="F190" s="85">
        <v>2</v>
      </c>
      <c r="G190" s="122"/>
      <c r="H190" s="146"/>
      <c r="I190" s="147"/>
      <c r="J190" s="67">
        <f>IF(A12stdlife="n/a","n/a",IF(J$3&gt;(A12stdlife+$F190),(Input!$I$154*(1+vanilla2)^0.5)-SUM($I190:I190),(Input!$I$154*(1+vanilla2)^0.5)/A12stdlife))</f>
        <v>9.3341623225747898E-3</v>
      </c>
      <c r="K190" s="67">
        <f>IF(A12stdlife="n/a","n/a",IF(K$3&gt;(A12stdlife+$F190),(Input!$I$154*(1+vanilla2)^0.5)-SUM($I190:J190),(Input!$I$154*(1+vanilla2)^0.5)/A12stdlife))</f>
        <v>9.3341623225747898E-3</v>
      </c>
      <c r="L190" s="67">
        <f>IF(A12stdlife="n/a","n/a",IF(L$3&gt;(A12stdlife+$F190),(Input!$I$154*(1+vanilla2)^0.5)-SUM($I190:K190),(Input!$I$154*(1+vanilla2)^0.5)/A12stdlife))</f>
        <v>9.3341623225747898E-3</v>
      </c>
      <c r="M190" s="67">
        <f>IF(A12stdlife="n/a","n/a",IF(M$3&gt;(A12stdlife+$F190),(Input!$I$154*(1+vanilla2)^0.5)-SUM($I190:L190),(Input!$I$154*(1+vanilla2)^0.5)/A12stdlife))</f>
        <v>9.3341623225747898E-3</v>
      </c>
      <c r="N190" s="67">
        <f>IF(A12stdlife="n/a","n/a",IF(N$3&gt;(A12stdlife+$F190),(Input!$I$154*(1+vanilla2)^0.5)-SUM($I190:M190),(Input!$I$154*(1+vanilla2)^0.5)/A12stdlife))</f>
        <v>9.3341623225747898E-3</v>
      </c>
      <c r="O190" s="67">
        <f>IF(A12stdlife="n/a","n/a",IF(O$3&gt;(A12stdlife+$F190),(Input!$I$154*(1+vanilla2)^0.5)-SUM($I190:N190),(Input!$I$154*(1+vanilla2)^0.5)/A12stdlife))</f>
        <v>9.3341623225747898E-3</v>
      </c>
      <c r="P190" s="67">
        <f>IF(A12stdlife="n/a","n/a",IF(P$3&gt;(A12stdlife+$F190),(Input!$I$154*(1+vanilla2)^0.5)-SUM($I190:O190),(Input!$I$154*(1+vanilla2)^0.5)/A12stdlife))</f>
        <v>9.3341623225747898E-3</v>
      </c>
      <c r="Q190" s="67">
        <f>IF(A12stdlife="n/a","n/a",IF(Q$3&gt;(A12stdlife+$F190),(Input!$I$154*(1+vanilla2)^0.5)-SUM($I190:P190),(Input!$I$154*(1+vanilla2)^0.5)/A12stdlife))</f>
        <v>9.3341623225747898E-3</v>
      </c>
      <c r="R190" s="67"/>
      <c r="S190" s="102"/>
      <c r="T190" s="102"/>
      <c r="U190" s="102"/>
      <c r="V190" s="102"/>
      <c r="W190" s="102"/>
      <c r="X190" s="102"/>
      <c r="Y190" s="102"/>
      <c r="Z190" s="102"/>
      <c r="AA190" s="102"/>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102"/>
      <c r="BE190" s="102"/>
      <c r="BF190" s="102"/>
      <c r="BG190" s="102"/>
      <c r="BH190" s="102"/>
      <c r="BI190" s="102"/>
      <c r="BJ190" s="102"/>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9"/>
      <c r="D191" s="25"/>
      <c r="E191" s="376"/>
      <c r="F191" s="85">
        <v>3</v>
      </c>
      <c r="G191" s="122"/>
      <c r="H191" s="146"/>
      <c r="I191" s="148"/>
      <c r="J191" s="147"/>
      <c r="K191" s="67">
        <f>IF(A12stdlife="n/a","n/a",IF(K$3&gt;(A12stdlife+$F191),(Input!$J$154*(1+vanilla3)^0.5)-SUM($J191:J191),(Input!$J$154*(1+vanilla3)^0.5)/A12stdlife))</f>
        <v>7.4891974086202049E-3</v>
      </c>
      <c r="L191" s="67">
        <f>IF(A12stdlife="n/a","n/a",IF(L$3&gt;(A12stdlife+$F191),(Input!$J$154*(1+vanilla3)^0.5)-SUM($J191:K191),(Input!$J$154*(1+vanilla3)^0.5)/A12stdlife))</f>
        <v>7.4891974086202049E-3</v>
      </c>
      <c r="M191" s="67">
        <f>IF(A12stdlife="n/a","n/a",IF(M$3&gt;(A12stdlife+$F191),(Input!$J$154*(1+vanilla3)^0.5)-SUM($J191:L191),(Input!$J$154*(1+vanilla3)^0.5)/A12stdlife))</f>
        <v>7.4891974086202049E-3</v>
      </c>
      <c r="N191" s="67">
        <f>IF(A12stdlife="n/a","n/a",IF(N$3&gt;(A12stdlife+$F191),(Input!$J$154*(1+vanilla3)^0.5)-SUM($J191:M191),(Input!$J$154*(1+vanilla3)^0.5)/A12stdlife))</f>
        <v>7.4891974086202049E-3</v>
      </c>
      <c r="O191" s="67">
        <f>IF(A12stdlife="n/a","n/a",IF(O$3&gt;(A12stdlife+$F191),(Input!$J$154*(1+vanilla3)^0.5)-SUM($J191:N191),(Input!$J$154*(1+vanilla3)^0.5)/A12stdlife))</f>
        <v>7.4891974086202049E-3</v>
      </c>
      <c r="P191" s="67">
        <f>IF(A12stdlife="n/a","n/a",IF(P$3&gt;(A12stdlife+$F191),(Input!$J$154*(1+vanilla3)^0.5)-SUM($J191:O191),(Input!$J$154*(1+vanilla3)^0.5)/A12stdlife))</f>
        <v>7.4891974086202049E-3</v>
      </c>
      <c r="Q191" s="67">
        <f>IF(A12stdlife="n/a","n/a",IF(Q$3&gt;(A12stdlife+$F191),(Input!$J$154*(1+vanilla3)^0.5)-SUM($J191:P191),(Input!$J$154*(1+vanilla3)^0.5)/A12stdlife))</f>
        <v>7.4891974086202049E-3</v>
      </c>
      <c r="R191" s="67"/>
      <c r="S191" s="102"/>
      <c r="T191" s="102"/>
      <c r="U191" s="102"/>
      <c r="V191" s="102"/>
      <c r="W191" s="102"/>
      <c r="X191" s="102"/>
      <c r="Y191" s="102"/>
      <c r="Z191" s="102"/>
      <c r="AA191" s="102"/>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102"/>
      <c r="BE191" s="102"/>
      <c r="BF191" s="102"/>
      <c r="BG191" s="102"/>
      <c r="BH191" s="102"/>
      <c r="BI191" s="102"/>
      <c r="BJ191" s="102"/>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9"/>
      <c r="D192" s="25"/>
      <c r="E192" s="376"/>
      <c r="F192" s="85">
        <v>4</v>
      </c>
      <c r="G192" s="122"/>
      <c r="H192" s="146"/>
      <c r="I192" s="148"/>
      <c r="J192" s="148"/>
      <c r="K192" s="147"/>
      <c r="L192" s="67">
        <f>IF(A12stdlife="n/a","n/a",IF(L$3&gt;(A12stdlife+$F192),(Input!$K$154*(1+vanilla4)^0.5)-SUM($K192:K192),(Input!$K$154*(1+vanilla4)^0.5)/A12stdlife))</f>
        <v>1.2330002502856636E-2</v>
      </c>
      <c r="M192" s="67">
        <f>IF(A12stdlife="n/a","n/a",IF(M$3&gt;(A12stdlife+$F192),(Input!$K$154*(1+vanilla4)^0.5)-SUM($K192:L192),(Input!$K$154*(1+vanilla4)^0.5)/A12stdlife))</f>
        <v>1.2330002502856636E-2</v>
      </c>
      <c r="N192" s="67">
        <f>IF(A12stdlife="n/a","n/a",IF(N$3&gt;(A12stdlife+$F192),(Input!$K$154*(1+vanilla4)^0.5)-SUM($K192:M192),(Input!$K$154*(1+vanilla4)^0.5)/A12stdlife))</f>
        <v>1.2330002502856636E-2</v>
      </c>
      <c r="O192" s="67">
        <f>IF(A12stdlife="n/a","n/a",IF(O$3&gt;(A12stdlife+$F192),(Input!$K$154*(1+vanilla4)^0.5)-SUM($K192:N192),(Input!$K$154*(1+vanilla4)^0.5)/A12stdlife))</f>
        <v>1.2330002502856636E-2</v>
      </c>
      <c r="P192" s="67">
        <f>IF(A12stdlife="n/a","n/a",IF(P$3&gt;(A12stdlife+$F192),(Input!$K$154*(1+vanilla4)^0.5)-SUM($K192:O192),(Input!$K$154*(1+vanilla4)^0.5)/A12stdlife))</f>
        <v>1.2330002502856636E-2</v>
      </c>
      <c r="Q192" s="67">
        <f>IF(A12stdlife="n/a","n/a",IF(Q$3&gt;(A12stdlife+$F192),(Input!$K$154*(1+vanilla4)^0.5)-SUM($K192:P192),(Input!$K$154*(1+vanilla4)^0.5)/A12stdlife))</f>
        <v>1.2330002502856636E-2</v>
      </c>
      <c r="R192" s="67"/>
      <c r="S192" s="102"/>
      <c r="T192" s="102"/>
      <c r="U192" s="102"/>
      <c r="V192" s="102"/>
      <c r="W192" s="102"/>
      <c r="X192" s="102"/>
      <c r="Y192" s="102"/>
      <c r="Z192" s="102"/>
      <c r="AA192" s="102"/>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102"/>
      <c r="BE192" s="102"/>
      <c r="BF192" s="102"/>
      <c r="BG192" s="102"/>
      <c r="BH192" s="102"/>
      <c r="BI192" s="102"/>
      <c r="BJ192" s="102"/>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9"/>
      <c r="D193" s="25"/>
      <c r="E193" s="376"/>
      <c r="F193" s="85">
        <v>5</v>
      </c>
      <c r="G193" s="26"/>
      <c r="H193" s="146"/>
      <c r="I193" s="148"/>
      <c r="J193" s="148"/>
      <c r="K193" s="148"/>
      <c r="L193" s="147"/>
      <c r="M193" s="67">
        <f>IF(A12stdlife="n/a","n/a",IF(M$3&gt;(A12stdlife+$F193),(Input!$L$154*(1+vanilla5)^0.5)-SUM($L193:L193),(Input!$L$154*(1+vanilla5)^0.5)/A12stdlife))</f>
        <v>9.2472388350911747E-3</v>
      </c>
      <c r="N193" s="67">
        <f>IF(A12stdlife="n/a","n/a",IF(N$3&gt;(A12stdlife+$F193),(Input!$L$154*(1+vanilla5)^0.5)-SUM($L193:M193),(Input!$L$154*(1+vanilla5)^0.5)/A12stdlife))</f>
        <v>9.2472388350911747E-3</v>
      </c>
      <c r="O193" s="67">
        <f>IF(A12stdlife="n/a","n/a",IF(O$3&gt;(A12stdlife+$F193),(Input!$L$154*(1+vanilla5)^0.5)-SUM($L193:N193),(Input!$L$154*(1+vanilla5)^0.5)/A12stdlife))</f>
        <v>9.2472388350911747E-3</v>
      </c>
      <c r="P193" s="67">
        <f>IF(A12stdlife="n/a","n/a",IF(P$3&gt;(A12stdlife+$F193),(Input!$L$154*(1+vanilla5)^0.5)-SUM($L193:O193),(Input!$L$154*(1+vanilla5)^0.5)/A12stdlife))</f>
        <v>9.2472388350911747E-3</v>
      </c>
      <c r="Q193" s="67">
        <f>IF(A12stdlife="n/a","n/a",IF(Q$3&gt;(A12stdlife+$F193),(Input!$L$154*(1+vanilla5)^0.5)-SUM($L193:P193),(Input!$L$154*(1+vanilla5)^0.5)/A12stdlife))</f>
        <v>9.2472388350911747E-3</v>
      </c>
      <c r="R193" s="67"/>
      <c r="S193" s="102"/>
      <c r="T193" s="102"/>
      <c r="U193" s="102"/>
      <c r="V193" s="102"/>
      <c r="W193" s="102"/>
      <c r="X193" s="102"/>
      <c r="Y193" s="102"/>
      <c r="Z193" s="102"/>
      <c r="AA193" s="102"/>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102"/>
      <c r="BE193" s="102"/>
      <c r="BF193" s="102"/>
      <c r="BG193" s="102"/>
      <c r="BH193" s="102"/>
      <c r="BI193" s="102"/>
      <c r="BJ193" s="102"/>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25"/>
      <c r="E194" s="376"/>
      <c r="F194" s="85">
        <v>6</v>
      </c>
      <c r="G194" s="26"/>
      <c r="H194" s="146"/>
      <c r="I194" s="148"/>
      <c r="J194" s="148"/>
      <c r="K194" s="148"/>
      <c r="L194" s="148"/>
      <c r="M194" s="147"/>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2"/>
      <c r="T194" s="102"/>
      <c r="U194" s="102"/>
      <c r="V194" s="102"/>
      <c r="W194" s="102"/>
      <c r="X194" s="102"/>
      <c r="Y194" s="102"/>
      <c r="Z194" s="102"/>
      <c r="AA194" s="102"/>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102"/>
      <c r="BE194" s="102"/>
      <c r="BF194" s="102"/>
      <c r="BG194" s="102"/>
      <c r="BH194" s="102"/>
      <c r="BI194" s="102"/>
      <c r="BJ194" s="102"/>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9"/>
      <c r="D195" s="25"/>
      <c r="E195" s="376"/>
      <c r="F195" s="85">
        <v>7</v>
      </c>
      <c r="G195" s="26"/>
      <c r="H195" s="146"/>
      <c r="I195" s="148"/>
      <c r="J195" s="148"/>
      <c r="K195" s="148"/>
      <c r="L195" s="148"/>
      <c r="M195" s="148"/>
      <c r="N195" s="147"/>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2"/>
      <c r="T195" s="102"/>
      <c r="U195" s="102"/>
      <c r="V195" s="102"/>
      <c r="W195" s="102"/>
      <c r="X195" s="102"/>
      <c r="Y195" s="102"/>
      <c r="Z195" s="102"/>
      <c r="AA195" s="102"/>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102"/>
      <c r="BE195" s="102"/>
      <c r="BF195" s="102"/>
      <c r="BG195" s="102"/>
      <c r="BH195" s="102"/>
      <c r="BI195" s="102"/>
      <c r="BJ195" s="102"/>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9"/>
      <c r="D196" s="25"/>
      <c r="E196" s="376"/>
      <c r="F196" s="85">
        <v>8</v>
      </c>
      <c r="G196" s="26"/>
      <c r="H196" s="146"/>
      <c r="I196" s="148"/>
      <c r="J196" s="148"/>
      <c r="K196" s="148"/>
      <c r="L196" s="148"/>
      <c r="M196" s="148"/>
      <c r="N196" s="148"/>
      <c r="O196" s="147"/>
      <c r="P196" s="67">
        <f>IF(A12stdlife="n/a","n/a",IF(P$3&gt;(A12stdlife+$F196),(Input!$O$154*(1+vanilla8)^0.5)-SUM($O196:O196),(Input!$O$154*(1+vanilla8)^0.5)/A12stdlife))</f>
        <v>0</v>
      </c>
      <c r="Q196" s="67">
        <f>IF(A12stdlife="n/a","n/a",IF(Q$3&gt;(A12stdlife+$F196),(Input!$O$154*(1+vanilla8)^0.5)-SUM($O196:P196),(Input!$O$154*(1+vanilla8)^0.5)/A12stdlife))</f>
        <v>0</v>
      </c>
      <c r="R196" s="67"/>
      <c r="S196" s="102"/>
      <c r="T196" s="102"/>
      <c r="U196" s="102"/>
      <c r="V196" s="102"/>
      <c r="W196" s="102"/>
      <c r="X196" s="102"/>
      <c r="Y196" s="102"/>
      <c r="Z196" s="102"/>
      <c r="AA196" s="102"/>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102"/>
      <c r="BE196" s="102"/>
      <c r="BF196" s="102"/>
      <c r="BG196" s="102"/>
      <c r="BH196" s="102"/>
      <c r="BI196" s="102"/>
      <c r="BJ196" s="102"/>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9"/>
      <c r="D197" s="25"/>
      <c r="E197" s="376"/>
      <c r="F197" s="85">
        <v>9</v>
      </c>
      <c r="G197" s="26"/>
      <c r="H197" s="146"/>
      <c r="I197" s="148"/>
      <c r="J197" s="148"/>
      <c r="K197" s="148"/>
      <c r="L197" s="148"/>
      <c r="M197" s="148"/>
      <c r="N197" s="148"/>
      <c r="O197" s="148"/>
      <c r="P197" s="147"/>
      <c r="Q197" s="67">
        <f>IF(A12stdlife="n/a","n/a",IF(Q$3&gt;(A12stdlife+$F197),(Input!$P$154*(1+vanilla9)^0.5)-SUM($P197:P197),(Input!$P$154*(1+vanilla9)^0.5)/A12stdlife))</f>
        <v>0</v>
      </c>
      <c r="R197" s="67"/>
      <c r="S197" s="102"/>
      <c r="T197" s="102"/>
      <c r="U197" s="102"/>
      <c r="V197" s="102"/>
      <c r="W197" s="102"/>
      <c r="X197" s="102"/>
      <c r="Y197" s="102"/>
      <c r="Z197" s="102"/>
      <c r="AA197" s="102"/>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102"/>
      <c r="BE197" s="102"/>
      <c r="BF197" s="102"/>
      <c r="BG197" s="102"/>
      <c r="BH197" s="102"/>
      <c r="BI197" s="102"/>
      <c r="BJ197" s="102"/>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9"/>
      <c r="D198" s="25"/>
      <c r="E198" s="376"/>
      <c r="F198" s="86">
        <v>10</v>
      </c>
      <c r="G198" s="26"/>
      <c r="H198" s="146"/>
      <c r="I198" s="148"/>
      <c r="J198" s="148"/>
      <c r="K198" s="148"/>
      <c r="L198" s="148"/>
      <c r="M198" s="148"/>
      <c r="N198" s="148"/>
      <c r="O198" s="148"/>
      <c r="P198" s="148"/>
      <c r="Q198" s="147"/>
      <c r="R198" s="67"/>
      <c r="S198" s="102"/>
      <c r="T198" s="102"/>
      <c r="U198" s="102"/>
      <c r="V198" s="102"/>
      <c r="W198" s="102"/>
      <c r="X198" s="102"/>
      <c r="Y198" s="102"/>
      <c r="Z198" s="102"/>
      <c r="AA198" s="102"/>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102"/>
      <c r="BE198" s="102"/>
      <c r="BF198" s="102"/>
      <c r="BG198" s="102"/>
      <c r="BH198" s="102"/>
      <c r="BI198" s="102"/>
      <c r="BJ198" s="102"/>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1" collapsed="1">
      <c r="A199" s="9"/>
      <c r="B199" s="9"/>
      <c r="C199" s="9"/>
      <c r="D199" s="25" t="str">
        <f>Asset12</f>
        <v>132kV wood pole lines</v>
      </c>
      <c r="E199" s="9"/>
      <c r="F199" s="9"/>
      <c r="G199" s="122"/>
      <c r="H199" s="165">
        <f>-SUM(H187:H198)</f>
        <v>-0.81765932256586304</v>
      </c>
      <c r="I199" s="165">
        <f>-SUM(I187:I198)</f>
        <v>-1.0465913221306999</v>
      </c>
      <c r="J199" s="165">
        <f>-SUM(J187:J198)</f>
        <v>-1.0559254844532748</v>
      </c>
      <c r="K199" s="165">
        <f>-SUM(K187:K198)</f>
        <v>-1.063414681861895</v>
      </c>
      <c r="L199" s="165">
        <f>-SUM(L187:L198)</f>
        <v>-1.0757446843647516</v>
      </c>
      <c r="M199" s="165">
        <f>IF(Input!M173&gt;0, -SUM(M187:M198), 0)</f>
        <v>0</v>
      </c>
      <c r="N199" s="165">
        <f>IF(Input!N173&gt;0, -SUM(N187:N198), 0)</f>
        <v>0</v>
      </c>
      <c r="O199" s="165">
        <f>IF(Input!O173&gt;0, -SUM(O187:O198), 0)</f>
        <v>0</v>
      </c>
      <c r="P199" s="165">
        <f>IF(Input!P173&gt;0, -SUM(P187:P198), 0)</f>
        <v>0</v>
      </c>
      <c r="Q199" s="165">
        <f>IF(Input!Q173&gt;0, -SUM(Q187:Q198), 0)</f>
        <v>0</v>
      </c>
      <c r="R199" s="65"/>
      <c r="S199" s="104"/>
      <c r="T199" s="104"/>
      <c r="U199" s="104"/>
      <c r="V199" s="104"/>
      <c r="W199" s="104"/>
      <c r="X199" s="104"/>
      <c r="Y199" s="104"/>
      <c r="Z199" s="104"/>
      <c r="AA199" s="104"/>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104"/>
      <c r="BE199" s="104"/>
      <c r="BF199" s="104"/>
      <c r="BG199" s="104"/>
      <c r="BH199" s="104"/>
      <c r="BI199" s="104"/>
      <c r="BJ199" s="104"/>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31" t="str">
        <f>Asset13</f>
        <v>132kV feeders underground</v>
      </c>
      <c r="D200" s="161"/>
      <c r="E200" s="33" t="s">
        <v>28</v>
      </c>
      <c r="F200" s="32"/>
      <c r="G200" s="174"/>
      <c r="H200" s="66">
        <f>IF(H$3&gt;A13remlife,A13value-SUM($G200:G200),IF(A13remlife="N/A","n/a",A13value/A13remlife))</f>
        <v>7.324821258388444</v>
      </c>
      <c r="I200" s="66">
        <f>IF(I$3&gt;A13remlife,A13value-SUM($G200:H200),IF(A13remlife="N/A","n/a",A13value/A13remlife))</f>
        <v>7.324821258388444</v>
      </c>
      <c r="J200" s="66">
        <f>IF(J$3&gt;A13remlife,A13value-SUM($G200:I200),IF(A13remlife="N/A","n/a",A13value/A13remlife))</f>
        <v>7.324821258388444</v>
      </c>
      <c r="K200" s="66">
        <f>IF(K$3&gt;A13remlife,A13value-SUM($G200:J200),IF(A13remlife="N/A","n/a",A13value/A13remlife))</f>
        <v>7.324821258388444</v>
      </c>
      <c r="L200" s="66">
        <f>IF(L$3&gt;A13remlife,A13value-SUM($G200:K200),IF(A13remlife="N/A","n/a",A13value/A13remlife))</f>
        <v>7.324821258388444</v>
      </c>
      <c r="M200" s="66">
        <f>IF(M$3&gt;A13remlife,A13value-SUM($G200:L200),IF(A13remlife="N/A","n/a",A13value/A13remlife))</f>
        <v>7.324821258388444</v>
      </c>
      <c r="N200" s="66">
        <f>IF(N$3&gt;A13remlife,A13value-SUM($G200:M200),IF(A13remlife="N/A","n/a",A13value/A13remlife))</f>
        <v>7.324821258388444</v>
      </c>
      <c r="O200" s="66">
        <f>IF(O$3&gt;A13remlife,A13value-SUM($G200:N200),IF(A13remlife="N/A","n/a",A13value/A13remlife))</f>
        <v>7.324821258388444</v>
      </c>
      <c r="P200" s="66">
        <f>IF(P$3&gt;A13remlife,A13value-SUM($G200:O200),IF(A13remlife="N/A","n/a",A13value/A13remlife))</f>
        <v>7.324821258388444</v>
      </c>
      <c r="Q200" s="66">
        <f>IF(Q$3&gt;A13remlife,A13value-SUM($G200:P200),IF(A13remlife="N/A","n/a",A13value/A13remlife))</f>
        <v>7.324821258388444</v>
      </c>
      <c r="R200" s="66"/>
      <c r="S200" s="102"/>
      <c r="T200" s="102"/>
      <c r="U200" s="102"/>
      <c r="V200" s="102"/>
      <c r="W200" s="102"/>
      <c r="X200" s="102"/>
      <c r="Y200" s="102"/>
      <c r="Z200" s="102"/>
      <c r="AA200" s="102"/>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102"/>
      <c r="BE200" s="102"/>
      <c r="BF200" s="102"/>
      <c r="BG200" s="102"/>
      <c r="BH200" s="102"/>
      <c r="BI200" s="102"/>
      <c r="BJ200" s="102"/>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5"/>
      <c r="E201" s="375" t="s">
        <v>85</v>
      </c>
      <c r="F201" s="85">
        <v>0</v>
      </c>
      <c r="G201" s="122"/>
      <c r="H201" s="67"/>
      <c r="I201" s="67"/>
      <c r="J201" s="67"/>
      <c r="K201" s="67"/>
      <c r="L201" s="67"/>
      <c r="M201" s="163"/>
      <c r="N201" s="111"/>
      <c r="O201" s="67"/>
      <c r="P201" s="67"/>
      <c r="Q201" s="67"/>
      <c r="R201" s="67"/>
      <c r="S201" s="102"/>
      <c r="T201" s="102"/>
      <c r="U201" s="102"/>
      <c r="V201" s="102"/>
      <c r="W201" s="102"/>
      <c r="X201" s="102"/>
      <c r="Y201" s="102"/>
      <c r="Z201" s="102"/>
      <c r="AA201" s="102"/>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102"/>
      <c r="BE201" s="102"/>
      <c r="BF201" s="102"/>
      <c r="BG201" s="102"/>
      <c r="BH201" s="102"/>
      <c r="BI201" s="102"/>
      <c r="BJ201" s="102"/>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9"/>
      <c r="D202" s="25"/>
      <c r="E202" s="376"/>
      <c r="F202" s="85">
        <v>1</v>
      </c>
      <c r="G202" s="122"/>
      <c r="H202" s="145"/>
      <c r="I202" s="67">
        <f>IF(A13stdlife="n/a","n/a",IF(I$3&gt;(A13stdlife+$F202),(Input!$H$155*(1+vanilla1)^0.5)-SUM($H202:H202),(Input!$H$155*(1+vanilla1)^0.5)/A13stdlife))</f>
        <v>1.730345161369258</v>
      </c>
      <c r="J202" s="67">
        <f>IF(A13stdlife="n/a","n/a",IF(J$3&gt;(A13stdlife+$F202),(Input!$H$155*(1+vanilla1)^0.5)-SUM($H202:I202),(Input!$H$155*(1+vanilla1)^0.5)/A13stdlife))</f>
        <v>1.730345161369258</v>
      </c>
      <c r="K202" s="67">
        <f>IF(A13stdlife="n/a","n/a",IF(K$3&gt;(A13stdlife+$F202),(Input!$H$155*(1+vanilla1)^0.5)-SUM($H202:J202),(Input!$H$155*(1+vanilla1)^0.5)/A13stdlife))</f>
        <v>1.730345161369258</v>
      </c>
      <c r="L202" s="67">
        <f>IF(A13stdlife="n/a","n/a",IF(L$3&gt;(A13stdlife+$F202),(Input!$H$155*(1+vanilla1)^0.5)-SUM($H202:K202),(Input!$H$155*(1+vanilla1)^0.5)/A13stdlife))</f>
        <v>1.730345161369258</v>
      </c>
      <c r="M202" s="67">
        <f>IF(A13stdlife="n/a","n/a",IF(M$3&gt;(A13stdlife+$F202),(Input!$H$155*(1+vanilla1)^0.5)-SUM($H202:L202),(Input!$H$155*(1+vanilla1)^0.5)/A13stdlife))</f>
        <v>1.730345161369258</v>
      </c>
      <c r="N202" s="67">
        <f>IF(A13stdlife="n/a","n/a",IF(N$3&gt;(A13stdlife+$F202),(Input!$H$155*(1+vanilla1)^0.5)-SUM($H202:M202),(Input!$H$155*(1+vanilla1)^0.5)/A13stdlife))</f>
        <v>1.730345161369258</v>
      </c>
      <c r="O202" s="67">
        <f>IF(A13stdlife="n/a","n/a",IF(O$3&gt;(A13stdlife+$F202),(Input!$H$155*(1+vanilla1)^0.5)-SUM($H202:N202),(Input!$H$155*(1+vanilla1)^0.5)/A13stdlife))</f>
        <v>1.730345161369258</v>
      </c>
      <c r="P202" s="67">
        <f>IF(A13stdlife="n/a","n/a",IF(P$3&gt;(A13stdlife+$F202),(Input!$H$155*(1+vanilla1)^0.5)-SUM($H202:O202),(Input!$H$155*(1+vanilla1)^0.5)/A13stdlife))</f>
        <v>1.730345161369258</v>
      </c>
      <c r="Q202" s="67">
        <f>IF(A13stdlife="n/a","n/a",IF(Q$3&gt;(A13stdlife+$F202),(Input!$H$155*(1+vanilla1)^0.5)-SUM($H202:P202),(Input!$H$155*(1+vanilla1)^0.5)/A13stdlife))</f>
        <v>1.730345161369258</v>
      </c>
      <c r="R202" s="67"/>
      <c r="S202" s="102"/>
      <c r="T202" s="102"/>
      <c r="U202" s="102"/>
      <c r="V202" s="102"/>
      <c r="W202" s="102"/>
      <c r="X202" s="102"/>
      <c r="Y202" s="102"/>
      <c r="Z202" s="102"/>
      <c r="AA202" s="102"/>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102"/>
      <c r="BE202" s="102"/>
      <c r="BF202" s="102"/>
      <c r="BG202" s="102"/>
      <c r="BH202" s="102"/>
      <c r="BI202" s="102"/>
      <c r="BJ202" s="102"/>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376"/>
      <c r="F203" s="85">
        <v>2</v>
      </c>
      <c r="G203" s="122"/>
      <c r="H203" s="146"/>
      <c r="I203" s="147"/>
      <c r="J203" s="67">
        <f>IF(A13stdlife="n/a","n/a",IF(J$3&gt;(A13stdlife+$F203),(Input!$I$155*(1+vanilla2)^0.5)-SUM($I203:I203),(Input!$I$155*(1+vanilla2)^0.5)/A13stdlife))</f>
        <v>1.9146870528355298</v>
      </c>
      <c r="K203" s="67">
        <f>IF(A13stdlife="n/a","n/a",IF(K$3&gt;(A13stdlife+$F203),(Input!$I$155*(1+vanilla2)^0.5)-SUM($I203:J203),(Input!$I$155*(1+vanilla2)^0.5)/A13stdlife))</f>
        <v>1.9146870528355298</v>
      </c>
      <c r="L203" s="67">
        <f>IF(A13stdlife="n/a","n/a",IF(L$3&gt;(A13stdlife+$F203),(Input!$I$155*(1+vanilla2)^0.5)-SUM($I203:K203),(Input!$I$155*(1+vanilla2)^0.5)/A13stdlife))</f>
        <v>1.9146870528355298</v>
      </c>
      <c r="M203" s="67">
        <f>IF(A13stdlife="n/a","n/a",IF(M$3&gt;(A13stdlife+$F203),(Input!$I$155*(1+vanilla2)^0.5)-SUM($I203:L203),(Input!$I$155*(1+vanilla2)^0.5)/A13stdlife))</f>
        <v>1.9146870528355298</v>
      </c>
      <c r="N203" s="67">
        <f>IF(A13stdlife="n/a","n/a",IF(N$3&gt;(A13stdlife+$F203),(Input!$I$155*(1+vanilla2)^0.5)-SUM($I203:M203),(Input!$I$155*(1+vanilla2)^0.5)/A13stdlife))</f>
        <v>1.9146870528355298</v>
      </c>
      <c r="O203" s="67">
        <f>IF(A13stdlife="n/a","n/a",IF(O$3&gt;(A13stdlife+$F203),(Input!$I$155*(1+vanilla2)^0.5)-SUM($I203:N203),(Input!$I$155*(1+vanilla2)^0.5)/A13stdlife))</f>
        <v>1.9146870528355298</v>
      </c>
      <c r="P203" s="67">
        <f>IF(A13stdlife="n/a","n/a",IF(P$3&gt;(A13stdlife+$F203),(Input!$I$155*(1+vanilla2)^0.5)-SUM($I203:O203),(Input!$I$155*(1+vanilla2)^0.5)/A13stdlife))</f>
        <v>1.9146870528355298</v>
      </c>
      <c r="Q203" s="67">
        <f>IF(A13stdlife="n/a","n/a",IF(Q$3&gt;(A13stdlife+$F203),(Input!$I$155*(1+vanilla2)^0.5)-SUM($I203:P203),(Input!$I$155*(1+vanilla2)^0.5)/A13stdlife))</f>
        <v>1.9146870528355298</v>
      </c>
      <c r="R203" s="67"/>
      <c r="S203" s="102"/>
      <c r="T203" s="102"/>
      <c r="U203" s="102"/>
      <c r="V203" s="102"/>
      <c r="W203" s="102"/>
      <c r="X203" s="102"/>
      <c r="Y203" s="102"/>
      <c r="Z203" s="102"/>
      <c r="AA203" s="102"/>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102"/>
      <c r="BE203" s="102"/>
      <c r="BF203" s="102"/>
      <c r="BG203" s="102"/>
      <c r="BH203" s="102"/>
      <c r="BI203" s="102"/>
      <c r="BJ203" s="102"/>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9"/>
      <c r="D204" s="25"/>
      <c r="E204" s="376"/>
      <c r="F204" s="85">
        <v>3</v>
      </c>
      <c r="G204" s="122"/>
      <c r="H204" s="146"/>
      <c r="I204" s="148"/>
      <c r="J204" s="147"/>
      <c r="K204" s="67">
        <f>IF(A13stdlife="n/a","n/a",IF(K$3&gt;(A13stdlife+$F204),(Input!$J$155*(1+vanilla3)^0.5)-SUM($J204:J204),(Input!$J$155*(1+vanilla3)^0.5)/A13stdlife))</f>
        <v>3.4661531668525765</v>
      </c>
      <c r="L204" s="67">
        <f>IF(A13stdlife="n/a","n/a",IF(L$3&gt;(A13stdlife+$F204),(Input!$J$155*(1+vanilla3)^0.5)-SUM($J204:K204),(Input!$J$155*(1+vanilla3)^0.5)/A13stdlife))</f>
        <v>3.4661531668525765</v>
      </c>
      <c r="M204" s="67">
        <f>IF(A13stdlife="n/a","n/a",IF(M$3&gt;(A13stdlife+$F204),(Input!$J$155*(1+vanilla3)^0.5)-SUM($J204:L204),(Input!$J$155*(1+vanilla3)^0.5)/A13stdlife))</f>
        <v>3.4661531668525765</v>
      </c>
      <c r="N204" s="67">
        <f>IF(A13stdlife="n/a","n/a",IF(N$3&gt;(A13stdlife+$F204),(Input!$J$155*(1+vanilla3)^0.5)-SUM($J204:M204),(Input!$J$155*(1+vanilla3)^0.5)/A13stdlife))</f>
        <v>3.4661531668525765</v>
      </c>
      <c r="O204" s="67">
        <f>IF(A13stdlife="n/a","n/a",IF(O$3&gt;(A13stdlife+$F204),(Input!$J$155*(1+vanilla3)^0.5)-SUM($J204:N204),(Input!$J$155*(1+vanilla3)^0.5)/A13stdlife))</f>
        <v>3.4661531668525765</v>
      </c>
      <c r="P204" s="67">
        <f>IF(A13stdlife="n/a","n/a",IF(P$3&gt;(A13stdlife+$F204),(Input!$J$155*(1+vanilla3)^0.5)-SUM($J204:O204),(Input!$J$155*(1+vanilla3)^0.5)/A13stdlife))</f>
        <v>3.4661531668525765</v>
      </c>
      <c r="Q204" s="67">
        <f>IF(A13stdlife="n/a","n/a",IF(Q$3&gt;(A13stdlife+$F204),(Input!$J$155*(1+vanilla3)^0.5)-SUM($J204:P204),(Input!$J$155*(1+vanilla3)^0.5)/A13stdlife))</f>
        <v>3.4661531668525765</v>
      </c>
      <c r="R204" s="67"/>
      <c r="S204" s="102"/>
      <c r="T204" s="102"/>
      <c r="U204" s="102"/>
      <c r="V204" s="102"/>
      <c r="W204" s="102"/>
      <c r="X204" s="102"/>
      <c r="Y204" s="102"/>
      <c r="Z204" s="102"/>
      <c r="AA204" s="102"/>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102"/>
      <c r="BE204" s="102"/>
      <c r="BF204" s="102"/>
      <c r="BG204" s="102"/>
      <c r="BH204" s="102"/>
      <c r="BI204" s="102"/>
      <c r="BJ204" s="102"/>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9"/>
      <c r="D205" s="25"/>
      <c r="E205" s="376"/>
      <c r="F205" s="85">
        <v>4</v>
      </c>
      <c r="G205" s="122"/>
      <c r="H205" s="146"/>
      <c r="I205" s="148"/>
      <c r="J205" s="148"/>
      <c r="K205" s="147"/>
      <c r="L205" s="67">
        <f>IF(A13stdlife="n/a","n/a",IF(L$3&gt;(A13stdlife+$F205),(Input!$K$155*(1+vanilla4)^0.5)-SUM($K205:K205),(Input!$K$155*(1+vanilla4)^0.5)/A13stdlife))</f>
        <v>1.4850893772216947</v>
      </c>
      <c r="M205" s="67">
        <f>IF(A13stdlife="n/a","n/a",IF(M$3&gt;(A13stdlife+$F205),(Input!$K$155*(1+vanilla4)^0.5)-SUM($K205:L205),(Input!$K$155*(1+vanilla4)^0.5)/A13stdlife))</f>
        <v>1.4850893772216947</v>
      </c>
      <c r="N205" s="67">
        <f>IF(A13stdlife="n/a","n/a",IF(N$3&gt;(A13stdlife+$F205),(Input!$K$155*(1+vanilla4)^0.5)-SUM($K205:M205),(Input!$K$155*(1+vanilla4)^0.5)/A13stdlife))</f>
        <v>1.4850893772216947</v>
      </c>
      <c r="O205" s="67">
        <f>IF(A13stdlife="n/a","n/a",IF(O$3&gt;(A13stdlife+$F205),(Input!$K$155*(1+vanilla4)^0.5)-SUM($K205:N205),(Input!$K$155*(1+vanilla4)^0.5)/A13stdlife))</f>
        <v>1.4850893772216947</v>
      </c>
      <c r="P205" s="67">
        <f>IF(A13stdlife="n/a","n/a",IF(P$3&gt;(A13stdlife+$F205),(Input!$K$155*(1+vanilla4)^0.5)-SUM($K205:O205),(Input!$K$155*(1+vanilla4)^0.5)/A13stdlife))</f>
        <v>1.4850893772216947</v>
      </c>
      <c r="Q205" s="67">
        <f>IF(A13stdlife="n/a","n/a",IF(Q$3&gt;(A13stdlife+$F205),(Input!$K$155*(1+vanilla4)^0.5)-SUM($K205:P205),(Input!$K$155*(1+vanilla4)^0.5)/A13stdlife))</f>
        <v>1.4850893772216947</v>
      </c>
      <c r="R205" s="67"/>
      <c r="S205" s="102"/>
      <c r="T205" s="102"/>
      <c r="U205" s="102"/>
      <c r="V205" s="102"/>
      <c r="W205" s="102"/>
      <c r="X205" s="102"/>
      <c r="Y205" s="102"/>
      <c r="Z205" s="102"/>
      <c r="AA205" s="102"/>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102"/>
      <c r="BE205" s="102"/>
      <c r="BF205" s="102"/>
      <c r="BG205" s="102"/>
      <c r="BH205" s="102"/>
      <c r="BI205" s="102"/>
      <c r="BJ205" s="102"/>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9"/>
      <c r="D206" s="25"/>
      <c r="E206" s="376"/>
      <c r="F206" s="85">
        <v>5</v>
      </c>
      <c r="G206" s="26"/>
      <c r="H206" s="146"/>
      <c r="I206" s="148"/>
      <c r="J206" s="148"/>
      <c r="K206" s="148"/>
      <c r="L206" s="147"/>
      <c r="M206" s="67">
        <f>IF(A13stdlife="n/a","n/a",IF(M$3&gt;(A13stdlife+$F206),(Input!$L$155*(1+vanilla5)^0.5)-SUM($L206:L206),(Input!$L$155*(1+vanilla5)^0.5)/A13stdlife))</f>
        <v>1.1137853507689182</v>
      </c>
      <c r="N206" s="67">
        <f>IF(A13stdlife="n/a","n/a",IF(N$3&gt;(A13stdlife+$F206),(Input!$L$155*(1+vanilla5)^0.5)-SUM($L206:M206),(Input!$L$155*(1+vanilla5)^0.5)/A13stdlife))</f>
        <v>1.1137853507689182</v>
      </c>
      <c r="O206" s="67">
        <f>IF(A13stdlife="n/a","n/a",IF(O$3&gt;(A13stdlife+$F206),(Input!$L$155*(1+vanilla5)^0.5)-SUM($L206:N206),(Input!$L$155*(1+vanilla5)^0.5)/A13stdlife))</f>
        <v>1.1137853507689182</v>
      </c>
      <c r="P206" s="67">
        <f>IF(A13stdlife="n/a","n/a",IF(P$3&gt;(A13stdlife+$F206),(Input!$L$155*(1+vanilla5)^0.5)-SUM($L206:O206),(Input!$L$155*(1+vanilla5)^0.5)/A13stdlife))</f>
        <v>1.1137853507689182</v>
      </c>
      <c r="Q206" s="67">
        <f>IF(A13stdlife="n/a","n/a",IF(Q$3&gt;(A13stdlife+$F206),(Input!$L$155*(1+vanilla5)^0.5)-SUM($L206:P206),(Input!$L$155*(1+vanilla5)^0.5)/A13stdlife))</f>
        <v>1.1137853507689182</v>
      </c>
      <c r="R206" s="67"/>
      <c r="S206" s="102"/>
      <c r="T206" s="102"/>
      <c r="U206" s="102"/>
      <c r="V206" s="102"/>
      <c r="W206" s="102"/>
      <c r="X206" s="102"/>
      <c r="Y206" s="102"/>
      <c r="Z206" s="102"/>
      <c r="AA206" s="102"/>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102"/>
      <c r="BE206" s="102"/>
      <c r="BF206" s="102"/>
      <c r="BG206" s="102"/>
      <c r="BH206" s="102"/>
      <c r="BI206" s="102"/>
      <c r="BJ206" s="102"/>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376"/>
      <c r="F207" s="85">
        <v>6</v>
      </c>
      <c r="G207" s="26"/>
      <c r="H207" s="146"/>
      <c r="I207" s="148"/>
      <c r="J207" s="148"/>
      <c r="K207" s="148"/>
      <c r="L207" s="148"/>
      <c r="M207" s="147"/>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2"/>
      <c r="T207" s="102"/>
      <c r="U207" s="102"/>
      <c r="V207" s="102"/>
      <c r="W207" s="102"/>
      <c r="X207" s="102"/>
      <c r="Y207" s="102"/>
      <c r="Z207" s="102"/>
      <c r="AA207" s="102"/>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102"/>
      <c r="BE207" s="102"/>
      <c r="BF207" s="102"/>
      <c r="BG207" s="102"/>
      <c r="BH207" s="102"/>
      <c r="BI207" s="102"/>
      <c r="BJ207" s="102"/>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9"/>
      <c r="D208" s="25"/>
      <c r="E208" s="376"/>
      <c r="F208" s="85">
        <v>7</v>
      </c>
      <c r="G208" s="26"/>
      <c r="H208" s="146"/>
      <c r="I208" s="148"/>
      <c r="J208" s="148"/>
      <c r="K208" s="148"/>
      <c r="L208" s="148"/>
      <c r="M208" s="148"/>
      <c r="N208" s="147"/>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2"/>
      <c r="T208" s="102"/>
      <c r="U208" s="102"/>
      <c r="V208" s="102"/>
      <c r="W208" s="102"/>
      <c r="X208" s="102"/>
      <c r="Y208" s="102"/>
      <c r="Z208" s="102"/>
      <c r="AA208" s="102"/>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102"/>
      <c r="BE208" s="102"/>
      <c r="BF208" s="102"/>
      <c r="BG208" s="102"/>
      <c r="BH208" s="102"/>
      <c r="BI208" s="102"/>
      <c r="BJ208" s="102"/>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9"/>
      <c r="D209" s="25"/>
      <c r="E209" s="376"/>
      <c r="F209" s="85">
        <v>8</v>
      </c>
      <c r="G209" s="26"/>
      <c r="H209" s="146"/>
      <c r="I209" s="148"/>
      <c r="J209" s="148"/>
      <c r="K209" s="148"/>
      <c r="L209" s="148"/>
      <c r="M209" s="148"/>
      <c r="N209" s="148"/>
      <c r="O209" s="147"/>
      <c r="P209" s="67">
        <f>IF(A13stdlife="n/a","n/a",IF(P$3&gt;(A13stdlife+$F209),(Input!$O$155*(1+vanilla8)^0.5)-SUM($O209:O209),(Input!$O$155*(1+vanilla8)^0.5)/A13stdlife))</f>
        <v>0</v>
      </c>
      <c r="Q209" s="67">
        <f>IF(A13stdlife="n/a","n/a",IF(Q$3&gt;(A13stdlife+$F209),(Input!$O$155*(1+vanilla8)^0.5)-SUM($O209:P209),(Input!$O$155*(1+vanilla8)^0.5)/A13stdlife))</f>
        <v>0</v>
      </c>
      <c r="R209" s="67"/>
      <c r="S209" s="102"/>
      <c r="T209" s="102"/>
      <c r="U209" s="102"/>
      <c r="V209" s="102"/>
      <c r="W209" s="102"/>
      <c r="X209" s="102"/>
      <c r="Y209" s="102"/>
      <c r="Z209" s="102"/>
      <c r="AA209" s="102"/>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102"/>
      <c r="BE209" s="102"/>
      <c r="BF209" s="102"/>
      <c r="BG209" s="102"/>
      <c r="BH209" s="102"/>
      <c r="BI209" s="102"/>
      <c r="BJ209" s="102"/>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9"/>
      <c r="D210" s="25"/>
      <c r="E210" s="376"/>
      <c r="F210" s="85">
        <v>9</v>
      </c>
      <c r="G210" s="26"/>
      <c r="H210" s="146"/>
      <c r="I210" s="148"/>
      <c r="J210" s="148"/>
      <c r="K210" s="148"/>
      <c r="L210" s="148"/>
      <c r="M210" s="148"/>
      <c r="N210" s="148"/>
      <c r="O210" s="148"/>
      <c r="P210" s="147"/>
      <c r="Q210" s="67">
        <f>IF(A13stdlife="n/a","n/a",IF(Q$3&gt;(A13stdlife+$F210),(Input!$P$155*(1+vanilla9)^0.5)-SUM($P210:P210),(Input!$P$155*(1+vanilla9)^0.5)/A13stdlife))</f>
        <v>0</v>
      </c>
      <c r="R210" s="67"/>
      <c r="S210" s="102"/>
      <c r="T210" s="102"/>
      <c r="U210" s="102"/>
      <c r="V210" s="102"/>
      <c r="W210" s="102"/>
      <c r="X210" s="102"/>
      <c r="Y210" s="102"/>
      <c r="Z210" s="102"/>
      <c r="AA210" s="102"/>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102"/>
      <c r="BE210" s="102"/>
      <c r="BF210" s="102"/>
      <c r="BG210" s="102"/>
      <c r="BH210" s="102"/>
      <c r="BI210" s="102"/>
      <c r="BJ210" s="102"/>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9"/>
      <c r="D211" s="25"/>
      <c r="E211" s="376"/>
      <c r="F211" s="86">
        <v>10</v>
      </c>
      <c r="G211" s="26"/>
      <c r="H211" s="146"/>
      <c r="I211" s="148"/>
      <c r="J211" s="148"/>
      <c r="K211" s="148"/>
      <c r="L211" s="148"/>
      <c r="M211" s="148"/>
      <c r="N211" s="148"/>
      <c r="O211" s="148"/>
      <c r="P211" s="148"/>
      <c r="Q211" s="147"/>
      <c r="R211" s="67"/>
      <c r="S211" s="102"/>
      <c r="T211" s="102"/>
      <c r="U211" s="102"/>
      <c r="V211" s="102"/>
      <c r="W211" s="102"/>
      <c r="X211" s="102"/>
      <c r="Y211" s="102"/>
      <c r="Z211" s="102"/>
      <c r="AA211" s="102"/>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102"/>
      <c r="BE211" s="102"/>
      <c r="BF211" s="102"/>
      <c r="BG211" s="102"/>
      <c r="BH211" s="102"/>
      <c r="BI211" s="102"/>
      <c r="BJ211" s="102"/>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1" collapsed="1">
      <c r="A212" s="9"/>
      <c r="B212" s="9"/>
      <c r="C212" s="9"/>
      <c r="D212" s="25" t="str">
        <f>Asset13</f>
        <v>132kV feeders underground</v>
      </c>
      <c r="E212" s="9"/>
      <c r="F212" s="9"/>
      <c r="G212" s="122"/>
      <c r="H212" s="165">
        <f>-SUM(H200:H211)</f>
        <v>-7.324821258388444</v>
      </c>
      <c r="I212" s="165">
        <f>-SUM(I200:I211)</f>
        <v>-9.0551664197577022</v>
      </c>
      <c r="J212" s="165">
        <f>-SUM(J200:J211)</f>
        <v>-10.969853472593233</v>
      </c>
      <c r="K212" s="165">
        <f>-SUM(K200:K211)</f>
        <v>-14.436006639445809</v>
      </c>
      <c r="L212" s="165">
        <f>-SUM(L200:L211)</f>
        <v>-15.921096016667503</v>
      </c>
      <c r="M212" s="165">
        <f>IF(Input!M173&gt;0, -SUM(M200:M211), 0)</f>
        <v>0</v>
      </c>
      <c r="N212" s="165">
        <f>IF(Input!N173&gt;0, -SUM(N200:N211), 0)</f>
        <v>0</v>
      </c>
      <c r="O212" s="165">
        <f>IF(Input!O173&gt;0, -SUM(O200:O211), 0)</f>
        <v>0</v>
      </c>
      <c r="P212" s="165">
        <f>IF(Input!P173&gt;0, -SUM(P200:P211), 0)</f>
        <v>0</v>
      </c>
      <c r="Q212" s="165">
        <f>IF(Input!Q173&gt;0, -SUM(Q200:Q211), 0)</f>
        <v>0</v>
      </c>
      <c r="R212" s="65"/>
      <c r="S212" s="104"/>
      <c r="T212" s="104"/>
      <c r="U212" s="104"/>
      <c r="V212" s="104"/>
      <c r="W212" s="104"/>
      <c r="X212" s="104"/>
      <c r="Y212" s="104"/>
      <c r="Z212" s="104"/>
      <c r="AA212" s="104"/>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104"/>
      <c r="BE212" s="104"/>
      <c r="BF212" s="104"/>
      <c r="BG212" s="104"/>
      <c r="BH212" s="104"/>
      <c r="BI212" s="104"/>
      <c r="BJ212" s="104"/>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31" t="str">
        <f>Asset14</f>
        <v>Cable tunnel (tx)</v>
      </c>
      <c r="D213" s="161"/>
      <c r="E213" s="33" t="s">
        <v>28</v>
      </c>
      <c r="F213" s="32"/>
      <c r="G213" s="174"/>
      <c r="H213" s="66">
        <f>IF(H$3&gt;A14remlife,A14value-SUM($G213:G213),IF(A14remlife="N/A","n/a",A14value/A14remlife))</f>
        <v>0.16735206691086271</v>
      </c>
      <c r="I213" s="66">
        <f>IF(I$3&gt;A14remlife,A14value-SUM($G213:H213),IF(A14remlife="N/A","n/a",A14value/A14remlife))</f>
        <v>0.16735206691086271</v>
      </c>
      <c r="J213" s="66">
        <f>IF(J$3&gt;A14remlife,A14value-SUM($G213:I213),IF(A14remlife="N/A","n/a",A14value/A14remlife))</f>
        <v>0.16735206691086271</v>
      </c>
      <c r="K213" s="66">
        <f>IF(K$3&gt;A14remlife,A14value-SUM($G213:J213),IF(A14remlife="N/A","n/a",A14value/A14remlife))</f>
        <v>0.16735206691086271</v>
      </c>
      <c r="L213" s="66">
        <f>IF(L$3&gt;A14remlife,A14value-SUM($G213:K213),IF(A14remlife="N/A","n/a",A14value/A14remlife))</f>
        <v>0.16735206691086271</v>
      </c>
      <c r="M213" s="66">
        <f>IF(M$3&gt;A14remlife,A14value-SUM($G213:L213),IF(A14remlife="N/A","n/a",A14value/A14remlife))</f>
        <v>0.16735206691086271</v>
      </c>
      <c r="N213" s="66">
        <f>IF(N$3&gt;A14remlife,A14value-SUM($G213:M213),IF(A14remlife="N/A","n/a",A14value/A14remlife))</f>
        <v>0.16735206691086271</v>
      </c>
      <c r="O213" s="66">
        <f>IF(O$3&gt;A14remlife,A14value-SUM($G213:N213),IF(A14remlife="N/A","n/a",A14value/A14remlife))</f>
        <v>0.16735206691086271</v>
      </c>
      <c r="P213" s="66">
        <f>IF(P$3&gt;A14remlife,A14value-SUM($G213:O213),IF(A14remlife="N/A","n/a",A14value/A14remlife))</f>
        <v>0.16735206691086271</v>
      </c>
      <c r="Q213" s="66">
        <f>IF(Q$3&gt;A14remlife,A14value-SUM($G213:P213),IF(A14remlife="N/A","n/a",A14value/A14remlife))</f>
        <v>0.16735206691086271</v>
      </c>
      <c r="R213" s="66"/>
      <c r="S213" s="102"/>
      <c r="T213" s="102"/>
      <c r="U213" s="102"/>
      <c r="V213" s="102"/>
      <c r="W213" s="102"/>
      <c r="X213" s="102"/>
      <c r="Y213" s="102"/>
      <c r="Z213" s="102"/>
      <c r="AA213" s="102"/>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102"/>
      <c r="BE213" s="102"/>
      <c r="BF213" s="102"/>
      <c r="BG213" s="102"/>
      <c r="BH213" s="102"/>
      <c r="BI213" s="102"/>
      <c r="BJ213" s="102"/>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5"/>
      <c r="E214" s="375" t="s">
        <v>85</v>
      </c>
      <c r="F214" s="85">
        <v>0</v>
      </c>
      <c r="G214" s="122"/>
      <c r="H214" s="67"/>
      <c r="I214" s="67"/>
      <c r="J214" s="67"/>
      <c r="K214" s="67"/>
      <c r="L214" s="67"/>
      <c r="M214" s="163"/>
      <c r="N214" s="111"/>
      <c r="O214" s="67"/>
      <c r="P214" s="67"/>
      <c r="Q214" s="67"/>
      <c r="R214" s="67"/>
      <c r="S214" s="102"/>
      <c r="T214" s="102"/>
      <c r="U214" s="102"/>
      <c r="V214" s="102"/>
      <c r="W214" s="102"/>
      <c r="X214" s="102"/>
      <c r="Y214" s="102"/>
      <c r="Z214" s="102"/>
      <c r="AA214" s="102"/>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102"/>
      <c r="BE214" s="102"/>
      <c r="BF214" s="102"/>
      <c r="BG214" s="102"/>
      <c r="BH214" s="102"/>
      <c r="BI214" s="102"/>
      <c r="BJ214" s="102"/>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9"/>
      <c r="D215" s="25"/>
      <c r="E215" s="376"/>
      <c r="F215" s="85">
        <v>1</v>
      </c>
      <c r="G215" s="122"/>
      <c r="H215" s="145"/>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2"/>
      <c r="T215" s="102"/>
      <c r="U215" s="102"/>
      <c r="V215" s="102"/>
      <c r="W215" s="102"/>
      <c r="X215" s="102"/>
      <c r="Y215" s="102"/>
      <c r="Z215" s="102"/>
      <c r="AA215" s="102"/>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102"/>
      <c r="BE215" s="102"/>
      <c r="BF215" s="102"/>
      <c r="BG215" s="102"/>
      <c r="BH215" s="102"/>
      <c r="BI215" s="102"/>
      <c r="BJ215" s="102"/>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376"/>
      <c r="F216" s="85">
        <v>2</v>
      </c>
      <c r="G216" s="122"/>
      <c r="H216" s="146"/>
      <c r="I216" s="147"/>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2"/>
      <c r="T216" s="102"/>
      <c r="U216" s="102"/>
      <c r="V216" s="102"/>
      <c r="W216" s="102"/>
      <c r="X216" s="102"/>
      <c r="Y216" s="102"/>
      <c r="Z216" s="102"/>
      <c r="AA216" s="102"/>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102"/>
      <c r="BE216" s="102"/>
      <c r="BF216" s="102"/>
      <c r="BG216" s="102"/>
      <c r="BH216" s="102"/>
      <c r="BI216" s="102"/>
      <c r="BJ216" s="102"/>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9"/>
      <c r="D217" s="25"/>
      <c r="E217" s="376"/>
      <c r="F217" s="85">
        <v>3</v>
      </c>
      <c r="G217" s="122"/>
      <c r="H217" s="146"/>
      <c r="I217" s="148"/>
      <c r="J217" s="147"/>
      <c r="K217" s="67">
        <f>IF(A14stdlife="n/a","n/a",IF(K$3&gt;(A14stdlife+$F217),(Input!$J$156*(1+vanilla3)^0.5)-SUM($J217:J217),(Input!$J$156*(1+vanilla3)^0.5)/A14stdlife))</f>
        <v>6.9406542855575707E-3</v>
      </c>
      <c r="L217" s="67">
        <f>IF(A14stdlife="n/a","n/a",IF(L$3&gt;(A14stdlife+$F217),(Input!$J$156*(1+vanilla3)^0.5)-SUM($J217:K217),(Input!$J$156*(1+vanilla3)^0.5)/A14stdlife))</f>
        <v>6.9406542855575707E-3</v>
      </c>
      <c r="M217" s="67">
        <f>IF(A14stdlife="n/a","n/a",IF(M$3&gt;(A14stdlife+$F217),(Input!$J$156*(1+vanilla3)^0.5)-SUM($J217:L217),(Input!$J$156*(1+vanilla3)^0.5)/A14stdlife))</f>
        <v>6.9406542855575707E-3</v>
      </c>
      <c r="N217" s="67">
        <f>IF(A14stdlife="n/a","n/a",IF(N$3&gt;(A14stdlife+$F217),(Input!$J$156*(1+vanilla3)^0.5)-SUM($J217:M217),(Input!$J$156*(1+vanilla3)^0.5)/A14stdlife))</f>
        <v>6.9406542855575707E-3</v>
      </c>
      <c r="O217" s="67">
        <f>IF(A14stdlife="n/a","n/a",IF(O$3&gt;(A14stdlife+$F217),(Input!$J$156*(1+vanilla3)^0.5)-SUM($J217:N217),(Input!$J$156*(1+vanilla3)^0.5)/A14stdlife))</f>
        <v>6.9406542855575707E-3</v>
      </c>
      <c r="P217" s="67">
        <f>IF(A14stdlife="n/a","n/a",IF(P$3&gt;(A14stdlife+$F217),(Input!$J$156*(1+vanilla3)^0.5)-SUM($J217:O217),(Input!$J$156*(1+vanilla3)^0.5)/A14stdlife))</f>
        <v>6.9406542855575707E-3</v>
      </c>
      <c r="Q217" s="67">
        <f>IF(A14stdlife="n/a","n/a",IF(Q$3&gt;(A14stdlife+$F217),(Input!$J$156*(1+vanilla3)^0.5)-SUM($J217:P217),(Input!$J$156*(1+vanilla3)^0.5)/A14stdlife))</f>
        <v>6.9406542855575707E-3</v>
      </c>
      <c r="R217" s="67"/>
      <c r="S217" s="102"/>
      <c r="T217" s="102"/>
      <c r="U217" s="102"/>
      <c r="V217" s="102"/>
      <c r="W217" s="102"/>
      <c r="X217" s="102"/>
      <c r="Y217" s="102"/>
      <c r="Z217" s="102"/>
      <c r="AA217" s="102"/>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102"/>
      <c r="BE217" s="102"/>
      <c r="BF217" s="102"/>
      <c r="BG217" s="102"/>
      <c r="BH217" s="102"/>
      <c r="BI217" s="102"/>
      <c r="BJ217" s="102"/>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9"/>
      <c r="D218" s="25"/>
      <c r="E218" s="376"/>
      <c r="F218" s="85">
        <v>4</v>
      </c>
      <c r="G218" s="122"/>
      <c r="H218" s="146"/>
      <c r="I218" s="148"/>
      <c r="J218" s="148"/>
      <c r="K218" s="147"/>
      <c r="L218" s="67">
        <f>IF(A14stdlife="n/a","n/a",IF(L$3&gt;(A14stdlife+$F218),(Input!$K$156*(1+vanilla4)^0.5)-SUM($K218:K218),(Input!$K$156*(1+vanilla4)^0.5)/A14stdlife))</f>
        <v>2.331312923545653E-3</v>
      </c>
      <c r="M218" s="67">
        <f>IF(A14stdlife="n/a","n/a",IF(M$3&gt;(A14stdlife+$F218),(Input!$K$156*(1+vanilla4)^0.5)-SUM($K218:L218),(Input!$K$156*(1+vanilla4)^0.5)/A14stdlife))</f>
        <v>2.331312923545653E-3</v>
      </c>
      <c r="N218" s="67">
        <f>IF(A14stdlife="n/a","n/a",IF(N$3&gt;(A14stdlife+$F218),(Input!$K$156*(1+vanilla4)^0.5)-SUM($K218:M218),(Input!$K$156*(1+vanilla4)^0.5)/A14stdlife))</f>
        <v>2.331312923545653E-3</v>
      </c>
      <c r="O218" s="67">
        <f>IF(A14stdlife="n/a","n/a",IF(O$3&gt;(A14stdlife+$F218),(Input!$K$156*(1+vanilla4)^0.5)-SUM($K218:N218),(Input!$K$156*(1+vanilla4)^0.5)/A14stdlife))</f>
        <v>2.331312923545653E-3</v>
      </c>
      <c r="P218" s="67">
        <f>IF(A14stdlife="n/a","n/a",IF(P$3&gt;(A14stdlife+$F218),(Input!$K$156*(1+vanilla4)^0.5)-SUM($K218:O218),(Input!$K$156*(1+vanilla4)^0.5)/A14stdlife))</f>
        <v>2.331312923545653E-3</v>
      </c>
      <c r="Q218" s="67">
        <f>IF(A14stdlife="n/a","n/a",IF(Q$3&gt;(A14stdlife+$F218),(Input!$K$156*(1+vanilla4)^0.5)-SUM($K218:P218),(Input!$K$156*(1+vanilla4)^0.5)/A14stdlife))</f>
        <v>2.331312923545653E-3</v>
      </c>
      <c r="R218" s="67"/>
      <c r="S218" s="102"/>
      <c r="T218" s="102"/>
      <c r="U218" s="102"/>
      <c r="V218" s="102"/>
      <c r="W218" s="102"/>
      <c r="X218" s="102"/>
      <c r="Y218" s="102"/>
      <c r="Z218" s="102"/>
      <c r="AA218" s="102"/>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102"/>
      <c r="BE218" s="102"/>
      <c r="BF218" s="102"/>
      <c r="BG218" s="102"/>
      <c r="BH218" s="102"/>
      <c r="BI218" s="102"/>
      <c r="BJ218" s="102"/>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9"/>
      <c r="D219" s="25"/>
      <c r="E219" s="376"/>
      <c r="F219" s="85">
        <v>5</v>
      </c>
      <c r="G219" s="26"/>
      <c r="H219" s="146"/>
      <c r="I219" s="148"/>
      <c r="J219" s="148"/>
      <c r="K219" s="148"/>
      <c r="L219" s="147"/>
      <c r="M219" s="67">
        <f>IF(A14stdlife="n/a","n/a",IF(M$3&gt;(A14stdlife+$F219),(Input!$L$156*(1+vanilla5)^0.5)-SUM($L219:L219),(Input!$L$156*(1+vanilla5)^0.5)/A14stdlife))</f>
        <v>1.7484349576057801E-3</v>
      </c>
      <c r="N219" s="67">
        <f>IF(A14stdlife="n/a","n/a",IF(N$3&gt;(A14stdlife+$F219),(Input!$L$156*(1+vanilla5)^0.5)-SUM($L219:M219),(Input!$L$156*(1+vanilla5)^0.5)/A14stdlife))</f>
        <v>1.7484349576057801E-3</v>
      </c>
      <c r="O219" s="67">
        <f>IF(A14stdlife="n/a","n/a",IF(O$3&gt;(A14stdlife+$F219),(Input!$L$156*(1+vanilla5)^0.5)-SUM($L219:N219),(Input!$L$156*(1+vanilla5)^0.5)/A14stdlife))</f>
        <v>1.7484349576057801E-3</v>
      </c>
      <c r="P219" s="67">
        <f>IF(A14stdlife="n/a","n/a",IF(P$3&gt;(A14stdlife+$F219),(Input!$L$156*(1+vanilla5)^0.5)-SUM($L219:O219),(Input!$L$156*(1+vanilla5)^0.5)/A14stdlife))</f>
        <v>1.7484349576057801E-3</v>
      </c>
      <c r="Q219" s="67">
        <f>IF(A14stdlife="n/a","n/a",IF(Q$3&gt;(A14stdlife+$F219),(Input!$L$156*(1+vanilla5)^0.5)-SUM($L219:P219),(Input!$L$156*(1+vanilla5)^0.5)/A14stdlife))</f>
        <v>1.7484349576057801E-3</v>
      </c>
      <c r="R219" s="67"/>
      <c r="S219" s="102"/>
      <c r="T219" s="102"/>
      <c r="U219" s="102"/>
      <c r="V219" s="102"/>
      <c r="W219" s="102"/>
      <c r="X219" s="102"/>
      <c r="Y219" s="102"/>
      <c r="Z219" s="102"/>
      <c r="AA219" s="102"/>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102"/>
      <c r="BE219" s="102"/>
      <c r="BF219" s="102"/>
      <c r="BG219" s="102"/>
      <c r="BH219" s="102"/>
      <c r="BI219" s="102"/>
      <c r="BJ219" s="102"/>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376"/>
      <c r="F220" s="85">
        <v>6</v>
      </c>
      <c r="G220" s="26"/>
      <c r="H220" s="146"/>
      <c r="I220" s="148"/>
      <c r="J220" s="148"/>
      <c r="K220" s="148"/>
      <c r="L220" s="148"/>
      <c r="M220" s="147"/>
      <c r="N220" s="67">
        <f>IF(A14stdlife="n/a","n/a",IF(N$3&gt;(A14stdlife+$F220),(Input!$M$156*(1+vanilla6)^0.5)-SUM($M220:M220),(Input!$IM$156*(1+vanilla6)^0.5)/A14stdlife))</f>
        <v>0</v>
      </c>
      <c r="O220" s="67">
        <f>IF(A14stdlife="n/a","n/a",IF(O$3&gt;(A14stdlife+$F220),(Input!$M$156*(1+vanilla6)^0.5)-SUM($M220:N220),(Input!$IM$156*(1+vanilla6)^0.5)/A14stdlife))</f>
        <v>0</v>
      </c>
      <c r="P220" s="67">
        <f>IF(A14stdlife="n/a","n/a",IF(P$3&gt;(A14stdlife+$F220),(Input!$M$156*(1+vanilla6)^0.5)-SUM($M220:O220),(Input!$IM$156*(1+vanilla6)^0.5)/A14stdlife))</f>
        <v>0</v>
      </c>
      <c r="Q220" s="67">
        <f>IF(A14stdlife="n/a","n/a",IF(Q$3&gt;(A14stdlife+$F220),(Input!$M$156*(1+vanilla6)^0.5)-SUM($M220:P220),(Input!$IM$156*(1+vanilla6)^0.5)/A14stdlife))</f>
        <v>0</v>
      </c>
      <c r="R220" s="67"/>
      <c r="S220" s="102"/>
      <c r="T220" s="102"/>
      <c r="U220" s="102"/>
      <c r="V220" s="102"/>
      <c r="W220" s="102"/>
      <c r="X220" s="102"/>
      <c r="Y220" s="102"/>
      <c r="Z220" s="102"/>
      <c r="AA220" s="102"/>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102"/>
      <c r="BE220" s="102"/>
      <c r="BF220" s="102"/>
      <c r="BG220" s="102"/>
      <c r="BH220" s="102"/>
      <c r="BI220" s="102"/>
      <c r="BJ220" s="102"/>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9"/>
      <c r="D221" s="25"/>
      <c r="E221" s="376"/>
      <c r="F221" s="85">
        <v>7</v>
      </c>
      <c r="G221" s="26"/>
      <c r="H221" s="146"/>
      <c r="I221" s="148"/>
      <c r="J221" s="148"/>
      <c r="K221" s="148"/>
      <c r="L221" s="148"/>
      <c r="M221" s="148"/>
      <c r="N221" s="147"/>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2"/>
      <c r="T221" s="102"/>
      <c r="U221" s="102"/>
      <c r="V221" s="102"/>
      <c r="W221" s="102"/>
      <c r="X221" s="102"/>
      <c r="Y221" s="102"/>
      <c r="Z221" s="102"/>
      <c r="AA221" s="102"/>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102"/>
      <c r="BE221" s="102"/>
      <c r="BF221" s="102"/>
      <c r="BG221" s="102"/>
      <c r="BH221" s="102"/>
      <c r="BI221" s="102"/>
      <c r="BJ221" s="102"/>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9"/>
      <c r="D222" s="25"/>
      <c r="E222" s="376"/>
      <c r="F222" s="85">
        <v>8</v>
      </c>
      <c r="G222" s="26"/>
      <c r="H222" s="146"/>
      <c r="I222" s="148"/>
      <c r="J222" s="148"/>
      <c r="K222" s="148"/>
      <c r="L222" s="148"/>
      <c r="M222" s="148"/>
      <c r="N222" s="148"/>
      <c r="O222" s="147"/>
      <c r="P222" s="67">
        <f>IF(A14stdlife="n/a","n/a",IF(P$3&gt;(A14stdlife+$F222),(Input!$O$156*(1+vanilla8)^0.5)-SUM($O222:O222),(Input!$O$156*(1+vanilla8)^0.5)/A14stdlife))</f>
        <v>0</v>
      </c>
      <c r="Q222" s="67">
        <f>IF(A14stdlife="n/a","n/a",IF(Q$3&gt;(A14stdlife+$F222),(Input!$O$156*(1+vanilla8)^0.5)-SUM($O222:P222),(Input!$O$156*(1+vanilla8)^0.5)/A14stdlife))</f>
        <v>0</v>
      </c>
      <c r="R222" s="67"/>
      <c r="S222" s="102"/>
      <c r="T222" s="102"/>
      <c r="U222" s="102"/>
      <c r="V222" s="102"/>
      <c r="W222" s="102"/>
      <c r="X222" s="102"/>
      <c r="Y222" s="102"/>
      <c r="Z222" s="102"/>
      <c r="AA222" s="102"/>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102"/>
      <c r="BE222" s="102"/>
      <c r="BF222" s="102"/>
      <c r="BG222" s="102"/>
      <c r="BH222" s="102"/>
      <c r="BI222" s="102"/>
      <c r="BJ222" s="102"/>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9"/>
      <c r="D223" s="25"/>
      <c r="E223" s="376"/>
      <c r="F223" s="85">
        <v>9</v>
      </c>
      <c r="G223" s="26"/>
      <c r="H223" s="146"/>
      <c r="I223" s="148"/>
      <c r="J223" s="148"/>
      <c r="K223" s="148"/>
      <c r="L223" s="148"/>
      <c r="M223" s="148"/>
      <c r="N223" s="148"/>
      <c r="O223" s="148"/>
      <c r="P223" s="147"/>
      <c r="Q223" s="67">
        <f>IF(A14stdlife="n/a","n/a",IF(Q$3&gt;(A14stdlife+$F223),(Input!$P$156*(1+vanilla9)^0.5)-SUM($P223:P223),(Input!$P$156*(1+vanilla9)^0.5)/A14stdlife))</f>
        <v>0</v>
      </c>
      <c r="R223" s="67"/>
      <c r="S223" s="102"/>
      <c r="T223" s="102"/>
      <c r="U223" s="102"/>
      <c r="V223" s="102"/>
      <c r="W223" s="102"/>
      <c r="X223" s="102"/>
      <c r="Y223" s="102"/>
      <c r="Z223" s="102"/>
      <c r="AA223" s="102"/>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102"/>
      <c r="BE223" s="102"/>
      <c r="BF223" s="102"/>
      <c r="BG223" s="102"/>
      <c r="BH223" s="102"/>
      <c r="BI223" s="102"/>
      <c r="BJ223" s="102"/>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9"/>
      <c r="D224" s="25"/>
      <c r="E224" s="376"/>
      <c r="F224" s="86">
        <v>10</v>
      </c>
      <c r="G224" s="26"/>
      <c r="H224" s="146"/>
      <c r="I224" s="148"/>
      <c r="J224" s="148"/>
      <c r="K224" s="148"/>
      <c r="L224" s="148"/>
      <c r="M224" s="148"/>
      <c r="N224" s="148"/>
      <c r="O224" s="148"/>
      <c r="P224" s="148"/>
      <c r="Q224" s="147"/>
      <c r="R224" s="67"/>
      <c r="S224" s="102"/>
      <c r="T224" s="102"/>
      <c r="U224" s="102"/>
      <c r="V224" s="102"/>
      <c r="W224" s="102"/>
      <c r="X224" s="102"/>
      <c r="Y224" s="102"/>
      <c r="Z224" s="102"/>
      <c r="AA224" s="102"/>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102"/>
      <c r="BE224" s="102"/>
      <c r="BF224" s="102"/>
      <c r="BG224" s="102"/>
      <c r="BH224" s="102"/>
      <c r="BI224" s="102"/>
      <c r="BJ224" s="102"/>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customHeight="1" outlineLevel="1" collapsed="1">
      <c r="A225" s="9"/>
      <c r="B225" s="9"/>
      <c r="C225" s="9"/>
      <c r="D225" s="25" t="str">
        <f>Asset14</f>
        <v>Cable tunnel (tx)</v>
      </c>
      <c r="E225" s="9"/>
      <c r="F225" s="9"/>
      <c r="G225" s="122"/>
      <c r="H225" s="165">
        <f>-SUM(H213:H224)</f>
        <v>-0.16735206691086271</v>
      </c>
      <c r="I225" s="165">
        <f>-SUM(I213:I224)</f>
        <v>-0.16735206691086271</v>
      </c>
      <c r="J225" s="165">
        <f>-SUM(J213:J224)</f>
        <v>-0.16735206691086271</v>
      </c>
      <c r="K225" s="165">
        <f>-SUM(K213:K224)</f>
        <v>-0.17429272119642028</v>
      </c>
      <c r="L225" s="165">
        <f>-SUM(L213:L224)</f>
        <v>-0.17662403411996594</v>
      </c>
      <c r="M225" s="165">
        <f>IF(Input!M173&gt;0, -SUM(M213:M224), 0)</f>
        <v>0</v>
      </c>
      <c r="N225" s="165">
        <f>IF(Input!N173&gt;0, -SUM(N213:N224), 0)</f>
        <v>0</v>
      </c>
      <c r="O225" s="165">
        <f>IF(Input!O173&gt;0, -SUM(O213:O224), 0)</f>
        <v>0</v>
      </c>
      <c r="P225" s="165">
        <f>IF(Input!P173&gt;0, -SUM(P213:P224), 0)</f>
        <v>0</v>
      </c>
      <c r="Q225" s="165">
        <f>IF(Input!Q173&gt;0, -SUM(Q213:Q224), 0)</f>
        <v>0</v>
      </c>
      <c r="R225" s="65"/>
      <c r="S225" s="104"/>
      <c r="T225" s="104"/>
      <c r="U225" s="104"/>
      <c r="V225" s="104"/>
      <c r="W225" s="104"/>
      <c r="X225" s="104"/>
      <c r="Y225" s="104"/>
      <c r="Z225" s="104"/>
      <c r="AA225" s="104"/>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104"/>
      <c r="BE225" s="104"/>
      <c r="BF225" s="104"/>
      <c r="BG225" s="104"/>
      <c r="BH225" s="104"/>
      <c r="BI225" s="104"/>
      <c r="BJ225" s="104"/>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31" t="str">
        <f>Asset15</f>
        <v>Network control &amp; com systems</v>
      </c>
      <c r="D226" s="161"/>
      <c r="E226" s="33" t="s">
        <v>28</v>
      </c>
      <c r="F226" s="32"/>
      <c r="G226" s="174"/>
      <c r="H226" s="66">
        <f>IF(H$3&gt;A15remlife,A15value-SUM($G226:G226),IF(A15remlife="N/A","n/a",A15value/A15remlife))</f>
        <v>1.0403064189407181</v>
      </c>
      <c r="I226" s="66">
        <f>IF(I$3&gt;A15remlife,A15value-SUM($G226:H226),IF(A15remlife="N/A","n/a",A15value/A15remlife))</f>
        <v>1.0403064189407181</v>
      </c>
      <c r="J226" s="66">
        <f>IF(J$3&gt;A15remlife,A15value-SUM($G226:I226),IF(A15remlife="N/A","n/a",A15value/A15remlife))</f>
        <v>1.0403064189407181</v>
      </c>
      <c r="K226" s="66">
        <f>IF(K$3&gt;A15remlife,A15value-SUM($G226:J226),IF(A15remlife="N/A","n/a",A15value/A15remlife))</f>
        <v>1.0403064189407181</v>
      </c>
      <c r="L226" s="66">
        <f>IF(L$3&gt;A15remlife,A15value-SUM($G226:K226),IF(A15remlife="N/A","n/a",A15value/A15remlife))</f>
        <v>1.0403064189407181</v>
      </c>
      <c r="M226" s="66">
        <f>IF(M$3&gt;A15remlife,A15value-SUM($G226:L226),IF(A15remlife="N/A","n/a",A15value/A15remlife))</f>
        <v>1.0403064189407181</v>
      </c>
      <c r="N226" s="66">
        <f>IF(N$3&gt;A15remlife,A15value-SUM($G226:M226),IF(A15remlife="N/A","n/a",A15value/A15remlife))</f>
        <v>1.0403064189407181</v>
      </c>
      <c r="O226" s="66">
        <f>IF(O$3&gt;A15remlife,A15value-SUM($G226:N226),IF(A15remlife="N/A","n/a",A15value/A15remlife))</f>
        <v>1.0403064189407181</v>
      </c>
      <c r="P226" s="66">
        <f>IF(P$3&gt;A15remlife,A15value-SUM($G226:O226),IF(A15remlife="N/A","n/a",A15value/A15remlife))</f>
        <v>1.0403064189407181</v>
      </c>
      <c r="Q226" s="66">
        <f>IF(Q$3&gt;A15remlife,A15value-SUM($G226:P226),IF(A15remlife="N/A","n/a",A15value/A15remlife))</f>
        <v>1.0403064189407181</v>
      </c>
      <c r="R226" s="66"/>
      <c r="S226" s="102"/>
      <c r="T226" s="102"/>
      <c r="U226" s="102"/>
      <c r="V226" s="102"/>
      <c r="W226" s="102"/>
      <c r="X226" s="102"/>
      <c r="Y226" s="102"/>
      <c r="Z226" s="102"/>
      <c r="AA226" s="102"/>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102"/>
      <c r="BE226" s="102"/>
      <c r="BF226" s="102"/>
      <c r="BG226" s="102"/>
      <c r="BH226" s="102"/>
      <c r="BI226" s="102"/>
      <c r="BJ226" s="102"/>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5"/>
      <c r="E227" s="375" t="s">
        <v>85</v>
      </c>
      <c r="F227" s="85">
        <v>0</v>
      </c>
      <c r="G227" s="122"/>
      <c r="H227" s="67"/>
      <c r="I227" s="67"/>
      <c r="J227" s="67"/>
      <c r="K227" s="67"/>
      <c r="L227" s="67"/>
      <c r="M227" s="163"/>
      <c r="N227" s="111"/>
      <c r="O227" s="67"/>
      <c r="P227" s="67"/>
      <c r="Q227" s="67"/>
      <c r="R227" s="67"/>
      <c r="S227" s="102"/>
      <c r="T227" s="102"/>
      <c r="U227" s="102"/>
      <c r="V227" s="102"/>
      <c r="W227" s="102"/>
      <c r="X227" s="102"/>
      <c r="Y227" s="102"/>
      <c r="Z227" s="102"/>
      <c r="AA227" s="102"/>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102"/>
      <c r="BE227" s="102"/>
      <c r="BF227" s="102"/>
      <c r="BG227" s="102"/>
      <c r="BH227" s="102"/>
      <c r="BI227" s="102"/>
      <c r="BJ227" s="102"/>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9"/>
      <c r="D228" s="25"/>
      <c r="E228" s="376"/>
      <c r="F228" s="85">
        <v>1</v>
      </c>
      <c r="G228" s="122"/>
      <c r="H228" s="145"/>
      <c r="I228" s="67">
        <f>IF(A15stdlife="n/a","n/a",IF(I$3&gt;(A15stdlife+$F228),(Input!$H$157*(1+vanilla1)^0.5)-SUM($H228:H228),(Input!$H$157*(1+vanilla1)^0.5)/A15stdlife))</f>
        <v>4.1209425371147121E-2</v>
      </c>
      <c r="J228" s="67">
        <f>IF(A15stdlife="n/a","n/a",IF(J$3&gt;(A15stdlife+$F228),(Input!$H$157*(1+vanilla1)^0.5)-SUM($H228:I228),(Input!$H$157*(1+vanilla1)^0.5)/A15stdlife))</f>
        <v>4.1209425371147121E-2</v>
      </c>
      <c r="K228" s="67">
        <f>IF(A15stdlife="n/a","n/a",IF(K$3&gt;(A15stdlife+$F228),(Input!$H$157*(1+vanilla1)^0.5)-SUM($H228:J228),(Input!$H$157*(1+vanilla1)^0.5)/A15stdlife))</f>
        <v>4.1209425371147121E-2</v>
      </c>
      <c r="L228" s="67">
        <f>IF(A15stdlife="n/a","n/a",IF(L$3&gt;(A15stdlife+$F228),(Input!$H$157*(1+vanilla1)^0.5)-SUM($H228:K228),(Input!$H$157*(1+vanilla1)^0.5)/A15stdlife))</f>
        <v>4.1209425371147121E-2</v>
      </c>
      <c r="M228" s="67">
        <f>IF(A15stdlife="n/a","n/a",IF(M$3&gt;(A15stdlife+$F228),(Input!$H$157*(1+vanilla1)^0.5)-SUM($H228:L228),(Input!$H$157*(1+vanilla1)^0.5)/A15stdlife))</f>
        <v>4.1209425371147121E-2</v>
      </c>
      <c r="N228" s="67">
        <f>IF(A15stdlife="n/a","n/a",IF(N$3&gt;(A15stdlife+$F228),(Input!$H$157*(1+vanilla1)^0.5)-SUM($H228:M228),(Input!$H$157*(1+vanilla1)^0.5)/A15stdlife))</f>
        <v>4.1209425371147121E-2</v>
      </c>
      <c r="O228" s="67">
        <f>IF(A15stdlife="n/a","n/a",IF(O$3&gt;(A15stdlife+$F228),(Input!$H$157*(1+vanilla1)^0.5)-SUM($H228:N228),(Input!$H$157*(1+vanilla1)^0.5)/A15stdlife))</f>
        <v>4.1209425371147121E-2</v>
      </c>
      <c r="P228" s="67">
        <f>IF(A15stdlife="n/a","n/a",IF(P$3&gt;(A15stdlife+$F228),(Input!$H$157*(1+vanilla1)^0.5)-SUM($H228:O228),(Input!$H$157*(1+vanilla1)^0.5)/A15stdlife))</f>
        <v>4.1209425371147121E-2</v>
      </c>
      <c r="Q228" s="67">
        <f>IF(A15stdlife="n/a","n/a",IF(Q$3&gt;(A15stdlife+$F228),(Input!$H$157*(1+vanilla1)^0.5)-SUM($H228:P228),(Input!$H$157*(1+vanilla1)^0.5)/A15stdlife))</f>
        <v>4.1209425371147121E-2</v>
      </c>
      <c r="R228" s="67"/>
      <c r="S228" s="102"/>
      <c r="T228" s="102"/>
      <c r="U228" s="102"/>
      <c r="V228" s="102"/>
      <c r="W228" s="102"/>
      <c r="X228" s="102"/>
      <c r="Y228" s="102"/>
      <c r="Z228" s="102"/>
      <c r="AA228" s="102"/>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102"/>
      <c r="BE228" s="102"/>
      <c r="BF228" s="102"/>
      <c r="BG228" s="102"/>
      <c r="BH228" s="102"/>
      <c r="BI228" s="102"/>
      <c r="BJ228" s="102"/>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376"/>
      <c r="F229" s="85">
        <v>2</v>
      </c>
      <c r="G229" s="122"/>
      <c r="H229" s="146"/>
      <c r="I229" s="147"/>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2"/>
      <c r="T229" s="102"/>
      <c r="U229" s="102"/>
      <c r="V229" s="102"/>
      <c r="W229" s="102"/>
      <c r="X229" s="102"/>
      <c r="Y229" s="102"/>
      <c r="Z229" s="102"/>
      <c r="AA229" s="102"/>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102"/>
      <c r="BE229" s="102"/>
      <c r="BF229" s="102"/>
      <c r="BG229" s="102"/>
      <c r="BH229" s="102"/>
      <c r="BI229" s="102"/>
      <c r="BJ229" s="102"/>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9"/>
      <c r="D230" s="25"/>
      <c r="E230" s="376"/>
      <c r="F230" s="85">
        <v>3</v>
      </c>
      <c r="G230" s="122"/>
      <c r="H230" s="146"/>
      <c r="I230" s="148"/>
      <c r="J230" s="147"/>
      <c r="K230" s="67">
        <f>IF(A15stdlife="n/a","n/a",IF(K$3&gt;(A15stdlife+$F230),(Input!$J$157*(1+vanilla3)^0.5)-SUM($J230:J230),(Input!$J$157*(1+vanilla3)^0.5)/A15stdlife))</f>
        <v>6.3732604864485487E-4</v>
      </c>
      <c r="L230" s="67">
        <f>IF(A15stdlife="n/a","n/a",IF(L$3&gt;(A15stdlife+$F230),(Input!$J$157*(1+vanilla3)^0.5)-SUM($J230:K230),(Input!$J$157*(1+vanilla3)^0.5)/A15stdlife))</f>
        <v>6.3732604864485487E-4</v>
      </c>
      <c r="M230" s="67">
        <f>IF(A15stdlife="n/a","n/a",IF(M$3&gt;(A15stdlife+$F230),(Input!$J$157*(1+vanilla3)^0.5)-SUM($J230:L230),(Input!$J$157*(1+vanilla3)^0.5)/A15stdlife))</f>
        <v>6.3732604864485487E-4</v>
      </c>
      <c r="N230" s="67">
        <f>IF(A15stdlife="n/a","n/a",IF(N$3&gt;(A15stdlife+$F230),(Input!$J$157*(1+vanilla3)^0.5)-SUM($J230:M230),(Input!$J$157*(1+vanilla3)^0.5)/A15stdlife))</f>
        <v>6.3732604864485487E-4</v>
      </c>
      <c r="O230" s="67">
        <f>IF(A15stdlife="n/a","n/a",IF(O$3&gt;(A15stdlife+$F230),(Input!$J$157*(1+vanilla3)^0.5)-SUM($J230:N230),(Input!$J$157*(1+vanilla3)^0.5)/A15stdlife))</f>
        <v>6.3732604864485487E-4</v>
      </c>
      <c r="P230" s="67">
        <f>IF(A15stdlife="n/a","n/a",IF(P$3&gt;(A15stdlife+$F230),(Input!$J$157*(1+vanilla3)^0.5)-SUM($J230:O230),(Input!$J$157*(1+vanilla3)^0.5)/A15stdlife))</f>
        <v>6.3732604864485487E-4</v>
      </c>
      <c r="Q230" s="67">
        <f>IF(A15stdlife="n/a","n/a",IF(Q$3&gt;(A15stdlife+$F230),(Input!$J$157*(1+vanilla3)^0.5)-SUM($J230:P230),(Input!$J$157*(1+vanilla3)^0.5)/A15stdlife))</f>
        <v>6.3732604864485487E-4</v>
      </c>
      <c r="R230" s="67"/>
      <c r="S230" s="102"/>
      <c r="T230" s="102"/>
      <c r="U230" s="102"/>
      <c r="V230" s="102"/>
      <c r="W230" s="102"/>
      <c r="X230" s="102"/>
      <c r="Y230" s="102"/>
      <c r="Z230" s="102"/>
      <c r="AA230" s="102"/>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102"/>
      <c r="BE230" s="102"/>
      <c r="BF230" s="102"/>
      <c r="BG230" s="102"/>
      <c r="BH230" s="102"/>
      <c r="BI230" s="102"/>
      <c r="BJ230" s="102"/>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9"/>
      <c r="D231" s="25"/>
      <c r="E231" s="376"/>
      <c r="F231" s="85">
        <v>4</v>
      </c>
      <c r="G231" s="122"/>
      <c r="H231" s="146"/>
      <c r="I231" s="148"/>
      <c r="J231" s="148"/>
      <c r="K231" s="147"/>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2"/>
      <c r="T231" s="102"/>
      <c r="U231" s="102"/>
      <c r="V231" s="102"/>
      <c r="W231" s="102"/>
      <c r="X231" s="102"/>
      <c r="Y231" s="102"/>
      <c r="Z231" s="102"/>
      <c r="AA231" s="102"/>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102"/>
      <c r="BE231" s="102"/>
      <c r="BF231" s="102"/>
      <c r="BG231" s="102"/>
      <c r="BH231" s="102"/>
      <c r="BI231" s="102"/>
      <c r="BJ231" s="102"/>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9"/>
      <c r="D232" s="25"/>
      <c r="E232" s="376"/>
      <c r="F232" s="85">
        <v>5</v>
      </c>
      <c r="G232" s="26"/>
      <c r="H232" s="146"/>
      <c r="I232" s="148"/>
      <c r="J232" s="148"/>
      <c r="K232" s="148"/>
      <c r="L232" s="147"/>
      <c r="M232" s="67">
        <f>IF(A15stdlife="n/a","n/a",IF(M$3&gt;(A15stdlife+$F232),(Input!$L$157*(1+vanilla5)^0.5)-SUM($L232:L232),(Input!$L$157*(1+vanilla5)^0.5)/A15stdlife))</f>
        <v>0</v>
      </c>
      <c r="N232" s="67">
        <f>IF(A15stdlife="n/a","n/a",IF(N$3&gt;(A15stdlife+$F232),(Input!$L$157*(1+vanilla5)^0.5)-SUM($L232:M232),(Input!$L$157*(1+vanilla5)^0.5)/A15stdlife))</f>
        <v>0</v>
      </c>
      <c r="O232" s="67">
        <f>IF(A15stdlife="n/a","n/a",IF(O$3&gt;(A15stdlife+$F232),(Input!$L$157*(1+vanilla5)^0.5)-SUM($L232:N232),(Input!$L$157*(1+vanilla5)^0.5)/A15stdlife))</f>
        <v>0</v>
      </c>
      <c r="P232" s="67">
        <f>IF(A15stdlife="n/a","n/a",IF(P$3&gt;(A15stdlife+$F232),(Input!$L$157*(1+vanilla5)^0.5)-SUM($L232:O232),(Input!$L$157*(1+vanilla5)^0.5)/A15stdlife))</f>
        <v>0</v>
      </c>
      <c r="Q232" s="67">
        <f>IF(A15stdlife="n/a","n/a",IF(Q$3&gt;(A15stdlife+$F232),(Input!$L$157*(1+vanilla5)^0.5)-SUM($L232:P232),(Input!$L$157*(1+vanilla5)^0.5)/A15stdlife))</f>
        <v>0</v>
      </c>
      <c r="R232" s="67"/>
      <c r="S232" s="102"/>
      <c r="T232" s="102"/>
      <c r="U232" s="102"/>
      <c r="V232" s="102"/>
      <c r="W232" s="102"/>
      <c r="X232" s="102"/>
      <c r="Y232" s="102"/>
      <c r="Z232" s="102"/>
      <c r="AA232" s="102"/>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102"/>
      <c r="BE232" s="102"/>
      <c r="BF232" s="102"/>
      <c r="BG232" s="102"/>
      <c r="BH232" s="102"/>
      <c r="BI232" s="102"/>
      <c r="BJ232" s="102"/>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376"/>
      <c r="F233" s="85">
        <v>6</v>
      </c>
      <c r="G233" s="26"/>
      <c r="H233" s="146"/>
      <c r="I233" s="148"/>
      <c r="J233" s="148"/>
      <c r="K233" s="148"/>
      <c r="L233" s="148"/>
      <c r="M233" s="147"/>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2"/>
      <c r="T233" s="102"/>
      <c r="U233" s="102"/>
      <c r="V233" s="102"/>
      <c r="W233" s="102"/>
      <c r="X233" s="102"/>
      <c r="Y233" s="102"/>
      <c r="Z233" s="102"/>
      <c r="AA233" s="102"/>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102"/>
      <c r="BE233" s="102"/>
      <c r="BF233" s="102"/>
      <c r="BG233" s="102"/>
      <c r="BH233" s="102"/>
      <c r="BI233" s="102"/>
      <c r="BJ233" s="102"/>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9"/>
      <c r="D234" s="25"/>
      <c r="E234" s="376"/>
      <c r="F234" s="85">
        <v>7</v>
      </c>
      <c r="G234" s="26"/>
      <c r="H234" s="146"/>
      <c r="I234" s="148"/>
      <c r="J234" s="148"/>
      <c r="K234" s="148"/>
      <c r="L234" s="148"/>
      <c r="M234" s="148"/>
      <c r="N234" s="147"/>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2"/>
      <c r="T234" s="102"/>
      <c r="U234" s="102"/>
      <c r="V234" s="102"/>
      <c r="W234" s="102"/>
      <c r="X234" s="102"/>
      <c r="Y234" s="102"/>
      <c r="Z234" s="102"/>
      <c r="AA234" s="102"/>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102"/>
      <c r="BE234" s="102"/>
      <c r="BF234" s="102"/>
      <c r="BG234" s="102"/>
      <c r="BH234" s="102"/>
      <c r="BI234" s="102"/>
      <c r="BJ234" s="102"/>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9"/>
      <c r="D235" s="25"/>
      <c r="E235" s="376"/>
      <c r="F235" s="85">
        <v>8</v>
      </c>
      <c r="G235" s="26"/>
      <c r="H235" s="146"/>
      <c r="I235" s="148"/>
      <c r="J235" s="148"/>
      <c r="K235" s="148"/>
      <c r="L235" s="148"/>
      <c r="M235" s="148"/>
      <c r="N235" s="148"/>
      <c r="O235" s="147"/>
      <c r="P235" s="67">
        <f>IF(A15stdlife="n/a","n/a",IF(P$3&gt;(A15stdlife+$F235),(Input!$O$157*(1+vanilla8)^0.5)-SUM($O235:O235),(Input!$O$157*(1+vanilla8)^0.5)/A15stdlife))</f>
        <v>0</v>
      </c>
      <c r="Q235" s="67">
        <f>IF(A15stdlife="n/a","n/a",IF(Q$3&gt;(A15stdlife+$F235),(Input!$O$157*(1+vanilla8)^0.5)-SUM($O235:P235),(Input!$O$157*(1+vanilla8)^0.5)/A15stdlife))</f>
        <v>0</v>
      </c>
      <c r="R235" s="67"/>
      <c r="S235" s="102"/>
      <c r="T235" s="102"/>
      <c r="U235" s="102"/>
      <c r="V235" s="102"/>
      <c r="W235" s="102"/>
      <c r="X235" s="102"/>
      <c r="Y235" s="102"/>
      <c r="Z235" s="102"/>
      <c r="AA235" s="102"/>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102"/>
      <c r="BE235" s="102"/>
      <c r="BF235" s="102"/>
      <c r="BG235" s="102"/>
      <c r="BH235" s="102"/>
      <c r="BI235" s="102"/>
      <c r="BJ235" s="102"/>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9"/>
      <c r="D236" s="25"/>
      <c r="E236" s="376"/>
      <c r="F236" s="85">
        <v>9</v>
      </c>
      <c r="G236" s="26"/>
      <c r="H236" s="146"/>
      <c r="I236" s="148"/>
      <c r="J236" s="148"/>
      <c r="K236" s="148"/>
      <c r="L236" s="148"/>
      <c r="M236" s="148"/>
      <c r="N236" s="148"/>
      <c r="O236" s="148"/>
      <c r="P236" s="147"/>
      <c r="Q236" s="67">
        <f>IF(A15stdlife="n/a","n/a",IF(Q$3&gt;(A15stdlife+$F236),(Input!$P$157*(1+vanilla9)^0.5)-SUM($P236:P236),(Input!$P$157*(1+vanilla9)^0.5)/A15stdlife))</f>
        <v>0</v>
      </c>
      <c r="R236" s="67"/>
      <c r="S236" s="102"/>
      <c r="T236" s="102"/>
      <c r="U236" s="102"/>
      <c r="V236" s="102"/>
      <c r="W236" s="102"/>
      <c r="X236" s="102"/>
      <c r="Y236" s="102"/>
      <c r="Z236" s="102"/>
      <c r="AA236" s="102"/>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102"/>
      <c r="BE236" s="102"/>
      <c r="BF236" s="102"/>
      <c r="BG236" s="102"/>
      <c r="BH236" s="102"/>
      <c r="BI236" s="102"/>
      <c r="BJ236" s="102"/>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9"/>
      <c r="D237" s="25"/>
      <c r="E237" s="376"/>
      <c r="F237" s="86">
        <v>10</v>
      </c>
      <c r="G237" s="26"/>
      <c r="H237" s="146"/>
      <c r="I237" s="148"/>
      <c r="J237" s="148"/>
      <c r="K237" s="148"/>
      <c r="L237" s="148"/>
      <c r="M237" s="148"/>
      <c r="N237" s="148"/>
      <c r="O237" s="148"/>
      <c r="P237" s="148"/>
      <c r="Q237" s="147"/>
      <c r="R237" s="67"/>
      <c r="S237" s="102"/>
      <c r="T237" s="102"/>
      <c r="U237" s="102"/>
      <c r="V237" s="102"/>
      <c r="W237" s="102"/>
      <c r="X237" s="102"/>
      <c r="Y237" s="102"/>
      <c r="Z237" s="102"/>
      <c r="AA237" s="102"/>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102"/>
      <c r="BE237" s="102"/>
      <c r="BF237" s="102"/>
      <c r="BG237" s="102"/>
      <c r="BH237" s="102"/>
      <c r="BI237" s="102"/>
      <c r="BJ237" s="102"/>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1" collapsed="1">
      <c r="A238" s="9"/>
      <c r="B238" s="9"/>
      <c r="C238" s="9"/>
      <c r="D238" s="25" t="str">
        <f>Asset15</f>
        <v>Network control &amp; com systems</v>
      </c>
      <c r="E238" s="9"/>
      <c r="F238" s="9"/>
      <c r="G238" s="122"/>
      <c r="H238" s="165">
        <f>-SUM(H226:H237)</f>
        <v>-1.0403064189407181</v>
      </c>
      <c r="I238" s="165">
        <f>-SUM(I226:I237)</f>
        <v>-1.0815158443118651</v>
      </c>
      <c r="J238" s="165">
        <f>-SUM(J226:J237)</f>
        <v>-1.0815158443118651</v>
      </c>
      <c r="K238" s="165">
        <f>-SUM(K226:K237)</f>
        <v>-1.0821531703605098</v>
      </c>
      <c r="L238" s="165">
        <f>-SUM(L226:L237)</f>
        <v>-1.0821531703605098</v>
      </c>
      <c r="M238" s="165">
        <f>IF(Input!M173&gt;0, -SUM(M226:M237), 0)</f>
        <v>0</v>
      </c>
      <c r="N238" s="165">
        <f>IF(Input!N173&gt;0, -SUM(N226:N237), 0)</f>
        <v>0</v>
      </c>
      <c r="O238" s="165">
        <f>IF(Input!O173&gt;0, -SUM(O226:O237), 0)</f>
        <v>0</v>
      </c>
      <c r="P238" s="165">
        <f>IF(Input!P173&gt;0, -SUM(P226:P237), 0)</f>
        <v>0</v>
      </c>
      <c r="Q238" s="165">
        <f>IF(Input!Q173&gt;0, -SUM(Q226:Q237), 0)</f>
        <v>0</v>
      </c>
      <c r="R238" s="65"/>
      <c r="S238" s="104"/>
      <c r="T238" s="104"/>
      <c r="U238" s="104"/>
      <c r="V238" s="104"/>
      <c r="W238" s="104"/>
      <c r="X238" s="104"/>
      <c r="Y238" s="104"/>
      <c r="Z238" s="104"/>
      <c r="AA238" s="104"/>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104"/>
      <c r="BE238" s="104"/>
      <c r="BF238" s="104"/>
      <c r="BG238" s="104"/>
      <c r="BH238" s="104"/>
      <c r="BI238" s="104"/>
      <c r="BJ238" s="104"/>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31" t="str">
        <f>Asset16</f>
        <v>Communications (digital) - tx</v>
      </c>
      <c r="D239" s="161"/>
      <c r="E239" s="33" t="s">
        <v>28</v>
      </c>
      <c r="F239" s="32"/>
      <c r="G239" s="174"/>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2"/>
      <c r="T239" s="102"/>
      <c r="U239" s="102"/>
      <c r="V239" s="102"/>
      <c r="W239" s="102"/>
      <c r="X239" s="102"/>
      <c r="Y239" s="102"/>
      <c r="Z239" s="102"/>
      <c r="AA239" s="102"/>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102"/>
      <c r="BE239" s="102"/>
      <c r="BF239" s="102"/>
      <c r="BG239" s="102"/>
      <c r="BH239" s="102"/>
      <c r="BI239" s="102"/>
      <c r="BJ239" s="102"/>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5"/>
      <c r="E240" s="375" t="s">
        <v>85</v>
      </c>
      <c r="F240" s="85">
        <v>0</v>
      </c>
      <c r="G240" s="122"/>
      <c r="H240" s="67"/>
      <c r="I240" s="67"/>
      <c r="J240" s="67"/>
      <c r="K240" s="67"/>
      <c r="L240" s="67"/>
      <c r="M240" s="163"/>
      <c r="N240" s="111"/>
      <c r="O240" s="67"/>
      <c r="P240" s="67"/>
      <c r="Q240" s="67"/>
      <c r="R240" s="67"/>
      <c r="S240" s="102"/>
      <c r="T240" s="102"/>
      <c r="U240" s="102"/>
      <c r="V240" s="102"/>
      <c r="W240" s="102"/>
      <c r="X240" s="102"/>
      <c r="Y240" s="102"/>
      <c r="Z240" s="102"/>
      <c r="AA240" s="102"/>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102"/>
      <c r="BE240" s="102"/>
      <c r="BF240" s="102"/>
      <c r="BG240" s="102"/>
      <c r="BH240" s="102"/>
      <c r="BI240" s="102"/>
      <c r="BJ240" s="102"/>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9"/>
      <c r="D241" s="25"/>
      <c r="E241" s="376"/>
      <c r="F241" s="85">
        <v>1</v>
      </c>
      <c r="G241" s="122"/>
      <c r="H241" s="145"/>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2"/>
      <c r="T241" s="102"/>
      <c r="U241" s="102"/>
      <c r="V241" s="102"/>
      <c r="W241" s="102"/>
      <c r="X241" s="102"/>
      <c r="Y241" s="102"/>
      <c r="Z241" s="102"/>
      <c r="AA241" s="102"/>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102"/>
      <c r="BE241" s="102"/>
      <c r="BF241" s="102"/>
      <c r="BG241" s="102"/>
      <c r="BH241" s="102"/>
      <c r="BI241" s="102"/>
      <c r="BJ241" s="102"/>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376"/>
      <c r="F242" s="85">
        <v>2</v>
      </c>
      <c r="G242" s="122"/>
      <c r="H242" s="146"/>
      <c r="I242" s="147"/>
      <c r="J242" s="67">
        <f>IF(A16stdlife="n/a","n/a",IF(J$3&gt;(A16stdlife+$F242),(Input!$I$158*(1+vanilla2)^0.5)-SUM($I242:I242),(Input!$I$158*(1+vanilla2)^0.5)/A16stdlife))</f>
        <v>3.2333283435584101E-2</v>
      </c>
      <c r="K242" s="67">
        <f>IF(A16stdlife="n/a","n/a",IF(K$3&gt;(A16stdlife+$F242),(Input!$I$158*(1+vanilla2)^0.5)-SUM($I242:J242),(Input!$I$158*(1+vanilla2)^0.5)/A16stdlife))</f>
        <v>3.2333283435584101E-2</v>
      </c>
      <c r="L242" s="67">
        <f>IF(A16stdlife="n/a","n/a",IF(L$3&gt;(A16stdlife+$F242),(Input!$I$158*(1+vanilla2)^0.5)-SUM($I242:K242),(Input!$I$158*(1+vanilla2)^0.5)/A16stdlife))</f>
        <v>3.2333283435584101E-2</v>
      </c>
      <c r="M242" s="67">
        <f>IF(A16stdlife="n/a","n/a",IF(M$3&gt;(A16stdlife+$F242),(Input!$I$158*(1+vanilla2)^0.5)-SUM($I242:L242),(Input!$I$158*(1+vanilla2)^0.5)/A16stdlife))</f>
        <v>3.2333283435584101E-2</v>
      </c>
      <c r="N242" s="67">
        <f>IF(A16stdlife="n/a","n/a",IF(N$3&gt;(A16stdlife+$F242),(Input!$I$158*(1+vanilla2)^0.5)-SUM($I242:M242),(Input!$I$158*(1+vanilla2)^0.5)/A16stdlife))</f>
        <v>3.2333283435584101E-2</v>
      </c>
      <c r="O242" s="67">
        <f>IF(A16stdlife="n/a","n/a",IF(O$3&gt;(A16stdlife+$F242),(Input!$I$158*(1+vanilla2)^0.5)-SUM($I242:N242),(Input!$I$158*(1+vanilla2)^0.5)/A16stdlife))</f>
        <v>3.2333283435584101E-2</v>
      </c>
      <c r="P242" s="67">
        <f>IF(A16stdlife="n/a","n/a",IF(P$3&gt;(A16stdlife+$F242),(Input!$I$158*(1+vanilla2)^0.5)-SUM($I242:O242),(Input!$I$158*(1+vanilla2)^0.5)/A16stdlife))</f>
        <v>3.2333283435584101E-2</v>
      </c>
      <c r="Q242" s="67">
        <f>IF(A16stdlife="n/a","n/a",IF(Q$3&gt;(A16stdlife+$F242),(Input!$I$158*(1+vanilla2)^0.5)-SUM($I242:P242),(Input!$I$158*(1+vanilla2)^0.5)/A16stdlife))</f>
        <v>3.2333283435584101E-2</v>
      </c>
      <c r="R242" s="67"/>
      <c r="S242" s="102"/>
      <c r="T242" s="102"/>
      <c r="U242" s="102"/>
      <c r="V242" s="102"/>
      <c r="W242" s="102"/>
      <c r="X242" s="102"/>
      <c r="Y242" s="102"/>
      <c r="Z242" s="102"/>
      <c r="AA242" s="102"/>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102"/>
      <c r="BE242" s="102"/>
      <c r="BF242" s="102"/>
      <c r="BG242" s="102"/>
      <c r="BH242" s="102"/>
      <c r="BI242" s="102"/>
      <c r="BJ242" s="102"/>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9"/>
      <c r="D243" s="25"/>
      <c r="E243" s="376"/>
      <c r="F243" s="85">
        <v>3</v>
      </c>
      <c r="G243" s="122"/>
      <c r="H243" s="146"/>
      <c r="I243" s="148"/>
      <c r="J243" s="147"/>
      <c r="K243" s="67">
        <f>IF(A16stdlife="n/a","n/a",IF(K$3&gt;(A16stdlife+$F243),(Input!$J$158*(1+vanilla3)^0.5)-SUM($J243:J243),(Input!$J$158*(1+vanilla3)^0.5)/A16stdlife))</f>
        <v>4.6459825105036864E-2</v>
      </c>
      <c r="L243" s="67">
        <f>IF(A16stdlife="n/a","n/a",IF(L$3&gt;(A16stdlife+$F243),(Input!$J$158*(1+vanilla3)^0.5)-SUM($J243:K243),(Input!$J$158*(1+vanilla3)^0.5)/A16stdlife))</f>
        <v>4.6459825105036864E-2</v>
      </c>
      <c r="M243" s="67">
        <f>IF(A16stdlife="n/a","n/a",IF(M$3&gt;(A16stdlife+$F243),(Input!$J$158*(1+vanilla3)^0.5)-SUM($J243:L243),(Input!$J$158*(1+vanilla3)^0.5)/A16stdlife))</f>
        <v>4.6459825105036864E-2</v>
      </c>
      <c r="N243" s="67">
        <f>IF(A16stdlife="n/a","n/a",IF(N$3&gt;(A16stdlife+$F243),(Input!$J$158*(1+vanilla3)^0.5)-SUM($J243:M243),(Input!$J$158*(1+vanilla3)^0.5)/A16stdlife))</f>
        <v>4.6459825105036864E-2</v>
      </c>
      <c r="O243" s="67">
        <f>IF(A16stdlife="n/a","n/a",IF(O$3&gt;(A16stdlife+$F243),(Input!$J$158*(1+vanilla3)^0.5)-SUM($J243:N243),(Input!$J$158*(1+vanilla3)^0.5)/A16stdlife))</f>
        <v>4.6459825105036864E-2</v>
      </c>
      <c r="P243" s="67">
        <f>IF(A16stdlife="n/a","n/a",IF(P$3&gt;(A16stdlife+$F243),(Input!$J$158*(1+vanilla3)^0.5)-SUM($J243:O243),(Input!$J$158*(1+vanilla3)^0.5)/A16stdlife))</f>
        <v>4.6459825105036864E-2</v>
      </c>
      <c r="Q243" s="67">
        <f>IF(A16stdlife="n/a","n/a",IF(Q$3&gt;(A16stdlife+$F243),(Input!$J$158*(1+vanilla3)^0.5)-SUM($J243:P243),(Input!$J$158*(1+vanilla3)^0.5)/A16stdlife))</f>
        <v>4.6459825105036864E-2</v>
      </c>
      <c r="R243" s="67"/>
      <c r="S243" s="102"/>
      <c r="T243" s="102"/>
      <c r="U243" s="102"/>
      <c r="V243" s="102"/>
      <c r="W243" s="102"/>
      <c r="X243" s="102"/>
      <c r="Y243" s="102"/>
      <c r="Z243" s="102"/>
      <c r="AA243" s="102"/>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102"/>
      <c r="BE243" s="102"/>
      <c r="BF243" s="102"/>
      <c r="BG243" s="102"/>
      <c r="BH243" s="102"/>
      <c r="BI243" s="102"/>
      <c r="BJ243" s="102"/>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9"/>
      <c r="D244" s="25"/>
      <c r="E244" s="376"/>
      <c r="F244" s="85">
        <v>4</v>
      </c>
      <c r="G244" s="122"/>
      <c r="H244" s="146"/>
      <c r="I244" s="148"/>
      <c r="J244" s="148"/>
      <c r="K244" s="147"/>
      <c r="L244" s="67">
        <f>IF(A16stdlife="n/a","n/a",IF(L$3&gt;(A16stdlife+$F244),(Input!$K$158*(1+vanilla4)^0.5)-SUM($K244:K244),(Input!$K$158*(1+vanilla4)^0.5)/A16stdlife))</f>
        <v>1.646746976672462E-2</v>
      </c>
      <c r="M244" s="67">
        <f>IF(A16stdlife="n/a","n/a",IF(M$3&gt;(A16stdlife+$F244),(Input!$K$158*(1+vanilla4)^0.5)-SUM($K244:L244),(Input!$K$158*(1+vanilla4)^0.5)/A16stdlife))</f>
        <v>1.646746976672462E-2</v>
      </c>
      <c r="N244" s="67">
        <f>IF(A16stdlife="n/a","n/a",IF(N$3&gt;(A16stdlife+$F244),(Input!$K$158*(1+vanilla4)^0.5)-SUM($K244:M244),(Input!$K$158*(1+vanilla4)^0.5)/A16stdlife))</f>
        <v>1.646746976672462E-2</v>
      </c>
      <c r="O244" s="67">
        <f>IF(A16stdlife="n/a","n/a",IF(O$3&gt;(A16stdlife+$F244),(Input!$K$158*(1+vanilla4)^0.5)-SUM($K244:N244),(Input!$K$158*(1+vanilla4)^0.5)/A16stdlife))</f>
        <v>1.646746976672462E-2</v>
      </c>
      <c r="P244" s="67">
        <f>IF(A16stdlife="n/a","n/a",IF(P$3&gt;(A16stdlife+$F244),(Input!$K$158*(1+vanilla4)^0.5)-SUM($K244:O244),(Input!$K$158*(1+vanilla4)^0.5)/A16stdlife))</f>
        <v>1.646746976672462E-2</v>
      </c>
      <c r="Q244" s="67">
        <f>IF(A16stdlife="n/a","n/a",IF(Q$3&gt;(A16stdlife+$F244),(Input!$K$158*(1+vanilla4)^0.5)-SUM($K244:P244),(Input!$K$158*(1+vanilla4)^0.5)/A16stdlife))</f>
        <v>1.646746976672462E-2</v>
      </c>
      <c r="R244" s="67"/>
      <c r="S244" s="102"/>
      <c r="T244" s="102"/>
      <c r="U244" s="102"/>
      <c r="V244" s="102"/>
      <c r="W244" s="102"/>
      <c r="X244" s="102"/>
      <c r="Y244" s="102"/>
      <c r="Z244" s="102"/>
      <c r="AA244" s="102"/>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102"/>
      <c r="BE244" s="102"/>
      <c r="BF244" s="102"/>
      <c r="BG244" s="102"/>
      <c r="BH244" s="102"/>
      <c r="BI244" s="102"/>
      <c r="BJ244" s="102"/>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9"/>
      <c r="D245" s="25"/>
      <c r="E245" s="376"/>
      <c r="F245" s="85">
        <v>5</v>
      </c>
      <c r="G245" s="26"/>
      <c r="H245" s="146"/>
      <c r="I245" s="148"/>
      <c r="J245" s="148"/>
      <c r="K245" s="148"/>
      <c r="L245" s="147"/>
      <c r="M245" s="67">
        <f>IF(A16stdlife="n/a","n/a",IF(M$3&gt;(A16stdlife+$F245),(Input!$L$158*(1+vanilla5)^0.5)-SUM($L245:L245),(Input!$L$158*(1+vanilla5)^0.5)/A16stdlife))</f>
        <v>1.2350251016353444E-2</v>
      </c>
      <c r="N245" s="67">
        <f>IF(A16stdlife="n/a","n/a",IF(N$3&gt;(A16stdlife+$F245),(Input!$L$158*(1+vanilla5)^0.5)-SUM($L245:M245),(Input!$L$158*(1+vanilla5)^0.5)/A16stdlife))</f>
        <v>1.2350251016353444E-2</v>
      </c>
      <c r="O245" s="67">
        <f>IF(A16stdlife="n/a","n/a",IF(O$3&gt;(A16stdlife+$F245),(Input!$L$158*(1+vanilla5)^0.5)-SUM($L245:N245),(Input!$L$158*(1+vanilla5)^0.5)/A16stdlife))</f>
        <v>1.2350251016353444E-2</v>
      </c>
      <c r="P245" s="67">
        <f>IF(A16stdlife="n/a","n/a",IF(P$3&gt;(A16stdlife+$F245),(Input!$L$158*(1+vanilla5)^0.5)-SUM($L245:O245),(Input!$L$158*(1+vanilla5)^0.5)/A16stdlife))</f>
        <v>1.2350251016353444E-2</v>
      </c>
      <c r="Q245" s="67">
        <f>IF(A16stdlife="n/a","n/a",IF(Q$3&gt;(A16stdlife+$F245),(Input!$L$158*(1+vanilla5)^0.5)-SUM($L245:P245),(Input!$L$158*(1+vanilla5)^0.5)/A16stdlife))</f>
        <v>1.2350251016353444E-2</v>
      </c>
      <c r="R245" s="67"/>
      <c r="S245" s="102"/>
      <c r="T245" s="102"/>
      <c r="U245" s="102"/>
      <c r="V245" s="102"/>
      <c r="W245" s="102"/>
      <c r="X245" s="102"/>
      <c r="Y245" s="102"/>
      <c r="Z245" s="102"/>
      <c r="AA245" s="102"/>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102"/>
      <c r="BE245" s="102"/>
      <c r="BF245" s="102"/>
      <c r="BG245" s="102"/>
      <c r="BH245" s="102"/>
      <c r="BI245" s="102"/>
      <c r="BJ245" s="102"/>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376"/>
      <c r="F246" s="85">
        <v>6</v>
      </c>
      <c r="G246" s="26"/>
      <c r="H246" s="146"/>
      <c r="I246" s="148"/>
      <c r="J246" s="148"/>
      <c r="K246" s="148"/>
      <c r="L246" s="148"/>
      <c r="M246" s="147"/>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2"/>
      <c r="T246" s="102"/>
      <c r="U246" s="102"/>
      <c r="V246" s="102"/>
      <c r="W246" s="102"/>
      <c r="X246" s="102"/>
      <c r="Y246" s="102"/>
      <c r="Z246" s="102"/>
      <c r="AA246" s="102"/>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102"/>
      <c r="BE246" s="102"/>
      <c r="BF246" s="102"/>
      <c r="BG246" s="102"/>
      <c r="BH246" s="102"/>
      <c r="BI246" s="102"/>
      <c r="BJ246" s="102"/>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9"/>
      <c r="D247" s="25"/>
      <c r="E247" s="376"/>
      <c r="F247" s="85">
        <v>7</v>
      </c>
      <c r="G247" s="26"/>
      <c r="H247" s="146"/>
      <c r="I247" s="148"/>
      <c r="J247" s="148"/>
      <c r="K247" s="148"/>
      <c r="L247" s="148"/>
      <c r="M247" s="148"/>
      <c r="N247" s="147"/>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2"/>
      <c r="T247" s="102"/>
      <c r="U247" s="102"/>
      <c r="V247" s="102"/>
      <c r="W247" s="102"/>
      <c r="X247" s="102"/>
      <c r="Y247" s="102"/>
      <c r="Z247" s="102"/>
      <c r="AA247" s="102"/>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102"/>
      <c r="BE247" s="102"/>
      <c r="BF247" s="102"/>
      <c r="BG247" s="102"/>
      <c r="BH247" s="102"/>
      <c r="BI247" s="102"/>
      <c r="BJ247" s="102"/>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9"/>
      <c r="D248" s="25"/>
      <c r="E248" s="376"/>
      <c r="F248" s="85">
        <v>8</v>
      </c>
      <c r="G248" s="26"/>
      <c r="H248" s="146"/>
      <c r="I248" s="148"/>
      <c r="J248" s="148"/>
      <c r="K248" s="148"/>
      <c r="L248" s="148"/>
      <c r="M248" s="148"/>
      <c r="N248" s="148"/>
      <c r="O248" s="147"/>
      <c r="P248" s="67">
        <f>IF(A16stdlife="n/a","n/a",IF(P$3&gt;(A16stdlife+$F248),(Input!$O$158*(1+vanilla8)^0.5)-SUM($O248:O248),(Input!$O$158*(1+vanilla8)^0.5)/A16stdlife))</f>
        <v>0</v>
      </c>
      <c r="Q248" s="67">
        <f>IF(A16stdlife="n/a","n/a",IF(Q$3&gt;(A16stdlife+$F248),(Input!$O$158*(1+vanilla8)^0.5)-SUM($O248:P248),(Input!$O$158*(1+vanilla8)^0.5)/A16stdlife))</f>
        <v>0</v>
      </c>
      <c r="R248" s="67"/>
      <c r="S248" s="102"/>
      <c r="T248" s="102"/>
      <c r="U248" s="102"/>
      <c r="V248" s="102"/>
      <c r="W248" s="102"/>
      <c r="X248" s="102"/>
      <c r="Y248" s="102"/>
      <c r="Z248" s="102"/>
      <c r="AA248" s="102"/>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102"/>
      <c r="BE248" s="102"/>
      <c r="BF248" s="102"/>
      <c r="BG248" s="102"/>
      <c r="BH248" s="102"/>
      <c r="BI248" s="102"/>
      <c r="BJ248" s="102"/>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9"/>
      <c r="D249" s="25"/>
      <c r="E249" s="376"/>
      <c r="F249" s="85">
        <v>9</v>
      </c>
      <c r="G249" s="26"/>
      <c r="H249" s="146"/>
      <c r="I249" s="148"/>
      <c r="J249" s="148"/>
      <c r="K249" s="148"/>
      <c r="L249" s="148"/>
      <c r="M249" s="148"/>
      <c r="N249" s="148"/>
      <c r="O249" s="148"/>
      <c r="P249" s="147"/>
      <c r="Q249" s="67">
        <f>IF(A16stdlife="n/a","n/a",IF(Q$3&gt;(A16stdlife+$F249),(Input!$P$158*(1+vanilla9)^0.5)-SUM($P249:P249),(Input!$P$158*(1+vanilla9)^0.5)/A16stdlife))</f>
        <v>0</v>
      </c>
      <c r="R249" s="67"/>
      <c r="S249" s="102"/>
      <c r="T249" s="102"/>
      <c r="U249" s="102"/>
      <c r="V249" s="102"/>
      <c r="W249" s="102"/>
      <c r="X249" s="102"/>
      <c r="Y249" s="102"/>
      <c r="Z249" s="102"/>
      <c r="AA249" s="102"/>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102"/>
      <c r="BE249" s="102"/>
      <c r="BF249" s="102"/>
      <c r="BG249" s="102"/>
      <c r="BH249" s="102"/>
      <c r="BI249" s="102"/>
      <c r="BJ249" s="102"/>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9"/>
      <c r="D250" s="25"/>
      <c r="E250" s="376"/>
      <c r="F250" s="86">
        <v>10</v>
      </c>
      <c r="G250" s="26"/>
      <c r="H250" s="146"/>
      <c r="I250" s="148"/>
      <c r="J250" s="148"/>
      <c r="K250" s="148"/>
      <c r="L250" s="148"/>
      <c r="M250" s="148"/>
      <c r="N250" s="148"/>
      <c r="O250" s="148"/>
      <c r="P250" s="148"/>
      <c r="Q250" s="147"/>
      <c r="R250" s="67"/>
      <c r="S250" s="102"/>
      <c r="T250" s="102"/>
      <c r="U250" s="102"/>
      <c r="V250" s="102"/>
      <c r="W250" s="102"/>
      <c r="X250" s="102"/>
      <c r="Y250" s="102"/>
      <c r="Z250" s="102"/>
      <c r="AA250" s="102"/>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102"/>
      <c r="BE250" s="102"/>
      <c r="BF250" s="102"/>
      <c r="BG250" s="102"/>
      <c r="BH250" s="102"/>
      <c r="BI250" s="102"/>
      <c r="BJ250" s="102"/>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1" collapsed="1">
      <c r="A251" s="9"/>
      <c r="B251" s="9"/>
      <c r="C251" s="9"/>
      <c r="D251" s="25" t="str">
        <f>Asset16</f>
        <v>Communications (digital) - tx</v>
      </c>
      <c r="E251" s="9"/>
      <c r="F251" s="9"/>
      <c r="G251" s="122"/>
      <c r="H251" s="165">
        <f>-SUM(H239:H250)</f>
        <v>0</v>
      </c>
      <c r="I251" s="165">
        <f>-SUM(I239:I250)</f>
        <v>0</v>
      </c>
      <c r="J251" s="165">
        <f>-SUM(J239:J250)</f>
        <v>-3.2333283435584101E-2</v>
      </c>
      <c r="K251" s="165">
        <f>-SUM(K239:K250)</f>
        <v>-7.8793108540620965E-2</v>
      </c>
      <c r="L251" s="165">
        <f>-SUM(L239:L250)</f>
        <v>-9.5260578307345578E-2</v>
      </c>
      <c r="M251" s="165">
        <f>IF(Input!M173&gt;0, -SUM(M239:M250), 0)</f>
        <v>0</v>
      </c>
      <c r="N251" s="165">
        <f>IF(Input!N173&gt;0, -SUM(N239:N250), 0)</f>
        <v>0</v>
      </c>
      <c r="O251" s="165">
        <f>IF(Input!O173&gt;0, -SUM(O239:O250), 0)</f>
        <v>0</v>
      </c>
      <c r="P251" s="165">
        <f>IF(Input!P173&gt;0, -SUM(P239:P250), 0)</f>
        <v>0</v>
      </c>
      <c r="Q251" s="165">
        <f>IF(Input!Q173&gt;0, -SUM(Q239:Q250), 0)</f>
        <v>0</v>
      </c>
      <c r="R251" s="65"/>
      <c r="S251" s="104"/>
      <c r="T251" s="104"/>
      <c r="U251" s="104"/>
      <c r="V251" s="104"/>
      <c r="W251" s="104"/>
      <c r="X251" s="104"/>
      <c r="Y251" s="104"/>
      <c r="Z251" s="104"/>
      <c r="AA251" s="104"/>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104"/>
      <c r="BE251" s="104"/>
      <c r="BF251" s="104"/>
      <c r="BG251" s="104"/>
      <c r="BH251" s="104"/>
      <c r="BI251" s="104"/>
      <c r="BJ251" s="104"/>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31" t="str">
        <f>Asset17</f>
        <v>System IT (tx)</v>
      </c>
      <c r="D252" s="161"/>
      <c r="E252" s="33" t="s">
        <v>28</v>
      </c>
      <c r="F252" s="32"/>
      <c r="G252" s="174"/>
      <c r="H252" s="66" t="str">
        <f>IF(H$3&gt;A17remlife,A17value-SUM($G252:G252),IF(A17remlife="N/A","n/a",A17value/A17remlife))</f>
        <v>n/a</v>
      </c>
      <c r="I252" s="66" t="str">
        <f>IF(I$3&gt;A17remlife,A17value-SUM($G252:H252),IF(A17remlife="N/A","n/a",A17value/A17remlife))</f>
        <v>n/a</v>
      </c>
      <c r="J252" s="66" t="str">
        <f>IF(J$3&gt;A17remlife,A17value-SUM($G252:I252),IF(A17remlife="N/A","n/a",A17value/A17remlife))</f>
        <v>n/a</v>
      </c>
      <c r="K252" s="66" t="str">
        <f>IF(K$3&gt;A17remlife,A17value-SUM($G252:J252),IF(A17remlife="N/A","n/a",A17value/A17remlife))</f>
        <v>n/a</v>
      </c>
      <c r="L252" s="66" t="str">
        <f>IF(L$3&gt;A17remlife,A17value-SUM($G252:K252),IF(A17remlife="N/A","n/a",A17value/A17remlife))</f>
        <v>n/a</v>
      </c>
      <c r="M252" s="66" t="str">
        <f>IF(M$3&gt;A17remlife,A17value-SUM($G252:L252),IF(A17remlife="N/A","n/a",A17value/A17remlife))</f>
        <v>n/a</v>
      </c>
      <c r="N252" s="66" t="str">
        <f>IF(N$3&gt;A17remlife,A17value-SUM($G252:M252),IF(A17remlife="N/A","n/a",A17value/A17remlife))</f>
        <v>n/a</v>
      </c>
      <c r="O252" s="66" t="str">
        <f>IF(O$3&gt;A17remlife,A17value-SUM($G252:N252),IF(A17remlife="N/A","n/a",A17value/A17remlife))</f>
        <v>n/a</v>
      </c>
      <c r="P252" s="66" t="str">
        <f>IF(P$3&gt;A17remlife,A17value-SUM($G252:O252),IF(A17remlife="N/A","n/a",A17value/A17remlife))</f>
        <v>n/a</v>
      </c>
      <c r="Q252" s="66" t="str">
        <f>IF(Q$3&gt;A17remlife,A17value-SUM($G252:P252),IF(A17remlife="N/A","n/a",A17value/A17remlife))</f>
        <v>n/a</v>
      </c>
      <c r="R252" s="66"/>
      <c r="S252" s="102"/>
      <c r="T252" s="102"/>
      <c r="U252" s="102"/>
      <c r="V252" s="102"/>
      <c r="W252" s="102"/>
      <c r="X252" s="102"/>
      <c r="Y252" s="102"/>
      <c r="Z252" s="102"/>
      <c r="AA252" s="102"/>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102"/>
      <c r="BE252" s="102"/>
      <c r="BF252" s="102"/>
      <c r="BG252" s="102"/>
      <c r="BH252" s="102"/>
      <c r="BI252" s="102"/>
      <c r="BJ252" s="102"/>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5"/>
      <c r="E253" s="375" t="s">
        <v>85</v>
      </c>
      <c r="F253" s="85">
        <v>0</v>
      </c>
      <c r="G253" s="122"/>
      <c r="H253" s="67"/>
      <c r="I253" s="67"/>
      <c r="J253" s="67"/>
      <c r="K253" s="67"/>
      <c r="L253" s="67"/>
      <c r="M253" s="163"/>
      <c r="N253" s="111"/>
      <c r="O253" s="67"/>
      <c r="P253" s="67"/>
      <c r="Q253" s="67"/>
      <c r="R253" s="67"/>
      <c r="S253" s="102"/>
      <c r="T253" s="102"/>
      <c r="U253" s="102"/>
      <c r="V253" s="102"/>
      <c r="W253" s="102"/>
      <c r="X253" s="102"/>
      <c r="Y253" s="102"/>
      <c r="Z253" s="102"/>
      <c r="AA253" s="102"/>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102"/>
      <c r="BE253" s="102"/>
      <c r="BF253" s="102"/>
      <c r="BG253" s="102"/>
      <c r="BH253" s="102"/>
      <c r="BI253" s="102"/>
      <c r="BJ253" s="102"/>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9"/>
      <c r="D254" s="25"/>
      <c r="E254" s="376"/>
      <c r="F254" s="85">
        <v>1</v>
      </c>
      <c r="G254" s="122"/>
      <c r="H254" s="145"/>
      <c r="I254" s="67">
        <f>IF(A17stdlife="n/a","n/a",IF(I$3&gt;(A17stdlife+$F254),(Input!$H$159*(1+vanilla1)^0.5)-SUM($H254:H254),(Input!$H$159*(1+vanilla1)^0.5)/A17stdlife))</f>
        <v>0.5205289757495225</v>
      </c>
      <c r="J254" s="67">
        <f>IF(A17stdlife="n/a","n/a",IF(J$3&gt;(A17stdlife+$F254),(Input!$H$159*(1+vanilla1)^0.5)-SUM($H254:I254),(Input!$H$159*(1+vanilla1)^0.5)/A17stdlife))</f>
        <v>0.5205289757495225</v>
      </c>
      <c r="K254" s="67">
        <f>IF(A17stdlife="n/a","n/a",IF(K$3&gt;(A17stdlife+$F254),(Input!$H$159*(1+vanilla1)^0.5)-SUM($H254:J254),(Input!$H$159*(1+vanilla1)^0.5)/A17stdlife))</f>
        <v>0.5205289757495225</v>
      </c>
      <c r="L254" s="67">
        <f>IF(A17stdlife="n/a","n/a",IF(L$3&gt;(A17stdlife+$F254),(Input!$H$159*(1+vanilla1)^0.5)-SUM($H254:K254),(Input!$H$159*(1+vanilla1)^0.5)/A17stdlife))</f>
        <v>0.5205289757495225</v>
      </c>
      <c r="M254" s="67">
        <f>IF(A17stdlife="n/a","n/a",IF(M$3&gt;(A17stdlife+$F254),(Input!$H$159*(1+vanilla1)^0.5)-SUM($H254:L254),(Input!$H$159*(1+vanilla1)^0.5)/A17stdlife))</f>
        <v>0.5205289757495225</v>
      </c>
      <c r="N254" s="67">
        <f>IF(A17stdlife="n/a","n/a",IF(N$3&gt;(A17stdlife+$F254),(Input!$H$159*(1+vanilla1)^0.5)-SUM($H254:M254),(Input!$H$159*(1+vanilla1)^0.5)/A17stdlife))</f>
        <v>0.5205289757495225</v>
      </c>
      <c r="O254" s="67">
        <f>IF(A17stdlife="n/a","n/a",IF(O$3&gt;(A17stdlife+$F254),(Input!$H$159*(1+vanilla1)^0.5)-SUM($H254:N254),(Input!$H$159*(1+vanilla1)^0.5)/A17stdlife))</f>
        <v>0.5205289757495225</v>
      </c>
      <c r="P254" s="67">
        <f>IF(A17stdlife="n/a","n/a",IF(P$3&gt;(A17stdlife+$F254),(Input!$H$159*(1+vanilla1)^0.5)-SUM($H254:O254),(Input!$H$159*(1+vanilla1)^0.5)/A17stdlife))</f>
        <v>0</v>
      </c>
      <c r="Q254" s="67">
        <f>IF(A17stdlife="n/a","n/a",IF(Q$3&gt;(A17stdlife+$F254),(Input!$H$159*(1+vanilla1)^0.5)-SUM($H254:P254),(Input!$H$159*(1+vanilla1)^0.5)/A17stdlife))</f>
        <v>0</v>
      </c>
      <c r="R254" s="67"/>
      <c r="S254" s="102"/>
      <c r="T254" s="102"/>
      <c r="U254" s="102"/>
      <c r="V254" s="102"/>
      <c r="W254" s="102"/>
      <c r="X254" s="102"/>
      <c r="Y254" s="102"/>
      <c r="Z254" s="102"/>
      <c r="AA254" s="102"/>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102"/>
      <c r="BE254" s="102"/>
      <c r="BF254" s="102"/>
      <c r="BG254" s="102"/>
      <c r="BH254" s="102"/>
      <c r="BI254" s="102"/>
      <c r="BJ254" s="102"/>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376"/>
      <c r="F255" s="85">
        <v>2</v>
      </c>
      <c r="G255" s="122"/>
      <c r="H255" s="146"/>
      <c r="I255" s="147"/>
      <c r="J255" s="67">
        <f>IF(A17stdlife="n/a","n/a",IF(J$3&gt;(A17stdlife+$F255),(Input!$I$159*(1+vanilla2)^0.5)-SUM($I255:I255),(Input!$I$159*(1+vanilla2)^0.5)/A17stdlife))</f>
        <v>1.1449361342966111</v>
      </c>
      <c r="K255" s="67">
        <f>IF(A17stdlife="n/a","n/a",IF(K$3&gt;(A17stdlife+$F255),(Input!$I$159*(1+vanilla2)^0.5)-SUM($I255:J255),(Input!$I$159*(1+vanilla2)^0.5)/A17stdlife))</f>
        <v>1.1449361342966111</v>
      </c>
      <c r="L255" s="67">
        <f>IF(A17stdlife="n/a","n/a",IF(L$3&gt;(A17stdlife+$F255),(Input!$I$159*(1+vanilla2)^0.5)-SUM($I255:K255),(Input!$I$159*(1+vanilla2)^0.5)/A17stdlife))</f>
        <v>1.1449361342966111</v>
      </c>
      <c r="M255" s="67">
        <f>IF(A17stdlife="n/a","n/a",IF(M$3&gt;(A17stdlife+$F255),(Input!$I$159*(1+vanilla2)^0.5)-SUM($I255:L255),(Input!$I$159*(1+vanilla2)^0.5)/A17stdlife))</f>
        <v>1.1449361342966111</v>
      </c>
      <c r="N255" s="67">
        <f>IF(A17stdlife="n/a","n/a",IF(N$3&gt;(A17stdlife+$F255),(Input!$I$159*(1+vanilla2)^0.5)-SUM($I255:M255),(Input!$I$159*(1+vanilla2)^0.5)/A17stdlife))</f>
        <v>1.1449361342966111</v>
      </c>
      <c r="O255" s="67">
        <f>IF(A17stdlife="n/a","n/a",IF(O$3&gt;(A17stdlife+$F255),(Input!$I$159*(1+vanilla2)^0.5)-SUM($I255:N255),(Input!$I$159*(1+vanilla2)^0.5)/A17stdlife))</f>
        <v>1.1449361342966111</v>
      </c>
      <c r="P255" s="67">
        <f>IF(A17stdlife="n/a","n/a",IF(P$3&gt;(A17stdlife+$F255),(Input!$I$159*(1+vanilla2)^0.5)-SUM($I255:O255),(Input!$I$159*(1+vanilla2)^0.5)/A17stdlife))</f>
        <v>1.1449361342966111</v>
      </c>
      <c r="Q255" s="67">
        <f>IF(A17stdlife="n/a","n/a",IF(Q$3&gt;(A17stdlife+$F255),(Input!$I$159*(1+vanilla2)^0.5)-SUM($I255:P255),(Input!$I$159*(1+vanilla2)^0.5)/A17stdlife))</f>
        <v>1.7763568394002505E-15</v>
      </c>
      <c r="R255" s="67"/>
      <c r="S255" s="102"/>
      <c r="T255" s="102"/>
      <c r="U255" s="102"/>
      <c r="V255" s="102"/>
      <c r="W255" s="102"/>
      <c r="X255" s="102"/>
      <c r="Y255" s="102"/>
      <c r="Z255" s="102"/>
      <c r="AA255" s="102"/>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102"/>
      <c r="BE255" s="102"/>
      <c r="BF255" s="102"/>
      <c r="BG255" s="102"/>
      <c r="BH255" s="102"/>
      <c r="BI255" s="102"/>
      <c r="BJ255" s="102"/>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9"/>
      <c r="D256" s="25"/>
      <c r="E256" s="376"/>
      <c r="F256" s="85">
        <v>3</v>
      </c>
      <c r="G256" s="122"/>
      <c r="H256" s="146"/>
      <c r="I256" s="148"/>
      <c r="J256" s="147"/>
      <c r="K256" s="67">
        <f>IF(A17stdlife="n/a","n/a",IF(K$3&gt;(A17stdlife+$F256),(Input!$J$159*(1+vanilla3)^0.5)-SUM($J256:J256),(Input!$J$159*(1+vanilla3)^0.5)/A17stdlife))</f>
        <v>1.2843084582368125</v>
      </c>
      <c r="L256" s="67">
        <f>IF(A17stdlife="n/a","n/a",IF(L$3&gt;(A17stdlife+$F256),(Input!$J$159*(1+vanilla3)^0.5)-SUM($J256:K256),(Input!$J$159*(1+vanilla3)^0.5)/A17stdlife))</f>
        <v>1.2843084582368125</v>
      </c>
      <c r="M256" s="67">
        <f>IF(A17stdlife="n/a","n/a",IF(M$3&gt;(A17stdlife+$F256),(Input!$J$159*(1+vanilla3)^0.5)-SUM($J256:L256),(Input!$J$159*(1+vanilla3)^0.5)/A17stdlife))</f>
        <v>1.2843084582368125</v>
      </c>
      <c r="N256" s="67">
        <f>IF(A17stdlife="n/a","n/a",IF(N$3&gt;(A17stdlife+$F256),(Input!$J$159*(1+vanilla3)^0.5)-SUM($J256:M256),(Input!$J$159*(1+vanilla3)^0.5)/A17stdlife))</f>
        <v>1.2843084582368125</v>
      </c>
      <c r="O256" s="67">
        <f>IF(A17stdlife="n/a","n/a",IF(O$3&gt;(A17stdlife+$F256),(Input!$J$159*(1+vanilla3)^0.5)-SUM($J256:N256),(Input!$J$159*(1+vanilla3)^0.5)/A17stdlife))</f>
        <v>1.2843084582368125</v>
      </c>
      <c r="P256" s="67">
        <f>IF(A17stdlife="n/a","n/a",IF(P$3&gt;(A17stdlife+$F256),(Input!$J$159*(1+vanilla3)^0.5)-SUM($J256:O256),(Input!$J$159*(1+vanilla3)^0.5)/A17stdlife))</f>
        <v>1.2843084582368125</v>
      </c>
      <c r="Q256" s="67">
        <f>IF(A17stdlife="n/a","n/a",IF(Q$3&gt;(A17stdlife+$F256),(Input!$J$159*(1+vanilla3)^0.5)-SUM($J256:P256),(Input!$J$159*(1+vanilla3)^0.5)/A17stdlife))</f>
        <v>1.2843084582368125</v>
      </c>
      <c r="R256" s="67"/>
      <c r="S256" s="102"/>
      <c r="T256" s="102"/>
      <c r="U256" s="102"/>
      <c r="V256" s="102"/>
      <c r="W256" s="102"/>
      <c r="X256" s="102"/>
      <c r="Y256" s="102"/>
      <c r="Z256" s="102"/>
      <c r="AA256" s="102"/>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102"/>
      <c r="BE256" s="102"/>
      <c r="BF256" s="102"/>
      <c r="BG256" s="102"/>
      <c r="BH256" s="102"/>
      <c r="BI256" s="102"/>
      <c r="BJ256" s="102"/>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9"/>
      <c r="D257" s="25"/>
      <c r="E257" s="376"/>
      <c r="F257" s="85">
        <v>4</v>
      </c>
      <c r="G257" s="122"/>
      <c r="H257" s="146"/>
      <c r="I257" s="148"/>
      <c r="J257" s="148"/>
      <c r="K257" s="147"/>
      <c r="L257" s="67">
        <f>IF(A17stdlife="n/a","n/a",IF(L$3&gt;(A17stdlife+$F257),(Input!$K$159*(1+vanilla4)^0.5)-SUM($K257:K257),(Input!$K$159*(1+vanilla4)^0.5)/A17stdlife))</f>
        <v>0.67308011819324964</v>
      </c>
      <c r="M257" s="67">
        <f>IF(A17stdlife="n/a","n/a",IF(M$3&gt;(A17stdlife+$F257),(Input!$K$159*(1+vanilla4)^0.5)-SUM($K257:L257),(Input!$K$159*(1+vanilla4)^0.5)/A17stdlife))</f>
        <v>0.67308011819324964</v>
      </c>
      <c r="N257" s="67">
        <f>IF(A17stdlife="n/a","n/a",IF(N$3&gt;(A17stdlife+$F257),(Input!$K$159*(1+vanilla4)^0.5)-SUM($K257:M257),(Input!$K$159*(1+vanilla4)^0.5)/A17stdlife))</f>
        <v>0.67308011819324964</v>
      </c>
      <c r="O257" s="67">
        <f>IF(A17stdlife="n/a","n/a",IF(O$3&gt;(A17stdlife+$F257),(Input!$K$159*(1+vanilla4)^0.5)-SUM($K257:N257),(Input!$K$159*(1+vanilla4)^0.5)/A17stdlife))</f>
        <v>0.67308011819324964</v>
      </c>
      <c r="P257" s="67">
        <f>IF(A17stdlife="n/a","n/a",IF(P$3&gt;(A17stdlife+$F257),(Input!$K$159*(1+vanilla4)^0.5)-SUM($K257:O257),(Input!$K$159*(1+vanilla4)^0.5)/A17stdlife))</f>
        <v>0.67308011819324964</v>
      </c>
      <c r="Q257" s="67">
        <f>IF(A17stdlife="n/a","n/a",IF(Q$3&gt;(A17stdlife+$F257),(Input!$K$159*(1+vanilla4)^0.5)-SUM($K257:P257),(Input!$K$159*(1+vanilla4)^0.5)/A17stdlife))</f>
        <v>0.67308011819324964</v>
      </c>
      <c r="R257" s="67"/>
      <c r="S257" s="102"/>
      <c r="T257" s="102"/>
      <c r="U257" s="102"/>
      <c r="V257" s="102"/>
      <c r="W257" s="102"/>
      <c r="X257" s="102"/>
      <c r="Y257" s="102"/>
      <c r="Z257" s="102"/>
      <c r="AA257" s="102"/>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102"/>
      <c r="BE257" s="102"/>
      <c r="BF257" s="102"/>
      <c r="BG257" s="102"/>
      <c r="BH257" s="102"/>
      <c r="BI257" s="102"/>
      <c r="BJ257" s="102"/>
      <c r="BK257" s="102"/>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9"/>
      <c r="D258" s="25"/>
      <c r="E258" s="376"/>
      <c r="F258" s="85">
        <v>5</v>
      </c>
      <c r="G258" s="26"/>
      <c r="H258" s="146"/>
      <c r="I258" s="148"/>
      <c r="J258" s="148"/>
      <c r="K258" s="148"/>
      <c r="L258" s="147"/>
      <c r="M258" s="67">
        <f>IF(A17stdlife="n/a","n/a",IF(M$3&gt;(A17stdlife+$F258),(Input!$L$159*(1+vanilla5)^0.5)-SUM($L258:L258),(Input!$L$159*(1+vanilla5)^0.5)/A17stdlife))</f>
        <v>0.50479572949335239</v>
      </c>
      <c r="N258" s="67">
        <f>IF(A17stdlife="n/a","n/a",IF(N$3&gt;(A17stdlife+$F258),(Input!$L$159*(1+vanilla5)^0.5)-SUM($L258:M258),(Input!$L$159*(1+vanilla5)^0.5)/A17stdlife))</f>
        <v>0.50479572949335239</v>
      </c>
      <c r="O258" s="67">
        <f>IF(A17stdlife="n/a","n/a",IF(O$3&gt;(A17stdlife+$F258),(Input!$L$159*(1+vanilla5)^0.5)-SUM($L258:N258),(Input!$L$159*(1+vanilla5)^0.5)/A17stdlife))</f>
        <v>0.50479572949335239</v>
      </c>
      <c r="P258" s="67">
        <f>IF(A17stdlife="n/a","n/a",IF(P$3&gt;(A17stdlife+$F258),(Input!$L$159*(1+vanilla5)^0.5)-SUM($L258:O258),(Input!$L$159*(1+vanilla5)^0.5)/A17stdlife))</f>
        <v>0.50479572949335239</v>
      </c>
      <c r="Q258" s="67">
        <f>IF(A17stdlife="n/a","n/a",IF(Q$3&gt;(A17stdlife+$F258),(Input!$L$159*(1+vanilla5)^0.5)-SUM($L258:P258),(Input!$L$159*(1+vanilla5)^0.5)/A17stdlife))</f>
        <v>0.50479572949335239</v>
      </c>
      <c r="R258" s="67"/>
      <c r="S258" s="102"/>
      <c r="T258" s="102"/>
      <c r="U258" s="102"/>
      <c r="V258" s="102"/>
      <c r="W258" s="102"/>
      <c r="X258" s="102"/>
      <c r="Y258" s="102"/>
      <c r="Z258" s="102"/>
      <c r="AA258" s="102"/>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102"/>
      <c r="BE258" s="102"/>
      <c r="BF258" s="102"/>
      <c r="BG258" s="102"/>
      <c r="BH258" s="102"/>
      <c r="BI258" s="102"/>
      <c r="BJ258" s="102"/>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376"/>
      <c r="F259" s="85">
        <v>6</v>
      </c>
      <c r="G259" s="26"/>
      <c r="H259" s="146"/>
      <c r="I259" s="148"/>
      <c r="J259" s="148"/>
      <c r="K259" s="148"/>
      <c r="L259" s="148"/>
      <c r="M259" s="147"/>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2"/>
      <c r="T259" s="102"/>
      <c r="U259" s="102"/>
      <c r="V259" s="102"/>
      <c r="W259" s="102"/>
      <c r="X259" s="102"/>
      <c r="Y259" s="102"/>
      <c r="Z259" s="102"/>
      <c r="AA259" s="102"/>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102"/>
      <c r="BE259" s="102"/>
      <c r="BF259" s="102"/>
      <c r="BG259" s="102"/>
      <c r="BH259" s="102"/>
      <c r="BI259" s="102"/>
      <c r="BJ259" s="102"/>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9"/>
      <c r="D260" s="25"/>
      <c r="E260" s="376"/>
      <c r="F260" s="85">
        <v>7</v>
      </c>
      <c r="G260" s="26"/>
      <c r="H260" s="146"/>
      <c r="I260" s="148"/>
      <c r="J260" s="148"/>
      <c r="K260" s="148"/>
      <c r="L260" s="148"/>
      <c r="M260" s="148"/>
      <c r="N260" s="147"/>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2"/>
      <c r="T260" s="102"/>
      <c r="U260" s="102"/>
      <c r="V260" s="102"/>
      <c r="W260" s="102"/>
      <c r="X260" s="102"/>
      <c r="Y260" s="102"/>
      <c r="Z260" s="102"/>
      <c r="AA260" s="102"/>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102"/>
      <c r="BE260" s="102"/>
      <c r="BF260" s="102"/>
      <c r="BG260" s="102"/>
      <c r="BH260" s="102"/>
      <c r="BI260" s="102"/>
      <c r="BJ260" s="102"/>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9"/>
      <c r="D261" s="25"/>
      <c r="E261" s="376"/>
      <c r="F261" s="85">
        <v>8</v>
      </c>
      <c r="G261" s="26"/>
      <c r="H261" s="146"/>
      <c r="I261" s="148"/>
      <c r="J261" s="148"/>
      <c r="K261" s="148"/>
      <c r="L261" s="148"/>
      <c r="M261" s="148"/>
      <c r="N261" s="148"/>
      <c r="O261" s="147"/>
      <c r="P261" s="67">
        <f>IF(A17stdlife="n/a","n/a",IF(P$3&gt;(A17stdlife+$F261),(Input!$O$159*(1+vanilla8)^0.5)-SUM($O261:O261),(Input!$O$159*(1+vanilla8)^0.5)/A17stdlife))</f>
        <v>0</v>
      </c>
      <c r="Q261" s="67">
        <f>IF(A17stdlife="n/a","n/a",IF(Q$3&gt;(A17stdlife+$F261),(Input!$O$159*(1+vanilla8)^0.5)-SUM($O261:P261),(Input!$O$159*(1+vanilla8)^0.5)/A17stdlife))</f>
        <v>0</v>
      </c>
      <c r="R261" s="67"/>
      <c r="S261" s="102"/>
      <c r="T261" s="102"/>
      <c r="U261" s="102"/>
      <c r="V261" s="102"/>
      <c r="W261" s="102"/>
      <c r="X261" s="102"/>
      <c r="Y261" s="102"/>
      <c r="Z261" s="102"/>
      <c r="AA261" s="102"/>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102"/>
      <c r="BE261" s="102"/>
      <c r="BF261" s="102"/>
      <c r="BG261" s="102"/>
      <c r="BH261" s="102"/>
      <c r="BI261" s="102"/>
      <c r="BJ261" s="102"/>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9"/>
      <c r="D262" s="25"/>
      <c r="E262" s="376"/>
      <c r="F262" s="85">
        <v>9</v>
      </c>
      <c r="G262" s="26"/>
      <c r="H262" s="146"/>
      <c r="I262" s="148"/>
      <c r="J262" s="148"/>
      <c r="K262" s="148"/>
      <c r="L262" s="148"/>
      <c r="M262" s="148"/>
      <c r="N262" s="148"/>
      <c r="O262" s="148"/>
      <c r="P262" s="147"/>
      <c r="Q262" s="67">
        <f>IF(A17stdlife="n/a","n/a",IF(Q$3&gt;(A17stdlife+$F262),(Input!$P$159*(1+vanilla9)^0.5)-SUM($P262:P262),(Input!$P$159*(1+vanilla9)^0.5)/A17stdlife))</f>
        <v>0</v>
      </c>
      <c r="R262" s="67"/>
      <c r="S262" s="102"/>
      <c r="T262" s="102"/>
      <c r="U262" s="102"/>
      <c r="V262" s="102"/>
      <c r="W262" s="102"/>
      <c r="X262" s="102"/>
      <c r="Y262" s="102"/>
      <c r="Z262" s="102"/>
      <c r="AA262" s="102"/>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102"/>
      <c r="BE262" s="102"/>
      <c r="BF262" s="102"/>
      <c r="BG262" s="102"/>
      <c r="BH262" s="102"/>
      <c r="BI262" s="102"/>
      <c r="BJ262" s="102"/>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9"/>
      <c r="D263" s="25"/>
      <c r="E263" s="376"/>
      <c r="F263" s="86">
        <v>10</v>
      </c>
      <c r="G263" s="26"/>
      <c r="H263" s="146"/>
      <c r="I263" s="148"/>
      <c r="J263" s="148"/>
      <c r="K263" s="148"/>
      <c r="L263" s="148"/>
      <c r="M263" s="148"/>
      <c r="N263" s="148"/>
      <c r="O263" s="148"/>
      <c r="P263" s="148"/>
      <c r="Q263" s="147"/>
      <c r="R263" s="67"/>
      <c r="S263" s="102"/>
      <c r="T263" s="102"/>
      <c r="U263" s="102"/>
      <c r="V263" s="102"/>
      <c r="W263" s="102"/>
      <c r="X263" s="102"/>
      <c r="Y263" s="102"/>
      <c r="Z263" s="102"/>
      <c r="AA263" s="102"/>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102"/>
      <c r="BE263" s="102"/>
      <c r="BF263" s="102"/>
      <c r="BG263" s="102"/>
      <c r="BH263" s="102"/>
      <c r="BI263" s="102"/>
      <c r="BJ263" s="102"/>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1" collapsed="1">
      <c r="A264" s="9"/>
      <c r="B264" s="9"/>
      <c r="C264" s="9"/>
      <c r="D264" s="25" t="str">
        <f>Asset17</f>
        <v>System IT (tx)</v>
      </c>
      <c r="E264" s="9"/>
      <c r="F264" s="9"/>
      <c r="G264" s="122"/>
      <c r="H264" s="165">
        <f>-SUM(H252:H263)</f>
        <v>0</v>
      </c>
      <c r="I264" s="165">
        <f>-SUM(I252:I263)</f>
        <v>-0.5205289757495225</v>
      </c>
      <c r="J264" s="165">
        <f>-SUM(J252:J263)</f>
        <v>-1.6654651100461337</v>
      </c>
      <c r="K264" s="165">
        <f>-SUM(K252:K263)</f>
        <v>-2.9497735682829465</v>
      </c>
      <c r="L264" s="165">
        <f>-SUM(L252:L263)</f>
        <v>-3.622853686476196</v>
      </c>
      <c r="M264" s="165">
        <f>IF(Input!M173&gt;0, -SUM(M252:M263), 0)</f>
        <v>0</v>
      </c>
      <c r="N264" s="165">
        <f>IF(Input!N173&gt;0, -SUM(N252:N263), 0)</f>
        <v>0</v>
      </c>
      <c r="O264" s="165">
        <f>IF(Input!O173&gt;0, -SUM(O252:O263), 0)</f>
        <v>0</v>
      </c>
      <c r="P264" s="165">
        <f>IF(Input!P173&gt;0, -SUM(P252:P263), 0)</f>
        <v>0</v>
      </c>
      <c r="Q264" s="165">
        <f>IF(Input!Q173&gt;0, -SUM(Q252:Q263), 0)</f>
        <v>0</v>
      </c>
      <c r="R264" s="65"/>
      <c r="S264" s="104"/>
      <c r="T264" s="104"/>
      <c r="U264" s="104"/>
      <c r="V264" s="104"/>
      <c r="W264" s="104"/>
      <c r="X264" s="104"/>
      <c r="Y264" s="104"/>
      <c r="Z264" s="104"/>
      <c r="AA264" s="104"/>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104"/>
      <c r="BE264" s="104"/>
      <c r="BF264" s="104"/>
      <c r="BG264" s="104"/>
      <c r="BH264" s="104"/>
      <c r="BI264" s="104"/>
      <c r="BJ264" s="104"/>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31" t="str">
        <f>Asset18</f>
        <v>IT systems</v>
      </c>
      <c r="D265" s="161"/>
      <c r="E265" s="33" t="s">
        <v>28</v>
      </c>
      <c r="F265" s="32"/>
      <c r="G265" s="174"/>
      <c r="H265" s="66">
        <f>IF(H$3&gt;A18remlife,A18value-SUM($G265:G265),IF(A18remlife="N/A","n/a",A18value/A18remlife))</f>
        <v>4.0161726703482437</v>
      </c>
      <c r="I265" s="66">
        <f>IF(I$3&gt;A18remlife,A18value-SUM($G265:H265),IF(A18remlife="N/A","n/a",A18value/A18remlife))</f>
        <v>4.0161726703482437</v>
      </c>
      <c r="J265" s="66">
        <f>IF(J$3&gt;A18remlife,A18value-SUM($G265:I265),IF(A18remlife="N/A","n/a",A18value/A18remlife))</f>
        <v>4.0161726703482437</v>
      </c>
      <c r="K265" s="66">
        <f>IF(K$3&gt;A18remlife,A18value-SUM($G265:J265),IF(A18remlife="N/A","n/a",A18value/A18remlife))</f>
        <v>4.0161726703482437</v>
      </c>
      <c r="L265" s="66">
        <f>IF(L$3&gt;A18remlife,A18value-SUM($G265:K265),IF(A18remlife="N/A","n/a",A18value/A18remlife))</f>
        <v>0.61983593101688328</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102"/>
      <c r="BE265" s="102"/>
      <c r="BF265" s="102"/>
      <c r="BG265" s="102"/>
      <c r="BH265" s="102"/>
      <c r="BI265" s="102"/>
      <c r="BJ265" s="102"/>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5"/>
      <c r="E266" s="375" t="s">
        <v>85</v>
      </c>
      <c r="F266" s="85">
        <v>0</v>
      </c>
      <c r="G266" s="122"/>
      <c r="H266" s="67"/>
      <c r="I266" s="67"/>
      <c r="J266" s="67"/>
      <c r="K266" s="67"/>
      <c r="L266" s="67"/>
      <c r="M266" s="163"/>
      <c r="N266" s="111"/>
      <c r="O266" s="67"/>
      <c r="P266" s="67"/>
      <c r="Q266" s="67"/>
      <c r="R266" s="67"/>
      <c r="S266" s="102"/>
      <c r="T266" s="102"/>
      <c r="U266" s="102"/>
      <c r="V266" s="102"/>
      <c r="W266" s="102"/>
      <c r="X266" s="102"/>
      <c r="Y266" s="102"/>
      <c r="Z266" s="102"/>
      <c r="AA266" s="102"/>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102"/>
      <c r="BE266" s="102"/>
      <c r="BF266" s="102"/>
      <c r="BG266" s="102"/>
      <c r="BH266" s="102"/>
      <c r="BI266" s="102"/>
      <c r="BJ266" s="102"/>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9"/>
      <c r="D267" s="25"/>
      <c r="E267" s="376"/>
      <c r="F267" s="85">
        <v>1</v>
      </c>
      <c r="G267" s="122"/>
      <c r="H267" s="145"/>
      <c r="I267" s="67">
        <f>IF(A18stdlife="n/a","n/a",IF(I$3&gt;(A18stdlife+$F267),(Input!$H$160*(1+vanilla1)^0.5)-SUM($H267:H267),(Input!$H$160*(1+vanilla1)^0.5)/A18stdlife))</f>
        <v>1.2811575510056179</v>
      </c>
      <c r="J267" s="67">
        <f>IF(A18stdlife="n/a","n/a",IF(J$3&gt;(A18stdlife+$F267),(Input!$H$160*(1+vanilla1)^0.5)-SUM($H267:I267),(Input!$H$160*(1+vanilla1)^0.5)/A18stdlife))</f>
        <v>1.2811575510056179</v>
      </c>
      <c r="K267" s="67">
        <f>IF(A18stdlife="n/a","n/a",IF(K$3&gt;(A18stdlife+$F267),(Input!$H$160*(1+vanilla1)^0.5)-SUM($H267:J267),(Input!$H$160*(1+vanilla1)^0.5)/A18stdlife))</f>
        <v>1.2811575510056179</v>
      </c>
      <c r="L267" s="67">
        <f>IF(A18stdlife="n/a","n/a",IF(L$3&gt;(A18stdlife+$F267),(Input!$H$160*(1+vanilla1)^0.5)-SUM($H267:K267),(Input!$H$160*(1+vanilla1)^0.5)/A18stdlife))</f>
        <v>1.2811575510056179</v>
      </c>
      <c r="M267" s="67">
        <f>IF(A18stdlife="n/a","n/a",IF(M$3&gt;(A18stdlife+$F267),(Input!$H$160*(1+vanilla1)^0.5)-SUM($H267:L267),(Input!$H$160*(1+vanilla1)^0.5)/A18stdlife))</f>
        <v>1.2811575510056179</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2"/>
      <c r="T267" s="102"/>
      <c r="U267" s="102"/>
      <c r="V267" s="102"/>
      <c r="W267" s="102"/>
      <c r="X267" s="102"/>
      <c r="Y267" s="102"/>
      <c r="Z267" s="102"/>
      <c r="AA267" s="102"/>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102"/>
      <c r="BE267" s="102"/>
      <c r="BF267" s="102"/>
      <c r="BG267" s="102"/>
      <c r="BH267" s="102"/>
      <c r="BI267" s="102"/>
      <c r="BJ267" s="102"/>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376"/>
      <c r="F268" s="85">
        <v>2</v>
      </c>
      <c r="G268" s="122"/>
      <c r="H268" s="146"/>
      <c r="I268" s="147"/>
      <c r="J268" s="67">
        <f>IF(A18stdlife="n/a","n/a",IF(J$3&gt;(A18stdlife+$F268),(Input!$I$160*(1+vanilla2)^0.5)-SUM($I268:I268),(Input!$I$160*(1+vanilla2)^0.5)/A18stdlife))</f>
        <v>1.407382074116871</v>
      </c>
      <c r="K268" s="67">
        <f>IF(A18stdlife="n/a","n/a",IF(K$3&gt;(A18stdlife+$F268),(Input!$I$160*(1+vanilla2)^0.5)-SUM($I268:J268),(Input!$I$160*(1+vanilla2)^0.5)/A18stdlife))</f>
        <v>1.407382074116871</v>
      </c>
      <c r="L268" s="67">
        <f>IF(A18stdlife="n/a","n/a",IF(L$3&gt;(A18stdlife+$F268),(Input!$I$160*(1+vanilla2)^0.5)-SUM($I268:K268),(Input!$I$160*(1+vanilla2)^0.5)/A18stdlife))</f>
        <v>1.407382074116871</v>
      </c>
      <c r="M268" s="67">
        <f>IF(A18stdlife="n/a","n/a",IF(M$3&gt;(A18stdlife+$F268),(Input!$I$160*(1+vanilla2)^0.5)-SUM($I268:L268),(Input!$I$160*(1+vanilla2)^0.5)/A18stdlife))</f>
        <v>1.407382074116871</v>
      </c>
      <c r="N268" s="67">
        <f>IF(A18stdlife="n/a","n/a",IF(N$3&gt;(A18stdlife+$F268),(Input!$I$160*(1+vanilla2)^0.5)-SUM($I268:M268),(Input!$I$160*(1+vanilla2)^0.5)/A18stdlife))</f>
        <v>1.407382074116871</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2"/>
      <c r="T268" s="102"/>
      <c r="U268" s="102"/>
      <c r="V268" s="102"/>
      <c r="W268" s="102"/>
      <c r="X268" s="102"/>
      <c r="Y268" s="102"/>
      <c r="Z268" s="102"/>
      <c r="AA268" s="102"/>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102"/>
      <c r="BE268" s="102"/>
      <c r="BF268" s="102"/>
      <c r="BG268" s="102"/>
      <c r="BH268" s="102"/>
      <c r="BI268" s="102"/>
      <c r="BJ268" s="102"/>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9"/>
      <c r="D269" s="25"/>
      <c r="E269" s="376"/>
      <c r="F269" s="85">
        <v>3</v>
      </c>
      <c r="G269" s="122"/>
      <c r="H269" s="146"/>
      <c r="I269" s="148"/>
      <c r="J269" s="147"/>
      <c r="K269" s="67">
        <f>IF(A18stdlife="n/a","n/a",IF(K$3&gt;(A18stdlife+$F269),(Input!$J$160*(1+vanilla3)^0.5)-SUM($J269:J269),(Input!$J$160*(1+vanilla3)^0.5)/A18stdlife))</f>
        <v>0.87103331911587478</v>
      </c>
      <c r="L269" s="67">
        <f>IF(A18stdlife="n/a","n/a",IF(L$3&gt;(A18stdlife+$F269),(Input!$J$160*(1+vanilla3)^0.5)-SUM($J269:K269),(Input!$J$160*(1+vanilla3)^0.5)/A18stdlife))</f>
        <v>0.87103331911587478</v>
      </c>
      <c r="M269" s="67">
        <f>IF(A18stdlife="n/a","n/a",IF(M$3&gt;(A18stdlife+$F269),(Input!$J$160*(1+vanilla3)^0.5)-SUM($J269:L269),(Input!$J$160*(1+vanilla3)^0.5)/A18stdlife))</f>
        <v>0.87103331911587478</v>
      </c>
      <c r="N269" s="67">
        <f>IF(A18stdlife="n/a","n/a",IF(N$3&gt;(A18stdlife+$F269),(Input!$J$160*(1+vanilla3)^0.5)-SUM($J269:M269),(Input!$J$160*(1+vanilla3)^0.5)/A18stdlife))</f>
        <v>0.87103331911587478</v>
      </c>
      <c r="O269" s="67">
        <f>IF(A18stdlife="n/a","n/a",IF(O$3&gt;(A18stdlife+$F269),(Input!$J$160*(1+vanilla3)^0.5)-SUM($J269:N269),(Input!$J$160*(1+vanilla3)^0.5)/A18stdlife))</f>
        <v>0.87103331911587478</v>
      </c>
      <c r="P269" s="67">
        <f>IF(A18stdlife="n/a","n/a",IF(P$3&gt;(A18stdlife+$F269),(Input!$J$160*(1+vanilla3)^0.5)-SUM($J269:O269),(Input!$J$160*(1+vanilla3)^0.5)/A18stdlife))</f>
        <v>0</v>
      </c>
      <c r="Q269" s="67">
        <f>IF(A18stdlife="n/a","n/a",IF(Q$3&gt;(A18stdlife+$F269),(Input!$J$160*(1+vanilla3)^0.5)-SUM($J269:P269),(Input!$J$160*(1+vanilla3)^0.5)/A18stdlife))</f>
        <v>0</v>
      </c>
      <c r="R269" s="67"/>
      <c r="S269" s="102"/>
      <c r="T269" s="102"/>
      <c r="U269" s="102"/>
      <c r="V269" s="102"/>
      <c r="W269" s="102"/>
      <c r="X269" s="102"/>
      <c r="Y269" s="102"/>
      <c r="Z269" s="102"/>
      <c r="AA269" s="102"/>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102"/>
      <c r="BE269" s="102"/>
      <c r="BF269" s="102"/>
      <c r="BG269" s="102"/>
      <c r="BH269" s="102"/>
      <c r="BI269" s="102"/>
      <c r="BJ269" s="102"/>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9"/>
      <c r="D270" s="25"/>
      <c r="E270" s="376"/>
      <c r="F270" s="85">
        <v>4</v>
      </c>
      <c r="G270" s="122"/>
      <c r="H270" s="146"/>
      <c r="I270" s="148"/>
      <c r="J270" s="148"/>
      <c r="K270" s="147"/>
      <c r="L270" s="67">
        <f>IF(A18stdlife="n/a","n/a",IF(L$3&gt;(A18stdlife+$F270),(Input!$K$160*(1+vanilla4)^0.5)-SUM($K270:K270),(Input!$K$160*(1+vanilla4)^0.5)/A18stdlife))</f>
        <v>0.6638558508711061</v>
      </c>
      <c r="M270" s="67">
        <f>IF(A18stdlife="n/a","n/a",IF(M$3&gt;(A18stdlife+$F270),(Input!$K$160*(1+vanilla4)^0.5)-SUM($K270:L270),(Input!$K$160*(1+vanilla4)^0.5)/A18stdlife))</f>
        <v>0.6638558508711061</v>
      </c>
      <c r="N270" s="67">
        <f>IF(A18stdlife="n/a","n/a",IF(N$3&gt;(A18stdlife+$F270),(Input!$K$160*(1+vanilla4)^0.5)-SUM($K270:M270),(Input!$K$160*(1+vanilla4)^0.5)/A18stdlife))</f>
        <v>0.6638558508711061</v>
      </c>
      <c r="O270" s="67">
        <f>IF(A18stdlife="n/a","n/a",IF(O$3&gt;(A18stdlife+$F270),(Input!$K$160*(1+vanilla4)^0.5)-SUM($K270:N270),(Input!$K$160*(1+vanilla4)^0.5)/A18stdlife))</f>
        <v>0.6638558508711061</v>
      </c>
      <c r="P270" s="67">
        <f>IF(A18stdlife="n/a","n/a",IF(P$3&gt;(A18stdlife+$F270),(Input!$K$160*(1+vanilla4)^0.5)-SUM($K270:O270),(Input!$K$160*(1+vanilla4)^0.5)/A18stdlife))</f>
        <v>0.6638558508711061</v>
      </c>
      <c r="Q270" s="67">
        <f>IF(A18stdlife="n/a","n/a",IF(Q$3&gt;(A18stdlife+$F270),(Input!$K$160*(1+vanilla4)^0.5)-SUM($K270:P270),(Input!$K$160*(1+vanilla4)^0.5)/A18stdlife))</f>
        <v>4.4408920985006262E-16</v>
      </c>
      <c r="R270" s="67"/>
      <c r="S270" s="102"/>
      <c r="T270" s="102"/>
      <c r="U270" s="102"/>
      <c r="V270" s="102"/>
      <c r="W270" s="102"/>
      <c r="X270" s="102"/>
      <c r="Y270" s="102"/>
      <c r="Z270" s="102"/>
      <c r="AA270" s="102"/>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102"/>
      <c r="BE270" s="102"/>
      <c r="BF270" s="102"/>
      <c r="BG270" s="102"/>
      <c r="BH270" s="102"/>
      <c r="BI270" s="102"/>
      <c r="BJ270" s="102"/>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9"/>
      <c r="D271" s="25"/>
      <c r="E271" s="376"/>
      <c r="F271" s="85">
        <v>5</v>
      </c>
      <c r="G271" s="26"/>
      <c r="H271" s="146"/>
      <c r="I271" s="148"/>
      <c r="J271" s="148"/>
      <c r="K271" s="148"/>
      <c r="L271" s="147"/>
      <c r="M271" s="67">
        <f>IF(A18stdlife="n/a","n/a",IF(M$3&gt;(A18stdlife+$F271),(Input!$L$160*(1+vanilla5)^0.5)-SUM($L271:L271),(Input!$L$160*(1+vanilla5)^0.5)/A18stdlife))</f>
        <v>0.49876018829540625</v>
      </c>
      <c r="N271" s="67">
        <f>IF(A18stdlife="n/a","n/a",IF(N$3&gt;(A18stdlife+$F271),(Input!$L$160*(1+vanilla5)^0.5)-SUM($L271:M271),(Input!$L$160*(1+vanilla5)^0.5)/A18stdlife))</f>
        <v>0.49876018829540625</v>
      </c>
      <c r="O271" s="67">
        <f>IF(A18stdlife="n/a","n/a",IF(O$3&gt;(A18stdlife+$F271),(Input!$L$160*(1+vanilla5)^0.5)-SUM($L271:N271),(Input!$L$160*(1+vanilla5)^0.5)/A18stdlife))</f>
        <v>0.49876018829540625</v>
      </c>
      <c r="P271" s="67">
        <f>IF(A18stdlife="n/a","n/a",IF(P$3&gt;(A18stdlife+$F271),(Input!$L$160*(1+vanilla5)^0.5)-SUM($L271:O271),(Input!$L$160*(1+vanilla5)^0.5)/A18stdlife))</f>
        <v>0.49876018829540625</v>
      </c>
      <c r="Q271" s="67">
        <f>IF(A18stdlife="n/a","n/a",IF(Q$3&gt;(A18stdlife+$F271),(Input!$L$160*(1+vanilla5)^0.5)-SUM($L271:P271),(Input!$L$160*(1+vanilla5)^0.5)/A18stdlife))</f>
        <v>0.49876018829540625</v>
      </c>
      <c r="R271" s="67"/>
      <c r="S271" s="102"/>
      <c r="T271" s="102"/>
      <c r="U271" s="102"/>
      <c r="V271" s="102"/>
      <c r="W271" s="102"/>
      <c r="X271" s="102"/>
      <c r="Y271" s="102"/>
      <c r="Z271" s="102"/>
      <c r="AA271" s="102"/>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102"/>
      <c r="BE271" s="102"/>
      <c r="BF271" s="102"/>
      <c r="BG271" s="102"/>
      <c r="BH271" s="102"/>
      <c r="BI271" s="102"/>
      <c r="BJ271" s="102"/>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376"/>
      <c r="F272" s="85">
        <v>6</v>
      </c>
      <c r="G272" s="26"/>
      <c r="H272" s="146"/>
      <c r="I272" s="148"/>
      <c r="J272" s="148"/>
      <c r="K272" s="148"/>
      <c r="L272" s="148"/>
      <c r="M272" s="147"/>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2"/>
      <c r="T272" s="102"/>
      <c r="U272" s="102"/>
      <c r="V272" s="102"/>
      <c r="W272" s="102"/>
      <c r="X272" s="102"/>
      <c r="Y272" s="102"/>
      <c r="Z272" s="102"/>
      <c r="AA272" s="102"/>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102"/>
      <c r="BE272" s="102"/>
      <c r="BF272" s="102"/>
      <c r="BG272" s="102"/>
      <c r="BH272" s="102"/>
      <c r="BI272" s="102"/>
      <c r="BJ272" s="102"/>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9"/>
      <c r="D273" s="25"/>
      <c r="E273" s="376"/>
      <c r="F273" s="85">
        <v>7</v>
      </c>
      <c r="G273" s="26"/>
      <c r="H273" s="146"/>
      <c r="I273" s="148"/>
      <c r="J273" s="148"/>
      <c r="K273" s="148"/>
      <c r="L273" s="148"/>
      <c r="M273" s="148"/>
      <c r="N273" s="147"/>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2"/>
      <c r="T273" s="102"/>
      <c r="U273" s="102"/>
      <c r="V273" s="102"/>
      <c r="W273" s="102"/>
      <c r="X273" s="102"/>
      <c r="Y273" s="102"/>
      <c r="Z273" s="102"/>
      <c r="AA273" s="102"/>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102"/>
      <c r="BE273" s="102"/>
      <c r="BF273" s="102"/>
      <c r="BG273" s="102"/>
      <c r="BH273" s="102"/>
      <c r="BI273" s="102"/>
      <c r="BJ273" s="102"/>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9"/>
      <c r="D274" s="25"/>
      <c r="E274" s="376"/>
      <c r="F274" s="85">
        <v>8</v>
      </c>
      <c r="G274" s="26"/>
      <c r="H274" s="146"/>
      <c r="I274" s="148"/>
      <c r="J274" s="148"/>
      <c r="K274" s="148"/>
      <c r="L274" s="148"/>
      <c r="M274" s="148"/>
      <c r="N274" s="148"/>
      <c r="O274" s="147"/>
      <c r="P274" s="67">
        <f>IF(A18stdlife="n/a","n/a",IF(P$3&gt;(A18stdlife+$F274),(Input!$O$160*(1+vanilla8)^0.5)-SUM($O274:O274),(Input!$O$160*(1+vanilla8)^0.5)/A18stdlife))</f>
        <v>0</v>
      </c>
      <c r="Q274" s="67">
        <f>IF(A18stdlife="n/a","n/a",IF(Q$3&gt;(A18stdlife+$F274),(Input!$O$160*(1+vanilla8)^0.5)-SUM($O274:P274),(Input!$O$160*(1+vanilla8)^0.5)/A18stdlife))</f>
        <v>0</v>
      </c>
      <c r="R274" s="67"/>
      <c r="S274" s="102"/>
      <c r="T274" s="102"/>
      <c r="U274" s="102"/>
      <c r="V274" s="102"/>
      <c r="W274" s="102"/>
      <c r="X274" s="102"/>
      <c r="Y274" s="102"/>
      <c r="Z274" s="102"/>
      <c r="AA274" s="102"/>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102"/>
      <c r="BE274" s="102"/>
      <c r="BF274" s="102"/>
      <c r="BG274" s="102"/>
      <c r="BH274" s="102"/>
      <c r="BI274" s="102"/>
      <c r="BJ274" s="102"/>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9"/>
      <c r="D275" s="25"/>
      <c r="E275" s="376"/>
      <c r="F275" s="85">
        <v>9</v>
      </c>
      <c r="G275" s="26"/>
      <c r="H275" s="146"/>
      <c r="I275" s="148"/>
      <c r="J275" s="148"/>
      <c r="K275" s="148"/>
      <c r="L275" s="148"/>
      <c r="M275" s="148"/>
      <c r="N275" s="148"/>
      <c r="O275" s="148"/>
      <c r="P275" s="147"/>
      <c r="Q275" s="67">
        <f>IF(A18stdlife="n/a","n/a",IF(Q$3&gt;(A18stdlife+$F275),(Input!$P$160*(1+vanilla9)^0.5)-SUM($P275:P275),(Input!$P$160*(1+vanilla9)^0.5)/A18stdlife))</f>
        <v>0</v>
      </c>
      <c r="R275" s="67"/>
      <c r="S275" s="102"/>
      <c r="T275" s="102"/>
      <c r="U275" s="102"/>
      <c r="V275" s="102"/>
      <c r="W275" s="102"/>
      <c r="X275" s="102"/>
      <c r="Y275" s="102"/>
      <c r="Z275" s="102"/>
      <c r="AA275" s="102"/>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102"/>
      <c r="BE275" s="102"/>
      <c r="BF275" s="102"/>
      <c r="BG275" s="102"/>
      <c r="BH275" s="102"/>
      <c r="BI275" s="102"/>
      <c r="BJ275" s="102"/>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9"/>
      <c r="D276" s="25"/>
      <c r="E276" s="376"/>
      <c r="F276" s="86">
        <v>10</v>
      </c>
      <c r="G276" s="26"/>
      <c r="H276" s="146"/>
      <c r="I276" s="148"/>
      <c r="J276" s="148"/>
      <c r="K276" s="148"/>
      <c r="L276" s="148"/>
      <c r="M276" s="148"/>
      <c r="N276" s="148"/>
      <c r="O276" s="148"/>
      <c r="P276" s="148"/>
      <c r="Q276" s="147"/>
      <c r="R276" s="67"/>
      <c r="S276" s="102"/>
      <c r="T276" s="102"/>
      <c r="U276" s="102"/>
      <c r="V276" s="102"/>
      <c r="W276" s="102"/>
      <c r="X276" s="102"/>
      <c r="Y276" s="102"/>
      <c r="Z276" s="102"/>
      <c r="AA276" s="102"/>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102"/>
      <c r="BE276" s="102"/>
      <c r="BF276" s="102"/>
      <c r="BG276" s="102"/>
      <c r="BH276" s="102"/>
      <c r="BI276" s="102"/>
      <c r="BJ276" s="102"/>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1" collapsed="1">
      <c r="A277" s="9"/>
      <c r="B277" s="9"/>
      <c r="C277" s="9"/>
      <c r="D277" s="25" t="str">
        <f>Asset18</f>
        <v>IT systems</v>
      </c>
      <c r="E277" s="9"/>
      <c r="F277" s="9"/>
      <c r="G277" s="122"/>
      <c r="H277" s="165">
        <f>-SUM(H265:H276)</f>
        <v>-4.0161726703482437</v>
      </c>
      <c r="I277" s="165">
        <f>-SUM(I265:I276)</f>
        <v>-5.297330221353862</v>
      </c>
      <c r="J277" s="165">
        <f>-SUM(J265:J276)</f>
        <v>-6.704712295470733</v>
      </c>
      <c r="K277" s="165">
        <f>-SUM(K265:K276)</f>
        <v>-7.5757456145866078</v>
      </c>
      <c r="L277" s="165">
        <f>-SUM(L265:L276)</f>
        <v>-4.8432647261263524</v>
      </c>
      <c r="M277" s="165">
        <f>IF(Input!M173&gt;0, -SUM(M265:M276), 0)</f>
        <v>0</v>
      </c>
      <c r="N277" s="165">
        <f>IF(Input!N173&gt;0, -SUM(N265:N276), 0)</f>
        <v>0</v>
      </c>
      <c r="O277" s="165">
        <f>IF(Input!O173&gt;0, -SUM(O265:O276), 0)</f>
        <v>0</v>
      </c>
      <c r="P277" s="165">
        <f>IF(Input!P173&gt;0, -SUM(P265:P276), 0)</f>
        <v>0</v>
      </c>
      <c r="Q277" s="165">
        <f>IF(Input!Q173&gt;0, -SUM(Q265:Q276), 0)</f>
        <v>0</v>
      </c>
      <c r="R277" s="165"/>
      <c r="S277" s="104"/>
      <c r="T277" s="104"/>
      <c r="U277" s="104"/>
      <c r="V277" s="104"/>
      <c r="W277" s="104"/>
      <c r="X277" s="104"/>
      <c r="Y277" s="104"/>
      <c r="Z277" s="104"/>
      <c r="AA277" s="104"/>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104"/>
      <c r="BE277" s="104"/>
      <c r="BF277" s="104"/>
      <c r="BG277" s="104"/>
      <c r="BH277" s="104"/>
      <c r="BI277" s="104"/>
      <c r="BJ277" s="104"/>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31" t="str">
        <f>Asset19</f>
        <v>Furniture, fittings, plant and equipment</v>
      </c>
      <c r="D278" s="161"/>
      <c r="E278" s="33" t="s">
        <v>28</v>
      </c>
      <c r="F278" s="32"/>
      <c r="G278" s="174"/>
      <c r="H278" s="66">
        <f>IF(H$3&gt;A19remlife,A19value-SUM($G278:G278),IF(A19remlife="N/A","n/a",A19value/A19remlife))</f>
        <v>0.28286523884330006</v>
      </c>
      <c r="I278" s="66">
        <f>IF(I$3&gt;A19remlife,A19value-SUM($G278:H278),IF(A19remlife="N/A","n/a",A19value/A19remlife))</f>
        <v>0.28286523884330006</v>
      </c>
      <c r="J278" s="66">
        <f>IF(J$3&gt;A19remlife,A19value-SUM($G278:I278),IF(A19remlife="N/A","n/a",A19value/A19remlife))</f>
        <v>0.28286523884330006</v>
      </c>
      <c r="K278" s="66">
        <f>IF(K$3&gt;A19remlife,A19value-SUM($G278:J278),IF(A19remlife="N/A","n/a",A19value/A19remlife))</f>
        <v>0.28286523884330006</v>
      </c>
      <c r="L278" s="66">
        <f>IF(L$3&gt;A19remlife,A19value-SUM($G278:K278),IF(A19remlife="N/A","n/a",A19value/A19remlife))</f>
        <v>0.28286523884330006</v>
      </c>
      <c r="M278" s="66">
        <f>IF(M$3&gt;A19remlife,A19value-SUM($G278:L278),IF(A19remlife="N/A","n/a",A19value/A19remlife))</f>
        <v>0.28286523884330006</v>
      </c>
      <c r="N278" s="66">
        <f>IF(N$3&gt;A19remlife,A19value-SUM($G278:M278),IF(A19remlife="N/A","n/a",A19value/A19remlife))</f>
        <v>0.28286523884330006</v>
      </c>
      <c r="O278" s="66">
        <f>IF(O$3&gt;A19remlife,A19value-SUM($G278:N278),IF(A19remlife="N/A","n/a",A19value/A19remlife))</f>
        <v>0.28286523884330006</v>
      </c>
      <c r="P278" s="66">
        <f>IF(P$3&gt;A19remlife,A19value-SUM($G278:O278),IF(A19remlife="N/A","n/a",A19value/A19remlife))</f>
        <v>0.28286523884330006</v>
      </c>
      <c r="Q278" s="66">
        <f>IF(Q$3&gt;A19remlife,A19value-SUM($G278:P278),IF(A19remlife="N/A","n/a",A19value/A19remlife))</f>
        <v>0.28286523884330006</v>
      </c>
      <c r="R278" s="66"/>
      <c r="S278" s="102"/>
      <c r="T278" s="102"/>
      <c r="U278" s="102"/>
      <c r="V278" s="102"/>
      <c r="W278" s="102"/>
      <c r="X278" s="102"/>
      <c r="Y278" s="102"/>
      <c r="Z278" s="102"/>
      <c r="AA278" s="102"/>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102"/>
      <c r="BE278" s="102"/>
      <c r="BF278" s="102"/>
      <c r="BG278" s="102"/>
      <c r="BH278" s="102"/>
      <c r="BI278" s="102"/>
      <c r="BJ278" s="102"/>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5"/>
      <c r="E279" s="375" t="s">
        <v>85</v>
      </c>
      <c r="F279" s="85">
        <v>0</v>
      </c>
      <c r="G279" s="122"/>
      <c r="H279" s="67"/>
      <c r="I279" s="67"/>
      <c r="J279" s="67"/>
      <c r="K279" s="67"/>
      <c r="L279" s="67"/>
      <c r="M279" s="163"/>
      <c r="N279" s="111"/>
      <c r="O279" s="67"/>
      <c r="P279" s="67"/>
      <c r="Q279" s="67"/>
      <c r="R279" s="67"/>
      <c r="S279" s="102"/>
      <c r="T279" s="102"/>
      <c r="U279" s="102"/>
      <c r="V279" s="102"/>
      <c r="W279" s="102"/>
      <c r="X279" s="102"/>
      <c r="Y279" s="102"/>
      <c r="Z279" s="102"/>
      <c r="AA279" s="102"/>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102"/>
      <c r="BE279" s="102"/>
      <c r="BF279" s="102"/>
      <c r="BG279" s="102"/>
      <c r="BH279" s="102"/>
      <c r="BI279" s="102"/>
      <c r="BJ279" s="102"/>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9"/>
      <c r="D280" s="25"/>
      <c r="E280" s="376"/>
      <c r="F280" s="85">
        <v>1</v>
      </c>
      <c r="G280" s="122"/>
      <c r="H280" s="145"/>
      <c r="I280" s="67">
        <f>IF(A19stdlife="n/a","n/a",IF(I$3&gt;(A19stdlife+$F280),(Input!$H$161*(1+vanilla1)^0.5)-SUM($H280:H280),(Input!$H$161*(1+vanilla1)^0.5)/A19stdlife))</f>
        <v>5.8588197914337968E-2</v>
      </c>
      <c r="J280" s="67">
        <f>IF(A19stdlife="n/a","n/a",IF(J$3&gt;(A19stdlife+$F280),(Input!$H$161*(1+vanilla1)^0.5)-SUM($H280:I280),(Input!$H$161*(1+vanilla1)^0.5)/A19stdlife))</f>
        <v>5.8588197914337968E-2</v>
      </c>
      <c r="K280" s="67">
        <f>IF(A19stdlife="n/a","n/a",IF(K$3&gt;(A19stdlife+$F280),(Input!$H$161*(1+vanilla1)^0.5)-SUM($H280:J280),(Input!$H$161*(1+vanilla1)^0.5)/A19stdlife))</f>
        <v>5.8588197914337968E-2</v>
      </c>
      <c r="L280" s="67">
        <f>IF(A19stdlife="n/a","n/a",IF(L$3&gt;(A19stdlife+$F280),(Input!$H$161*(1+vanilla1)^0.5)-SUM($H280:K280),(Input!$H$161*(1+vanilla1)^0.5)/A19stdlife))</f>
        <v>5.8588197914337968E-2</v>
      </c>
      <c r="M280" s="67">
        <f>IF(A19stdlife="n/a","n/a",IF(M$3&gt;(A19stdlife+$F280),(Input!$H$161*(1+vanilla1)^0.5)-SUM($H280:L280),(Input!$H$161*(1+vanilla1)^0.5)/A19stdlife))</f>
        <v>5.8588197914337968E-2</v>
      </c>
      <c r="N280" s="67">
        <f>IF(A19stdlife="n/a","n/a",IF(N$3&gt;(A19stdlife+$F280),(Input!$H$161*(1+vanilla1)^0.5)-SUM($H280:M280),(Input!$H$161*(1+vanilla1)^0.5)/A19stdlife))</f>
        <v>5.8588197914337968E-2</v>
      </c>
      <c r="O280" s="67">
        <f>IF(A19stdlife="n/a","n/a",IF(O$3&gt;(A19stdlife+$F280),(Input!$H$161*(1+vanilla1)^0.5)-SUM($H280:N280),(Input!$H$161*(1+vanilla1)^0.5)/A19stdlife))</f>
        <v>5.8588197914337968E-2</v>
      </c>
      <c r="P280" s="67">
        <f>IF(A19stdlife="n/a","n/a",IF(P$3&gt;(A19stdlife+$F280),(Input!$H$161*(1+vanilla1)^0.5)-SUM($H280:O280),(Input!$H$161*(1+vanilla1)^0.5)/A19stdlife))</f>
        <v>5.8588197914337968E-2</v>
      </c>
      <c r="Q280" s="67">
        <f>IF(A19stdlife="n/a","n/a",IF(Q$3&gt;(A19stdlife+$F280),(Input!$H$161*(1+vanilla1)^0.5)-SUM($H280:P280),(Input!$H$161*(1+vanilla1)^0.5)/A19stdlife))</f>
        <v>5.8588197914337968E-2</v>
      </c>
      <c r="R280" s="67"/>
      <c r="S280" s="102"/>
      <c r="T280" s="102"/>
      <c r="U280" s="102"/>
      <c r="V280" s="102"/>
      <c r="W280" s="102"/>
      <c r="X280" s="102"/>
      <c r="Y280" s="102"/>
      <c r="Z280" s="102"/>
      <c r="AA280" s="102"/>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102"/>
      <c r="BE280" s="102"/>
      <c r="BF280" s="102"/>
      <c r="BG280" s="102"/>
      <c r="BH280" s="102"/>
      <c r="BI280" s="102"/>
      <c r="BJ280" s="102"/>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376"/>
      <c r="F281" s="85">
        <v>2</v>
      </c>
      <c r="G281" s="122"/>
      <c r="H281" s="146"/>
      <c r="I281" s="147"/>
      <c r="J281" s="67">
        <f>IF(A19stdlife="n/a","n/a",IF(J$3&gt;(A19stdlife+$F281),(Input!$I$161*(1+vanilla2)^0.5)-SUM($I281:I281),(Input!$I$161*(1+vanilla2)^0.5)/A19stdlife))</f>
        <v>5.1994577724800373E-2</v>
      </c>
      <c r="K281" s="67">
        <f>IF(A19stdlife="n/a","n/a",IF(K$3&gt;(A19stdlife+$F281),(Input!$I$161*(1+vanilla2)^0.5)-SUM($I281:J281),(Input!$I$161*(1+vanilla2)^0.5)/A19stdlife))</f>
        <v>5.1994577724800373E-2</v>
      </c>
      <c r="L281" s="67">
        <f>IF(A19stdlife="n/a","n/a",IF(L$3&gt;(A19stdlife+$F281),(Input!$I$161*(1+vanilla2)^0.5)-SUM($I281:K281),(Input!$I$161*(1+vanilla2)^0.5)/A19stdlife))</f>
        <v>5.1994577724800373E-2</v>
      </c>
      <c r="M281" s="67">
        <f>IF(A19stdlife="n/a","n/a",IF(M$3&gt;(A19stdlife+$F281),(Input!$I$161*(1+vanilla2)^0.5)-SUM($I281:L281),(Input!$I$161*(1+vanilla2)^0.5)/A19stdlife))</f>
        <v>5.1994577724800373E-2</v>
      </c>
      <c r="N281" s="67">
        <f>IF(A19stdlife="n/a","n/a",IF(N$3&gt;(A19stdlife+$F281),(Input!$I$161*(1+vanilla2)^0.5)-SUM($I281:M281),(Input!$I$161*(1+vanilla2)^0.5)/A19stdlife))</f>
        <v>5.1994577724800373E-2</v>
      </c>
      <c r="O281" s="67">
        <f>IF(A19stdlife="n/a","n/a",IF(O$3&gt;(A19stdlife+$F281),(Input!$I$161*(1+vanilla2)^0.5)-SUM($I281:N281),(Input!$I$161*(1+vanilla2)^0.5)/A19stdlife))</f>
        <v>5.1994577724800373E-2</v>
      </c>
      <c r="P281" s="67">
        <f>IF(A19stdlife="n/a","n/a",IF(P$3&gt;(A19stdlife+$F281),(Input!$I$161*(1+vanilla2)^0.5)-SUM($I281:O281),(Input!$I$161*(1+vanilla2)^0.5)/A19stdlife))</f>
        <v>5.1994577724800373E-2</v>
      </c>
      <c r="Q281" s="67">
        <f>IF(A19stdlife="n/a","n/a",IF(Q$3&gt;(A19stdlife+$F281),(Input!$I$161*(1+vanilla2)^0.5)-SUM($I281:P281),(Input!$I$161*(1+vanilla2)^0.5)/A19stdlife))</f>
        <v>5.1994577724800373E-2</v>
      </c>
      <c r="R281" s="67"/>
      <c r="S281" s="102"/>
      <c r="T281" s="102"/>
      <c r="U281" s="102"/>
      <c r="V281" s="102"/>
      <c r="W281" s="102"/>
      <c r="X281" s="102"/>
      <c r="Y281" s="102"/>
      <c r="Z281" s="102"/>
      <c r="AA281" s="102"/>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102"/>
      <c r="BE281" s="102"/>
      <c r="BF281" s="102"/>
      <c r="BG281" s="102"/>
      <c r="BH281" s="102"/>
      <c r="BI281" s="102"/>
      <c r="BJ281" s="102"/>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9"/>
      <c r="D282" s="25"/>
      <c r="E282" s="376"/>
      <c r="F282" s="85">
        <v>3</v>
      </c>
      <c r="G282" s="122"/>
      <c r="H282" s="146"/>
      <c r="I282" s="148"/>
      <c r="J282" s="147"/>
      <c r="K282" s="67">
        <f>IF(A19stdlife="n/a","n/a",IF(K$3&gt;(A19stdlife+$F282),(Input!$J$161*(1+vanilla3)^0.5)-SUM($J282:J282),(Input!$J$161*(1+vanilla3)^0.5)/A19stdlife))</f>
        <v>5.268574710884584E-2</v>
      </c>
      <c r="L282" s="67">
        <f>IF(A19stdlife="n/a","n/a",IF(L$3&gt;(A19stdlife+$F282),(Input!$J$161*(1+vanilla3)^0.5)-SUM($J282:K282),(Input!$J$161*(1+vanilla3)^0.5)/A19stdlife))</f>
        <v>5.268574710884584E-2</v>
      </c>
      <c r="M282" s="67">
        <f>IF(A19stdlife="n/a","n/a",IF(M$3&gt;(A19stdlife+$F282),(Input!$J$161*(1+vanilla3)^0.5)-SUM($J282:L282),(Input!$J$161*(1+vanilla3)^0.5)/A19stdlife))</f>
        <v>5.268574710884584E-2</v>
      </c>
      <c r="N282" s="67">
        <f>IF(A19stdlife="n/a","n/a",IF(N$3&gt;(A19stdlife+$F282),(Input!$J$161*(1+vanilla3)^0.5)-SUM($J282:M282),(Input!$J$161*(1+vanilla3)^0.5)/A19stdlife))</f>
        <v>5.268574710884584E-2</v>
      </c>
      <c r="O282" s="67">
        <f>IF(A19stdlife="n/a","n/a",IF(O$3&gt;(A19stdlife+$F282),(Input!$J$161*(1+vanilla3)^0.5)-SUM($J282:N282),(Input!$J$161*(1+vanilla3)^0.5)/A19stdlife))</f>
        <v>5.268574710884584E-2</v>
      </c>
      <c r="P282" s="67">
        <f>IF(A19stdlife="n/a","n/a",IF(P$3&gt;(A19stdlife+$F282),(Input!$J$161*(1+vanilla3)^0.5)-SUM($J282:O282),(Input!$J$161*(1+vanilla3)^0.5)/A19stdlife))</f>
        <v>5.268574710884584E-2</v>
      </c>
      <c r="Q282" s="67">
        <f>IF(A19stdlife="n/a","n/a",IF(Q$3&gt;(A19stdlife+$F282),(Input!$J$161*(1+vanilla3)^0.5)-SUM($J282:P282),(Input!$J$161*(1+vanilla3)^0.5)/A19stdlife))</f>
        <v>5.268574710884584E-2</v>
      </c>
      <c r="R282" s="67"/>
      <c r="S282" s="102"/>
      <c r="T282" s="102"/>
      <c r="U282" s="102"/>
      <c r="V282" s="102"/>
      <c r="W282" s="102"/>
      <c r="X282" s="102"/>
      <c r="Y282" s="102"/>
      <c r="Z282" s="102"/>
      <c r="AA282" s="102"/>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102"/>
      <c r="BE282" s="102"/>
      <c r="BF282" s="102"/>
      <c r="BG282" s="102"/>
      <c r="BH282" s="102"/>
      <c r="BI282" s="102"/>
      <c r="BJ282" s="102"/>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9"/>
      <c r="D283" s="25"/>
      <c r="E283" s="376"/>
      <c r="F283" s="85">
        <v>4</v>
      </c>
      <c r="G283" s="122"/>
      <c r="H283" s="146"/>
      <c r="I283" s="148"/>
      <c r="J283" s="148"/>
      <c r="K283" s="147"/>
      <c r="L283" s="67">
        <f>IF(A19stdlife="n/a","n/a",IF(L$3&gt;(A19stdlife+$F283),(Input!$K$161*(1+vanilla4)^0.5)-SUM($K283:K283),(Input!$K$161*(1+vanilla4)^0.5)/A19stdlife))</f>
        <v>3.1883744969248839E-2</v>
      </c>
      <c r="M283" s="67">
        <f>IF(A19stdlife="n/a","n/a",IF(M$3&gt;(A19stdlife+$F283),(Input!$K$161*(1+vanilla4)^0.5)-SUM($K283:L283),(Input!$K$161*(1+vanilla4)^0.5)/A19stdlife))</f>
        <v>3.1883744969248839E-2</v>
      </c>
      <c r="N283" s="67">
        <f>IF(A19stdlife="n/a","n/a",IF(N$3&gt;(A19stdlife+$F283),(Input!$K$161*(1+vanilla4)^0.5)-SUM($K283:M283),(Input!$K$161*(1+vanilla4)^0.5)/A19stdlife))</f>
        <v>3.1883744969248839E-2</v>
      </c>
      <c r="O283" s="67">
        <f>IF(A19stdlife="n/a","n/a",IF(O$3&gt;(A19stdlife+$F283),(Input!$K$161*(1+vanilla4)^0.5)-SUM($K283:N283),(Input!$K$161*(1+vanilla4)^0.5)/A19stdlife))</f>
        <v>3.1883744969248839E-2</v>
      </c>
      <c r="P283" s="67">
        <f>IF(A19stdlife="n/a","n/a",IF(P$3&gt;(A19stdlife+$F283),(Input!$K$161*(1+vanilla4)^0.5)-SUM($K283:O283),(Input!$K$161*(1+vanilla4)^0.5)/A19stdlife))</f>
        <v>3.1883744969248839E-2</v>
      </c>
      <c r="Q283" s="67">
        <f>IF(A19stdlife="n/a","n/a",IF(Q$3&gt;(A19stdlife+$F283),(Input!$K$161*(1+vanilla4)^0.5)-SUM($K283:P283),(Input!$K$161*(1+vanilla4)^0.5)/A19stdlife))</f>
        <v>3.1883744969248839E-2</v>
      </c>
      <c r="R283" s="67"/>
      <c r="S283" s="102"/>
      <c r="T283" s="102"/>
      <c r="U283" s="102"/>
      <c r="V283" s="102"/>
      <c r="W283" s="102"/>
      <c r="X283" s="102"/>
      <c r="Y283" s="102"/>
      <c r="Z283" s="102"/>
      <c r="AA283" s="102"/>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102"/>
      <c r="BE283" s="102"/>
      <c r="BF283" s="102"/>
      <c r="BG283" s="102"/>
      <c r="BH283" s="102"/>
      <c r="BI283" s="102"/>
      <c r="BJ283" s="102"/>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9"/>
      <c r="D284" s="25"/>
      <c r="E284" s="376"/>
      <c r="F284" s="85">
        <v>5</v>
      </c>
      <c r="G284" s="26"/>
      <c r="H284" s="146"/>
      <c r="I284" s="148"/>
      <c r="J284" s="148"/>
      <c r="K284" s="148"/>
      <c r="L284" s="147"/>
      <c r="M284" s="67">
        <f>IF(A19stdlife="n/a","n/a",IF(M$3&gt;(A19stdlife+$F284),(Input!$L$161*(1+vanilla5)^0.5)-SUM($L284:L284),(Input!$L$161*(1+vanilla5)^0.5)/A19stdlife))</f>
        <v>2.4200403333971138E-2</v>
      </c>
      <c r="N284" s="67">
        <f>IF(A19stdlife="n/a","n/a",IF(N$3&gt;(A19stdlife+$F284),(Input!$L$161*(1+vanilla5)^0.5)-SUM($L284:M284),(Input!$L$161*(1+vanilla5)^0.5)/A19stdlife))</f>
        <v>2.4200403333971138E-2</v>
      </c>
      <c r="O284" s="67">
        <f>IF(A19stdlife="n/a","n/a",IF(O$3&gt;(A19stdlife+$F284),(Input!$L$161*(1+vanilla5)^0.5)-SUM($L284:N284),(Input!$L$161*(1+vanilla5)^0.5)/A19stdlife))</f>
        <v>2.4200403333971138E-2</v>
      </c>
      <c r="P284" s="67">
        <f>IF(A19stdlife="n/a","n/a",IF(P$3&gt;(A19stdlife+$F284),(Input!$L$161*(1+vanilla5)^0.5)-SUM($L284:O284),(Input!$L$161*(1+vanilla5)^0.5)/A19stdlife))</f>
        <v>2.4200403333971138E-2</v>
      </c>
      <c r="Q284" s="67">
        <f>IF(A19stdlife="n/a","n/a",IF(Q$3&gt;(A19stdlife+$F284),(Input!$L$161*(1+vanilla5)^0.5)-SUM($L284:P284),(Input!$L$161*(1+vanilla5)^0.5)/A19stdlife))</f>
        <v>2.4200403333971138E-2</v>
      </c>
      <c r="R284" s="67"/>
      <c r="S284" s="102"/>
      <c r="T284" s="102"/>
      <c r="U284" s="102"/>
      <c r="V284" s="102"/>
      <c r="W284" s="102"/>
      <c r="X284" s="102"/>
      <c r="Y284" s="102"/>
      <c r="Z284" s="102"/>
      <c r="AA284" s="102"/>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102"/>
      <c r="BE284" s="102"/>
      <c r="BF284" s="102"/>
      <c r="BG284" s="102"/>
      <c r="BH284" s="102"/>
      <c r="BI284" s="102"/>
      <c r="BJ284" s="102"/>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376"/>
      <c r="F285" s="85">
        <v>6</v>
      </c>
      <c r="G285" s="26"/>
      <c r="H285" s="146"/>
      <c r="I285" s="148"/>
      <c r="J285" s="148"/>
      <c r="K285" s="148"/>
      <c r="L285" s="148"/>
      <c r="M285" s="147"/>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2"/>
      <c r="T285" s="102"/>
      <c r="U285" s="102"/>
      <c r="V285" s="102"/>
      <c r="W285" s="102"/>
      <c r="X285" s="102"/>
      <c r="Y285" s="102"/>
      <c r="Z285" s="102"/>
      <c r="AA285" s="102"/>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102"/>
      <c r="BE285" s="102"/>
      <c r="BF285" s="102"/>
      <c r="BG285" s="102"/>
      <c r="BH285" s="102"/>
      <c r="BI285" s="102"/>
      <c r="BJ285" s="102"/>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9"/>
      <c r="D286" s="25"/>
      <c r="E286" s="376"/>
      <c r="F286" s="85">
        <v>7</v>
      </c>
      <c r="G286" s="26"/>
      <c r="H286" s="146"/>
      <c r="I286" s="148"/>
      <c r="J286" s="148"/>
      <c r="K286" s="148"/>
      <c r="L286" s="148"/>
      <c r="M286" s="148"/>
      <c r="N286" s="147"/>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2"/>
      <c r="T286" s="102"/>
      <c r="U286" s="102"/>
      <c r="V286" s="102"/>
      <c r="W286" s="102"/>
      <c r="X286" s="102"/>
      <c r="Y286" s="102"/>
      <c r="Z286" s="102"/>
      <c r="AA286" s="102"/>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102"/>
      <c r="BE286" s="102"/>
      <c r="BF286" s="102"/>
      <c r="BG286" s="102"/>
      <c r="BH286" s="102"/>
      <c r="BI286" s="102"/>
      <c r="BJ286" s="102"/>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9"/>
      <c r="D287" s="25"/>
      <c r="E287" s="376"/>
      <c r="F287" s="85">
        <v>8</v>
      </c>
      <c r="G287" s="26"/>
      <c r="H287" s="146"/>
      <c r="I287" s="148"/>
      <c r="J287" s="148"/>
      <c r="K287" s="148"/>
      <c r="L287" s="148"/>
      <c r="M287" s="148"/>
      <c r="N287" s="148"/>
      <c r="O287" s="147"/>
      <c r="P287" s="67">
        <f>IF(A19stdlife="n/a","n/a",IF(P$3&gt;(A19stdlife+$F287),(Input!$O$161*(1+vanilla8)^0.5)-SUM($O287:O287),(Input!$O$161*(1+vanilla8)^0.5)/A19stdlife))</f>
        <v>0</v>
      </c>
      <c r="Q287" s="67">
        <f>IF(A19stdlife="n/a","n/a",IF(Q$3&gt;(A19stdlife+$F287),(Input!$O$161*(1+vanilla8)^0.5)-SUM($O287:P287),(Input!$O$161*(1+vanilla8)^0.5)/A19stdlife))</f>
        <v>0</v>
      </c>
      <c r="R287" s="67"/>
      <c r="S287" s="102"/>
      <c r="T287" s="102"/>
      <c r="U287" s="102"/>
      <c r="V287" s="102"/>
      <c r="W287" s="102"/>
      <c r="X287" s="102"/>
      <c r="Y287" s="102"/>
      <c r="Z287" s="102"/>
      <c r="AA287" s="102"/>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102"/>
      <c r="BE287" s="102"/>
      <c r="BF287" s="102"/>
      <c r="BG287" s="102"/>
      <c r="BH287" s="102"/>
      <c r="BI287" s="102"/>
      <c r="BJ287" s="102"/>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9"/>
      <c r="D288" s="25"/>
      <c r="E288" s="376"/>
      <c r="F288" s="85">
        <v>9</v>
      </c>
      <c r="G288" s="26"/>
      <c r="H288" s="146"/>
      <c r="I288" s="148"/>
      <c r="J288" s="148"/>
      <c r="K288" s="148"/>
      <c r="L288" s="148"/>
      <c r="M288" s="148"/>
      <c r="N288" s="148"/>
      <c r="O288" s="148"/>
      <c r="P288" s="147"/>
      <c r="Q288" s="67">
        <f>IF(A19stdlife="n/a","n/a",IF(Q$3&gt;(A19stdlife+$F288),(Input!$P$161*(1+vanilla9)^0.5)-SUM($P288:P288),(Input!$P$161*(1+vanilla9)^0.5)/A19stdlife))</f>
        <v>0</v>
      </c>
      <c r="R288" s="67"/>
      <c r="S288" s="102"/>
      <c r="T288" s="102"/>
      <c r="U288" s="102"/>
      <c r="V288" s="102"/>
      <c r="W288" s="102"/>
      <c r="X288" s="102"/>
      <c r="Y288" s="102"/>
      <c r="Z288" s="102"/>
      <c r="AA288" s="102"/>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102"/>
      <c r="BE288" s="102"/>
      <c r="BF288" s="102"/>
      <c r="BG288" s="102"/>
      <c r="BH288" s="102"/>
      <c r="BI288" s="102"/>
      <c r="BJ288" s="102"/>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9"/>
      <c r="D289" s="25"/>
      <c r="E289" s="376"/>
      <c r="F289" s="86">
        <v>10</v>
      </c>
      <c r="G289" s="26"/>
      <c r="H289" s="146"/>
      <c r="I289" s="148"/>
      <c r="J289" s="148"/>
      <c r="K289" s="148"/>
      <c r="L289" s="148"/>
      <c r="M289" s="148"/>
      <c r="N289" s="148"/>
      <c r="O289" s="148"/>
      <c r="P289" s="148"/>
      <c r="Q289" s="147"/>
      <c r="R289" s="67"/>
      <c r="S289" s="102"/>
      <c r="T289" s="102"/>
      <c r="U289" s="102"/>
      <c r="V289" s="102"/>
      <c r="W289" s="102"/>
      <c r="X289" s="102"/>
      <c r="Y289" s="102"/>
      <c r="Z289" s="102"/>
      <c r="AA289" s="102"/>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102"/>
      <c r="BE289" s="102"/>
      <c r="BF289" s="102"/>
      <c r="BG289" s="102"/>
      <c r="BH289" s="102"/>
      <c r="BI289" s="102"/>
      <c r="BJ289" s="102"/>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1" collapsed="1">
      <c r="A290" s="9"/>
      <c r="B290" s="9"/>
      <c r="C290" s="9"/>
      <c r="D290" s="25" t="str">
        <f>Asset19</f>
        <v>Furniture, fittings, plant and equipment</v>
      </c>
      <c r="E290" s="9"/>
      <c r="F290" s="9"/>
      <c r="G290" s="122"/>
      <c r="H290" s="165">
        <f>-SUM(H278:H289)</f>
        <v>-0.28286523884330006</v>
      </c>
      <c r="I290" s="165">
        <f>-SUM(I278:I289)</f>
        <v>-0.34145343675763801</v>
      </c>
      <c r="J290" s="165">
        <f>-SUM(J278:J289)</f>
        <v>-0.39344801448243838</v>
      </c>
      <c r="K290" s="165">
        <f>-SUM(K278:K289)</f>
        <v>-0.44613376159128421</v>
      </c>
      <c r="L290" s="165">
        <f>-SUM(L278:L289)</f>
        <v>-0.47801750656053305</v>
      </c>
      <c r="M290" s="165">
        <f>IF(Input!M173&gt;0, -SUM(M278:M289), 0)</f>
        <v>0</v>
      </c>
      <c r="N290" s="165">
        <f>IF(Input!N173&gt;0, -SUM(N278:N289), 0)</f>
        <v>0</v>
      </c>
      <c r="O290" s="165">
        <f>IF(Input!O173&gt;0, -SUM(O278:O289), 0)</f>
        <v>0</v>
      </c>
      <c r="P290" s="165">
        <f>IF(Input!P173&gt;0, -SUM(P278:P289), 0)</f>
        <v>0</v>
      </c>
      <c r="Q290" s="165">
        <f>IF(Input!Q173&gt;0, -SUM(Q278:Q289), 0)</f>
        <v>0</v>
      </c>
      <c r="R290" s="65"/>
      <c r="S290" s="104"/>
      <c r="T290" s="104"/>
      <c r="U290" s="104"/>
      <c r="V290" s="104"/>
      <c r="W290" s="104"/>
      <c r="X290" s="104"/>
      <c r="Y290" s="104"/>
      <c r="Z290" s="104"/>
      <c r="AA290" s="104"/>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104"/>
      <c r="BE290" s="104"/>
      <c r="BF290" s="104"/>
      <c r="BG290" s="104"/>
      <c r="BH290" s="104"/>
      <c r="BI290" s="104"/>
      <c r="BJ290" s="104"/>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31" t="str">
        <f>Asset20</f>
        <v>Motor vehicles</v>
      </c>
      <c r="D291" s="161"/>
      <c r="E291" s="33" t="s">
        <v>28</v>
      </c>
      <c r="F291" s="32"/>
      <c r="G291" s="174"/>
      <c r="H291" s="66">
        <f>IF(H$3&gt;A20remlife,A20value-SUM($G291:G291),IF(A20remlife="N/A","n/a",A20value/A20remlife))</f>
        <v>1.5339269046077195</v>
      </c>
      <c r="I291" s="66">
        <f>IF(I$3&gt;A20remlife,A20value-SUM($G291:H291),IF(A20remlife="N/A","n/a",A20value/A20remlife))</f>
        <v>1.5339269046077195</v>
      </c>
      <c r="J291" s="66">
        <f>IF(J$3&gt;A20remlife,A20value-SUM($G291:I291),IF(A20remlife="N/A","n/a",A20value/A20remlife))</f>
        <v>1.5339269046077195</v>
      </c>
      <c r="K291" s="66">
        <f>IF(K$3&gt;A20remlife,A20value-SUM($G291:J291),IF(A20remlife="N/A","n/a",A20value/A20remlife))</f>
        <v>1.5339269046077195</v>
      </c>
      <c r="L291" s="66">
        <f>IF(L$3&gt;A20remlife,A20value-SUM($G291:K291),IF(A20remlife="N/A","n/a",A20value/A20remlife))</f>
        <v>1.5339269046077195</v>
      </c>
      <c r="M291" s="66">
        <f>IF(M$3&gt;A20remlife,A20value-SUM($G291:L291),IF(A20remlife="N/A","n/a",A20value/A20remlife))</f>
        <v>1.5339269046077195</v>
      </c>
      <c r="N291" s="66">
        <f>IF(N$3&gt;A20remlife,A20value-SUM($G291:M291),IF(A20remlife="N/A","n/a",A20value/A20remlife))</f>
        <v>1.5339269046077195</v>
      </c>
      <c r="O291" s="66">
        <f>IF(O$3&gt;A20remlife,A20value-SUM($G291:N291),IF(A20remlife="N/A","n/a",A20value/A20remlife))</f>
        <v>1.5339269046077195</v>
      </c>
      <c r="P291" s="66">
        <f>IF(P$3&gt;A20remlife,A20value-SUM($G291:O291),IF(A20remlife="N/A","n/a",A20value/A20remlife))</f>
        <v>0.56142334102269764</v>
      </c>
      <c r="Q291" s="66">
        <f>IF(Q$3&gt;A20remlife,A20value-SUM($G291:P291),IF(A20remlife="N/A","n/a",A20value/A20remlife))</f>
        <v>0</v>
      </c>
      <c r="R291" s="66"/>
      <c r="S291" s="102"/>
      <c r="T291" s="102"/>
      <c r="U291" s="102"/>
      <c r="V291" s="102"/>
      <c r="W291" s="102"/>
      <c r="X291" s="102"/>
      <c r="Y291" s="102"/>
      <c r="Z291" s="102"/>
      <c r="AA291" s="102"/>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102"/>
      <c r="BE291" s="102"/>
      <c r="BF291" s="102"/>
      <c r="BG291" s="102"/>
      <c r="BH291" s="102"/>
      <c r="BI291" s="102"/>
      <c r="BJ291" s="102"/>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9"/>
      <c r="D292" s="25"/>
      <c r="E292" s="375" t="s">
        <v>85</v>
      </c>
      <c r="F292" s="85">
        <v>0</v>
      </c>
      <c r="G292" s="122"/>
      <c r="H292" s="67"/>
      <c r="I292" s="67"/>
      <c r="J292" s="67"/>
      <c r="K292" s="67"/>
      <c r="L292" s="67"/>
      <c r="M292" s="163"/>
      <c r="N292" s="111"/>
      <c r="O292" s="67"/>
      <c r="P292" s="67"/>
      <c r="Q292" s="67"/>
      <c r="R292" s="67"/>
      <c r="S292" s="102"/>
      <c r="T292" s="102"/>
      <c r="U292" s="102"/>
      <c r="V292" s="102"/>
      <c r="W292" s="102"/>
      <c r="X292" s="102"/>
      <c r="Y292" s="102"/>
      <c r="Z292" s="102"/>
      <c r="AA292" s="102"/>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102"/>
      <c r="BE292" s="102"/>
      <c r="BF292" s="102"/>
      <c r="BG292" s="102"/>
      <c r="BH292" s="102"/>
      <c r="BI292" s="102"/>
      <c r="BJ292" s="102"/>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9"/>
      <c r="D293" s="25"/>
      <c r="E293" s="376"/>
      <c r="F293" s="85">
        <v>1</v>
      </c>
      <c r="G293" s="122"/>
      <c r="H293" s="145"/>
      <c r="I293" s="67">
        <f>IF(A20stdlife="n/a","n/a",IF(I$3&gt;(A20stdlife+$F293),(Input!$H$162*(1+vanilla1)^0.5)-SUM($H293:H293),(Input!$H$162*(1+vanilla1)^0.5)/A20stdlife))</f>
        <v>0.32510221983872362</v>
      </c>
      <c r="J293" s="67">
        <f>IF(A20stdlife="n/a","n/a",IF(J$3&gt;(A20stdlife+$F293),(Input!$H$162*(1+vanilla1)^0.5)-SUM($H293:I293),(Input!$H$162*(1+vanilla1)^0.5)/A20stdlife))</f>
        <v>0.32510221983872362</v>
      </c>
      <c r="K293" s="67">
        <f>IF(A20stdlife="n/a","n/a",IF(K$3&gt;(A20stdlife+$F293),(Input!$H$162*(1+vanilla1)^0.5)-SUM($H293:J293),(Input!$H$162*(1+vanilla1)^0.5)/A20stdlife))</f>
        <v>0.32510221983872362</v>
      </c>
      <c r="L293" s="67">
        <f>IF(A20stdlife="n/a","n/a",IF(L$3&gt;(A20stdlife+$F293),(Input!$H$162*(1+vanilla1)^0.5)-SUM($H293:K293),(Input!$H$162*(1+vanilla1)^0.5)/A20stdlife))</f>
        <v>0.32510221983872362</v>
      </c>
      <c r="M293" s="67">
        <f>IF(A20stdlife="n/a","n/a",IF(M$3&gt;(A20stdlife+$F293),(Input!$H$162*(1+vanilla1)^0.5)-SUM($H293:L293),(Input!$H$162*(1+vanilla1)^0.5)/A20stdlife))</f>
        <v>0.32510221983872362</v>
      </c>
      <c r="N293" s="67">
        <f>IF(A20stdlife="n/a","n/a",IF(N$3&gt;(A20stdlife+$F293),(Input!$H$162*(1+vanilla1)^0.5)-SUM($H293:M293),(Input!$H$162*(1+vanilla1)^0.5)/A20stdlife))</f>
        <v>0.32510221983872362</v>
      </c>
      <c r="O293" s="67">
        <f>IF(A20stdlife="n/a","n/a",IF(O$3&gt;(A20stdlife+$F293),(Input!$H$162*(1+vanilla1)^0.5)-SUM($H293:N293),(Input!$H$162*(1+vanilla1)^0.5)/A20stdlife))</f>
        <v>0.32510221983872362</v>
      </c>
      <c r="P293" s="67">
        <f>IF(A20stdlife="n/a","n/a",IF(P$3&gt;(A20stdlife+$F293),(Input!$H$162*(1+vanilla1)^0.5)-SUM($H293:O293),(Input!$H$162*(1+vanilla1)^0.5)/A20stdlife))</f>
        <v>0.32510221983872362</v>
      </c>
      <c r="Q293" s="67">
        <f>IF(A20stdlife="n/a","n/a",IF(Q$3&gt;(A20stdlife+$F293),(Input!$H$162*(1+vanilla1)^0.5)-SUM($H293:P293),(Input!$H$162*(1+vanilla1)^0.5)/A20stdlife))</f>
        <v>0.32510221983872362</v>
      </c>
      <c r="R293" s="67"/>
      <c r="S293" s="102"/>
      <c r="T293" s="102"/>
      <c r="U293" s="102"/>
      <c r="V293" s="102"/>
      <c r="W293" s="102"/>
      <c r="X293" s="102"/>
      <c r="Y293" s="102"/>
      <c r="Z293" s="102"/>
      <c r="AA293" s="102"/>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102"/>
      <c r="BE293" s="102"/>
      <c r="BF293" s="102"/>
      <c r="BG293" s="102"/>
      <c r="BH293" s="102"/>
      <c r="BI293" s="102"/>
      <c r="BJ293" s="102"/>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9"/>
      <c r="D294" s="25"/>
      <c r="E294" s="376"/>
      <c r="F294" s="85">
        <v>2</v>
      </c>
      <c r="G294" s="122"/>
      <c r="H294" s="146"/>
      <c r="I294" s="147"/>
      <c r="J294" s="67">
        <f>IF(A20stdlife="n/a","n/a",IF(J$3&gt;(A20stdlife+$F294),(Input!$I$162*(1+vanilla2)^0.5)-SUM($I294:I294),(Input!$I$162*(1+vanilla2)^0.5)/A20stdlife))</f>
        <v>0.33967620991315484</v>
      </c>
      <c r="K294" s="67">
        <f>IF(A20stdlife="n/a","n/a",IF(K$3&gt;(A20stdlife+$F294),(Input!$I$162*(1+vanilla2)^0.5)-SUM($I294:J294),(Input!$I$162*(1+vanilla2)^0.5)/A20stdlife))</f>
        <v>0.33967620991315484</v>
      </c>
      <c r="L294" s="67">
        <f>IF(A20stdlife="n/a","n/a",IF(L$3&gt;(A20stdlife+$F294),(Input!$I$162*(1+vanilla2)^0.5)-SUM($I294:K294),(Input!$I$162*(1+vanilla2)^0.5)/A20stdlife))</f>
        <v>0.33967620991315484</v>
      </c>
      <c r="M294" s="67">
        <f>IF(A20stdlife="n/a","n/a",IF(M$3&gt;(A20stdlife+$F294),(Input!$I$162*(1+vanilla2)^0.5)-SUM($I294:L294),(Input!$I$162*(1+vanilla2)^0.5)/A20stdlife))</f>
        <v>0.33967620991315484</v>
      </c>
      <c r="N294" s="67">
        <f>IF(A20stdlife="n/a","n/a",IF(N$3&gt;(A20stdlife+$F294),(Input!$I$162*(1+vanilla2)^0.5)-SUM($I294:M294),(Input!$I$162*(1+vanilla2)^0.5)/A20stdlife))</f>
        <v>0.33967620991315484</v>
      </c>
      <c r="O294" s="67">
        <f>IF(A20stdlife="n/a","n/a",IF(O$3&gt;(A20stdlife+$F294),(Input!$I$162*(1+vanilla2)^0.5)-SUM($I294:N294),(Input!$I$162*(1+vanilla2)^0.5)/A20stdlife))</f>
        <v>0.33967620991315484</v>
      </c>
      <c r="P294" s="67">
        <f>IF(A20stdlife="n/a","n/a",IF(P$3&gt;(A20stdlife+$F294),(Input!$I$162*(1+vanilla2)^0.5)-SUM($I294:O294),(Input!$I$162*(1+vanilla2)^0.5)/A20stdlife))</f>
        <v>0.33967620991315484</v>
      </c>
      <c r="Q294" s="67">
        <f>IF(A20stdlife="n/a","n/a",IF(Q$3&gt;(A20stdlife+$F294),(Input!$I$162*(1+vanilla2)^0.5)-SUM($I294:P294),(Input!$I$162*(1+vanilla2)^0.5)/A20stdlife))</f>
        <v>0.33967620991315484</v>
      </c>
      <c r="R294" s="67"/>
      <c r="S294" s="102"/>
      <c r="T294" s="102"/>
      <c r="U294" s="102"/>
      <c r="V294" s="102"/>
      <c r="W294" s="102"/>
      <c r="X294" s="102"/>
      <c r="Y294" s="102"/>
      <c r="Z294" s="102"/>
      <c r="AA294" s="102"/>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102"/>
      <c r="BE294" s="102"/>
      <c r="BF294" s="102"/>
      <c r="BG294" s="102"/>
      <c r="BH294" s="102"/>
      <c r="BI294" s="102"/>
      <c r="BJ294" s="102"/>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customHeight="1" outlineLevel="2">
      <c r="A295" s="9"/>
      <c r="B295" s="9"/>
      <c r="C295" s="9"/>
      <c r="D295" s="25"/>
      <c r="E295" s="376"/>
      <c r="F295" s="85">
        <v>3</v>
      </c>
      <c r="G295" s="122"/>
      <c r="H295" s="146"/>
      <c r="I295" s="148"/>
      <c r="J295" s="147"/>
      <c r="K295" s="67">
        <f>IF(A20stdlife="n/a","n/a",IF(K$3&gt;(A20stdlife+$F295),(Input!$J$162*(1+vanilla3)^0.5)-SUM($J295:J295),(Input!$J$162*(1+vanilla3)^0.5)/A20stdlife))</f>
        <v>0.35647884224886806</v>
      </c>
      <c r="L295" s="67">
        <f>IF(A20stdlife="n/a","n/a",IF(L$3&gt;(A20stdlife+$F295),(Input!$J$162*(1+vanilla3)^0.5)-SUM($J295:K295),(Input!$J$162*(1+vanilla3)^0.5)/A20stdlife))</f>
        <v>0.35647884224886806</v>
      </c>
      <c r="M295" s="67">
        <f>IF(A20stdlife="n/a","n/a",IF(M$3&gt;(A20stdlife+$F295),(Input!$J$162*(1+vanilla3)^0.5)-SUM($J295:L295),(Input!$J$162*(1+vanilla3)^0.5)/A20stdlife))</f>
        <v>0.35647884224886806</v>
      </c>
      <c r="N295" s="67">
        <f>IF(A20stdlife="n/a","n/a",IF(N$3&gt;(A20stdlife+$F295),(Input!$J$162*(1+vanilla3)^0.5)-SUM($J295:M295),(Input!$J$162*(1+vanilla3)^0.5)/A20stdlife))</f>
        <v>0.35647884224886806</v>
      </c>
      <c r="O295" s="67">
        <f>IF(A20stdlife="n/a","n/a",IF(O$3&gt;(A20stdlife+$F295),(Input!$J$162*(1+vanilla3)^0.5)-SUM($J295:N295),(Input!$J$162*(1+vanilla3)^0.5)/A20stdlife))</f>
        <v>0.35647884224886806</v>
      </c>
      <c r="P295" s="67">
        <f>IF(A20stdlife="n/a","n/a",IF(P$3&gt;(A20stdlife+$F295),(Input!$J$162*(1+vanilla3)^0.5)-SUM($J295:O295),(Input!$J$162*(1+vanilla3)^0.5)/A20stdlife))</f>
        <v>0.35647884224886806</v>
      </c>
      <c r="Q295" s="67">
        <f>IF(A20stdlife="n/a","n/a",IF(Q$3&gt;(A20stdlife+$F295),(Input!$J$162*(1+vanilla3)^0.5)-SUM($J295:P295),(Input!$J$162*(1+vanilla3)^0.5)/A20stdlife))</f>
        <v>0.35647884224886806</v>
      </c>
      <c r="R295" s="67"/>
      <c r="S295" s="102"/>
      <c r="T295" s="102"/>
      <c r="U295" s="102"/>
      <c r="V295" s="102"/>
      <c r="W295" s="102"/>
      <c r="X295" s="102"/>
      <c r="Y295" s="102"/>
      <c r="Z295" s="102"/>
      <c r="AA295" s="102"/>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102"/>
      <c r="BE295" s="102"/>
      <c r="BF295" s="102"/>
      <c r="BG295" s="102"/>
      <c r="BH295" s="102"/>
      <c r="BI295" s="102"/>
      <c r="BJ295" s="102"/>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9"/>
      <c r="C296" s="9"/>
      <c r="D296" s="25"/>
      <c r="E296" s="376"/>
      <c r="F296" s="85">
        <v>4</v>
      </c>
      <c r="G296" s="122"/>
      <c r="H296" s="146"/>
      <c r="I296" s="148"/>
      <c r="J296" s="148"/>
      <c r="K296" s="147"/>
      <c r="L296" s="67">
        <f>IF(A20stdlife="n/a","n/a",IF(L$3&gt;(A20stdlife+$F296),(Input!$K$162*(1+vanilla4)^0.5)-SUM($K296:K296),(Input!$K$162*(1+vanilla4)^0.5)/A20stdlife))</f>
        <v>0.15669871332943452</v>
      </c>
      <c r="M296" s="67">
        <f>IF(A20stdlife="n/a","n/a",IF(M$3&gt;(A20stdlife+$F296),(Input!$K$162*(1+vanilla4)^0.5)-SUM($K296:L296),(Input!$K$162*(1+vanilla4)^0.5)/A20stdlife))</f>
        <v>0.15669871332943452</v>
      </c>
      <c r="N296" s="67">
        <f>IF(A20stdlife="n/a","n/a",IF(N$3&gt;(A20stdlife+$F296),(Input!$K$162*(1+vanilla4)^0.5)-SUM($K296:M296),(Input!$K$162*(1+vanilla4)^0.5)/A20stdlife))</f>
        <v>0.15669871332943452</v>
      </c>
      <c r="O296" s="67">
        <f>IF(A20stdlife="n/a","n/a",IF(O$3&gt;(A20stdlife+$F296),(Input!$K$162*(1+vanilla4)^0.5)-SUM($K296:N296),(Input!$K$162*(1+vanilla4)^0.5)/A20stdlife))</f>
        <v>0.15669871332943452</v>
      </c>
      <c r="P296" s="67">
        <f>IF(A20stdlife="n/a","n/a",IF(P$3&gt;(A20stdlife+$F296),(Input!$K$162*(1+vanilla4)^0.5)-SUM($K296:O296),(Input!$K$162*(1+vanilla4)^0.5)/A20stdlife))</f>
        <v>0.15669871332943452</v>
      </c>
      <c r="Q296" s="67">
        <f>IF(A20stdlife="n/a","n/a",IF(Q$3&gt;(A20stdlife+$F296),(Input!$K$162*(1+vanilla4)^0.5)-SUM($K296:P296),(Input!$K$162*(1+vanilla4)^0.5)/A20stdlife))</f>
        <v>0.15669871332943452</v>
      </c>
      <c r="R296" s="67"/>
      <c r="S296" s="102"/>
      <c r="T296" s="102"/>
      <c r="U296" s="102"/>
      <c r="V296" s="102"/>
      <c r="W296" s="102"/>
      <c r="X296" s="102"/>
      <c r="Y296" s="102"/>
      <c r="Z296" s="102"/>
      <c r="AA296" s="102"/>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102"/>
      <c r="BE296" s="102"/>
      <c r="BF296" s="102"/>
      <c r="BG296" s="102"/>
      <c r="BH296" s="102"/>
      <c r="BI296" s="102"/>
      <c r="BJ296" s="102"/>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9"/>
      <c r="D297" s="25"/>
      <c r="E297" s="376"/>
      <c r="F297" s="85">
        <v>5</v>
      </c>
      <c r="G297" s="26"/>
      <c r="H297" s="146"/>
      <c r="I297" s="148"/>
      <c r="J297" s="148"/>
      <c r="K297" s="148"/>
      <c r="L297" s="147"/>
      <c r="M297" s="67">
        <f>IF(A20stdlife="n/a","n/a",IF(M$3&gt;(A20stdlife+$F297),(Input!$L$162*(1+vanilla5)^0.5)-SUM($L297:L297),(Input!$L$162*(1+vanilla5)^0.5)/A20stdlife))</f>
        <v>0.13836002656341564</v>
      </c>
      <c r="N297" s="67">
        <f>IF(A20stdlife="n/a","n/a",IF(N$3&gt;(A20stdlife+$F297),(Input!$L$162*(1+vanilla5)^0.5)-SUM($L297:M297),(Input!$L$162*(1+vanilla5)^0.5)/A20stdlife))</f>
        <v>0.13836002656341564</v>
      </c>
      <c r="O297" s="67">
        <f>IF(A20stdlife="n/a","n/a",IF(O$3&gt;(A20stdlife+$F297),(Input!$L$162*(1+vanilla5)^0.5)-SUM($L297:N297),(Input!$L$162*(1+vanilla5)^0.5)/A20stdlife))</f>
        <v>0.13836002656341564</v>
      </c>
      <c r="P297" s="67">
        <f>IF(A20stdlife="n/a","n/a",IF(P$3&gt;(A20stdlife+$F297),(Input!$L$162*(1+vanilla5)^0.5)-SUM($L297:O297),(Input!$L$162*(1+vanilla5)^0.5)/A20stdlife))</f>
        <v>0.13836002656341564</v>
      </c>
      <c r="Q297" s="67">
        <f>IF(A20stdlife="n/a","n/a",IF(Q$3&gt;(A20stdlife+$F297),(Input!$L$162*(1+vanilla5)^0.5)-SUM($L297:P297),(Input!$L$162*(1+vanilla5)^0.5)/A20stdlife))</f>
        <v>0.13836002656341564</v>
      </c>
      <c r="R297" s="67"/>
      <c r="S297" s="102"/>
      <c r="T297" s="102"/>
      <c r="U297" s="102"/>
      <c r="V297" s="102"/>
      <c r="W297" s="102"/>
      <c r="X297" s="102"/>
      <c r="Y297" s="102"/>
      <c r="Z297" s="102"/>
      <c r="AA297" s="102"/>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102"/>
      <c r="BE297" s="102"/>
      <c r="BF297" s="102"/>
      <c r="BG297" s="102"/>
      <c r="BH297" s="102"/>
      <c r="BI297" s="102"/>
      <c r="BJ297" s="102"/>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5"/>
      <c r="E298" s="376"/>
      <c r="F298" s="85">
        <v>6</v>
      </c>
      <c r="G298" s="26"/>
      <c r="H298" s="146"/>
      <c r="I298" s="148"/>
      <c r="J298" s="148"/>
      <c r="K298" s="148"/>
      <c r="L298" s="148"/>
      <c r="M298" s="147"/>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2"/>
      <c r="T298" s="102"/>
      <c r="U298" s="102"/>
      <c r="V298" s="102"/>
      <c r="W298" s="102"/>
      <c r="X298" s="102"/>
      <c r="Y298" s="102"/>
      <c r="Z298" s="102"/>
      <c r="AA298" s="102"/>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102"/>
      <c r="BE298" s="102"/>
      <c r="BF298" s="102"/>
      <c r="BG298" s="102"/>
      <c r="BH298" s="102"/>
      <c r="BI298" s="102"/>
      <c r="BJ298" s="102"/>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9"/>
      <c r="D299" s="25"/>
      <c r="E299" s="376"/>
      <c r="F299" s="85">
        <v>7</v>
      </c>
      <c r="G299" s="26"/>
      <c r="H299" s="146"/>
      <c r="I299" s="148"/>
      <c r="J299" s="148"/>
      <c r="K299" s="148"/>
      <c r="L299" s="148"/>
      <c r="M299" s="148"/>
      <c r="N299" s="147"/>
      <c r="O299" s="67">
        <f>IF(A20stdlife="n/a","n/a",IF(O$3&gt;(A20stdlife+$F299),(Input!$N$162*(1+vanilla7)^0.5)-SUM($N299:N299),(Input!$N$162*(1+vanilla7)^0.5)/A20stdlife))</f>
        <v>0</v>
      </c>
      <c r="P299" s="67">
        <f>IF(A20stdlife="n/a","n/a",IF(P$3&gt;(A20stdlife+$F299),(Input!$N$162*(1+vanilla7)^0.5)-SUM($N299:O299),(Input!$N$162*(1+vanilla7)^0.5)/A20stdlife))</f>
        <v>0</v>
      </c>
      <c r="Q299" s="67">
        <f>IF(A20stdlife="n/a","n/a",IF(Q$3&gt;(A20stdlife+$F299),(Input!$N$162*(1+vanilla7)^0.5)-SUM($N299:P299),(Input!$N$162*(1+vanilla7)^0.5)/A20stdlife))</f>
        <v>0</v>
      </c>
      <c r="R299" s="67"/>
      <c r="S299" s="102"/>
      <c r="T299" s="102"/>
      <c r="U299" s="102"/>
      <c r="V299" s="102"/>
      <c r="W299" s="102"/>
      <c r="X299" s="102"/>
      <c r="Y299" s="102"/>
      <c r="Z299" s="102"/>
      <c r="AA299" s="102"/>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102"/>
      <c r="BE299" s="102"/>
      <c r="BF299" s="102"/>
      <c r="BG299" s="102"/>
      <c r="BH299" s="102"/>
      <c r="BI299" s="102"/>
      <c r="BJ299" s="102"/>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9"/>
      <c r="D300" s="25"/>
      <c r="E300" s="376"/>
      <c r="F300" s="85">
        <v>8</v>
      </c>
      <c r="G300" s="26"/>
      <c r="H300" s="146"/>
      <c r="I300" s="148"/>
      <c r="J300" s="148"/>
      <c r="K300" s="148"/>
      <c r="L300" s="148"/>
      <c r="M300" s="148"/>
      <c r="N300" s="148"/>
      <c r="O300" s="147"/>
      <c r="P300" s="67">
        <f>IF(A20stdlife="n/a","n/a",IF(P$3&gt;(A20stdlife+$F300),(Input!$O$162*(1+vanilla8)^0.5)-SUM($O300:O300),(Input!$O$162*(1+vanilla8)^0.5)/A20stdlife))</f>
        <v>0</v>
      </c>
      <c r="Q300" s="67">
        <f>IF(A20stdlife="n/a","n/a",IF(Q$3&gt;(A20stdlife+$F300),(Input!$O$162*(1+vanilla8)^0.5)-SUM($O300:P300),(Input!$O$162*(1+vanilla8)^0.5)/A20stdlife))</f>
        <v>0</v>
      </c>
      <c r="R300" s="67"/>
      <c r="S300" s="102"/>
      <c r="T300" s="102"/>
      <c r="U300" s="102"/>
      <c r="V300" s="102"/>
      <c r="W300" s="102"/>
      <c r="X300" s="102"/>
      <c r="Y300" s="102"/>
      <c r="Z300" s="102"/>
      <c r="AA300" s="102"/>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102"/>
      <c r="BE300" s="102"/>
      <c r="BF300" s="102"/>
      <c r="BG300" s="102"/>
      <c r="BH300" s="102"/>
      <c r="BI300" s="102"/>
      <c r="BJ300" s="102"/>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9"/>
      <c r="D301" s="25"/>
      <c r="E301" s="376"/>
      <c r="F301" s="85">
        <v>9</v>
      </c>
      <c r="G301" s="26"/>
      <c r="H301" s="146"/>
      <c r="I301" s="148"/>
      <c r="J301" s="148"/>
      <c r="K301" s="148"/>
      <c r="L301" s="148"/>
      <c r="M301" s="148"/>
      <c r="N301" s="148"/>
      <c r="O301" s="148"/>
      <c r="P301" s="147"/>
      <c r="Q301" s="67">
        <f>IF(A20stdlife="n/a","n/a",IF(Q$3&gt;(A20stdlife+$F301),(Input!$P$162*(1+vanilla9)^0.5)-SUM($P301:P301),(Input!$P$162*(1+vanilla9)^0.5)/A20stdlife))</f>
        <v>0</v>
      </c>
      <c r="R301" s="67"/>
      <c r="S301" s="102"/>
      <c r="T301" s="102"/>
      <c r="U301" s="102"/>
      <c r="V301" s="102"/>
      <c r="W301" s="102"/>
      <c r="X301" s="102"/>
      <c r="Y301" s="102"/>
      <c r="Z301" s="102"/>
      <c r="AA301" s="102"/>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102"/>
      <c r="BE301" s="102"/>
      <c r="BF301" s="102"/>
      <c r="BG301" s="102"/>
      <c r="BH301" s="102"/>
      <c r="BI301" s="102"/>
      <c r="BJ301" s="102"/>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9"/>
      <c r="D302" s="25"/>
      <c r="E302" s="376"/>
      <c r="F302" s="86">
        <v>10</v>
      </c>
      <c r="G302" s="26"/>
      <c r="H302" s="146"/>
      <c r="I302" s="148"/>
      <c r="J302" s="148"/>
      <c r="K302" s="148"/>
      <c r="L302" s="148"/>
      <c r="M302" s="148"/>
      <c r="N302" s="148"/>
      <c r="O302" s="148"/>
      <c r="P302" s="148"/>
      <c r="Q302" s="147"/>
      <c r="R302" s="67"/>
      <c r="S302" s="102"/>
      <c r="T302" s="102"/>
      <c r="U302" s="102"/>
      <c r="V302" s="102"/>
      <c r="W302" s="102"/>
      <c r="X302" s="102"/>
      <c r="Y302" s="102"/>
      <c r="Z302" s="102"/>
      <c r="AA302" s="102"/>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102"/>
      <c r="BE302" s="102"/>
      <c r="BF302" s="102"/>
      <c r="BG302" s="102"/>
      <c r="BH302" s="102"/>
      <c r="BI302" s="102"/>
      <c r="BJ302" s="102"/>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1">
      <c r="A303" s="9"/>
      <c r="B303" s="9"/>
      <c r="C303" s="9"/>
      <c r="D303" s="25" t="str">
        <f>Asset20</f>
        <v>Motor vehicles</v>
      </c>
      <c r="E303" s="9"/>
      <c r="F303" s="9"/>
      <c r="G303" s="122"/>
      <c r="H303" s="165">
        <f>-SUM(H291:H302)</f>
        <v>-1.5339269046077195</v>
      </c>
      <c r="I303" s="165">
        <f>-SUM(I291:I302)</f>
        <v>-1.8590291244464432</v>
      </c>
      <c r="J303" s="165">
        <f>-SUM(J291:J302)</f>
        <v>-2.1987053343595981</v>
      </c>
      <c r="K303" s="165">
        <f>-SUM(K291:K302)</f>
        <v>-2.5551841766084662</v>
      </c>
      <c r="L303" s="165">
        <f>-SUM(L291:L302)</f>
        <v>-2.7118828899379008</v>
      </c>
      <c r="M303" s="165">
        <f>IF(Input!M173&gt;0, -SUM(M291:M302), 0)</f>
        <v>0</v>
      </c>
      <c r="N303" s="165">
        <f>IF(Input!N173&gt;0, -SUM(N291:N302), 0)</f>
        <v>0</v>
      </c>
      <c r="O303" s="165">
        <f>IF(Input!O173&gt;0, -SUM(O291:O302), 0)</f>
        <v>0</v>
      </c>
      <c r="P303" s="165">
        <f>IF(Input!P173&gt;0, -SUM(P291:P302), 0)</f>
        <v>0</v>
      </c>
      <c r="Q303" s="165">
        <f>IF(Input!Q173&gt;0, -SUM(Q291:Q302), 0)</f>
        <v>0</v>
      </c>
      <c r="R303" s="65"/>
      <c r="S303" s="104"/>
      <c r="T303" s="104"/>
      <c r="U303" s="104"/>
      <c r="V303" s="104"/>
      <c r="W303" s="104"/>
      <c r="X303" s="104"/>
      <c r="Y303" s="104"/>
      <c r="Z303" s="104"/>
      <c r="AA303" s="104"/>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104"/>
      <c r="BE303" s="104"/>
      <c r="BF303" s="104"/>
      <c r="BG303" s="104"/>
      <c r="BH303" s="104"/>
      <c r="BI303" s="104"/>
      <c r="BJ303" s="104"/>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customHeight="1" outlineLevel="2">
      <c r="A304" s="9"/>
      <c r="B304" s="9"/>
      <c r="C304" s="31" t="str">
        <f>Asset21</f>
        <v>Buildings</v>
      </c>
      <c r="D304" s="161"/>
      <c r="E304" s="33" t="s">
        <v>28</v>
      </c>
      <c r="F304" s="32"/>
      <c r="G304" s="174"/>
      <c r="H304" s="66">
        <f>IF(H$3&gt;A21remlife,A21value-SUM($G304:G304),IF(A21remlife="N/A","n/a",A21value/A21remlife))</f>
        <v>0.53035317401849758</v>
      </c>
      <c r="I304" s="66">
        <f>IF(I$3&gt;A21remlife,A21value-SUM($G304:H304),IF(A21remlife="N/A","n/a",A21value/A21remlife))</f>
        <v>0.53035317401849758</v>
      </c>
      <c r="J304" s="66">
        <f>IF(J$3&gt;A21remlife,A21value-SUM($G304:I304),IF(A21remlife="N/A","n/a",A21value/A21remlife))</f>
        <v>0.53035317401849758</v>
      </c>
      <c r="K304" s="66">
        <f>IF(K$3&gt;A21remlife,A21value-SUM($G304:J304),IF(A21remlife="N/A","n/a",A21value/A21remlife))</f>
        <v>0.53035317401849758</v>
      </c>
      <c r="L304" s="66">
        <f>IF(L$3&gt;A21remlife,A21value-SUM($G304:K304),IF(A21remlife="N/A","n/a",A21value/A21remlife))</f>
        <v>0.53035317401849758</v>
      </c>
      <c r="M304" s="66">
        <f>IF(M$3&gt;A21remlife,A21value-SUM($G304:L304),IF(A21remlife="N/A","n/a",A21value/A21remlife))</f>
        <v>0.53035317401849758</v>
      </c>
      <c r="N304" s="66">
        <f>IF(N$3&gt;A21remlife,A21value-SUM($G304:M304),IF(A21remlife="N/A","n/a",A21value/A21remlife))</f>
        <v>0.53035317401849758</v>
      </c>
      <c r="O304" s="66">
        <f>IF(O$3&gt;A21remlife,A21value-SUM($G304:N304),IF(A21remlife="N/A","n/a",A21value/A21remlife))</f>
        <v>0.53035317401849758</v>
      </c>
      <c r="P304" s="66">
        <f>IF(P$3&gt;A21remlife,A21value-SUM($G304:O304),IF(A21remlife="N/A","n/a",A21value/A21remlife))</f>
        <v>0.53035317401849758</v>
      </c>
      <c r="Q304" s="66">
        <f>IF(Q$3&gt;A21remlife,A21value-SUM($G304:P304),IF(A21remlife="N/A","n/a",A21value/A21remlife))</f>
        <v>0.53035317401849758</v>
      </c>
      <c r="R304" s="66"/>
      <c r="S304" s="102"/>
      <c r="T304" s="102"/>
      <c r="U304" s="102"/>
      <c r="V304" s="102"/>
      <c r="W304" s="102"/>
      <c r="X304" s="102"/>
      <c r="Y304" s="102"/>
      <c r="Z304" s="102"/>
      <c r="AA304" s="102"/>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102"/>
      <c r="BE304" s="102"/>
      <c r="BF304" s="102"/>
      <c r="BG304" s="102"/>
      <c r="BH304" s="102"/>
      <c r="BI304" s="102"/>
      <c r="BJ304" s="102"/>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customHeight="1" outlineLevel="2">
      <c r="A305" s="9"/>
      <c r="B305" s="9"/>
      <c r="C305" s="9"/>
      <c r="D305" s="25"/>
      <c r="E305" s="375" t="s">
        <v>85</v>
      </c>
      <c r="F305" s="85">
        <v>0</v>
      </c>
      <c r="G305" s="122"/>
      <c r="H305" s="67"/>
      <c r="I305" s="67"/>
      <c r="J305" s="67"/>
      <c r="K305" s="67"/>
      <c r="L305" s="67"/>
      <c r="M305" s="163"/>
      <c r="N305" s="111"/>
      <c r="O305" s="67"/>
      <c r="P305" s="67"/>
      <c r="Q305" s="67"/>
      <c r="R305" s="67"/>
      <c r="S305" s="102"/>
      <c r="T305" s="102"/>
      <c r="U305" s="102"/>
      <c r="V305" s="102"/>
      <c r="W305" s="102"/>
      <c r="X305" s="102"/>
      <c r="Y305" s="102"/>
      <c r="Z305" s="102"/>
      <c r="AA305" s="102"/>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102"/>
      <c r="BE305" s="102"/>
      <c r="BF305" s="102"/>
      <c r="BG305" s="102"/>
      <c r="BH305" s="102"/>
      <c r="BI305" s="102"/>
      <c r="BJ305" s="102"/>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customHeight="1" outlineLevel="2">
      <c r="A306" s="9"/>
      <c r="B306" s="9"/>
      <c r="C306" s="9"/>
      <c r="D306" s="25"/>
      <c r="E306" s="376"/>
      <c r="F306" s="85">
        <v>1</v>
      </c>
      <c r="G306" s="122"/>
      <c r="H306" s="145"/>
      <c r="I306" s="67">
        <f>IF(A21stdlife="n/a","n/a",IF(I$3&gt;(A21stdlife+$F306),(Input!$H$163*(1+vanilla1)^0.5)-SUM($H306:H306),(Input!$H$163*(1+vanilla1)^0.5)/A21stdlife))</f>
        <v>0.25260997688726461</v>
      </c>
      <c r="J306" s="67">
        <f>IF(A21stdlife="n/a","n/a",IF(J$3&gt;(A21stdlife+$F306),(Input!$H$163*(1+vanilla1)^0.5)-SUM($H306:I306),(Input!$H$163*(1+vanilla1)^0.5)/A21stdlife))</f>
        <v>0.25260997688726461</v>
      </c>
      <c r="K306" s="67">
        <f>IF(A21stdlife="n/a","n/a",IF(K$3&gt;(A21stdlife+$F306),(Input!$H$163*(1+vanilla1)^0.5)-SUM($H306:J306),(Input!$H$163*(1+vanilla1)^0.5)/A21stdlife))</f>
        <v>0.25260997688726461</v>
      </c>
      <c r="L306" s="67">
        <f>IF(A21stdlife="n/a","n/a",IF(L$3&gt;(A21stdlife+$F306),(Input!$H$163*(1+vanilla1)^0.5)-SUM($H306:K306),(Input!$H$163*(1+vanilla1)^0.5)/A21stdlife))</f>
        <v>0.25260997688726461</v>
      </c>
      <c r="M306" s="67">
        <f>IF(A21stdlife="n/a","n/a",IF(M$3&gt;(A21stdlife+$F306),(Input!$H$163*(1+vanilla1)^0.5)-SUM($H306:L306),(Input!$H$163*(1+vanilla1)^0.5)/A21stdlife))</f>
        <v>0.25260997688726461</v>
      </c>
      <c r="N306" s="67">
        <f>IF(A21stdlife="n/a","n/a",IF(N$3&gt;(A21stdlife+$F306),(Input!$H$163*(1+vanilla1)^0.5)-SUM($H306:M306),(Input!$H$163*(1+vanilla1)^0.5)/A21stdlife))</f>
        <v>0.25260997688726461</v>
      </c>
      <c r="O306" s="67">
        <f>IF(A21stdlife="n/a","n/a",IF(O$3&gt;(A21stdlife+$F306),(Input!$H$163*(1+vanilla1)^0.5)-SUM($H306:N306),(Input!$H$163*(1+vanilla1)^0.5)/A21stdlife))</f>
        <v>0.25260997688726461</v>
      </c>
      <c r="P306" s="67">
        <f>IF(A21stdlife="n/a","n/a",IF(P$3&gt;(A21stdlife+$F306),(Input!$H$163*(1+vanilla1)^0.5)-SUM($H306:O306),(Input!$H$163*(1+vanilla1)^0.5)/A21stdlife))</f>
        <v>0.25260997688726461</v>
      </c>
      <c r="Q306" s="67">
        <f>IF(A21stdlife="n/a","n/a",IF(Q$3&gt;(A21stdlife+$F306),(Input!$H$163*(1+vanilla1)^0.5)-SUM($H306:P306),(Input!$H$163*(1+vanilla1)^0.5)/A21stdlife))</f>
        <v>0.25260997688726461</v>
      </c>
      <c r="R306" s="67"/>
      <c r="S306" s="102"/>
      <c r="T306" s="102"/>
      <c r="U306" s="102"/>
      <c r="V306" s="102"/>
      <c r="W306" s="102"/>
      <c r="X306" s="102"/>
      <c r="Y306" s="102"/>
      <c r="Z306" s="102"/>
      <c r="AA306" s="102"/>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102"/>
      <c r="BE306" s="102"/>
      <c r="BF306" s="102"/>
      <c r="BG306" s="102"/>
      <c r="BH306" s="102"/>
      <c r="BI306" s="102"/>
      <c r="BJ306" s="102"/>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customHeight="1" outlineLevel="2">
      <c r="A307" s="9"/>
      <c r="B307" s="9"/>
      <c r="C307" s="9"/>
      <c r="D307" s="25"/>
      <c r="E307" s="376"/>
      <c r="F307" s="85">
        <v>2</v>
      </c>
      <c r="G307" s="122"/>
      <c r="H307" s="146"/>
      <c r="I307" s="147"/>
      <c r="J307" s="67">
        <f>IF(A21stdlife="n/a","n/a",IF(J$3&gt;(A21stdlife+$F307),(Input!$I$163*(1+vanilla2)^0.5)-SUM($I307:I307),(Input!$I$163*(1+vanilla2)^0.5)/A21stdlife))</f>
        <v>0.16219842348366803</v>
      </c>
      <c r="K307" s="67">
        <f>IF(A21stdlife="n/a","n/a",IF(K$3&gt;(A21stdlife+$F307),(Input!$I$163*(1+vanilla2)^0.5)-SUM($I307:J307),(Input!$I$163*(1+vanilla2)^0.5)/A21stdlife))</f>
        <v>0.16219842348366803</v>
      </c>
      <c r="L307" s="67">
        <f>IF(A21stdlife="n/a","n/a",IF(L$3&gt;(A21stdlife+$F307),(Input!$I$163*(1+vanilla2)^0.5)-SUM($I307:K307),(Input!$I$163*(1+vanilla2)^0.5)/A21stdlife))</f>
        <v>0.16219842348366803</v>
      </c>
      <c r="M307" s="67">
        <f>IF(A21stdlife="n/a","n/a",IF(M$3&gt;(A21stdlife+$F307),(Input!$I$163*(1+vanilla2)^0.5)-SUM($I307:L307),(Input!$I$163*(1+vanilla2)^0.5)/A21stdlife))</f>
        <v>0.16219842348366803</v>
      </c>
      <c r="N307" s="67">
        <f>IF(A21stdlife="n/a","n/a",IF(N$3&gt;(A21stdlife+$F307),(Input!$I$163*(1+vanilla2)^0.5)-SUM($I307:M307),(Input!$I$163*(1+vanilla2)^0.5)/A21stdlife))</f>
        <v>0.16219842348366803</v>
      </c>
      <c r="O307" s="67">
        <f>IF(A21stdlife="n/a","n/a",IF(O$3&gt;(A21stdlife+$F307),(Input!$I$163*(1+vanilla2)^0.5)-SUM($I307:N307),(Input!$I$163*(1+vanilla2)^0.5)/A21stdlife))</f>
        <v>0.16219842348366803</v>
      </c>
      <c r="P307" s="67">
        <f>IF(A21stdlife="n/a","n/a",IF(P$3&gt;(A21stdlife+$F307),(Input!$I$163*(1+vanilla2)^0.5)-SUM($I307:O307),(Input!$I$163*(1+vanilla2)^0.5)/A21stdlife))</f>
        <v>0.16219842348366803</v>
      </c>
      <c r="Q307" s="67">
        <f>IF(A21stdlife="n/a","n/a",IF(Q$3&gt;(A21stdlife+$F307),(Input!$I$163*(1+vanilla2)^0.5)-SUM($I307:P307),(Input!$I$163*(1+vanilla2)^0.5)/A21stdlife))</f>
        <v>0.16219842348366803</v>
      </c>
      <c r="R307" s="67"/>
      <c r="S307" s="102"/>
      <c r="T307" s="102"/>
      <c r="U307" s="102"/>
      <c r="V307" s="102"/>
      <c r="W307" s="102"/>
      <c r="X307" s="102"/>
      <c r="Y307" s="102"/>
      <c r="Z307" s="102"/>
      <c r="AA307" s="102"/>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102"/>
      <c r="BE307" s="102"/>
      <c r="BF307" s="102"/>
      <c r="BG307" s="102"/>
      <c r="BH307" s="102"/>
      <c r="BI307" s="102"/>
      <c r="BJ307" s="102"/>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customHeight="1" outlineLevel="2">
      <c r="A308" s="9"/>
      <c r="B308" s="9"/>
      <c r="C308" s="9"/>
      <c r="D308" s="25"/>
      <c r="E308" s="376"/>
      <c r="F308" s="85">
        <v>3</v>
      </c>
      <c r="G308" s="122"/>
      <c r="H308" s="146"/>
      <c r="I308" s="148"/>
      <c r="J308" s="147"/>
      <c r="K308" s="67">
        <f>IF(A21stdlife="n/a","n/a",IF(K$3&gt;(A21stdlife+$F308),(Input!$J$163*(1+vanilla3)^0.5)-SUM($J308:J308),(Input!$J$163*(1+vanilla3)^0.5)/A21stdlife))</f>
        <v>0.11105408448433451</v>
      </c>
      <c r="L308" s="67">
        <f>IF(A21stdlife="n/a","n/a",IF(L$3&gt;(A21stdlife+$F308),(Input!$J$163*(1+vanilla3)^0.5)-SUM($J308:K308),(Input!$J$163*(1+vanilla3)^0.5)/A21stdlife))</f>
        <v>0.11105408448433451</v>
      </c>
      <c r="M308" s="67">
        <f>IF(A21stdlife="n/a","n/a",IF(M$3&gt;(A21stdlife+$F308),(Input!$J$163*(1+vanilla3)^0.5)-SUM($J308:L308),(Input!$J$163*(1+vanilla3)^0.5)/A21stdlife))</f>
        <v>0.11105408448433451</v>
      </c>
      <c r="N308" s="67">
        <f>IF(A21stdlife="n/a","n/a",IF(N$3&gt;(A21stdlife+$F308),(Input!$J$163*(1+vanilla3)^0.5)-SUM($J308:M308),(Input!$J$163*(1+vanilla3)^0.5)/A21stdlife))</f>
        <v>0.11105408448433451</v>
      </c>
      <c r="O308" s="67">
        <f>IF(A21stdlife="n/a","n/a",IF(O$3&gt;(A21stdlife+$F308),(Input!$J$163*(1+vanilla3)^0.5)-SUM($J308:N308),(Input!$J$163*(1+vanilla3)^0.5)/A21stdlife))</f>
        <v>0.11105408448433451</v>
      </c>
      <c r="P308" s="67">
        <f>IF(A21stdlife="n/a","n/a",IF(P$3&gt;(A21stdlife+$F308),(Input!$J$163*(1+vanilla3)^0.5)-SUM($J308:O308),(Input!$J$163*(1+vanilla3)^0.5)/A21stdlife))</f>
        <v>0.11105408448433451</v>
      </c>
      <c r="Q308" s="67">
        <f>IF(A21stdlife="n/a","n/a",IF(Q$3&gt;(A21stdlife+$F308),(Input!$J$163*(1+vanilla3)^0.5)-SUM($J308:P308),(Input!$J$163*(1+vanilla3)^0.5)/A21stdlife))</f>
        <v>0.11105408448433451</v>
      </c>
      <c r="R308" s="67"/>
      <c r="S308" s="102"/>
      <c r="T308" s="102"/>
      <c r="U308" s="102"/>
      <c r="V308" s="102"/>
      <c r="W308" s="102"/>
      <c r="X308" s="102"/>
      <c r="Y308" s="102"/>
      <c r="Z308" s="102"/>
      <c r="AA308" s="102"/>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102"/>
      <c r="BE308" s="102"/>
      <c r="BF308" s="102"/>
      <c r="BG308" s="102"/>
      <c r="BH308" s="102"/>
      <c r="BI308" s="102"/>
      <c r="BJ308" s="102"/>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customHeight="1" outlineLevel="2">
      <c r="A309" s="9"/>
      <c r="B309" s="9"/>
      <c r="C309" s="9"/>
      <c r="D309" s="25"/>
      <c r="E309" s="376"/>
      <c r="F309" s="85">
        <v>4</v>
      </c>
      <c r="G309" s="122"/>
      <c r="H309" s="146"/>
      <c r="I309" s="148"/>
      <c r="J309" s="148"/>
      <c r="K309" s="147"/>
      <c r="L309" s="67">
        <f>IF(A21stdlife="n/a","n/a",IF(L$3&gt;(A21stdlife+$F309),(Input!$K$163*(1+vanilla4)^0.5)-SUM($K309:K309),(Input!$K$163*(1+vanilla4)^0.5)/A21stdlife))</f>
        <v>6.6640794305085266E-2</v>
      </c>
      <c r="M309" s="67">
        <f>IF(A21stdlife="n/a","n/a",IF(M$3&gt;(A21stdlife+$F309),(Input!$K$163*(1+vanilla4)^0.5)-SUM($K309:L309),(Input!$K$163*(1+vanilla4)^0.5)/A21stdlife))</f>
        <v>6.6640794305085266E-2</v>
      </c>
      <c r="N309" s="67">
        <f>IF(A21stdlife="n/a","n/a",IF(N$3&gt;(A21stdlife+$F309),(Input!$K$163*(1+vanilla4)^0.5)-SUM($K309:M309),(Input!$K$163*(1+vanilla4)^0.5)/A21stdlife))</f>
        <v>6.6640794305085266E-2</v>
      </c>
      <c r="O309" s="67">
        <f>IF(A21stdlife="n/a","n/a",IF(O$3&gt;(A21stdlife+$F309),(Input!$K$163*(1+vanilla4)^0.5)-SUM($K309:N309),(Input!$K$163*(1+vanilla4)^0.5)/A21stdlife))</f>
        <v>6.6640794305085266E-2</v>
      </c>
      <c r="P309" s="67">
        <f>IF(A21stdlife="n/a","n/a",IF(P$3&gt;(A21stdlife+$F309),(Input!$K$163*(1+vanilla4)^0.5)-SUM($K309:O309),(Input!$K$163*(1+vanilla4)^0.5)/A21stdlife))</f>
        <v>6.6640794305085266E-2</v>
      </c>
      <c r="Q309" s="67">
        <f>IF(A21stdlife="n/a","n/a",IF(Q$3&gt;(A21stdlife+$F309),(Input!$K$163*(1+vanilla4)^0.5)-SUM($K309:P309),(Input!$K$163*(1+vanilla4)^0.5)/A21stdlife))</f>
        <v>6.6640794305085266E-2</v>
      </c>
      <c r="R309" s="67"/>
      <c r="S309" s="102"/>
      <c r="T309" s="102"/>
      <c r="U309" s="102"/>
      <c r="V309" s="102"/>
      <c r="W309" s="102"/>
      <c r="X309" s="102"/>
      <c r="Y309" s="102"/>
      <c r="Z309" s="102"/>
      <c r="AA309" s="102"/>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102"/>
      <c r="BE309" s="102"/>
      <c r="BF309" s="102"/>
      <c r="BG309" s="102"/>
      <c r="BH309" s="102"/>
      <c r="BI309" s="102"/>
      <c r="BJ309" s="102"/>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customHeight="1" outlineLevel="2">
      <c r="A310" s="9"/>
      <c r="B310" s="9"/>
      <c r="C310" s="9"/>
      <c r="D310" s="25"/>
      <c r="E310" s="376"/>
      <c r="F310" s="85">
        <v>5</v>
      </c>
      <c r="G310" s="26"/>
      <c r="H310" s="146"/>
      <c r="I310" s="148"/>
      <c r="J310" s="148"/>
      <c r="K310" s="148"/>
      <c r="L310" s="147"/>
      <c r="M310" s="67">
        <f>IF(A21stdlife="n/a","n/a",IF(M$3&gt;(A21stdlife+$F310),(Input!$L$163*(1+vanilla5)^0.5)-SUM($L310:L310),(Input!$L$163*(1+vanilla5)^0.5)/A21stdlife))</f>
        <v>-0.15525864904683845</v>
      </c>
      <c r="N310" s="67">
        <f>IF(A21stdlife="n/a","n/a",IF(N$3&gt;(A21stdlife+$F310),(Input!$L$163*(1+vanilla5)^0.5)-SUM($L310:M310),(Input!$L$163*(1+vanilla5)^0.5)/A21stdlife))</f>
        <v>-0.15525864904683845</v>
      </c>
      <c r="O310" s="67">
        <f>IF(A21stdlife="n/a","n/a",IF(O$3&gt;(A21stdlife+$F310),(Input!$L$163*(1+vanilla5)^0.5)-SUM($L310:N310),(Input!$L$163*(1+vanilla5)^0.5)/A21stdlife))</f>
        <v>-0.15525864904683845</v>
      </c>
      <c r="P310" s="67">
        <f>IF(A21stdlife="n/a","n/a",IF(P$3&gt;(A21stdlife+$F310),(Input!$L$163*(1+vanilla5)^0.5)-SUM($L310:O310),(Input!$L$163*(1+vanilla5)^0.5)/A21stdlife))</f>
        <v>-0.15525864904683845</v>
      </c>
      <c r="Q310" s="67">
        <f>IF(A21stdlife="n/a","n/a",IF(Q$3&gt;(A21stdlife+$F310),(Input!$L$163*(1+vanilla5)^0.5)-SUM($L310:P310),(Input!$L$163*(1+vanilla5)^0.5)/A21stdlife))</f>
        <v>-0.15525864904683845</v>
      </c>
      <c r="R310" s="67"/>
      <c r="S310" s="102"/>
      <c r="T310" s="102"/>
      <c r="U310" s="102"/>
      <c r="V310" s="102"/>
      <c r="W310" s="102"/>
      <c r="X310" s="102"/>
      <c r="Y310" s="102"/>
      <c r="Z310" s="102"/>
      <c r="AA310" s="102"/>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102"/>
      <c r="BE310" s="102"/>
      <c r="BF310" s="102"/>
      <c r="BG310" s="102"/>
      <c r="BH310" s="102"/>
      <c r="BI310" s="102"/>
      <c r="BJ310" s="102"/>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customHeight="1" outlineLevel="2">
      <c r="A311" s="9"/>
      <c r="B311" s="9"/>
      <c r="C311" s="9"/>
      <c r="D311" s="25"/>
      <c r="E311" s="376"/>
      <c r="F311" s="85">
        <v>6</v>
      </c>
      <c r="G311" s="26"/>
      <c r="H311" s="146"/>
      <c r="I311" s="148"/>
      <c r="J311" s="148"/>
      <c r="K311" s="148"/>
      <c r="L311" s="148"/>
      <c r="M311" s="147"/>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2"/>
      <c r="T311" s="102"/>
      <c r="U311" s="102"/>
      <c r="V311" s="102"/>
      <c r="W311" s="102"/>
      <c r="X311" s="102"/>
      <c r="Y311" s="102"/>
      <c r="Z311" s="102"/>
      <c r="AA311" s="102"/>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102"/>
      <c r="BE311" s="102"/>
      <c r="BF311" s="102"/>
      <c r="BG311" s="102"/>
      <c r="BH311" s="102"/>
      <c r="BI311" s="102"/>
      <c r="BJ311" s="102"/>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customHeight="1" outlineLevel="2">
      <c r="A312" s="9"/>
      <c r="B312" s="9"/>
      <c r="C312" s="9"/>
      <c r="D312" s="25"/>
      <c r="E312" s="376"/>
      <c r="F312" s="85">
        <v>7</v>
      </c>
      <c r="G312" s="26"/>
      <c r="H312" s="146"/>
      <c r="I312" s="148"/>
      <c r="J312" s="148"/>
      <c r="K312" s="148"/>
      <c r="L312" s="148"/>
      <c r="M312" s="148"/>
      <c r="N312" s="147"/>
      <c r="O312" s="67">
        <f>IF(A21stdlife="n/a","n/a",IF(O$3&gt;(A21stdlife+$F312),(Input!$N$163*(1+vanilla7)^0.5)-SUM($N312:N312),(Input!$N$163*(1+vanilla7)^0.5)/A21stdlife))</f>
        <v>0</v>
      </c>
      <c r="P312" s="67">
        <f>IF(A21stdlife="n/a","n/a",IF(P$3&gt;(A21stdlife+$F312),(Input!$N$163*(1+vanilla7)^0.5)-SUM($N312:O312),(Input!$N$163*(1+vanilla7)^0.5)/A21stdlife))</f>
        <v>0</v>
      </c>
      <c r="Q312" s="67">
        <f>IF(A21stdlife="n/a","n/a",IF(Q$3&gt;(A21stdlife+$F312),(Input!$N$163*(1+vanilla7)^0.5)-SUM($N312:P312),(Input!$N$163*(1+vanilla7)^0.5)/A21stdlife))</f>
        <v>0</v>
      </c>
      <c r="R312" s="67"/>
      <c r="S312" s="102"/>
      <c r="T312" s="102"/>
      <c r="U312" s="102"/>
      <c r="V312" s="102"/>
      <c r="W312" s="102"/>
      <c r="X312" s="102"/>
      <c r="Y312" s="102"/>
      <c r="Z312" s="102"/>
      <c r="AA312" s="102"/>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102"/>
      <c r="BE312" s="102"/>
      <c r="BF312" s="102"/>
      <c r="BG312" s="102"/>
      <c r="BH312" s="102"/>
      <c r="BI312" s="102"/>
      <c r="BJ312" s="102"/>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customHeight="1" outlineLevel="2">
      <c r="A313" s="9"/>
      <c r="B313" s="9"/>
      <c r="C313" s="9"/>
      <c r="D313" s="25"/>
      <c r="E313" s="376"/>
      <c r="F313" s="85">
        <v>8</v>
      </c>
      <c r="G313" s="26"/>
      <c r="H313" s="146"/>
      <c r="I313" s="148"/>
      <c r="J313" s="148"/>
      <c r="K313" s="148"/>
      <c r="L313" s="148"/>
      <c r="M313" s="148"/>
      <c r="N313" s="148"/>
      <c r="O313" s="147"/>
      <c r="P313" s="67">
        <f>IF(A21stdlife="n/a","n/a",IF(P$3&gt;(A21stdlife+$F313),(Input!$O$163*(1+vanilla8)^0.5)-SUM($O313:O313),(Input!$O$163*(1+vanilla8)^0.5)/A21stdlife))</f>
        <v>0</v>
      </c>
      <c r="Q313" s="67">
        <f>IF(A21stdlife="n/a","n/a",IF(Q$3&gt;(A21stdlife+$F313),(Input!$O$163*(1+vanilla8)^0.5)-SUM($O313:P313),(Input!$O$163*(1+vanilla8)^0.5)/A21stdlife))</f>
        <v>0</v>
      </c>
      <c r="R313" s="67"/>
      <c r="S313" s="102"/>
      <c r="T313" s="102"/>
      <c r="U313" s="102"/>
      <c r="V313" s="102"/>
      <c r="W313" s="102"/>
      <c r="X313" s="102"/>
      <c r="Y313" s="102"/>
      <c r="Z313" s="102"/>
      <c r="AA313" s="102"/>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102"/>
      <c r="BE313" s="102"/>
      <c r="BF313" s="102"/>
      <c r="BG313" s="102"/>
      <c r="BH313" s="102"/>
      <c r="BI313" s="102"/>
      <c r="BJ313" s="102"/>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customHeight="1" outlineLevel="2">
      <c r="A314" s="9"/>
      <c r="B314" s="9"/>
      <c r="C314" s="9"/>
      <c r="D314" s="25"/>
      <c r="E314" s="376"/>
      <c r="F314" s="85">
        <v>9</v>
      </c>
      <c r="G314" s="26"/>
      <c r="H314" s="146"/>
      <c r="I314" s="148"/>
      <c r="J314" s="148"/>
      <c r="K314" s="148"/>
      <c r="L314" s="148"/>
      <c r="M314" s="148"/>
      <c r="N314" s="148"/>
      <c r="O314" s="148"/>
      <c r="P314" s="147"/>
      <c r="Q314" s="67">
        <f>IF(A21stdlife="n/a","n/a",IF(Q$3&gt;(A21stdlife+$F314),(Input!$P$163*(1+vanilla9)^0.5)-SUM($P314:P314),(Input!$P$163*(1+vanilla9)^0.5)/A21stdlife))</f>
        <v>0</v>
      </c>
      <c r="R314" s="67"/>
      <c r="S314" s="102"/>
      <c r="T314" s="102"/>
      <c r="U314" s="102"/>
      <c r="V314" s="102"/>
      <c r="W314" s="102"/>
      <c r="X314" s="102"/>
      <c r="Y314" s="102"/>
      <c r="Z314" s="102"/>
      <c r="AA314" s="102"/>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102"/>
      <c r="BE314" s="102"/>
      <c r="BF314" s="102"/>
      <c r="BG314" s="102"/>
      <c r="BH314" s="102"/>
      <c r="BI314" s="102"/>
      <c r="BJ314" s="102"/>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customHeight="1" outlineLevel="2">
      <c r="A315" s="9"/>
      <c r="B315" s="9"/>
      <c r="C315" s="9"/>
      <c r="D315" s="25"/>
      <c r="E315" s="376"/>
      <c r="F315" s="86">
        <v>10</v>
      </c>
      <c r="G315" s="26"/>
      <c r="H315" s="146"/>
      <c r="I315" s="148"/>
      <c r="J315" s="148"/>
      <c r="K315" s="148"/>
      <c r="L315" s="148"/>
      <c r="M315" s="148"/>
      <c r="N315" s="148"/>
      <c r="O315" s="148"/>
      <c r="P315" s="148"/>
      <c r="Q315" s="147"/>
      <c r="R315" s="67"/>
      <c r="S315" s="102"/>
      <c r="T315" s="102"/>
      <c r="U315" s="102"/>
      <c r="V315" s="102"/>
      <c r="W315" s="102"/>
      <c r="X315" s="102"/>
      <c r="Y315" s="102"/>
      <c r="Z315" s="102"/>
      <c r="AA315" s="102"/>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102"/>
      <c r="BE315" s="102"/>
      <c r="BF315" s="102"/>
      <c r="BG315" s="102"/>
      <c r="BH315" s="102"/>
      <c r="BI315" s="102"/>
      <c r="BJ315" s="102"/>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customHeight="1" outlineLevel="1">
      <c r="A316" s="9"/>
      <c r="B316" s="9"/>
      <c r="C316" s="9"/>
      <c r="D316" s="25" t="str">
        <f>Asset21</f>
        <v>Buildings</v>
      </c>
      <c r="E316" s="9"/>
      <c r="F316" s="9"/>
      <c r="G316" s="122"/>
      <c r="H316" s="165">
        <f>-SUM(H304:H315)</f>
        <v>-0.53035317401849758</v>
      </c>
      <c r="I316" s="165">
        <f>-SUM(I304:I315)</f>
        <v>-0.78296315090576218</v>
      </c>
      <c r="J316" s="165">
        <f>-SUM(J304:J315)</f>
        <v>-0.94516157438943016</v>
      </c>
      <c r="K316" s="165">
        <f>-SUM(K304:K315)</f>
        <v>-1.0562156588737648</v>
      </c>
      <c r="L316" s="165">
        <f>-SUM(L304:L315)</f>
        <v>-1.1228564531788501</v>
      </c>
      <c r="M316" s="165">
        <f>IF(Input!M173&gt;0, -SUM(M304:M315), 0)</f>
        <v>0</v>
      </c>
      <c r="N316" s="165">
        <f>IF(Input!N173&gt;0, -SUM(N304:N315), 0)</f>
        <v>0</v>
      </c>
      <c r="O316" s="165">
        <f>IF(Input!O173&gt;0, -SUM(O304:O315), 0)</f>
        <v>0</v>
      </c>
      <c r="P316" s="165">
        <f>IF(Input!P173&gt;0, -SUM(P304:P315), 0)</f>
        <v>0</v>
      </c>
      <c r="Q316" s="165">
        <f>IF(Input!Q173&gt;0, -SUM(Q304:Q315), 0)</f>
        <v>0</v>
      </c>
      <c r="R316" s="65"/>
      <c r="S316" s="104"/>
      <c r="T316" s="104"/>
      <c r="U316" s="104"/>
      <c r="V316" s="104"/>
      <c r="W316" s="104"/>
      <c r="X316" s="104"/>
      <c r="Y316" s="104"/>
      <c r="Z316" s="104"/>
      <c r="AA316" s="104"/>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104"/>
      <c r="BE316" s="104"/>
      <c r="BF316" s="104"/>
      <c r="BG316" s="104"/>
      <c r="BH316" s="104"/>
      <c r="BI316" s="104"/>
      <c r="BJ316" s="104"/>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3.5" customHeight="1" outlineLevel="2">
      <c r="A317" s="9"/>
      <c r="B317" s="9"/>
      <c r="C317" s="31" t="str">
        <f>Asset22</f>
        <v>Land (non-system)</v>
      </c>
      <c r="D317" s="161"/>
      <c r="E317" s="33" t="s">
        <v>28</v>
      </c>
      <c r="F317" s="32"/>
      <c r="G317" s="174"/>
      <c r="H317" s="66" t="str">
        <f>IF(H$3&gt;A22remlife,A22value-SUM($G317:G317),IF(A22remlife="N/A","n/a",A22value/A22remlife))</f>
        <v>n/a</v>
      </c>
      <c r="I317" s="66" t="str">
        <f>IF(I$3&gt;A22remlife,A22value-SUM($G317:H317),IF(A22remlife="N/A","n/a",A22value/A22remlife))</f>
        <v>n/a</v>
      </c>
      <c r="J317" s="66" t="str">
        <f>IF(J$3&gt;A22remlife,A22value-SUM($G317:I317),IF(A22remlife="N/A","n/a",A22value/A22remlife))</f>
        <v>n/a</v>
      </c>
      <c r="K317" s="66" t="str">
        <f>IF(K$3&gt;A22remlife,A22value-SUM($G317:J317),IF(A22remlife="N/A","n/a",A22value/A22remlife))</f>
        <v>n/a</v>
      </c>
      <c r="L317" s="66" t="str">
        <f>IF(L$3&gt;A22remlife,A22value-SUM($G317:K317),IF(A22remlife="N/A","n/a",A22value/A22remlife))</f>
        <v>n/a</v>
      </c>
      <c r="M317" s="66" t="str">
        <f>IF(M$3&gt;A22remlife,A22value-SUM($G317:L317),IF(A22remlife="N/A","n/a",A22value/A22remlife))</f>
        <v>n/a</v>
      </c>
      <c r="N317" s="66" t="str">
        <f>IF(N$3&gt;A22remlife,A22value-SUM($G317:M317),IF(A22remlife="N/A","n/a",A22value/A22remlife))</f>
        <v>n/a</v>
      </c>
      <c r="O317" s="66" t="str">
        <f>IF(O$3&gt;A22remlife,A22value-SUM($G317:N317),IF(A22remlife="N/A","n/a",A22value/A22remlife))</f>
        <v>n/a</v>
      </c>
      <c r="P317" s="66" t="str">
        <f>IF(P$3&gt;A22remlife,A22value-SUM($G317:O317),IF(A22remlife="N/A","n/a",A22value/A22remlife))</f>
        <v>n/a</v>
      </c>
      <c r="Q317" s="66" t="str">
        <f>IF(Q$3&gt;A22remlife,A22value-SUM($G317:P317),IF(A22remlife="N/A","n/a",A22value/A22remlife))</f>
        <v>n/a</v>
      </c>
      <c r="R317" s="66"/>
      <c r="S317" s="102"/>
      <c r="T317" s="102"/>
      <c r="U317" s="102"/>
      <c r="V317" s="102"/>
      <c r="W317" s="102"/>
      <c r="X317" s="102"/>
      <c r="Y317" s="102"/>
      <c r="Z317" s="102"/>
      <c r="AA317" s="102"/>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102"/>
      <c r="BE317" s="102"/>
      <c r="BF317" s="102"/>
      <c r="BG317" s="102"/>
      <c r="BH317" s="102"/>
      <c r="BI317" s="102"/>
      <c r="BJ317" s="102"/>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3.5" customHeight="1" outlineLevel="2">
      <c r="A318" s="9"/>
      <c r="B318" s="9"/>
      <c r="C318" s="9"/>
      <c r="D318" s="25"/>
      <c r="E318" s="375" t="s">
        <v>85</v>
      </c>
      <c r="F318" s="85">
        <v>0</v>
      </c>
      <c r="G318" s="122"/>
      <c r="H318" s="67"/>
      <c r="I318" s="67"/>
      <c r="J318" s="67"/>
      <c r="K318" s="67"/>
      <c r="L318" s="67"/>
      <c r="M318" s="163"/>
      <c r="N318" s="111"/>
      <c r="O318" s="67"/>
      <c r="P318" s="67"/>
      <c r="Q318" s="67"/>
      <c r="R318" s="67"/>
      <c r="S318" s="102"/>
      <c r="T318" s="102"/>
      <c r="U318" s="102"/>
      <c r="V318" s="102"/>
      <c r="W318" s="102"/>
      <c r="X318" s="102"/>
      <c r="Y318" s="102"/>
      <c r="Z318" s="102"/>
      <c r="AA318" s="102"/>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102"/>
      <c r="BE318" s="102"/>
      <c r="BF318" s="102"/>
      <c r="BG318" s="102"/>
      <c r="BH318" s="102"/>
      <c r="BI318" s="102"/>
      <c r="BJ318" s="102"/>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3.5" customHeight="1" outlineLevel="2">
      <c r="A319" s="9"/>
      <c r="B319" s="9"/>
      <c r="C319" s="9"/>
      <c r="D319" s="25"/>
      <c r="E319" s="376"/>
      <c r="F319" s="85">
        <v>1</v>
      </c>
      <c r="G319" s="122"/>
      <c r="H319" s="145"/>
      <c r="I319" s="67" t="str">
        <f>IF(A22stdlife="n/a","n/a",IF(I$3&gt;(A22stdlife+$F319),(Input!$H$164*(1+vanilla1)^0.5)-SUM($H319:H319),(Input!$H$164*(1+vanilla1)^0.5)/A22stdlife))</f>
        <v>n/a</v>
      </c>
      <c r="J319" s="67" t="str">
        <f>IF(A22stdlife="n/a","n/a",IF(J$3&gt;(A22stdlife+$F319),(Input!$H$164*(1+vanilla1)^0.5)-SUM($H319:I319),(Input!$H$164*(1+vanilla1)^0.5)/A22stdlife))</f>
        <v>n/a</v>
      </c>
      <c r="K319" s="67" t="str">
        <f>IF(A22stdlife="n/a","n/a",IF(K$3&gt;(A22stdlife+$F319),(Input!$H$164*(1+vanilla1)^0.5)-SUM($H319:J319),(Input!$H$164*(1+vanilla1)^0.5)/A22stdlife))</f>
        <v>n/a</v>
      </c>
      <c r="L319" s="67" t="str">
        <f>IF(A22stdlife="n/a","n/a",IF(L$3&gt;(A22stdlife+$F319),(Input!$H$164*(1+vanilla1)^0.5)-SUM($H319:K319),(Input!$H$164*(1+vanilla1)^0.5)/A22stdlife))</f>
        <v>n/a</v>
      </c>
      <c r="M319" s="67" t="str">
        <f>IF(A22stdlife="n/a","n/a",IF(M$3&gt;(A22stdlife+$F319),(Input!$H$164*(1+vanilla1)^0.5)-SUM($H319:L319),(Input!$H$164*(1+vanilla1)^0.5)/A22stdlife))</f>
        <v>n/a</v>
      </c>
      <c r="N319" s="67" t="str">
        <f>IF(A22stdlife="n/a","n/a",IF(N$3&gt;(A22stdlife+$F319),(Input!$H$164*(1+vanilla1)^0.5)-SUM($H319:M319),(Input!$H$164*(1+vanilla1)^0.5)/A22stdlife))</f>
        <v>n/a</v>
      </c>
      <c r="O319" s="67" t="str">
        <f>IF(A22stdlife="n/a","n/a",IF(O$3&gt;(A22stdlife+$F319),(Input!$H$164*(1+vanilla1)^0.5)-SUM($H319:N319),(Input!$H$164*(1+vanilla1)^0.5)/A22stdlife))</f>
        <v>n/a</v>
      </c>
      <c r="P319" s="67" t="str">
        <f>IF(A22stdlife="n/a","n/a",IF(P$3&gt;(A22stdlife+$F319),(Input!$H$164*(1+vanilla1)^0.5)-SUM($H319:O319),(Input!$H$164*(1+vanilla1)^0.5)/A22stdlife))</f>
        <v>n/a</v>
      </c>
      <c r="Q319" s="67" t="str">
        <f>IF(A22stdlife="n/a","n/a",IF(Q$3&gt;(A22stdlife+$F319),(Input!$H$164*(1+vanilla1)^0.5)-SUM($H319:P319),(Input!$H$164*(1+vanilla1)^0.5)/A22stdlife))</f>
        <v>n/a</v>
      </c>
      <c r="R319" s="67"/>
      <c r="S319" s="102"/>
      <c r="T319" s="102"/>
      <c r="U319" s="102"/>
      <c r="V319" s="102"/>
      <c r="W319" s="102"/>
      <c r="X319" s="102"/>
      <c r="Y319" s="102"/>
      <c r="Z319" s="102"/>
      <c r="AA319" s="102"/>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102"/>
      <c r="BE319" s="102"/>
      <c r="BF319" s="102"/>
      <c r="BG319" s="102"/>
      <c r="BH319" s="102"/>
      <c r="BI319" s="102"/>
      <c r="BJ319" s="102"/>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3.5" customHeight="1" outlineLevel="2">
      <c r="A320" s="9"/>
      <c r="B320" s="9"/>
      <c r="C320" s="9"/>
      <c r="D320" s="25"/>
      <c r="E320" s="376"/>
      <c r="F320" s="85">
        <v>2</v>
      </c>
      <c r="G320" s="122"/>
      <c r="H320" s="146"/>
      <c r="I320" s="147"/>
      <c r="J320" s="67" t="str">
        <f>IF(A22stdlife="n/a","n/a",IF(J$3&gt;(A22stdlife+$F320),(Input!$I$164*(1+vanilla2)^0.5)-SUM($I320:I320),(Input!$I$164*(1+vanilla2)^0.5)/A22stdlife))</f>
        <v>n/a</v>
      </c>
      <c r="K320" s="67" t="str">
        <f>IF(A22stdlife="n/a","n/a",IF(K$3&gt;(A22stdlife+$F320),(Input!$I$164*(1+vanilla2)^0.5)-SUM($I320:J320),(Input!$I$164*(1+vanilla2)^0.5)/A22stdlife))</f>
        <v>n/a</v>
      </c>
      <c r="L320" s="67" t="str">
        <f>IF(A22stdlife="n/a","n/a",IF(L$3&gt;(A22stdlife+$F320),(Input!$I$164*(1+vanilla2)^0.5)-SUM($I320:K320),(Input!$I$164*(1+vanilla2)^0.5)/A22stdlife))</f>
        <v>n/a</v>
      </c>
      <c r="M320" s="67" t="str">
        <f>IF(A22stdlife="n/a","n/a",IF(M$3&gt;(A22stdlife+$F320),(Input!$I$164*(1+vanilla2)^0.5)-SUM($I320:L320),(Input!$I$164*(1+vanilla2)^0.5)/A22stdlife))</f>
        <v>n/a</v>
      </c>
      <c r="N320" s="67" t="str">
        <f>IF(A22stdlife="n/a","n/a",IF(N$3&gt;(A22stdlife+$F320),(Input!$I$164*(1+vanilla2)^0.5)-SUM($I320:M320),(Input!$I$164*(1+vanilla2)^0.5)/A22stdlife))</f>
        <v>n/a</v>
      </c>
      <c r="O320" s="67" t="str">
        <f>IF(A22stdlife="n/a","n/a",IF(O$3&gt;(A22stdlife+$F320),(Input!$I$164*(1+vanilla2)^0.5)-SUM($I320:N320),(Input!$I$164*(1+vanilla2)^0.5)/A22stdlife))</f>
        <v>n/a</v>
      </c>
      <c r="P320" s="67" t="str">
        <f>IF(A22stdlife="n/a","n/a",IF(P$3&gt;(A22stdlife+$F320),(Input!$I$164*(1+vanilla2)^0.5)-SUM($I320:O320),(Input!$I$164*(1+vanilla2)^0.5)/A22stdlife))</f>
        <v>n/a</v>
      </c>
      <c r="Q320" s="67" t="str">
        <f>IF(A22stdlife="n/a","n/a",IF(Q$3&gt;(A22stdlife+$F320),(Input!$I$164*(1+vanilla2)^0.5)-SUM($I320:P320),(Input!$I$164*(1+vanilla2)^0.5)/A22stdlife))</f>
        <v>n/a</v>
      </c>
      <c r="R320" s="67"/>
      <c r="S320" s="102"/>
      <c r="T320" s="102"/>
      <c r="U320" s="102"/>
      <c r="V320" s="102"/>
      <c r="W320" s="102"/>
      <c r="X320" s="102"/>
      <c r="Y320" s="102"/>
      <c r="Z320" s="102"/>
      <c r="AA320" s="102"/>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102"/>
      <c r="BE320" s="102"/>
      <c r="BF320" s="102"/>
      <c r="BG320" s="102"/>
      <c r="BH320" s="102"/>
      <c r="BI320" s="102"/>
      <c r="BJ320" s="102"/>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3.5" customHeight="1" outlineLevel="2">
      <c r="A321" s="9"/>
      <c r="B321" s="9"/>
      <c r="C321" s="9"/>
      <c r="D321" s="25"/>
      <c r="E321" s="376"/>
      <c r="F321" s="85">
        <v>3</v>
      </c>
      <c r="G321" s="122"/>
      <c r="H321" s="146"/>
      <c r="I321" s="148"/>
      <c r="J321" s="147"/>
      <c r="K321" s="67" t="str">
        <f>IF(A22stdlife="n/a","n/a",IF(K$3&gt;(A22stdlife+$F321),(Input!$J$164*(1+vanilla3)^0.5)-SUM($J321:J321),(Input!$J$164*(1+vanilla3)^0.5)/A22stdlife))</f>
        <v>n/a</v>
      </c>
      <c r="L321" s="67" t="str">
        <f>IF(A22stdlife="n/a","n/a",IF(L$3&gt;(A22stdlife+$F321),(Input!$J$164*(1+vanilla3)^0.5)-SUM($J321:K321),(Input!$J$164*(1+vanilla3)^0.5)/A22stdlife))</f>
        <v>n/a</v>
      </c>
      <c r="M321" s="67" t="str">
        <f>IF(A22stdlife="n/a","n/a",IF(M$3&gt;(A22stdlife+$F321),(Input!$J$164*(1+vanilla3)^0.5)-SUM($J321:L321),(Input!$J$164*(1+vanilla3)^0.5)/A22stdlife))</f>
        <v>n/a</v>
      </c>
      <c r="N321" s="67" t="str">
        <f>IF(A22stdlife="n/a","n/a",IF(N$3&gt;(A22stdlife+$F321),(Input!$J$164*(1+vanilla3)^0.5)-SUM($J321:M321),(Input!$J$164*(1+vanilla3)^0.5)/A22stdlife))</f>
        <v>n/a</v>
      </c>
      <c r="O321" s="67" t="str">
        <f>IF(A22stdlife="n/a","n/a",IF(O$3&gt;(A22stdlife+$F321),(Input!$J$164*(1+vanilla3)^0.5)-SUM($J321:N321),(Input!$J$164*(1+vanilla3)^0.5)/A22stdlife))</f>
        <v>n/a</v>
      </c>
      <c r="P321" s="67" t="str">
        <f>IF(A22stdlife="n/a","n/a",IF(P$3&gt;(A22stdlife+$F321),(Input!$J$164*(1+vanilla3)^0.5)-SUM($J321:O321),(Input!$J$164*(1+vanilla3)^0.5)/A22stdlife))</f>
        <v>n/a</v>
      </c>
      <c r="Q321" s="67" t="str">
        <f>IF(A22stdlife="n/a","n/a",IF(Q$3&gt;(A22stdlife+$F321),(Input!$J$164*(1+vanilla3)^0.5)-SUM($J321:P321),(Input!$J$164*(1+vanilla3)^0.5)/A22stdlife))</f>
        <v>n/a</v>
      </c>
      <c r="R321" s="67"/>
      <c r="S321" s="102"/>
      <c r="T321" s="102"/>
      <c r="U321" s="102"/>
      <c r="V321" s="102"/>
      <c r="W321" s="102"/>
      <c r="X321" s="102"/>
      <c r="Y321" s="102"/>
      <c r="Z321" s="102"/>
      <c r="AA321" s="102"/>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102"/>
      <c r="BE321" s="102"/>
      <c r="BF321" s="102"/>
      <c r="BG321" s="102"/>
      <c r="BH321" s="102"/>
      <c r="BI321" s="102"/>
      <c r="BJ321" s="102"/>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3.5" customHeight="1" outlineLevel="2">
      <c r="A322" s="9"/>
      <c r="B322" s="9"/>
      <c r="C322" s="9"/>
      <c r="D322" s="25"/>
      <c r="E322" s="376"/>
      <c r="F322" s="85">
        <v>4</v>
      </c>
      <c r="G322" s="122"/>
      <c r="H322" s="146"/>
      <c r="I322" s="148"/>
      <c r="J322" s="148"/>
      <c r="K322" s="147"/>
      <c r="L322" s="67" t="str">
        <f>IF(A22stdlife="n/a","n/a",IF(L$3&gt;(A22stdlife+$F322),(Input!$K$164*(1+vanilla4)^0.5)-SUM($K322:K322),(Input!$K$164*(1+vanilla4)^0.5)/A22stdlife))</f>
        <v>n/a</v>
      </c>
      <c r="M322" s="67" t="str">
        <f>IF(A22stdlife="n/a","n/a",IF(M$3&gt;(A22stdlife+$F322),(Input!$K$164*(1+vanilla4)^0.5)-SUM($K322:L322),(Input!$K$164*(1+vanilla4)^0.5)/A22stdlife))</f>
        <v>n/a</v>
      </c>
      <c r="N322" s="67" t="str">
        <f>IF(A22stdlife="n/a","n/a",IF(N$3&gt;(A22stdlife+$F322),(Input!$K$164*(1+vanilla4)^0.5)-SUM($K322:M322),(Input!$K$164*(1+vanilla4)^0.5)/A22stdlife))</f>
        <v>n/a</v>
      </c>
      <c r="O322" s="67" t="str">
        <f>IF(A22stdlife="n/a","n/a",IF(O$3&gt;(A22stdlife+$F322),(Input!$K$164*(1+vanilla4)^0.5)-SUM($K322:N322),(Input!$K$164*(1+vanilla4)^0.5)/A22stdlife))</f>
        <v>n/a</v>
      </c>
      <c r="P322" s="67" t="str">
        <f>IF(A22stdlife="n/a","n/a",IF(P$3&gt;(A22stdlife+$F322),(Input!$K$164*(1+vanilla4)^0.5)-SUM($K322:O322),(Input!$K$164*(1+vanilla4)^0.5)/A22stdlife))</f>
        <v>n/a</v>
      </c>
      <c r="Q322" s="67" t="str">
        <f>IF(A22stdlife="n/a","n/a",IF(Q$3&gt;(A22stdlife+$F322),(Input!$K$164*(1+vanilla4)^0.5)-SUM($K322:P322),(Input!$K$164*(1+vanilla4)^0.5)/A22stdlife))</f>
        <v>n/a</v>
      </c>
      <c r="R322" s="67"/>
      <c r="S322" s="102"/>
      <c r="T322" s="102"/>
      <c r="U322" s="102"/>
      <c r="V322" s="102"/>
      <c r="W322" s="102"/>
      <c r="X322" s="102"/>
      <c r="Y322" s="102"/>
      <c r="Z322" s="102"/>
      <c r="AA322" s="102"/>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102"/>
      <c r="BE322" s="102"/>
      <c r="BF322" s="102"/>
      <c r="BG322" s="102"/>
      <c r="BH322" s="102"/>
      <c r="BI322" s="102"/>
      <c r="BJ322" s="102"/>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13.5" customHeight="1" outlineLevel="2">
      <c r="A323" s="9"/>
      <c r="B323" s="9"/>
      <c r="C323" s="9"/>
      <c r="D323" s="25"/>
      <c r="E323" s="376"/>
      <c r="F323" s="85">
        <v>5</v>
      </c>
      <c r="G323" s="26"/>
      <c r="H323" s="146"/>
      <c r="I323" s="148"/>
      <c r="J323" s="148"/>
      <c r="K323" s="148"/>
      <c r="L323" s="147"/>
      <c r="M323" s="67" t="str">
        <f>IF(A22stdlife="n/a","n/a",IF(M$3&gt;(A22stdlife+$F323),(Input!$L$164*(1+vanilla5)^0.5)-SUM($L323:L323),(Input!$L$164*(1+vanilla5)^0.5)/A22stdlife))</f>
        <v>n/a</v>
      </c>
      <c r="N323" s="67" t="str">
        <f>IF(A22stdlife="n/a","n/a",IF(N$3&gt;(A22stdlife+$F323),(Input!$L$164*(1+vanilla5)^0.5)-SUM($L323:M323),(Input!$L$164*(1+vanilla5)^0.5)/A22stdlife))</f>
        <v>n/a</v>
      </c>
      <c r="O323" s="67" t="str">
        <f>IF(A22stdlife="n/a","n/a",IF(O$3&gt;(A22stdlife+$F323),(Input!$L$164*(1+vanilla5)^0.5)-SUM($L323:N323),(Input!$L$164*(1+vanilla5)^0.5)/A22stdlife))</f>
        <v>n/a</v>
      </c>
      <c r="P323" s="67" t="str">
        <f>IF(A22stdlife="n/a","n/a",IF(P$3&gt;(A22stdlife+$F323),(Input!$L$164*(1+vanilla5)^0.5)-SUM($L323:O323),(Input!$L$164*(1+vanilla5)^0.5)/A22stdlife))</f>
        <v>n/a</v>
      </c>
      <c r="Q323" s="67" t="str">
        <f>IF(A22stdlife="n/a","n/a",IF(Q$3&gt;(A22stdlife+$F323),(Input!$L$164*(1+vanilla5)^0.5)-SUM($L323:P323),(Input!$L$164*(1+vanilla5)^0.5)/A22stdlife))</f>
        <v>n/a</v>
      </c>
      <c r="R323" s="67"/>
      <c r="S323" s="102"/>
      <c r="T323" s="102"/>
      <c r="U323" s="102"/>
      <c r="V323" s="102"/>
      <c r="W323" s="102"/>
      <c r="X323" s="102"/>
      <c r="Y323" s="102"/>
      <c r="Z323" s="102"/>
      <c r="AA323" s="102"/>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102"/>
      <c r="BE323" s="102"/>
      <c r="BF323" s="102"/>
      <c r="BG323" s="102"/>
      <c r="BH323" s="102"/>
      <c r="BI323" s="102"/>
      <c r="BJ323" s="102"/>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3.5" customHeight="1" outlineLevel="2">
      <c r="A324" s="9"/>
      <c r="B324" s="9"/>
      <c r="C324" s="9"/>
      <c r="D324" s="25"/>
      <c r="E324" s="376"/>
      <c r="F324" s="85">
        <v>6</v>
      </c>
      <c r="G324" s="26"/>
      <c r="H324" s="146"/>
      <c r="I324" s="148"/>
      <c r="J324" s="148"/>
      <c r="K324" s="148"/>
      <c r="L324" s="148"/>
      <c r="M324" s="147"/>
      <c r="N324" s="67" t="str">
        <f>IF(A22stdlife="n/a","n/a",IF(N$3&gt;(A22stdlife+$F324),(Input!$M$164*(1+vanilla6)^0.5)-SUM($M324:M324),(Input!$M$164*(1+vanilla6)^0.5)/A22stdlife))</f>
        <v>n/a</v>
      </c>
      <c r="O324" s="67" t="str">
        <f>IF(A22stdlife="n/a","n/a",IF(O$3&gt;(A22stdlife+$F324),(Input!$M$164*(1+vanilla6)^0.5)-SUM($M324:N324),(Input!$M$164*(1+vanilla6)^0.5)/A22stdlife))</f>
        <v>n/a</v>
      </c>
      <c r="P324" s="67" t="str">
        <f>IF(A22stdlife="n/a","n/a",IF(P$3&gt;(A22stdlife+$F324),(Input!$M$164*(1+vanilla6)^0.5)-SUM($M324:O324),(Input!$M$164*(1+vanilla6)^0.5)/A22stdlife))</f>
        <v>n/a</v>
      </c>
      <c r="Q324" s="67" t="str">
        <f>IF(A22stdlife="n/a","n/a",IF(Q$3&gt;(A22stdlife+$F324),(Input!$M$164*(1+vanilla6)^0.5)-SUM($M324:P324),(Input!$M$164*(1+vanilla6)^0.5)/A22stdlife))</f>
        <v>n/a</v>
      </c>
      <c r="R324" s="67"/>
      <c r="S324" s="102"/>
      <c r="T324" s="102"/>
      <c r="U324" s="102"/>
      <c r="V324" s="102"/>
      <c r="W324" s="102"/>
      <c r="X324" s="102"/>
      <c r="Y324" s="102"/>
      <c r="Z324" s="102"/>
      <c r="AA324" s="102"/>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102"/>
      <c r="BE324" s="102"/>
      <c r="BF324" s="102"/>
      <c r="BG324" s="102"/>
      <c r="BH324" s="102"/>
      <c r="BI324" s="102"/>
      <c r="BJ324" s="102"/>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3.5" customHeight="1" outlineLevel="2">
      <c r="A325" s="9"/>
      <c r="B325" s="9"/>
      <c r="C325" s="9"/>
      <c r="D325" s="25"/>
      <c r="E325" s="376"/>
      <c r="F325" s="85">
        <v>7</v>
      </c>
      <c r="G325" s="26"/>
      <c r="H325" s="146"/>
      <c r="I325" s="148"/>
      <c r="J325" s="148"/>
      <c r="K325" s="148"/>
      <c r="L325" s="148"/>
      <c r="M325" s="148"/>
      <c r="N325" s="147"/>
      <c r="O325" s="67" t="str">
        <f>IF(A22stdlife="n/a","n/a",IF(O$3&gt;(A22stdlife+$F325),(Input!$N$164*(1+vanilla7)^0.5)-SUM($N325:N325),(Input!$N$164*(1+vanilla7)^0.5)/A22stdlife))</f>
        <v>n/a</v>
      </c>
      <c r="P325" s="67" t="str">
        <f>IF(A22stdlife="n/a","n/a",IF(P$3&gt;(A22stdlife+$F325),(Input!$N$164*(1+vanilla7)^0.5)-SUM($N325:O325),(Input!$N$164*(1+vanilla7)^0.5)/A22stdlife))</f>
        <v>n/a</v>
      </c>
      <c r="Q325" s="67" t="str">
        <f>IF(A22stdlife="n/a","n/a",IF(Q$3&gt;(A22stdlife+$F325),(Input!$N$164*(1+vanilla7)^0.5)-SUM($N325:P325),(Input!$N$164*(1+vanilla7)^0.5)/A22stdlife))</f>
        <v>n/a</v>
      </c>
      <c r="R325" s="67"/>
      <c r="S325" s="102"/>
      <c r="T325" s="102"/>
      <c r="U325" s="102"/>
      <c r="V325" s="102"/>
      <c r="W325" s="102"/>
      <c r="X325" s="102"/>
      <c r="Y325" s="102"/>
      <c r="Z325" s="102"/>
      <c r="AA325" s="102"/>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102"/>
      <c r="BE325" s="102"/>
      <c r="BF325" s="102"/>
      <c r="BG325" s="102"/>
      <c r="BH325" s="102"/>
      <c r="BI325" s="102"/>
      <c r="BJ325" s="102"/>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3.5" customHeight="1" outlineLevel="2">
      <c r="A326" s="9"/>
      <c r="B326" s="9"/>
      <c r="C326" s="9"/>
      <c r="D326" s="25"/>
      <c r="E326" s="376"/>
      <c r="F326" s="85">
        <v>8</v>
      </c>
      <c r="G326" s="26"/>
      <c r="H326" s="146"/>
      <c r="I326" s="148"/>
      <c r="J326" s="148"/>
      <c r="K326" s="148"/>
      <c r="L326" s="148"/>
      <c r="M326" s="148"/>
      <c r="N326" s="148"/>
      <c r="O326" s="147"/>
      <c r="P326" s="67" t="str">
        <f>IF(A22stdlife="n/a","n/a",IF(P$3&gt;(A22stdlife+$F326),(Input!$O$164*(1+vanilla8)^0.5)-SUM($O326:O326),(Input!$O$164*(1+vanilla8)^0.5)/A22stdlife))</f>
        <v>n/a</v>
      </c>
      <c r="Q326" s="67" t="str">
        <f>IF(A22stdlife="n/a","n/a",IF(Q$3&gt;(A22stdlife+$F326),(Input!$O$164*(1+vanilla8)^0.5)-SUM($O326:P326),(Input!$O$164*(1+vanilla8)^0.5)/A22stdlife))</f>
        <v>n/a</v>
      </c>
      <c r="R326" s="67"/>
      <c r="S326" s="102"/>
      <c r="T326" s="102"/>
      <c r="U326" s="102"/>
      <c r="V326" s="102"/>
      <c r="W326" s="102"/>
      <c r="X326" s="102"/>
      <c r="Y326" s="102"/>
      <c r="Z326" s="102"/>
      <c r="AA326" s="102"/>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102"/>
      <c r="BE326" s="102"/>
      <c r="BF326" s="102"/>
      <c r="BG326" s="102"/>
      <c r="BH326" s="102"/>
      <c r="BI326" s="102"/>
      <c r="BJ326" s="102"/>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3.5" customHeight="1" outlineLevel="2">
      <c r="A327" s="9"/>
      <c r="B327" s="9"/>
      <c r="C327" s="9"/>
      <c r="D327" s="25"/>
      <c r="E327" s="376"/>
      <c r="F327" s="85">
        <v>9</v>
      </c>
      <c r="G327" s="26"/>
      <c r="H327" s="146"/>
      <c r="I327" s="148"/>
      <c r="J327" s="148"/>
      <c r="K327" s="148"/>
      <c r="L327" s="148"/>
      <c r="M327" s="148"/>
      <c r="N327" s="148"/>
      <c r="O327" s="148"/>
      <c r="P327" s="147"/>
      <c r="Q327" s="67" t="str">
        <f>IF(A22stdlife="n/a","n/a",IF(Q$3&gt;(A22stdlife+$F327),(Input!$P$164*(1+vanilla9)^0.5)-SUM($P327:P327),(Input!$P$164*(1+vanilla9)^0.5)/A22stdlife))</f>
        <v>n/a</v>
      </c>
      <c r="R327" s="67"/>
      <c r="S327" s="102"/>
      <c r="T327" s="102"/>
      <c r="U327" s="102"/>
      <c r="V327" s="102"/>
      <c r="W327" s="102"/>
      <c r="X327" s="102"/>
      <c r="Y327" s="102"/>
      <c r="Z327" s="102"/>
      <c r="AA327" s="102"/>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102"/>
      <c r="BE327" s="102"/>
      <c r="BF327" s="102"/>
      <c r="BG327" s="102"/>
      <c r="BH327" s="102"/>
      <c r="BI327" s="102"/>
      <c r="BJ327" s="102"/>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3.5" customHeight="1" outlineLevel="2">
      <c r="A328" s="9"/>
      <c r="B328" s="9"/>
      <c r="C328" s="9"/>
      <c r="D328" s="25"/>
      <c r="E328" s="376"/>
      <c r="F328" s="86">
        <v>10</v>
      </c>
      <c r="G328" s="26"/>
      <c r="H328" s="146"/>
      <c r="I328" s="148"/>
      <c r="J328" s="148"/>
      <c r="K328" s="148"/>
      <c r="L328" s="148"/>
      <c r="M328" s="148"/>
      <c r="N328" s="148"/>
      <c r="O328" s="148"/>
      <c r="P328" s="148"/>
      <c r="Q328" s="147"/>
      <c r="R328" s="67"/>
      <c r="S328" s="102"/>
      <c r="T328" s="102"/>
      <c r="U328" s="102"/>
      <c r="V328" s="102"/>
      <c r="W328" s="102"/>
      <c r="X328" s="102"/>
      <c r="Y328" s="102"/>
      <c r="Z328" s="102"/>
      <c r="AA328" s="102"/>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102"/>
      <c r="BE328" s="102"/>
      <c r="BF328" s="102"/>
      <c r="BG328" s="102"/>
      <c r="BH328" s="102"/>
      <c r="BI328" s="102"/>
      <c r="BJ328" s="102"/>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3.5" customHeight="1" outlineLevel="1">
      <c r="A329" s="9"/>
      <c r="B329" s="9"/>
      <c r="C329" s="9"/>
      <c r="D329" s="25" t="str">
        <f>Asset22</f>
        <v>Land (non-system)</v>
      </c>
      <c r="E329" s="9"/>
      <c r="F329" s="9"/>
      <c r="G329" s="122"/>
      <c r="H329" s="165">
        <f>-SUM(H317:H328)</f>
        <v>0</v>
      </c>
      <c r="I329" s="165">
        <f>-SUM(I317:I328)</f>
        <v>0</v>
      </c>
      <c r="J329" s="165">
        <f>-SUM(J317:J328)</f>
        <v>0</v>
      </c>
      <c r="K329" s="165">
        <f>-SUM(K317:K328)</f>
        <v>0</v>
      </c>
      <c r="L329" s="165">
        <f>-SUM(L317:L328)</f>
        <v>0</v>
      </c>
      <c r="M329" s="165">
        <f>IF(Input!M173&gt;0, -SUM(M317:M328), 0)</f>
        <v>0</v>
      </c>
      <c r="N329" s="165">
        <f>IF(Input!N173&gt;0, -SUM(N317:N328), 0)</f>
        <v>0</v>
      </c>
      <c r="O329" s="165">
        <f>IF(Input!O173&gt;0, -SUM(O317:O328), 0)</f>
        <v>0</v>
      </c>
      <c r="P329" s="165">
        <f>IF(Input!P173&gt;0, -SUM(P317:P328), 0)</f>
        <v>0</v>
      </c>
      <c r="Q329" s="165">
        <f>IF(Input!Q173&gt;0, -SUM(Q317:Q328), 0)</f>
        <v>0</v>
      </c>
      <c r="R329" s="65"/>
      <c r="S329" s="104"/>
      <c r="T329" s="104"/>
      <c r="U329" s="104"/>
      <c r="V329" s="104"/>
      <c r="W329" s="104"/>
      <c r="X329" s="104"/>
      <c r="Y329" s="104"/>
      <c r="Z329" s="104"/>
      <c r="AA329" s="104"/>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104"/>
      <c r="BE329" s="104"/>
      <c r="BF329" s="104"/>
      <c r="BG329" s="104"/>
      <c r="BH329" s="104"/>
      <c r="BI329" s="104"/>
      <c r="BJ329" s="104"/>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3.5" customHeight="1" outlineLevel="2">
      <c r="A330" s="9"/>
      <c r="B330" s="9"/>
      <c r="C330" s="31" t="str">
        <f>Asset23</f>
        <v>Other non system assets</v>
      </c>
      <c r="D330" s="161"/>
      <c r="E330" s="33" t="s">
        <v>28</v>
      </c>
      <c r="F330" s="32"/>
      <c r="G330" s="174"/>
      <c r="H330" s="66">
        <f>IF(H$3&gt;A23remlife,A23value-SUM($G330:G330),IF(A23remlife="N/A","n/a",A23value/A23remlife))</f>
        <v>1.2596004457225445</v>
      </c>
      <c r="I330" s="66">
        <f>IF(I$3&gt;A23remlife,A23value-SUM($G330:H330),IF(A23remlife="N/A","n/a",A23value/A23remlife))</f>
        <v>1.2596004457225445</v>
      </c>
      <c r="J330" s="66">
        <f>IF(J$3&gt;A23remlife,A23value-SUM($G330:I330),IF(A23remlife="N/A","n/a",A23value/A23remlife))</f>
        <v>1.2596004457225445</v>
      </c>
      <c r="K330" s="66">
        <f>IF(K$3&gt;A23remlife,A23value-SUM($G330:J330),IF(A23remlife="N/A","n/a",A23value/A23remlife))</f>
        <v>1.2596004457225445</v>
      </c>
      <c r="L330" s="66">
        <f>IF(L$3&gt;A23remlife,A23value-SUM($G330:K330),IF(A23remlife="N/A","n/a",A23value/A23remlife))</f>
        <v>1.2596004457225445</v>
      </c>
      <c r="M330" s="66">
        <f>IF(M$3&gt;A23remlife,A23value-SUM($G330:L330),IF(A23remlife="N/A","n/a",A23value/A23remlife))</f>
        <v>1.2596004457225445</v>
      </c>
      <c r="N330" s="66">
        <f>IF(N$3&gt;A23remlife,A23value-SUM($G330:M330),IF(A23remlife="N/A","n/a",A23value/A23remlife))</f>
        <v>1.2596004457225445</v>
      </c>
      <c r="O330" s="66">
        <f>IF(O$3&gt;A23remlife,A23value-SUM($G330:N330),IF(A23remlife="N/A","n/a",A23value/A23remlife))</f>
        <v>1.2596004457225445</v>
      </c>
      <c r="P330" s="66">
        <f>IF(P$3&gt;A23remlife,A23value-SUM($G330:O330),IF(A23remlife="N/A","n/a",A23value/A23remlife))</f>
        <v>1.2596004457225445</v>
      </c>
      <c r="Q330" s="66">
        <f>IF(Q$3&gt;A23remlife,A23value-SUM($G330:P330),IF(A23remlife="N/A","n/a",A23value/A23remlife))</f>
        <v>1.2596004457225445</v>
      </c>
      <c r="R330" s="66"/>
      <c r="S330" s="102"/>
      <c r="T330" s="102"/>
      <c r="U330" s="102"/>
      <c r="V330" s="102"/>
      <c r="W330" s="102"/>
      <c r="X330" s="102"/>
      <c r="Y330" s="102"/>
      <c r="Z330" s="102"/>
      <c r="AA330" s="102"/>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102"/>
      <c r="BE330" s="102"/>
      <c r="BF330" s="102"/>
      <c r="BG330" s="102"/>
      <c r="BH330" s="102"/>
      <c r="BI330" s="102"/>
      <c r="BJ330" s="102"/>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3.5" customHeight="1" outlineLevel="2">
      <c r="A331" s="9"/>
      <c r="B331" s="9"/>
      <c r="C331" s="9"/>
      <c r="D331" s="25"/>
      <c r="E331" s="375" t="s">
        <v>85</v>
      </c>
      <c r="F331" s="85">
        <v>0</v>
      </c>
      <c r="G331" s="122"/>
      <c r="H331" s="67"/>
      <c r="I331" s="67"/>
      <c r="J331" s="67"/>
      <c r="K331" s="67"/>
      <c r="L331" s="67"/>
      <c r="M331" s="163"/>
      <c r="N331" s="111"/>
      <c r="O331" s="67"/>
      <c r="P331" s="67"/>
      <c r="Q331" s="67"/>
      <c r="R331" s="67"/>
      <c r="S331" s="102"/>
      <c r="T331" s="102"/>
      <c r="U331" s="102"/>
      <c r="V331" s="102"/>
      <c r="W331" s="102"/>
      <c r="X331" s="102"/>
      <c r="Y331" s="102"/>
      <c r="Z331" s="102"/>
      <c r="AA331" s="102"/>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102"/>
      <c r="BE331" s="102"/>
      <c r="BF331" s="102"/>
      <c r="BG331" s="102"/>
      <c r="BH331" s="102"/>
      <c r="BI331" s="102"/>
      <c r="BJ331" s="102"/>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3.5" customHeight="1" outlineLevel="2">
      <c r="A332" s="9"/>
      <c r="B332" s="9"/>
      <c r="C332" s="9"/>
      <c r="D332" s="25"/>
      <c r="E332" s="376"/>
      <c r="F332" s="85">
        <v>1</v>
      </c>
      <c r="G332" s="122"/>
      <c r="H332" s="145"/>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2"/>
      <c r="T332" s="102"/>
      <c r="U332" s="102"/>
      <c r="V332" s="102"/>
      <c r="W332" s="102"/>
      <c r="X332" s="102"/>
      <c r="Y332" s="102"/>
      <c r="Z332" s="102"/>
      <c r="AA332" s="102"/>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102"/>
      <c r="BE332" s="102"/>
      <c r="BF332" s="102"/>
      <c r="BG332" s="102"/>
      <c r="BH332" s="102"/>
      <c r="BI332" s="102"/>
      <c r="BJ332" s="102"/>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3.5" customHeight="1" outlineLevel="2">
      <c r="A333" s="9"/>
      <c r="B333" s="9"/>
      <c r="C333" s="9"/>
      <c r="D333" s="25"/>
      <c r="E333" s="376"/>
      <c r="F333" s="85">
        <v>2</v>
      </c>
      <c r="G333" s="122"/>
      <c r="H333" s="146"/>
      <c r="I333" s="147"/>
      <c r="J333" s="67">
        <f>IF(A23stdlife="n/a","n/a",IF(J$3&gt;(A23stdlife+$F333),(Input!$I$165*(1+vanilla2)^0.5)-SUM($I333:I333),(Input!$I$165*(1+vanilla2)^0.5)/A23stdlife))</f>
        <v>2.2337167718415032E-4</v>
      </c>
      <c r="K333" s="67">
        <f>IF(A23stdlife="n/a","n/a",IF(K$3&gt;(A23stdlife+$F333),(Input!$I$165*(1+vanilla2)^0.5)-SUM($I333:J333),(Input!$I$165*(1+vanilla2)^0.5)/A23stdlife))</f>
        <v>2.2337167718415032E-4</v>
      </c>
      <c r="L333" s="67">
        <f>IF(A23stdlife="n/a","n/a",IF(L$3&gt;(A23stdlife+$F333),(Input!$I$165*(1+vanilla2)^0.5)-SUM($I333:K333),(Input!$I$165*(1+vanilla2)^0.5)/A23stdlife))</f>
        <v>2.2337167718415032E-4</v>
      </c>
      <c r="M333" s="67">
        <f>IF(A23stdlife="n/a","n/a",IF(M$3&gt;(A23stdlife+$F333),(Input!$I$165*(1+vanilla2)^0.5)-SUM($I333:L333),(Input!$I$165*(1+vanilla2)^0.5)/A23stdlife))</f>
        <v>2.2337167718415032E-4</v>
      </c>
      <c r="N333" s="67">
        <f>IF(A23stdlife="n/a","n/a",IF(N$3&gt;(A23stdlife+$F333),(Input!$I$165*(1+vanilla2)^0.5)-SUM($I333:M333),(Input!$I$165*(1+vanilla2)^0.5)/A23stdlife))</f>
        <v>2.2337167718415032E-4</v>
      </c>
      <c r="O333" s="67">
        <f>IF(A23stdlife="n/a","n/a",IF(O$3&gt;(A23stdlife+$F333),(Input!$I$165*(1+vanilla2)^0.5)-SUM($I333:N333),(Input!$I$165*(1+vanilla2)^0.5)/A23stdlife))</f>
        <v>2.2337167718415032E-4</v>
      </c>
      <c r="P333" s="67">
        <f>IF(A23stdlife="n/a","n/a",IF(P$3&gt;(A23stdlife+$F333),(Input!$I$165*(1+vanilla2)^0.5)-SUM($I333:O333),(Input!$I$165*(1+vanilla2)^0.5)/A23stdlife))</f>
        <v>2.2337167718415032E-4</v>
      </c>
      <c r="Q333" s="67">
        <f>IF(A23stdlife="n/a","n/a",IF(Q$3&gt;(A23stdlife+$F333),(Input!$I$165*(1+vanilla2)^0.5)-SUM($I333:P333),(Input!$I$165*(1+vanilla2)^0.5)/A23stdlife))</f>
        <v>2.2337167718415032E-4</v>
      </c>
      <c r="R333" s="67"/>
      <c r="S333" s="102"/>
      <c r="T333" s="102"/>
      <c r="U333" s="102"/>
      <c r="V333" s="102"/>
      <c r="W333" s="102"/>
      <c r="X333" s="102"/>
      <c r="Y333" s="102"/>
      <c r="Z333" s="102"/>
      <c r="AA333" s="102"/>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102"/>
      <c r="BE333" s="102"/>
      <c r="BF333" s="102"/>
      <c r="BG333" s="102"/>
      <c r="BH333" s="102"/>
      <c r="BI333" s="102"/>
      <c r="BJ333" s="102"/>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3.5" customHeight="1" outlineLevel="2">
      <c r="A334" s="9"/>
      <c r="B334" s="9"/>
      <c r="C334" s="9"/>
      <c r="D334" s="25"/>
      <c r="E334" s="376"/>
      <c r="F334" s="85">
        <v>3</v>
      </c>
      <c r="G334" s="122"/>
      <c r="H334" s="146"/>
      <c r="I334" s="148"/>
      <c r="J334" s="147"/>
      <c r="K334" s="67">
        <f>IF(A23stdlife="n/a","n/a",IF(K$3&gt;(A23stdlife+$F334),(Input!$J$165*(1+vanilla3)^0.5)-SUM($J334:J334),(Input!$J$165*(1+vanilla3)^0.5)/A23stdlife))</f>
        <v>5.0779700372666839E-3</v>
      </c>
      <c r="L334" s="67">
        <f>IF(A23stdlife="n/a","n/a",IF(L$3&gt;(A23stdlife+$F334),(Input!$J$165*(1+vanilla3)^0.5)-SUM($J334:K334),(Input!$J$165*(1+vanilla3)^0.5)/A23stdlife))</f>
        <v>5.0779700372666839E-3</v>
      </c>
      <c r="M334" s="67">
        <f>IF(A23stdlife="n/a","n/a",IF(M$3&gt;(A23stdlife+$F334),(Input!$J$165*(1+vanilla3)^0.5)-SUM($J334:L334),(Input!$J$165*(1+vanilla3)^0.5)/A23stdlife))</f>
        <v>5.0779700372666839E-3</v>
      </c>
      <c r="N334" s="67">
        <f>IF(A23stdlife="n/a","n/a",IF(N$3&gt;(A23stdlife+$F334),(Input!$J$165*(1+vanilla3)^0.5)-SUM($J334:M334),(Input!$J$165*(1+vanilla3)^0.5)/A23stdlife))</f>
        <v>5.0779700372666839E-3</v>
      </c>
      <c r="O334" s="67">
        <f>IF(A23stdlife="n/a","n/a",IF(O$3&gt;(A23stdlife+$F334),(Input!$J$165*(1+vanilla3)^0.5)-SUM($J334:N334),(Input!$J$165*(1+vanilla3)^0.5)/A23stdlife))</f>
        <v>5.0779700372666839E-3</v>
      </c>
      <c r="P334" s="67">
        <f>IF(A23stdlife="n/a","n/a",IF(P$3&gt;(A23stdlife+$F334),(Input!$J$165*(1+vanilla3)^0.5)-SUM($J334:O334),(Input!$J$165*(1+vanilla3)^0.5)/A23stdlife))</f>
        <v>5.0779700372666839E-3</v>
      </c>
      <c r="Q334" s="67">
        <f>IF(A23stdlife="n/a","n/a",IF(Q$3&gt;(A23stdlife+$F334),(Input!$J$165*(1+vanilla3)^0.5)-SUM($J334:P334),(Input!$J$165*(1+vanilla3)^0.5)/A23stdlife))</f>
        <v>5.0779700372666839E-3</v>
      </c>
      <c r="R334" s="67"/>
      <c r="S334" s="102"/>
      <c r="T334" s="102"/>
      <c r="U334" s="102"/>
      <c r="V334" s="102"/>
      <c r="W334" s="102"/>
      <c r="X334" s="102"/>
      <c r="Y334" s="102"/>
      <c r="Z334" s="102"/>
      <c r="AA334" s="102"/>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102"/>
      <c r="BE334" s="102"/>
      <c r="BF334" s="102"/>
      <c r="BG334" s="102"/>
      <c r="BH334" s="102"/>
      <c r="BI334" s="102"/>
      <c r="BJ334" s="102"/>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3.5" customHeight="1" outlineLevel="2">
      <c r="A335" s="9"/>
      <c r="B335" s="9"/>
      <c r="C335" s="9"/>
      <c r="D335" s="25"/>
      <c r="E335" s="376"/>
      <c r="F335" s="85">
        <v>4</v>
      </c>
      <c r="G335" s="122"/>
      <c r="H335" s="146"/>
      <c r="I335" s="148"/>
      <c r="J335" s="148"/>
      <c r="K335" s="147"/>
      <c r="L335" s="67">
        <f>IF(A23stdlife="n/a","n/a",IF(L$3&gt;(A23stdlife+$F335),(Input!$K$165*(1+vanilla4)^0.5)-SUM($K335:K335),(Input!$K$165*(1+vanilla4)^0.5)/A23stdlife))</f>
        <v>3.5685172704929782E-4</v>
      </c>
      <c r="M335" s="67">
        <f>IF(A23stdlife="n/a","n/a",IF(M$3&gt;(A23stdlife+$F335),(Input!$K$165*(1+vanilla4)^0.5)-SUM($K335:L335),(Input!$K$165*(1+vanilla4)^0.5)/A23stdlife))</f>
        <v>3.5685172704929782E-4</v>
      </c>
      <c r="N335" s="67">
        <f>IF(A23stdlife="n/a","n/a",IF(N$3&gt;(A23stdlife+$F335),(Input!$K$165*(1+vanilla4)^0.5)-SUM($K335:M335),(Input!$K$165*(1+vanilla4)^0.5)/A23stdlife))</f>
        <v>3.5685172704929782E-4</v>
      </c>
      <c r="O335" s="67">
        <f>IF(A23stdlife="n/a","n/a",IF(O$3&gt;(A23stdlife+$F335),(Input!$K$165*(1+vanilla4)^0.5)-SUM($K335:N335),(Input!$K$165*(1+vanilla4)^0.5)/A23stdlife))</f>
        <v>3.5685172704929782E-4</v>
      </c>
      <c r="P335" s="67">
        <f>IF(A23stdlife="n/a","n/a",IF(P$3&gt;(A23stdlife+$F335),(Input!$K$165*(1+vanilla4)^0.5)-SUM($K335:O335),(Input!$K$165*(1+vanilla4)^0.5)/A23stdlife))</f>
        <v>3.5685172704929782E-4</v>
      </c>
      <c r="Q335" s="67">
        <f>IF(A23stdlife="n/a","n/a",IF(Q$3&gt;(A23stdlife+$F335),(Input!$K$165*(1+vanilla4)^0.5)-SUM($K335:P335),(Input!$K$165*(1+vanilla4)^0.5)/A23stdlife))</f>
        <v>3.5685172704929782E-4</v>
      </c>
      <c r="R335" s="67"/>
      <c r="S335" s="102"/>
      <c r="T335" s="102"/>
      <c r="U335" s="102"/>
      <c r="V335" s="102"/>
      <c r="W335" s="102"/>
      <c r="X335" s="102"/>
      <c r="Y335" s="102"/>
      <c r="Z335" s="102"/>
      <c r="AA335" s="102"/>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102"/>
      <c r="BE335" s="102"/>
      <c r="BF335" s="102"/>
      <c r="BG335" s="102"/>
      <c r="BH335" s="102"/>
      <c r="BI335" s="102"/>
      <c r="BJ335" s="102"/>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3.5" customHeight="1" outlineLevel="2">
      <c r="A336" s="9"/>
      <c r="B336" s="9"/>
      <c r="C336" s="9"/>
      <c r="D336" s="25"/>
      <c r="E336" s="376"/>
      <c r="F336" s="85">
        <v>5</v>
      </c>
      <c r="G336" s="26"/>
      <c r="H336" s="146"/>
      <c r="I336" s="148"/>
      <c r="J336" s="148"/>
      <c r="K336" s="148"/>
      <c r="L336" s="147"/>
      <c r="M336" s="67">
        <f>IF(A23stdlife="n/a","n/a",IF(M$3&gt;(A23stdlife+$F336),(Input!$L$165*(1+vanilla5)^0.5)-SUM($L336:L336),(Input!$L$165*(1+vanilla5)^0.5)/A23stdlife))</f>
        <v>3.2157805897153847E-4</v>
      </c>
      <c r="N336" s="67">
        <f>IF(A23stdlife="n/a","n/a",IF(N$3&gt;(A23stdlife+$F336),(Input!$L$165*(1+vanilla5)^0.5)-SUM($L336:M336),(Input!$L$165*(1+vanilla5)^0.5)/A23stdlife))</f>
        <v>3.2157805897153847E-4</v>
      </c>
      <c r="O336" s="67">
        <f>IF(A23stdlife="n/a","n/a",IF(O$3&gt;(A23stdlife+$F336),(Input!$L$165*(1+vanilla5)^0.5)-SUM($L336:N336),(Input!$L$165*(1+vanilla5)^0.5)/A23stdlife))</f>
        <v>3.2157805897153847E-4</v>
      </c>
      <c r="P336" s="67">
        <f>IF(A23stdlife="n/a","n/a",IF(P$3&gt;(A23stdlife+$F336),(Input!$L$165*(1+vanilla5)^0.5)-SUM($L336:O336),(Input!$L$165*(1+vanilla5)^0.5)/A23stdlife))</f>
        <v>3.2157805897153847E-4</v>
      </c>
      <c r="Q336" s="67">
        <f>IF(A23stdlife="n/a","n/a",IF(Q$3&gt;(A23stdlife+$F336),(Input!$L$165*(1+vanilla5)^0.5)-SUM($L336:P336),(Input!$L$165*(1+vanilla5)^0.5)/A23stdlife))</f>
        <v>3.2157805897153847E-4</v>
      </c>
      <c r="R336" s="67"/>
      <c r="S336" s="102"/>
      <c r="T336" s="102"/>
      <c r="U336" s="102"/>
      <c r="V336" s="102"/>
      <c r="W336" s="102"/>
      <c r="X336" s="102"/>
      <c r="Y336" s="102"/>
      <c r="Z336" s="102"/>
      <c r="AA336" s="102"/>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102"/>
      <c r="BE336" s="102"/>
      <c r="BF336" s="102"/>
      <c r="BG336" s="102"/>
      <c r="BH336" s="102"/>
      <c r="BI336" s="102"/>
      <c r="BJ336" s="102"/>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3.5" customHeight="1" outlineLevel="2">
      <c r="A337" s="9"/>
      <c r="B337" s="9"/>
      <c r="C337" s="9"/>
      <c r="D337" s="25"/>
      <c r="E337" s="376"/>
      <c r="F337" s="85">
        <v>6</v>
      </c>
      <c r="G337" s="26"/>
      <c r="H337" s="146"/>
      <c r="I337" s="148"/>
      <c r="J337" s="148"/>
      <c r="K337" s="148"/>
      <c r="L337" s="148"/>
      <c r="M337" s="147"/>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2"/>
      <c r="T337" s="102"/>
      <c r="U337" s="102"/>
      <c r="V337" s="102"/>
      <c r="W337" s="102"/>
      <c r="X337" s="102"/>
      <c r="Y337" s="102"/>
      <c r="Z337" s="102"/>
      <c r="AA337" s="102"/>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102"/>
      <c r="BE337" s="102"/>
      <c r="BF337" s="102"/>
      <c r="BG337" s="102"/>
      <c r="BH337" s="102"/>
      <c r="BI337" s="102"/>
      <c r="BJ337" s="102"/>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3.5" customHeight="1" outlineLevel="2">
      <c r="A338" s="9"/>
      <c r="B338" s="9"/>
      <c r="C338" s="9"/>
      <c r="D338" s="25"/>
      <c r="E338" s="376"/>
      <c r="F338" s="85">
        <v>7</v>
      </c>
      <c r="G338" s="26"/>
      <c r="H338" s="146"/>
      <c r="I338" s="148"/>
      <c r="J338" s="148"/>
      <c r="K338" s="148"/>
      <c r="L338" s="148"/>
      <c r="M338" s="148"/>
      <c r="N338" s="147"/>
      <c r="O338" s="67">
        <f>IF(A23stdlife="n/a","n/a",IF(O$3&gt;(A23stdlife+$F338),(Input!$N$165*(1+vanilla7)^0.5)-SUM($N338:N338),(Input!$N$165*(1+vanilla7)^0.5)/A23stdlife))</f>
        <v>0</v>
      </c>
      <c r="P338" s="67">
        <f>IF(A23stdlife="n/a","n/a",IF(P$3&gt;(A23stdlife+$F338),(Input!$N$165*(1+vanilla7)^0.5)-SUM($N338:O338),(Input!$N$165*(1+vanilla7)^0.5)/A23stdlife))</f>
        <v>0</v>
      </c>
      <c r="Q338" s="67">
        <f>IF(A23stdlife="n/a","n/a",IF(Q$3&gt;(A23stdlife+$F338),(Input!$N$165*(1+vanilla7)^0.5)-SUM($N338:P338),(Input!$N$165*(1+vanilla7)^0.5)/A23stdlife))</f>
        <v>0</v>
      </c>
      <c r="R338" s="67"/>
      <c r="S338" s="102"/>
      <c r="T338" s="102"/>
      <c r="U338" s="102"/>
      <c r="V338" s="102"/>
      <c r="W338" s="102"/>
      <c r="X338" s="102"/>
      <c r="Y338" s="102"/>
      <c r="Z338" s="102"/>
      <c r="AA338" s="102"/>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102"/>
      <c r="BE338" s="102"/>
      <c r="BF338" s="102"/>
      <c r="BG338" s="102"/>
      <c r="BH338" s="102"/>
      <c r="BI338" s="102"/>
      <c r="BJ338" s="102"/>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3.5" customHeight="1" outlineLevel="2">
      <c r="A339" s="9"/>
      <c r="B339" s="9"/>
      <c r="C339" s="9"/>
      <c r="D339" s="25"/>
      <c r="E339" s="376"/>
      <c r="F339" s="85">
        <v>8</v>
      </c>
      <c r="G339" s="26"/>
      <c r="H339" s="146"/>
      <c r="I339" s="148"/>
      <c r="J339" s="148"/>
      <c r="K339" s="148"/>
      <c r="L339" s="148"/>
      <c r="M339" s="148"/>
      <c r="N339" s="148"/>
      <c r="O339" s="147"/>
      <c r="P339" s="67">
        <f>IF(A23stdlife="n/a","n/a",IF(P$3&gt;(A23stdlife+$F339),(Input!$O$165*(1+vanilla8)^0.5)-SUM($O339:O339),(Input!$O$165*(1+vanilla8)^0.5)/A23stdlife))</f>
        <v>0</v>
      </c>
      <c r="Q339" s="67">
        <f>IF(A23stdlife="n/a","n/a",IF(Q$3&gt;(A23stdlife+$F339),(Input!$O$165*(1+vanilla8)^0.5)-SUM($O339:P339),(Input!$O$165*(1+vanilla8)^0.5)/A23stdlife))</f>
        <v>0</v>
      </c>
      <c r="R339" s="67"/>
      <c r="S339" s="102"/>
      <c r="T339" s="102"/>
      <c r="U339" s="102"/>
      <c r="V339" s="102"/>
      <c r="W339" s="102"/>
      <c r="X339" s="102"/>
      <c r="Y339" s="102"/>
      <c r="Z339" s="102"/>
      <c r="AA339" s="102"/>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102"/>
      <c r="BE339" s="102"/>
      <c r="BF339" s="102"/>
      <c r="BG339" s="102"/>
      <c r="BH339" s="102"/>
      <c r="BI339" s="102"/>
      <c r="BJ339" s="102"/>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3.5" customHeight="1" outlineLevel="2">
      <c r="A340" s="9"/>
      <c r="B340" s="9"/>
      <c r="C340" s="9"/>
      <c r="D340" s="25"/>
      <c r="E340" s="376"/>
      <c r="F340" s="85">
        <v>9</v>
      </c>
      <c r="G340" s="26"/>
      <c r="H340" s="146"/>
      <c r="I340" s="148"/>
      <c r="J340" s="148"/>
      <c r="K340" s="148"/>
      <c r="L340" s="148"/>
      <c r="M340" s="148"/>
      <c r="N340" s="148"/>
      <c r="O340" s="148"/>
      <c r="P340" s="147"/>
      <c r="Q340" s="67">
        <f>IF(A23stdlife="n/a","n/a",IF(Q$3&gt;(A23stdlife+$F340),(Input!$P$165*(1+vanilla9)^0.5)-SUM($P340:P340),(Input!$P$165*(1+vanilla9)^0.5)/A23stdlife))</f>
        <v>0</v>
      </c>
      <c r="R340" s="67"/>
      <c r="S340" s="102"/>
      <c r="T340" s="102"/>
      <c r="U340" s="102"/>
      <c r="V340" s="102"/>
      <c r="W340" s="102"/>
      <c r="X340" s="102"/>
      <c r="Y340" s="102"/>
      <c r="Z340" s="102"/>
      <c r="AA340" s="102"/>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102"/>
      <c r="BE340" s="102"/>
      <c r="BF340" s="102"/>
      <c r="BG340" s="102"/>
      <c r="BH340" s="102"/>
      <c r="BI340" s="102"/>
      <c r="BJ340" s="102"/>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3.5" customHeight="1" outlineLevel="2">
      <c r="A341" s="9"/>
      <c r="B341" s="9"/>
      <c r="C341" s="9"/>
      <c r="D341" s="25"/>
      <c r="E341" s="376"/>
      <c r="F341" s="86">
        <v>10</v>
      </c>
      <c r="G341" s="26"/>
      <c r="H341" s="146"/>
      <c r="I341" s="148"/>
      <c r="J341" s="148"/>
      <c r="K341" s="148"/>
      <c r="L341" s="148"/>
      <c r="M341" s="148"/>
      <c r="N341" s="148"/>
      <c r="O341" s="148"/>
      <c r="P341" s="148"/>
      <c r="Q341" s="147"/>
      <c r="R341" s="67"/>
      <c r="S341" s="102"/>
      <c r="T341" s="102"/>
      <c r="U341" s="102"/>
      <c r="V341" s="102"/>
      <c r="W341" s="102"/>
      <c r="X341" s="102"/>
      <c r="Y341" s="102"/>
      <c r="Z341" s="102"/>
      <c r="AA341" s="102"/>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102"/>
      <c r="BE341" s="102"/>
      <c r="BF341" s="102"/>
      <c r="BG341" s="102"/>
      <c r="BH341" s="102"/>
      <c r="BI341" s="102"/>
      <c r="BJ341" s="102"/>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3.5" customHeight="1" outlineLevel="1">
      <c r="A342" s="9"/>
      <c r="B342" s="9"/>
      <c r="C342" s="9"/>
      <c r="D342" s="25" t="str">
        <f>Asset23</f>
        <v>Other non system assets</v>
      </c>
      <c r="E342" s="9"/>
      <c r="F342" s="9"/>
      <c r="G342" s="122"/>
      <c r="H342" s="165">
        <f>-SUM(H330:H341)</f>
        <v>-1.2596004457225445</v>
      </c>
      <c r="I342" s="165">
        <f>-SUM(I330:I341)</f>
        <v>-1.2596004457225445</v>
      </c>
      <c r="J342" s="165">
        <f>-SUM(J330:J341)</f>
        <v>-1.2598238173997287</v>
      </c>
      <c r="K342" s="165">
        <f>-SUM(K330:K341)</f>
        <v>-1.2649017874369954</v>
      </c>
      <c r="L342" s="165">
        <f>-SUM(L330:L341)</f>
        <v>-1.2652586391640448</v>
      </c>
      <c r="M342" s="165">
        <f>IF(Input!M173&gt;0, -SUM(M330:M341), 0)</f>
        <v>0</v>
      </c>
      <c r="N342" s="165">
        <f>IF(Input!N173&gt;0, -SUM(N330:N341), 0)</f>
        <v>0</v>
      </c>
      <c r="O342" s="165">
        <f>IF(Input!O173&gt;0, -SUM(O330:O341), 0)</f>
        <v>0</v>
      </c>
      <c r="P342" s="165">
        <f>IF(Input!P173&gt;0, -SUM(P330:P341), 0)</f>
        <v>0</v>
      </c>
      <c r="Q342" s="165">
        <f>IF(Input!Q173&gt;0, -SUM(Q330:Q341), 0)</f>
        <v>0</v>
      </c>
      <c r="R342" s="65"/>
      <c r="S342" s="104"/>
      <c r="T342" s="104"/>
      <c r="U342" s="104"/>
      <c r="V342" s="104"/>
      <c r="W342" s="104"/>
      <c r="X342" s="104"/>
      <c r="Y342" s="104"/>
      <c r="Z342" s="104"/>
      <c r="AA342" s="104"/>
      <c r="AB342" s="231"/>
      <c r="AC342" s="231"/>
      <c r="AD342" s="231"/>
      <c r="AE342" s="231"/>
      <c r="AF342" s="231"/>
      <c r="AG342" s="231"/>
      <c r="AH342" s="231"/>
      <c r="AI342" s="231"/>
      <c r="AJ342" s="231"/>
      <c r="AK342" s="231"/>
      <c r="AL342" s="231"/>
      <c r="AM342" s="231"/>
      <c r="AN342" s="231"/>
      <c r="AO342" s="231"/>
      <c r="AP342" s="231"/>
      <c r="AQ342" s="231"/>
      <c r="AR342" s="231"/>
      <c r="AS342" s="231"/>
      <c r="AT342" s="231"/>
      <c r="AU342" s="231"/>
      <c r="AV342" s="231"/>
      <c r="AW342" s="231"/>
      <c r="AX342" s="231"/>
      <c r="AY342" s="231"/>
      <c r="AZ342" s="231"/>
      <c r="BA342" s="231"/>
      <c r="BB342" s="231"/>
      <c r="BC342" s="231"/>
      <c r="BD342" s="104"/>
      <c r="BE342" s="104"/>
      <c r="BF342" s="104"/>
      <c r="BG342" s="104"/>
      <c r="BH342" s="104"/>
      <c r="BI342" s="104"/>
      <c r="BJ342" s="104"/>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3.5" customHeight="1" outlineLevel="2">
      <c r="A343" s="9"/>
      <c r="B343" s="9"/>
      <c r="C343" s="31" t="str">
        <f>Asset24</f>
        <v>Equity raising costs</v>
      </c>
      <c r="D343" s="161"/>
      <c r="E343" s="33" t="s">
        <v>28</v>
      </c>
      <c r="F343" s="32"/>
      <c r="G343" s="174"/>
      <c r="H343" s="66" t="str">
        <f>IF(H$3&gt;A24remlife,A24value-SUM($G343:G343),IF(A24remlife="N/A","n/a",A24value/A24remlife))</f>
        <v>n/a</v>
      </c>
      <c r="I343" s="66" t="str">
        <f>IF(I$3&gt;A24remlife,A24value-SUM($G343:H343),IF(A24remlife="N/A","n/a",A24value/A24remlife))</f>
        <v>n/a</v>
      </c>
      <c r="J343" s="66" t="str">
        <f>IF(J$3&gt;A24remlife,A24value-SUM($G343:I343),IF(A24remlife="N/A","n/a",A24value/A24remlife))</f>
        <v>n/a</v>
      </c>
      <c r="K343" s="66" t="str">
        <f>IF(K$3&gt;A24remlife,A24value-SUM($G343:J343),IF(A24remlife="N/A","n/a",A24value/A24remlife))</f>
        <v>n/a</v>
      </c>
      <c r="L343" s="66" t="str">
        <f>IF(L$3&gt;A24remlife,A24value-SUM($G343:K343),IF(A24remlife="N/A","n/a",A24value/A24remlife))</f>
        <v>n/a</v>
      </c>
      <c r="M343" s="66" t="str">
        <f>IF(M$3&gt;A24remlife,A24value-SUM($G343:L343),IF(A24remlife="N/A","n/a",A24value/A24remlife))</f>
        <v>n/a</v>
      </c>
      <c r="N343" s="66" t="str">
        <f>IF(N$3&gt;A24remlife,A24value-SUM($G343:M343),IF(A24remlife="N/A","n/a",A24value/A24remlife))</f>
        <v>n/a</v>
      </c>
      <c r="O343" s="66" t="str">
        <f>IF(O$3&gt;A24remlife,A24value-SUM($G343:N343),IF(A24remlife="N/A","n/a",A24value/A24remlife))</f>
        <v>n/a</v>
      </c>
      <c r="P343" s="66" t="str">
        <f>IF(P$3&gt;A24remlife,A24value-SUM($G343:O343),IF(A24remlife="N/A","n/a",A24value/A24remlife))</f>
        <v>n/a</v>
      </c>
      <c r="Q343" s="66" t="str">
        <f>IF(Q$3&gt;A24remlife,A24value-SUM($G343:P343),IF(A24remlife="N/A","n/a",A24value/A24remlife))</f>
        <v>n/a</v>
      </c>
      <c r="R343" s="66"/>
      <c r="S343" s="102"/>
      <c r="T343" s="102"/>
      <c r="U343" s="102"/>
      <c r="V343" s="102"/>
      <c r="W343" s="102"/>
      <c r="X343" s="102"/>
      <c r="Y343" s="102"/>
      <c r="Z343" s="102"/>
      <c r="AA343" s="102"/>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102"/>
      <c r="BE343" s="102"/>
      <c r="BF343" s="102"/>
      <c r="BG343" s="102"/>
      <c r="BH343" s="102"/>
      <c r="BI343" s="102"/>
      <c r="BJ343" s="102"/>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3.5" customHeight="1" outlineLevel="2">
      <c r="A344" s="9"/>
      <c r="B344" s="9"/>
      <c r="C344" s="9"/>
      <c r="D344" s="25"/>
      <c r="E344" s="375" t="s">
        <v>85</v>
      </c>
      <c r="F344" s="85">
        <v>0</v>
      </c>
      <c r="G344" s="122"/>
      <c r="H344" s="67"/>
      <c r="I344" s="67"/>
      <c r="J344" s="67"/>
      <c r="K344" s="67"/>
      <c r="L344" s="67"/>
      <c r="M344" s="163"/>
      <c r="N344" s="111"/>
      <c r="O344" s="67"/>
      <c r="P344" s="67"/>
      <c r="Q344" s="67"/>
      <c r="R344" s="67"/>
      <c r="S344" s="102"/>
      <c r="T344" s="102"/>
      <c r="U344" s="102"/>
      <c r="V344" s="102"/>
      <c r="W344" s="102"/>
      <c r="X344" s="102"/>
      <c r="Y344" s="102"/>
      <c r="Z344" s="102"/>
      <c r="AA344" s="102"/>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102"/>
      <c r="BE344" s="102"/>
      <c r="BF344" s="102"/>
      <c r="BG344" s="102"/>
      <c r="BH344" s="102"/>
      <c r="BI344" s="102"/>
      <c r="BJ344" s="102"/>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3.5" customHeight="1" outlineLevel="2">
      <c r="A345" s="9"/>
      <c r="B345" s="9"/>
      <c r="C345" s="9"/>
      <c r="D345" s="25"/>
      <c r="E345" s="376"/>
      <c r="F345" s="85">
        <v>1</v>
      </c>
      <c r="G345" s="122"/>
      <c r="H345" s="145"/>
      <c r="I345" s="67">
        <f>IF(A24stdlife="n/a","n/a",IF(I$3&gt;(A24stdlife+$F345),(Input!$H$166*(1+vanilla1)^0.5)-SUM($H345:H345),(Input!$H$166*(1+vanilla1)^0.5)/A24stdlife))</f>
        <v>0.14073694180147298</v>
      </c>
      <c r="J345" s="67">
        <f>IF(A24stdlife="n/a","n/a",IF(J$3&gt;(A24stdlife+$F345),(Input!$H$166*(1+vanilla1)^0.5)-SUM($H345:I345),(Input!$H$166*(1+vanilla1)^0.5)/A24stdlife))</f>
        <v>0.14073694180147298</v>
      </c>
      <c r="K345" s="67">
        <f>IF(A24stdlife="n/a","n/a",IF(K$3&gt;(A24stdlife+$F345),(Input!$H$166*(1+vanilla1)^0.5)-SUM($H345:J345),(Input!$H$166*(1+vanilla1)^0.5)/A24stdlife))</f>
        <v>0.14073694180147298</v>
      </c>
      <c r="L345" s="67">
        <f>IF(A24stdlife="n/a","n/a",IF(L$3&gt;(A24stdlife+$F345),(Input!$H$166*(1+vanilla1)^0.5)-SUM($H345:K345),(Input!$H$166*(1+vanilla1)^0.5)/A24stdlife))</f>
        <v>0.14073694180147298</v>
      </c>
      <c r="M345" s="67">
        <f>IF(A24stdlife="n/a","n/a",IF(M$3&gt;(A24stdlife+$F345),(Input!$H$166*(1+vanilla1)^0.5)-SUM($H345:L345),(Input!$H$166*(1+vanilla1)^0.5)/A24stdlife))</f>
        <v>0.14073694180147298</v>
      </c>
      <c r="N345" s="67">
        <f>IF(A24stdlife="n/a","n/a",IF(N$3&gt;(A24stdlife+$F345),(Input!$H$166*(1+vanilla1)^0.5)-SUM($H345:M345),(Input!$H$166*(1+vanilla1)^0.5)/A24stdlife))</f>
        <v>0.14073694180147298</v>
      </c>
      <c r="O345" s="67">
        <f>IF(A24stdlife="n/a","n/a",IF(O$3&gt;(A24stdlife+$F345),(Input!$H$166*(1+vanilla1)^0.5)-SUM($H345:N345),(Input!$H$166*(1+vanilla1)^0.5)/A24stdlife))</f>
        <v>0.14073694180147298</v>
      </c>
      <c r="P345" s="67">
        <f>IF(A24stdlife="n/a","n/a",IF(P$3&gt;(A24stdlife+$F345),(Input!$H$166*(1+vanilla1)^0.5)-SUM($H345:O345),(Input!$H$166*(1+vanilla1)^0.5)/A24stdlife))</f>
        <v>0.14073694180147298</v>
      </c>
      <c r="Q345" s="67">
        <f>IF(A24stdlife="n/a","n/a",IF(Q$3&gt;(A24stdlife+$F345),(Input!$H$166*(1+vanilla1)^0.5)-SUM($H345:P345),(Input!$H$166*(1+vanilla1)^0.5)/A24stdlife))</f>
        <v>0.14073694180147298</v>
      </c>
      <c r="R345" s="67"/>
      <c r="S345" s="102"/>
      <c r="T345" s="102"/>
      <c r="U345" s="102"/>
      <c r="V345" s="102"/>
      <c r="W345" s="102"/>
      <c r="X345" s="102"/>
      <c r="Y345" s="102"/>
      <c r="Z345" s="102"/>
      <c r="AA345" s="102"/>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102"/>
      <c r="BE345" s="102"/>
      <c r="BF345" s="102"/>
      <c r="BG345" s="102"/>
      <c r="BH345" s="102"/>
      <c r="BI345" s="102"/>
      <c r="BJ345" s="102"/>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3.5" customHeight="1" outlineLevel="2">
      <c r="A346" s="9"/>
      <c r="B346" s="9"/>
      <c r="C346" s="9"/>
      <c r="D346" s="25"/>
      <c r="E346" s="376"/>
      <c r="F346" s="85">
        <v>2</v>
      </c>
      <c r="G346" s="122"/>
      <c r="H346" s="146"/>
      <c r="I346" s="147"/>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2"/>
      <c r="T346" s="102"/>
      <c r="U346" s="102"/>
      <c r="V346" s="102"/>
      <c r="W346" s="102"/>
      <c r="X346" s="102"/>
      <c r="Y346" s="102"/>
      <c r="Z346" s="102"/>
      <c r="AA346" s="102"/>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102"/>
      <c r="BE346" s="102"/>
      <c r="BF346" s="102"/>
      <c r="BG346" s="102"/>
      <c r="BH346" s="102"/>
      <c r="BI346" s="102"/>
      <c r="BJ346" s="102"/>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3.5" customHeight="1" outlineLevel="2">
      <c r="A347" s="9"/>
      <c r="B347" s="9"/>
      <c r="C347" s="9"/>
      <c r="D347" s="25"/>
      <c r="E347" s="376"/>
      <c r="F347" s="85">
        <v>3</v>
      </c>
      <c r="G347" s="122"/>
      <c r="H347" s="146"/>
      <c r="I347" s="148"/>
      <c r="J347" s="147"/>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2"/>
      <c r="T347" s="102"/>
      <c r="U347" s="102"/>
      <c r="V347" s="102"/>
      <c r="W347" s="102"/>
      <c r="X347" s="102"/>
      <c r="Y347" s="102"/>
      <c r="Z347" s="102"/>
      <c r="AA347" s="102"/>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102"/>
      <c r="BE347" s="102"/>
      <c r="BF347" s="102"/>
      <c r="BG347" s="102"/>
      <c r="BH347" s="102"/>
      <c r="BI347" s="102"/>
      <c r="BJ347" s="102"/>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3.5" customHeight="1" outlineLevel="2">
      <c r="A348" s="9"/>
      <c r="B348" s="9"/>
      <c r="C348" s="9"/>
      <c r="D348" s="25"/>
      <c r="E348" s="376"/>
      <c r="F348" s="85">
        <v>4</v>
      </c>
      <c r="G348" s="122"/>
      <c r="H348" s="146"/>
      <c r="I348" s="148"/>
      <c r="J348" s="148"/>
      <c r="K348" s="147"/>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2"/>
      <c r="T348" s="102"/>
      <c r="U348" s="102"/>
      <c r="V348" s="102"/>
      <c r="W348" s="102"/>
      <c r="X348" s="102"/>
      <c r="Y348" s="102"/>
      <c r="Z348" s="102"/>
      <c r="AA348" s="102"/>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102"/>
      <c r="BE348" s="102"/>
      <c r="BF348" s="102"/>
      <c r="BG348" s="102"/>
      <c r="BH348" s="102"/>
      <c r="BI348" s="102"/>
      <c r="BJ348" s="102"/>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3.5" customHeight="1" outlineLevel="2">
      <c r="A349" s="9"/>
      <c r="B349" s="9"/>
      <c r="C349" s="9"/>
      <c r="D349" s="25"/>
      <c r="E349" s="376"/>
      <c r="F349" s="85">
        <v>5</v>
      </c>
      <c r="G349" s="26"/>
      <c r="H349" s="146"/>
      <c r="I349" s="148"/>
      <c r="J349" s="148"/>
      <c r="K349" s="148"/>
      <c r="L349" s="147"/>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2"/>
      <c r="T349" s="102"/>
      <c r="U349" s="102"/>
      <c r="V349" s="102"/>
      <c r="W349" s="102"/>
      <c r="X349" s="102"/>
      <c r="Y349" s="102"/>
      <c r="Z349" s="102"/>
      <c r="AA349" s="102"/>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102"/>
      <c r="BE349" s="102"/>
      <c r="BF349" s="102"/>
      <c r="BG349" s="102"/>
      <c r="BH349" s="102"/>
      <c r="BI349" s="102"/>
      <c r="BJ349" s="102"/>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3.5" customHeight="1" outlineLevel="2">
      <c r="A350" s="9"/>
      <c r="B350" s="9"/>
      <c r="C350" s="9"/>
      <c r="D350" s="25"/>
      <c r="E350" s="376"/>
      <c r="F350" s="85">
        <v>6</v>
      </c>
      <c r="G350" s="26"/>
      <c r="H350" s="146"/>
      <c r="I350" s="148"/>
      <c r="J350" s="148"/>
      <c r="K350" s="148"/>
      <c r="L350" s="148"/>
      <c r="M350" s="147"/>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2"/>
      <c r="T350" s="102"/>
      <c r="U350" s="102"/>
      <c r="V350" s="102"/>
      <c r="W350" s="102"/>
      <c r="X350" s="102"/>
      <c r="Y350" s="102"/>
      <c r="Z350" s="102"/>
      <c r="AA350" s="102"/>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102"/>
      <c r="BE350" s="102"/>
      <c r="BF350" s="102"/>
      <c r="BG350" s="102"/>
      <c r="BH350" s="102"/>
      <c r="BI350" s="102"/>
      <c r="BJ350" s="102"/>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13.5" customHeight="1" outlineLevel="2">
      <c r="A351" s="9"/>
      <c r="B351" s="9"/>
      <c r="C351" s="9"/>
      <c r="D351" s="25"/>
      <c r="E351" s="376"/>
      <c r="F351" s="85">
        <v>7</v>
      </c>
      <c r="G351" s="26"/>
      <c r="H351" s="146"/>
      <c r="I351" s="148"/>
      <c r="J351" s="148"/>
      <c r="K351" s="148"/>
      <c r="L351" s="148"/>
      <c r="M351" s="148"/>
      <c r="N351" s="147"/>
      <c r="O351" s="67">
        <f>IF(A24stdlife="n/a","n/a",IF(O$3&gt;(A24stdlife+$F351),(Input!$N$166*(1+vanilla7)^0.5)-SUM($N351:N351),(Input!$N$166*(1+vanilla7)^0.5)/A24stdlife))</f>
        <v>0</v>
      </c>
      <c r="P351" s="67">
        <f>IF(A24stdlife="n/a","n/a",IF(P$3&gt;(A24stdlife+$F351),(Input!$N$166*(1+vanilla7)^0.5)-SUM($N351:O351),(Input!$N$166*(1+vanilla7)^0.5)/A24stdlife))</f>
        <v>0</v>
      </c>
      <c r="Q351" s="67">
        <f>IF(A24stdlife="n/a","n/a",IF(Q$3&gt;(A24stdlife+$F351),(Input!$N$166*(1+vanilla7)^0.5)-SUM($N351:P351),(Input!$N$166*(1+vanilla7)^0.5)/A24stdlife))</f>
        <v>0</v>
      </c>
      <c r="R351" s="67"/>
      <c r="S351" s="102"/>
      <c r="T351" s="102"/>
      <c r="U351" s="102"/>
      <c r="V351" s="102"/>
      <c r="W351" s="102"/>
      <c r="X351" s="102"/>
      <c r="Y351" s="102"/>
      <c r="Z351" s="102"/>
      <c r="AA351" s="102"/>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102"/>
      <c r="BE351" s="102"/>
      <c r="BF351" s="102"/>
      <c r="BG351" s="102"/>
      <c r="BH351" s="102"/>
      <c r="BI351" s="102"/>
      <c r="BJ351" s="102"/>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3.5" customHeight="1" outlineLevel="2">
      <c r="A352" s="9"/>
      <c r="B352" s="9"/>
      <c r="C352" s="9"/>
      <c r="D352" s="25"/>
      <c r="E352" s="376"/>
      <c r="F352" s="85">
        <v>8</v>
      </c>
      <c r="G352" s="26"/>
      <c r="H352" s="146"/>
      <c r="I352" s="148"/>
      <c r="J352" s="148"/>
      <c r="K352" s="148"/>
      <c r="L352" s="148"/>
      <c r="M352" s="148"/>
      <c r="N352" s="148"/>
      <c r="O352" s="147"/>
      <c r="P352" s="67">
        <f>IF(A24stdlife="n/a","n/a",IF(P$3&gt;(A24stdlife+$F352),(Input!$O$166*(1+vanilla8)^0.5)-SUM($O352:O352),(Input!$O$166*(1+vanilla8)^0.5)/A24stdlife))</f>
        <v>0</v>
      </c>
      <c r="Q352" s="67">
        <f>IF(A24stdlife="n/a","n/a",IF(Q$3&gt;(A24stdlife+$F352),(Input!$O$166*(1+vanilla8)^0.5)-SUM($O352:P352),(Input!$O$166*(1+vanilla8)^0.5)/A24stdlife))</f>
        <v>0</v>
      </c>
      <c r="R352" s="67"/>
      <c r="S352" s="102"/>
      <c r="T352" s="102"/>
      <c r="U352" s="102"/>
      <c r="V352" s="102"/>
      <c r="W352" s="102"/>
      <c r="X352" s="102"/>
      <c r="Y352" s="102"/>
      <c r="Z352" s="102"/>
      <c r="AA352" s="102"/>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102"/>
      <c r="BE352" s="102"/>
      <c r="BF352" s="102"/>
      <c r="BG352" s="102"/>
      <c r="BH352" s="102"/>
      <c r="BI352" s="102"/>
      <c r="BJ352" s="102"/>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3.5" customHeight="1" outlineLevel="2">
      <c r="A353" s="9"/>
      <c r="B353" s="9"/>
      <c r="C353" s="9"/>
      <c r="D353" s="25"/>
      <c r="E353" s="376"/>
      <c r="F353" s="85">
        <v>9</v>
      </c>
      <c r="G353" s="26"/>
      <c r="H353" s="146"/>
      <c r="I353" s="148"/>
      <c r="J353" s="148"/>
      <c r="K353" s="148"/>
      <c r="L353" s="148"/>
      <c r="M353" s="148"/>
      <c r="N353" s="148"/>
      <c r="O353" s="148"/>
      <c r="P353" s="147"/>
      <c r="Q353" s="67">
        <f>IF(A24stdlife="n/a","n/a",IF(Q$3&gt;(A24stdlife+$F353),(Input!$P$166*(1+vanilla9)^0.5)-SUM($P353:P353),(Input!$P$166*(1+vanilla9)^0.5)/A24stdlife))</f>
        <v>0</v>
      </c>
      <c r="R353" s="67"/>
      <c r="S353" s="102"/>
      <c r="T353" s="102"/>
      <c r="U353" s="102"/>
      <c r="V353" s="102"/>
      <c r="W353" s="102"/>
      <c r="X353" s="102"/>
      <c r="Y353" s="102"/>
      <c r="Z353" s="102"/>
      <c r="AA353" s="102"/>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102"/>
      <c r="BE353" s="102"/>
      <c r="BF353" s="102"/>
      <c r="BG353" s="102"/>
      <c r="BH353" s="102"/>
      <c r="BI353" s="102"/>
      <c r="BJ353" s="102"/>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3.5" customHeight="1" outlineLevel="2">
      <c r="A354" s="9"/>
      <c r="B354" s="9"/>
      <c r="C354" s="9"/>
      <c r="D354" s="25"/>
      <c r="E354" s="376"/>
      <c r="F354" s="86">
        <v>10</v>
      </c>
      <c r="G354" s="26"/>
      <c r="H354" s="146"/>
      <c r="I354" s="148"/>
      <c r="J354" s="148"/>
      <c r="K354" s="148"/>
      <c r="L354" s="148"/>
      <c r="M354" s="148"/>
      <c r="N354" s="148"/>
      <c r="O354" s="148"/>
      <c r="P354" s="148"/>
      <c r="Q354" s="147"/>
      <c r="R354" s="67"/>
      <c r="S354" s="102"/>
      <c r="T354" s="102"/>
      <c r="U354" s="102"/>
      <c r="V354" s="102"/>
      <c r="W354" s="102"/>
      <c r="X354" s="102"/>
      <c r="Y354" s="102"/>
      <c r="Z354" s="102"/>
      <c r="AA354" s="102"/>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102"/>
      <c r="BE354" s="102"/>
      <c r="BF354" s="102"/>
      <c r="BG354" s="102"/>
      <c r="BH354" s="102"/>
      <c r="BI354" s="102"/>
      <c r="BJ354" s="102"/>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3.5" customHeight="1" outlineLevel="1">
      <c r="A355" s="9"/>
      <c r="B355" s="9"/>
      <c r="C355" s="9"/>
      <c r="D355" s="25" t="str">
        <f>Asset24</f>
        <v>Equity raising costs</v>
      </c>
      <c r="E355" s="9"/>
      <c r="F355" s="9"/>
      <c r="G355" s="122"/>
      <c r="H355" s="165">
        <f>-SUM(H343:H354)</f>
        <v>0</v>
      </c>
      <c r="I355" s="165">
        <f>-SUM(I343:I354)</f>
        <v>-0.14073694180147298</v>
      </c>
      <c r="J355" s="165">
        <f>-SUM(J343:J354)</f>
        <v>-0.14073694180147298</v>
      </c>
      <c r="K355" s="165">
        <f>-SUM(K343:K354)</f>
        <v>-0.14073694180147298</v>
      </c>
      <c r="L355" s="165">
        <f>-SUM(L343:L354)</f>
        <v>-0.14073694180147298</v>
      </c>
      <c r="M355" s="165">
        <f>IF(Input!M173&gt;0, -SUM(M343:M354), 0)</f>
        <v>0</v>
      </c>
      <c r="N355" s="165">
        <f>IF(Input!N173&gt;0, -SUM(N343:N354), 0)</f>
        <v>0</v>
      </c>
      <c r="O355" s="165">
        <f>IF(Input!O173&gt;0, -SUM(O343:O354), 0)</f>
        <v>0</v>
      </c>
      <c r="P355" s="165">
        <f>IF(Input!P173&gt;0, -SUM(P343:P354), 0)</f>
        <v>0</v>
      </c>
      <c r="Q355" s="165">
        <f>IF(Input!Q173&gt;0, -SUM(Q343:Q354), 0)</f>
        <v>0</v>
      </c>
      <c r="R355" s="65"/>
      <c r="S355" s="104"/>
      <c r="T355" s="104"/>
      <c r="U355" s="104"/>
      <c r="V355" s="104"/>
      <c r="W355" s="104"/>
      <c r="X355" s="104"/>
      <c r="Y355" s="104"/>
      <c r="Z355" s="104"/>
      <c r="AA355" s="104"/>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104"/>
      <c r="BE355" s="104"/>
      <c r="BF355" s="104"/>
      <c r="BG355" s="104"/>
      <c r="BH355" s="104"/>
      <c r="BI355" s="104"/>
      <c r="BJ355" s="104"/>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3.5" customHeight="1" outlineLevel="2">
      <c r="A356" s="9"/>
      <c r="B356" s="9"/>
      <c r="C356" s="31">
        <f>Asset25</f>
        <v>0</v>
      </c>
      <c r="D356" s="161"/>
      <c r="E356" s="33" t="s">
        <v>28</v>
      </c>
      <c r="F356" s="32"/>
      <c r="G356" s="174"/>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102"/>
      <c r="BE356" s="102"/>
      <c r="BF356" s="102"/>
      <c r="BG356" s="102"/>
      <c r="BH356" s="102"/>
      <c r="BI356" s="102"/>
      <c r="BJ356" s="102"/>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3.5" customHeight="1" outlineLevel="2">
      <c r="A357" s="9"/>
      <c r="B357" s="9"/>
      <c r="C357" s="9"/>
      <c r="D357" s="25"/>
      <c r="E357" s="375" t="s">
        <v>85</v>
      </c>
      <c r="F357" s="85">
        <v>0</v>
      </c>
      <c r="G357" s="122"/>
      <c r="H357" s="67"/>
      <c r="I357" s="67"/>
      <c r="J357" s="67"/>
      <c r="K357" s="67"/>
      <c r="L357" s="67"/>
      <c r="M357" s="163"/>
      <c r="N357" s="111"/>
      <c r="O357" s="67"/>
      <c r="P357" s="67"/>
      <c r="Q357" s="67"/>
      <c r="R357" s="67"/>
      <c r="S357" s="102"/>
      <c r="T357" s="102"/>
      <c r="U357" s="102"/>
      <c r="V357" s="102"/>
      <c r="W357" s="102"/>
      <c r="X357" s="102"/>
      <c r="Y357" s="102"/>
      <c r="Z357" s="102"/>
      <c r="AA357" s="102"/>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102"/>
      <c r="BE357" s="102"/>
      <c r="BF357" s="102"/>
      <c r="BG357" s="102"/>
      <c r="BH357" s="102"/>
      <c r="BI357" s="102"/>
      <c r="BJ357" s="102"/>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3.5" customHeight="1" outlineLevel="2">
      <c r="A358" s="9"/>
      <c r="B358" s="9"/>
      <c r="C358" s="9"/>
      <c r="D358" s="25"/>
      <c r="E358" s="376"/>
      <c r="F358" s="85">
        <v>1</v>
      </c>
      <c r="G358" s="122"/>
      <c r="H358" s="145"/>
      <c r="I358" s="67">
        <f>IF(A25stdlife="n/a","n/a",IF(I$3&gt;(A25stdlife+$F358),(Input!$H$167*(1+vanilla1)^0.5)-SUM($H358:H358),(Input!$H$167*(1+vanilla1)^0.5)/A25stdlife))</f>
        <v>0</v>
      </c>
      <c r="J358" s="67">
        <f>IF(A25stdlife="n/a","n/a",IF(J$3&gt;(A25stdlife+$F358),(Input!$H$167*(1+vanilla1)^0.5)-SUM($H358:I358),(Input!$H$167*(1+vanilla1)^0.5)/A25stdlife))</f>
        <v>0</v>
      </c>
      <c r="K358" s="67">
        <f>IF(A25stdlife="n/a","n/a",IF(K$3&gt;(A25stdlife+$F358),(Input!$H$167*(1+vanilla1)^0.5)-SUM($H358:J358),(Input!$H$167*(1+vanilla1)^0.5)/A25stdlife))</f>
        <v>0</v>
      </c>
      <c r="L358" s="67">
        <f>IF(A25stdlife="n/a","n/a",IF(L$3&gt;(A25stdlife+$F358),(Input!$H$167*(1+vanilla1)^0.5)-SUM($H358:K358),(Input!$H$167*(1+vanilla1)^0.5)/A25stdlife))</f>
        <v>0</v>
      </c>
      <c r="M358" s="67">
        <f>IF(A25stdlife="n/a","n/a",IF(M$3&gt;(A25stdlife+$F358),(Input!$H$167*(1+vanilla1)^0.5)-SUM($H358:L358),(Input!$H$167*(1+vanilla1)^0.5)/A25stdlife))</f>
        <v>0</v>
      </c>
      <c r="N358" s="67">
        <f>IF(A25stdlife="n/a","n/a",IF(N$3&gt;(A25stdlife+$F358),(Input!$H$167*(1+vanilla1)^0.5)-SUM($H358:M358),(Input!$H$167*(1+vanilla1)^0.5)/A25stdlife))</f>
        <v>0</v>
      </c>
      <c r="O358" s="67">
        <f>IF(A25stdlife="n/a","n/a",IF(O$3&gt;(A25stdlife+$F358),(Input!$H$167*(1+vanilla1)^0.5)-SUM($H358:N358),(Input!$H$167*(1+vanilla1)^0.5)/A25stdlife))</f>
        <v>0</v>
      </c>
      <c r="P358" s="67">
        <f>IF(A25stdlife="n/a","n/a",IF(P$3&gt;(A25stdlife+$F358),(Input!$H$167*(1+vanilla1)^0.5)-SUM($H358:O358),(Input!$H$167*(1+vanilla1)^0.5)/A25stdlife))</f>
        <v>0</v>
      </c>
      <c r="Q358" s="67">
        <f>IF(A25stdlife="n/a","n/a",IF(Q$3&gt;(A25stdlife+$F358),(Input!$H$167*(1+vanilla1)^0.5)-SUM($H358:P358),(Input!$H$167*(1+vanilla1)^0.5)/A25stdlife))</f>
        <v>0</v>
      </c>
      <c r="R358" s="67"/>
      <c r="S358" s="102"/>
      <c r="T358" s="102"/>
      <c r="U358" s="102"/>
      <c r="V358" s="102"/>
      <c r="W358" s="102"/>
      <c r="X358" s="102"/>
      <c r="Y358" s="102"/>
      <c r="Z358" s="102"/>
      <c r="AA358" s="102"/>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102"/>
      <c r="BE358" s="102"/>
      <c r="BF358" s="102"/>
      <c r="BG358" s="102"/>
      <c r="BH358" s="102"/>
      <c r="BI358" s="102"/>
      <c r="BJ358" s="102"/>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3.5" customHeight="1" outlineLevel="2">
      <c r="A359" s="9"/>
      <c r="B359" s="9"/>
      <c r="C359" s="9"/>
      <c r="D359" s="25"/>
      <c r="E359" s="376"/>
      <c r="F359" s="85">
        <v>2</v>
      </c>
      <c r="G359" s="122"/>
      <c r="H359" s="146"/>
      <c r="I359" s="147"/>
      <c r="J359" s="67">
        <f>IF(A25stdlife="n/a","n/a",IF(J$3&gt;(A25stdlife+$F359),(Input!$I$167*(1+vanilla2)^0.5)-SUM($I359:I359),(Input!$I$167*(1+vanilla2)^0.5)/A25stdlife))</f>
        <v>0</v>
      </c>
      <c r="K359" s="67">
        <f>IF(A25stdlife="n/a","n/a",IF(K$3&gt;(A25stdlife+$F359),(Input!$I$167*(1+vanilla2)^0.5)-SUM($I359:J359),(Input!$I$167*(1+vanilla2)^0.5)/A25stdlife))</f>
        <v>0</v>
      </c>
      <c r="L359" s="67">
        <f>IF(A25stdlife="n/a","n/a",IF(L$3&gt;(A25stdlife+$F359),(Input!$I$167*(1+vanilla2)^0.5)-SUM($I359:K359),(Input!$I$167*(1+vanilla2)^0.5)/A25stdlife))</f>
        <v>0</v>
      </c>
      <c r="M359" s="67">
        <f>IF(A25stdlife="n/a","n/a",IF(M$3&gt;(A25stdlife+$F359),(Input!$I$167*(1+vanilla2)^0.5)-SUM($I359:L359),(Input!$I$167*(1+vanilla2)^0.5)/A25stdlife))</f>
        <v>0</v>
      </c>
      <c r="N359" s="67">
        <f>IF(A25stdlife="n/a","n/a",IF(N$3&gt;(A25stdlife+$F359),(Input!$I$167*(1+vanilla2)^0.5)-SUM($I359:M359),(Input!$I$167*(1+vanilla2)^0.5)/A25stdlife))</f>
        <v>0</v>
      </c>
      <c r="O359" s="67">
        <f>IF(A25stdlife="n/a","n/a",IF(O$3&gt;(A25stdlife+$F359),(Input!$I$167*(1+vanilla2)^0.5)-SUM($I359:N359),(Input!$I$167*(1+vanilla2)^0.5)/A25stdlife))</f>
        <v>0</v>
      </c>
      <c r="P359" s="67">
        <f>IF(A25stdlife="n/a","n/a",IF(P$3&gt;(A25stdlife+$F359),(Input!$I$167*(1+vanilla2)^0.5)-SUM($I359:O359),(Input!$I$167*(1+vanilla2)^0.5)/A25stdlife))</f>
        <v>0</v>
      </c>
      <c r="Q359" s="67">
        <f>IF(A25stdlife="n/a","n/a",IF(Q$3&gt;(A25stdlife+$F359),(Input!$I$167*(1+vanilla2)^0.5)-SUM($I359:P359),(Input!$I$167*(1+vanilla2)^0.5)/A25stdlife))</f>
        <v>0</v>
      </c>
      <c r="R359" s="67"/>
      <c r="S359" s="102"/>
      <c r="T359" s="102"/>
      <c r="U359" s="102"/>
      <c r="V359" s="102"/>
      <c r="W359" s="102"/>
      <c r="X359" s="102"/>
      <c r="Y359" s="102"/>
      <c r="Z359" s="102"/>
      <c r="AA359" s="102"/>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102"/>
      <c r="BE359" s="102"/>
      <c r="BF359" s="102"/>
      <c r="BG359" s="102"/>
      <c r="BH359" s="102"/>
      <c r="BI359" s="102"/>
      <c r="BJ359" s="102"/>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3.5" customHeight="1" outlineLevel="2">
      <c r="A360" s="9"/>
      <c r="B360" s="9"/>
      <c r="C360" s="9"/>
      <c r="D360" s="25"/>
      <c r="E360" s="376"/>
      <c r="F360" s="85">
        <v>3</v>
      </c>
      <c r="G360" s="122"/>
      <c r="H360" s="146"/>
      <c r="I360" s="148"/>
      <c r="J360" s="147"/>
      <c r="K360" s="67">
        <f>IF(A25stdlife="n/a","n/a",IF(K$3&gt;(A25stdlife+$F360),(Input!$J$167*(1+vanilla3)^0.5)-SUM($J360:J360),(Input!$J$167*(1+vanilla3)^0.5)/A25stdlife))</f>
        <v>0</v>
      </c>
      <c r="L360" s="67">
        <f>IF(A25stdlife="n/a","n/a",IF(L$3&gt;(A25stdlife+$F360),(Input!$J$167*(1+vanilla3)^0.5)-SUM($J360:K360),(Input!$J$167*(1+vanilla3)^0.5)/A25stdlife))</f>
        <v>0</v>
      </c>
      <c r="M360" s="67">
        <f>IF(A25stdlife="n/a","n/a",IF(M$3&gt;(A25stdlife+$F360),(Input!$J$167*(1+vanilla3)^0.5)-SUM($J360:L360),(Input!$J$167*(1+vanilla3)^0.5)/A25stdlife))</f>
        <v>0</v>
      </c>
      <c r="N360" s="67">
        <f>IF(A25stdlife="n/a","n/a",IF(N$3&gt;(A25stdlife+$F360),(Input!$J$167*(1+vanilla3)^0.5)-SUM($J360:M360),(Input!$J$167*(1+vanilla3)^0.5)/A25stdlife))</f>
        <v>0</v>
      </c>
      <c r="O360" s="67">
        <f>IF(A25stdlife="n/a","n/a",IF(O$3&gt;(A25stdlife+$F360),(Input!$J$167*(1+vanilla3)^0.5)-SUM($J360:N360),(Input!$J$167*(1+vanilla3)^0.5)/A25stdlife))</f>
        <v>0</v>
      </c>
      <c r="P360" s="67">
        <f>IF(A25stdlife="n/a","n/a",IF(P$3&gt;(A25stdlife+$F360),(Input!$J$167*(1+vanilla3)^0.5)-SUM($J360:O360),(Input!$J$167*(1+vanilla3)^0.5)/A25stdlife))</f>
        <v>0</v>
      </c>
      <c r="Q360" s="67">
        <f>IF(A25stdlife="n/a","n/a",IF(Q$3&gt;(A25stdlife+$F360),(Input!$J$167*(1+vanilla3)^0.5)-SUM($J360:P360),(Input!$J$167*(1+vanilla3)^0.5)/A25stdlife))</f>
        <v>0</v>
      </c>
      <c r="R360" s="67"/>
      <c r="S360" s="102"/>
      <c r="T360" s="102"/>
      <c r="U360" s="102"/>
      <c r="V360" s="102"/>
      <c r="W360" s="102"/>
      <c r="X360" s="102"/>
      <c r="Y360" s="102"/>
      <c r="Z360" s="102"/>
      <c r="AA360" s="102"/>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102"/>
      <c r="BE360" s="102"/>
      <c r="BF360" s="102"/>
      <c r="BG360" s="102"/>
      <c r="BH360" s="102"/>
      <c r="BI360" s="102"/>
      <c r="BJ360" s="102"/>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3.5" customHeight="1" outlineLevel="2">
      <c r="A361" s="9"/>
      <c r="B361" s="9"/>
      <c r="C361" s="9"/>
      <c r="D361" s="25"/>
      <c r="E361" s="376"/>
      <c r="F361" s="85">
        <v>4</v>
      </c>
      <c r="G361" s="122"/>
      <c r="H361" s="146"/>
      <c r="I361" s="148"/>
      <c r="J361" s="148"/>
      <c r="K361" s="147"/>
      <c r="L361" s="67">
        <f>IF(A25stdlife="n/a","n/a",IF(L$3&gt;(A25stdlife+$F361),(Input!$K$167*(1+vanilla4)^0.5)-SUM($K361:K361),(Input!$K$167*(1+vanilla4)^0.5)/A25stdlife))</f>
        <v>0</v>
      </c>
      <c r="M361" s="67">
        <f>IF(A25stdlife="n/a","n/a",IF(M$3&gt;(A25stdlife+$F361),(Input!$K$167*(1+vanilla4)^0.5)-SUM($K361:L361),(Input!$K$167*(1+vanilla4)^0.5)/A25stdlife))</f>
        <v>0</v>
      </c>
      <c r="N361" s="67">
        <f>IF(A25stdlife="n/a","n/a",IF(N$3&gt;(A25stdlife+$F361),(Input!$K$167*(1+vanilla4)^0.5)-SUM($K361:M361),(Input!$K$167*(1+vanilla4)^0.5)/A25stdlife))</f>
        <v>0</v>
      </c>
      <c r="O361" s="67">
        <f>IF(A25stdlife="n/a","n/a",IF(O$3&gt;(A25stdlife+$F361),(Input!$K$167*(1+vanilla4)^0.5)-SUM($K361:N361),(Input!$K$167*(1+vanilla4)^0.5)/A25stdlife))</f>
        <v>0</v>
      </c>
      <c r="P361" s="67">
        <f>IF(A25stdlife="n/a","n/a",IF(P$3&gt;(A25stdlife+$F361),(Input!$K$167*(1+vanilla4)^0.5)-SUM($K361:O361),(Input!$K$167*(1+vanilla4)^0.5)/A25stdlife))</f>
        <v>0</v>
      </c>
      <c r="Q361" s="67">
        <f>IF(A25stdlife="n/a","n/a",IF(Q$3&gt;(A25stdlife+$F361),(Input!$K$167*(1+vanilla4)^0.5)-SUM($K361:P361),(Input!$K$167*(1+vanilla4)^0.5)/A25stdlife))</f>
        <v>0</v>
      </c>
      <c r="R361" s="67"/>
      <c r="S361" s="102"/>
      <c r="T361" s="102"/>
      <c r="U361" s="102"/>
      <c r="V361" s="102"/>
      <c r="W361" s="102"/>
      <c r="X361" s="102"/>
      <c r="Y361" s="102"/>
      <c r="Z361" s="102"/>
      <c r="AA361" s="102"/>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102"/>
      <c r="BE361" s="102"/>
      <c r="BF361" s="102"/>
      <c r="BG361" s="102"/>
      <c r="BH361" s="102"/>
      <c r="BI361" s="102"/>
      <c r="BJ361" s="102"/>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3.5" customHeight="1" outlineLevel="2">
      <c r="A362" s="9"/>
      <c r="B362" s="9"/>
      <c r="C362" s="9"/>
      <c r="D362" s="25"/>
      <c r="E362" s="376"/>
      <c r="F362" s="85">
        <v>5</v>
      </c>
      <c r="G362" s="26"/>
      <c r="H362" s="146"/>
      <c r="I362" s="148"/>
      <c r="J362" s="148"/>
      <c r="K362" s="148"/>
      <c r="L362" s="147"/>
      <c r="M362" s="67">
        <f>IF(A25stdlife="n/a","n/a",IF(M$3&gt;(A25stdlife+$F362),(Input!$L$167*(1+vanilla5)^0.5)-SUM($L362:L362),(Input!$L$167*(1+vanilla5)^0.5)/A25stdlife))</f>
        <v>0</v>
      </c>
      <c r="N362" s="67">
        <f>IF(A25stdlife="n/a","n/a",IF(N$3&gt;(A25stdlife+$F362),(Input!$L$167*(1+vanilla5)^0.5)-SUM($L362:M362),(Input!$L$167*(1+vanilla5)^0.5)/A25stdlife))</f>
        <v>0</v>
      </c>
      <c r="O362" s="67">
        <f>IF(A25stdlife="n/a","n/a",IF(O$3&gt;(A25stdlife+$F362),(Input!$L$167*(1+vanilla5)^0.5)-SUM($L362:N362),(Input!$L$167*(1+vanilla5)^0.5)/A25stdlife))</f>
        <v>0</v>
      </c>
      <c r="P362" s="67">
        <f>IF(A25stdlife="n/a","n/a",IF(P$3&gt;(A25stdlife+$F362),(Input!$L$167*(1+vanilla5)^0.5)-SUM($L362:O362),(Input!$L$167*(1+vanilla5)^0.5)/A25stdlife))</f>
        <v>0</v>
      </c>
      <c r="Q362" s="67">
        <f>IF(A25stdlife="n/a","n/a",IF(Q$3&gt;(A25stdlife+$F362),(Input!$L$167*(1+vanilla5)^0.5)-SUM($L362:P362),(Input!$L$167*(1+vanilla5)^0.5)/A25stdlife))</f>
        <v>0</v>
      </c>
      <c r="R362" s="67"/>
      <c r="S362" s="102"/>
      <c r="T362" s="102"/>
      <c r="U362" s="102"/>
      <c r="V362" s="102"/>
      <c r="W362" s="102"/>
      <c r="X362" s="102"/>
      <c r="Y362" s="102"/>
      <c r="Z362" s="102"/>
      <c r="AA362" s="102"/>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102"/>
      <c r="BE362" s="102"/>
      <c r="BF362" s="102"/>
      <c r="BG362" s="102"/>
      <c r="BH362" s="102"/>
      <c r="BI362" s="102"/>
      <c r="BJ362" s="102"/>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3.5" customHeight="1" outlineLevel="2">
      <c r="A363" s="9"/>
      <c r="B363" s="9"/>
      <c r="C363" s="9"/>
      <c r="D363" s="25"/>
      <c r="E363" s="376"/>
      <c r="F363" s="85">
        <v>6</v>
      </c>
      <c r="G363" s="26"/>
      <c r="H363" s="146"/>
      <c r="I363" s="148"/>
      <c r="J363" s="148"/>
      <c r="K363" s="148"/>
      <c r="L363" s="148"/>
      <c r="M363" s="147"/>
      <c r="N363" s="67">
        <f>IF(A25stdlife="n/a","n/a",IF(N$3&gt;(A25stdlife+$F363),(Input!$M$167*(1+vanilla6)^0.5)-SUM($M363:M363),(Input!$M$167*(1+vanilla6)^0.5)/A25stdlife))</f>
        <v>0</v>
      </c>
      <c r="O363" s="67">
        <f>IF(A25stdlife="n/a","n/a",IF(O$3&gt;(A25stdlife+$F363),(Input!$M$167*(1+vanilla6)^0.5)-SUM($M363:N363),(Input!$M$167*(1+vanilla6)^0.5)/A25stdlife))</f>
        <v>0</v>
      </c>
      <c r="P363" s="67">
        <f>IF(A25stdlife="n/a","n/a",IF(P$3&gt;(A25stdlife+$F363),(Input!$M$167*(1+vanilla6)^0.5)-SUM($M363:O363),(Input!$M$167*(1+vanilla6)^0.5)/A25stdlife))</f>
        <v>0</v>
      </c>
      <c r="Q363" s="67">
        <f>IF(A25stdlife="n/a","n/a",IF(Q$3&gt;(A25stdlife+$F363),(Input!$M$167*(1+vanilla6)^0.5)-SUM($M363:P363),(Input!$M$167*(1+vanilla6)^0.5)/A25stdlife))</f>
        <v>0</v>
      </c>
      <c r="R363" s="67"/>
      <c r="S363" s="102"/>
      <c r="T363" s="102"/>
      <c r="U363" s="102"/>
      <c r="V363" s="102"/>
      <c r="W363" s="102"/>
      <c r="X363" s="102"/>
      <c r="Y363" s="102"/>
      <c r="Z363" s="102"/>
      <c r="AA363" s="102"/>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102"/>
      <c r="BE363" s="102"/>
      <c r="BF363" s="102"/>
      <c r="BG363" s="102"/>
      <c r="BH363" s="102"/>
      <c r="BI363" s="102"/>
      <c r="BJ363" s="102"/>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3.5" customHeight="1" outlineLevel="2">
      <c r="A364" s="9"/>
      <c r="B364" s="9"/>
      <c r="C364" s="9"/>
      <c r="D364" s="25"/>
      <c r="E364" s="376"/>
      <c r="F364" s="85">
        <v>7</v>
      </c>
      <c r="G364" s="26"/>
      <c r="H364" s="146"/>
      <c r="I364" s="148"/>
      <c r="J364" s="148"/>
      <c r="K364" s="148"/>
      <c r="L364" s="148"/>
      <c r="M364" s="148"/>
      <c r="N364" s="147"/>
      <c r="O364" s="67">
        <f>IF(A25stdlife="n/a","n/a",IF(O$3&gt;(A25stdlife+$F364),(Input!$N$167*(1+vanilla7)^0.5)-SUM($N364:N364),(Input!$N$167*(1+vanilla7)^0.5)/A25stdlife))</f>
        <v>0</v>
      </c>
      <c r="P364" s="67">
        <f>IF(A25stdlife="n/a","n/a",IF(P$3&gt;(A25stdlife+$F364),(Input!$N$167*(1+vanilla7)^0.5)-SUM($N364:O364),(Input!$N$167*(1+vanilla7)^0.5)/A25stdlife))</f>
        <v>0</v>
      </c>
      <c r="Q364" s="67">
        <f>IF(A25stdlife="n/a","n/a",IF(Q$3&gt;(A25stdlife+$F364),(Input!$N$167*(1+vanilla7)^0.5)-SUM($N364:P364),(Input!$N$167*(1+vanilla7)^0.5)/A25stdlife))</f>
        <v>0</v>
      </c>
      <c r="R364" s="67"/>
      <c r="S364" s="102"/>
      <c r="T364" s="102"/>
      <c r="U364" s="102"/>
      <c r="V364" s="102"/>
      <c r="W364" s="102"/>
      <c r="X364" s="102"/>
      <c r="Y364" s="102"/>
      <c r="Z364" s="102"/>
      <c r="AA364" s="102"/>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102"/>
      <c r="BE364" s="102"/>
      <c r="BF364" s="102"/>
      <c r="BG364" s="102"/>
      <c r="BH364" s="102"/>
      <c r="BI364" s="102"/>
      <c r="BJ364" s="102"/>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3.5" customHeight="1" outlineLevel="2">
      <c r="A365" s="9"/>
      <c r="B365" s="9"/>
      <c r="C365" s="9"/>
      <c r="D365" s="25"/>
      <c r="E365" s="376"/>
      <c r="F365" s="85">
        <v>8</v>
      </c>
      <c r="G365" s="26"/>
      <c r="H365" s="146"/>
      <c r="I365" s="148"/>
      <c r="J365" s="148"/>
      <c r="K365" s="148"/>
      <c r="L365" s="148"/>
      <c r="M365" s="148"/>
      <c r="N365" s="148"/>
      <c r="O365" s="147"/>
      <c r="P365" s="67">
        <f>IF(A25stdlife="n/a","n/a",IF(P$3&gt;(A25stdlife+$F365),(Input!$O$167*(1+vanilla8)^0.5)-SUM($O365:O365),(Input!$O$167*(1+vanilla8)^0.5)/A25stdlife))</f>
        <v>0</v>
      </c>
      <c r="Q365" s="67">
        <f>IF(A25stdlife="n/a","n/a",IF(Q$3&gt;(A25stdlife+$F365),(Input!$O$167*(1+vanilla8)^0.5)-SUM($O365:P365),(Input!$O$167*(1+vanilla8)^0.5)/A25stdlife))</f>
        <v>0</v>
      </c>
      <c r="R365" s="67"/>
      <c r="S365" s="102"/>
      <c r="T365" s="102"/>
      <c r="U365" s="102"/>
      <c r="V365" s="102"/>
      <c r="W365" s="102"/>
      <c r="X365" s="102"/>
      <c r="Y365" s="102"/>
      <c r="Z365" s="102"/>
      <c r="AA365" s="102"/>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102"/>
      <c r="BE365" s="102"/>
      <c r="BF365" s="102"/>
      <c r="BG365" s="102"/>
      <c r="BH365" s="102"/>
      <c r="BI365" s="102"/>
      <c r="BJ365" s="102"/>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3.5" customHeight="1" outlineLevel="2">
      <c r="A366" s="9"/>
      <c r="B366" s="9"/>
      <c r="C366" s="9"/>
      <c r="D366" s="25"/>
      <c r="E366" s="376"/>
      <c r="F366" s="85">
        <v>9</v>
      </c>
      <c r="G366" s="26"/>
      <c r="H366" s="146"/>
      <c r="I366" s="148"/>
      <c r="J366" s="148"/>
      <c r="K366" s="148"/>
      <c r="L366" s="148"/>
      <c r="M366" s="148"/>
      <c r="N366" s="148"/>
      <c r="O366" s="148"/>
      <c r="P366" s="147"/>
      <c r="Q366" s="67">
        <f>IF(A25stdlife="n/a","n/a",IF(Q$3&gt;(A25stdlife+$F366),(Input!$P$167*(1+vanilla9)^0.5)-SUM($P366:P366),(Input!$P$167*(1+vanilla9)^0.5)/A25stdlife))</f>
        <v>0</v>
      </c>
      <c r="R366" s="67"/>
      <c r="S366" s="102"/>
      <c r="T366" s="102"/>
      <c r="U366" s="102"/>
      <c r="V366" s="102"/>
      <c r="W366" s="102"/>
      <c r="X366" s="102"/>
      <c r="Y366" s="102"/>
      <c r="Z366" s="102"/>
      <c r="AA366" s="102"/>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102"/>
      <c r="BE366" s="102"/>
      <c r="BF366" s="102"/>
      <c r="BG366" s="102"/>
      <c r="BH366" s="102"/>
      <c r="BI366" s="102"/>
      <c r="BJ366" s="102"/>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3.5" customHeight="1" outlineLevel="2">
      <c r="A367" s="9"/>
      <c r="B367" s="9"/>
      <c r="C367" s="9"/>
      <c r="D367" s="25"/>
      <c r="E367" s="376"/>
      <c r="F367" s="86">
        <v>10</v>
      </c>
      <c r="G367" s="26"/>
      <c r="H367" s="146"/>
      <c r="I367" s="148"/>
      <c r="J367" s="148"/>
      <c r="K367" s="148"/>
      <c r="L367" s="148"/>
      <c r="M367" s="148"/>
      <c r="N367" s="148"/>
      <c r="O367" s="148"/>
      <c r="P367" s="148"/>
      <c r="Q367" s="147"/>
      <c r="R367" s="67"/>
      <c r="S367" s="102"/>
      <c r="T367" s="102"/>
      <c r="U367" s="102"/>
      <c r="V367" s="102"/>
      <c r="W367" s="102"/>
      <c r="X367" s="102"/>
      <c r="Y367" s="102"/>
      <c r="Z367" s="102"/>
      <c r="AA367" s="102"/>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102"/>
      <c r="BE367" s="102"/>
      <c r="BF367" s="102"/>
      <c r="BG367" s="102"/>
      <c r="BH367" s="102"/>
      <c r="BI367" s="102"/>
      <c r="BJ367" s="102"/>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3.5" customHeight="1" outlineLevel="1">
      <c r="A368" s="9"/>
      <c r="B368" s="9"/>
      <c r="C368" s="9"/>
      <c r="D368" s="25">
        <f>Asset25</f>
        <v>0</v>
      </c>
      <c r="E368" s="9"/>
      <c r="F368" s="9"/>
      <c r="G368" s="122"/>
      <c r="H368" s="165">
        <f>-SUM(H356:H367)</f>
        <v>0</v>
      </c>
      <c r="I368" s="165">
        <f>-SUM(I356:I367)</f>
        <v>0</v>
      </c>
      <c r="J368" s="165">
        <f>-SUM(J356:J367)</f>
        <v>0</v>
      </c>
      <c r="K368" s="165">
        <f>-SUM(K356:K367)</f>
        <v>0</v>
      </c>
      <c r="L368" s="165">
        <f>-SUM(L356:L367)</f>
        <v>0</v>
      </c>
      <c r="M368" s="165">
        <f>IF(Input!M173&gt;0, -SUM(M356:M367), 0)</f>
        <v>0</v>
      </c>
      <c r="N368" s="165">
        <f>IF(Input!N173&gt;0, -SUM(N356:N367), 0)</f>
        <v>0</v>
      </c>
      <c r="O368" s="165">
        <f>IF(Input!O173&gt;0, -SUM(O356:O367), 0)</f>
        <v>0</v>
      </c>
      <c r="P368" s="165">
        <f>IF(Input!P173&gt;0, -SUM(P356:P367), 0)</f>
        <v>0</v>
      </c>
      <c r="Q368" s="165">
        <f>IF(Input!Q173&gt;0, -SUM(Q356:Q367), 0)</f>
        <v>0</v>
      </c>
      <c r="R368" s="65"/>
      <c r="S368" s="104"/>
      <c r="T368" s="104"/>
      <c r="U368" s="104"/>
      <c r="V368" s="104"/>
      <c r="W368" s="104"/>
      <c r="X368" s="104"/>
      <c r="Y368" s="104"/>
      <c r="Z368" s="104"/>
      <c r="AA368" s="104"/>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104"/>
      <c r="BE368" s="104"/>
      <c r="BF368" s="104"/>
      <c r="BG368" s="104"/>
      <c r="BH368" s="104"/>
      <c r="BI368" s="104"/>
      <c r="BJ368" s="104"/>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3.5" hidden="1" customHeight="1" outlineLevel="2">
      <c r="A369" s="9"/>
      <c r="B369" s="9"/>
      <c r="C369" s="31">
        <f>Asset26</f>
        <v>0</v>
      </c>
      <c r="D369" s="161"/>
      <c r="E369" s="33" t="s">
        <v>28</v>
      </c>
      <c r="F369" s="32"/>
      <c r="G369" s="174"/>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102"/>
      <c r="BE369" s="102"/>
      <c r="BF369" s="102"/>
      <c r="BG369" s="102"/>
      <c r="BH369" s="102"/>
      <c r="BI369" s="102"/>
      <c r="BJ369" s="102"/>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3.5" hidden="1" customHeight="1" outlineLevel="2">
      <c r="A370" s="9"/>
      <c r="B370" s="9"/>
      <c r="C370" s="9"/>
      <c r="D370" s="25"/>
      <c r="E370" s="375" t="s">
        <v>85</v>
      </c>
      <c r="F370" s="85">
        <v>0</v>
      </c>
      <c r="G370" s="122"/>
      <c r="H370" s="67"/>
      <c r="I370" s="67"/>
      <c r="J370" s="67"/>
      <c r="K370" s="67"/>
      <c r="L370" s="67"/>
      <c r="M370" s="163"/>
      <c r="N370" s="111"/>
      <c r="O370" s="67"/>
      <c r="P370" s="67"/>
      <c r="Q370" s="67"/>
      <c r="R370" s="67"/>
      <c r="S370" s="102"/>
      <c r="T370" s="102"/>
      <c r="U370" s="102"/>
      <c r="V370" s="102"/>
      <c r="W370" s="102"/>
      <c r="X370" s="102"/>
      <c r="Y370" s="102"/>
      <c r="Z370" s="102"/>
      <c r="AA370" s="102"/>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102"/>
      <c r="BE370" s="102"/>
      <c r="BF370" s="102"/>
      <c r="BG370" s="102"/>
      <c r="BH370" s="102"/>
      <c r="BI370" s="102"/>
      <c r="BJ370" s="102"/>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3.5" hidden="1" customHeight="1" outlineLevel="2">
      <c r="A371" s="9"/>
      <c r="B371" s="9"/>
      <c r="C371" s="9"/>
      <c r="D371" s="25"/>
      <c r="E371" s="376"/>
      <c r="F371" s="85">
        <v>1</v>
      </c>
      <c r="G371" s="122"/>
      <c r="H371" s="145"/>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2"/>
      <c r="T371" s="102"/>
      <c r="U371" s="102"/>
      <c r="V371" s="102"/>
      <c r="W371" s="102"/>
      <c r="X371" s="102"/>
      <c r="Y371" s="102"/>
      <c r="Z371" s="102"/>
      <c r="AA371" s="102"/>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102"/>
      <c r="BE371" s="102"/>
      <c r="BF371" s="102"/>
      <c r="BG371" s="102"/>
      <c r="BH371" s="102"/>
      <c r="BI371" s="102"/>
      <c r="BJ371" s="102"/>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3.5" hidden="1" customHeight="1" outlineLevel="2">
      <c r="A372" s="9"/>
      <c r="B372" s="9"/>
      <c r="C372" s="9"/>
      <c r="D372" s="25"/>
      <c r="E372" s="376"/>
      <c r="F372" s="85">
        <v>2</v>
      </c>
      <c r="G372" s="122"/>
      <c r="H372" s="146"/>
      <c r="I372" s="147"/>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2"/>
      <c r="T372" s="102"/>
      <c r="U372" s="102"/>
      <c r="V372" s="102"/>
      <c r="W372" s="102"/>
      <c r="X372" s="102"/>
      <c r="Y372" s="102"/>
      <c r="Z372" s="102"/>
      <c r="AA372" s="102"/>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102"/>
      <c r="BE372" s="102"/>
      <c r="BF372" s="102"/>
      <c r="BG372" s="102"/>
      <c r="BH372" s="102"/>
      <c r="BI372" s="102"/>
      <c r="BJ372" s="102"/>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3.5" hidden="1" customHeight="1" outlineLevel="2">
      <c r="A373" s="9"/>
      <c r="B373" s="9"/>
      <c r="C373" s="9"/>
      <c r="D373" s="25"/>
      <c r="E373" s="376"/>
      <c r="F373" s="85">
        <v>3</v>
      </c>
      <c r="G373" s="122"/>
      <c r="H373" s="146"/>
      <c r="I373" s="148"/>
      <c r="J373" s="147"/>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2"/>
      <c r="T373" s="102"/>
      <c r="U373" s="102"/>
      <c r="V373" s="102"/>
      <c r="W373" s="102"/>
      <c r="X373" s="102"/>
      <c r="Y373" s="102"/>
      <c r="Z373" s="102"/>
      <c r="AA373" s="102"/>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102"/>
      <c r="BE373" s="102"/>
      <c r="BF373" s="102"/>
      <c r="BG373" s="102"/>
      <c r="BH373" s="102"/>
      <c r="BI373" s="102"/>
      <c r="BJ373" s="102"/>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3.5" hidden="1" customHeight="1" outlineLevel="2">
      <c r="A374" s="9"/>
      <c r="B374" s="9"/>
      <c r="C374" s="9"/>
      <c r="D374" s="25"/>
      <c r="E374" s="376"/>
      <c r="F374" s="85">
        <v>4</v>
      </c>
      <c r="G374" s="122"/>
      <c r="H374" s="146"/>
      <c r="I374" s="148"/>
      <c r="J374" s="148"/>
      <c r="K374" s="147"/>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2"/>
      <c r="T374" s="102"/>
      <c r="U374" s="102"/>
      <c r="V374" s="102"/>
      <c r="W374" s="102"/>
      <c r="X374" s="102"/>
      <c r="Y374" s="102"/>
      <c r="Z374" s="102"/>
      <c r="AA374" s="102"/>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102"/>
      <c r="BE374" s="102"/>
      <c r="BF374" s="102"/>
      <c r="BG374" s="102"/>
      <c r="BH374" s="102"/>
      <c r="BI374" s="102"/>
      <c r="BJ374" s="102"/>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3.5" hidden="1" customHeight="1" outlineLevel="2">
      <c r="A375" s="9"/>
      <c r="B375" s="9"/>
      <c r="C375" s="9"/>
      <c r="D375" s="25"/>
      <c r="E375" s="376"/>
      <c r="F375" s="85">
        <v>5</v>
      </c>
      <c r="G375" s="26"/>
      <c r="H375" s="146"/>
      <c r="I375" s="148"/>
      <c r="J375" s="148"/>
      <c r="K375" s="148"/>
      <c r="L375" s="147"/>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2"/>
      <c r="T375" s="102"/>
      <c r="U375" s="102"/>
      <c r="V375" s="102"/>
      <c r="W375" s="102"/>
      <c r="X375" s="102"/>
      <c r="Y375" s="102"/>
      <c r="Z375" s="102"/>
      <c r="AA375" s="102"/>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102"/>
      <c r="BE375" s="102"/>
      <c r="BF375" s="102"/>
      <c r="BG375" s="102"/>
      <c r="BH375" s="102"/>
      <c r="BI375" s="102"/>
      <c r="BJ375" s="102"/>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3.5" hidden="1" customHeight="1" outlineLevel="2">
      <c r="A376" s="9"/>
      <c r="B376" s="9"/>
      <c r="C376" s="9"/>
      <c r="D376" s="25"/>
      <c r="E376" s="376"/>
      <c r="F376" s="85">
        <v>6</v>
      </c>
      <c r="G376" s="26"/>
      <c r="H376" s="146"/>
      <c r="I376" s="148"/>
      <c r="J376" s="148"/>
      <c r="K376" s="148"/>
      <c r="L376" s="148"/>
      <c r="M376" s="147"/>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2"/>
      <c r="T376" s="102"/>
      <c r="U376" s="102"/>
      <c r="V376" s="102"/>
      <c r="W376" s="102"/>
      <c r="X376" s="102"/>
      <c r="Y376" s="102"/>
      <c r="Z376" s="102"/>
      <c r="AA376" s="102"/>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102"/>
      <c r="BE376" s="102"/>
      <c r="BF376" s="102"/>
      <c r="BG376" s="102"/>
      <c r="BH376" s="102"/>
      <c r="BI376" s="102"/>
      <c r="BJ376" s="102"/>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3.5" hidden="1" customHeight="1" outlineLevel="2">
      <c r="A377" s="9"/>
      <c r="B377" s="9"/>
      <c r="C377" s="9"/>
      <c r="D377" s="25"/>
      <c r="E377" s="376"/>
      <c r="F377" s="85">
        <v>7</v>
      </c>
      <c r="G377" s="26"/>
      <c r="H377" s="146"/>
      <c r="I377" s="148"/>
      <c r="J377" s="148"/>
      <c r="K377" s="148"/>
      <c r="L377" s="148"/>
      <c r="M377" s="148"/>
      <c r="N377" s="147"/>
      <c r="O377" s="67">
        <f>IF(A26stdlife="n/a","n/a",IF(O$3&gt;(A26stdlife+$F377),(Input!N$168*(1+vanilla7)^0.5)-SUM($N377:N377),(Input!$N$168*(1+vanilla7)^0.5)/A26stdlife))</f>
        <v>0</v>
      </c>
      <c r="P377" s="67">
        <f>IF(A26stdlife="n/a","n/a",IF(P$3&gt;(A26stdlife+$F377),(Input!O$168*(1+vanilla7)^0.5)-SUM($N377:O377),(Input!$N$168*(1+vanilla7)^0.5)/A26stdlife))</f>
        <v>0</v>
      </c>
      <c r="Q377" s="67">
        <f>IF(A26stdlife="n/a","n/a",IF(Q$3&gt;(A26stdlife+$F377),(Input!P$168*(1+vanilla7)^0.5)-SUM($N377:P377),(Input!$N$168*(1+vanilla7)^0.5)/A26stdlife))</f>
        <v>0</v>
      </c>
      <c r="R377" s="67"/>
      <c r="S377" s="102"/>
      <c r="T377" s="102"/>
      <c r="U377" s="102"/>
      <c r="V377" s="102"/>
      <c r="W377" s="102"/>
      <c r="X377" s="102"/>
      <c r="Y377" s="102"/>
      <c r="Z377" s="102"/>
      <c r="AA377" s="102"/>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102"/>
      <c r="BE377" s="102"/>
      <c r="BF377" s="102"/>
      <c r="BG377" s="102"/>
      <c r="BH377" s="102"/>
      <c r="BI377" s="102"/>
      <c r="BJ377" s="102"/>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3.5" hidden="1" customHeight="1" outlineLevel="2">
      <c r="A378" s="9"/>
      <c r="B378" s="9"/>
      <c r="C378" s="9"/>
      <c r="D378" s="25"/>
      <c r="E378" s="376"/>
      <c r="F378" s="85">
        <v>8</v>
      </c>
      <c r="G378" s="26"/>
      <c r="H378" s="146"/>
      <c r="I378" s="148"/>
      <c r="J378" s="148"/>
      <c r="K378" s="148"/>
      <c r="L378" s="148"/>
      <c r="M378" s="148"/>
      <c r="N378" s="148"/>
      <c r="O378" s="147"/>
      <c r="P378" s="67">
        <f>IF(A26stdlife="n/a","n/a",IF(P$3&gt;(A26stdlife+$F378),(Input!$O$168*(1+vanilla8)^0.5)-SUM($O378:O378),(Input!$O$168*(1+vanilla8)^0.5)/A26stdlife))</f>
        <v>0</v>
      </c>
      <c r="Q378" s="67">
        <f>IF(A26stdlife="n/a","n/a",IF(Q$3&gt;(A26stdlife+$F378),(Input!$O$168*(1+vanilla8)^0.5)-SUM($O378:P378),(Input!$O$168*(1+vanilla8)^0.5)/A26stdlife))</f>
        <v>0</v>
      </c>
      <c r="R378" s="67"/>
      <c r="S378" s="102"/>
      <c r="T378" s="102"/>
      <c r="U378" s="102"/>
      <c r="V378" s="102"/>
      <c r="W378" s="102"/>
      <c r="X378" s="102"/>
      <c r="Y378" s="102"/>
      <c r="Z378" s="102"/>
      <c r="AA378" s="102"/>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102"/>
      <c r="BE378" s="102"/>
      <c r="BF378" s="102"/>
      <c r="BG378" s="102"/>
      <c r="BH378" s="102"/>
      <c r="BI378" s="102"/>
      <c r="BJ378" s="102"/>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13.5" hidden="1" customHeight="1" outlineLevel="2">
      <c r="A379" s="9"/>
      <c r="B379" s="9"/>
      <c r="C379" s="9"/>
      <c r="D379" s="25"/>
      <c r="E379" s="376"/>
      <c r="F379" s="85">
        <v>9</v>
      </c>
      <c r="G379" s="26"/>
      <c r="H379" s="146"/>
      <c r="I379" s="148"/>
      <c r="J379" s="148"/>
      <c r="K379" s="148"/>
      <c r="L379" s="148"/>
      <c r="M379" s="148"/>
      <c r="N379" s="148"/>
      <c r="O379" s="148"/>
      <c r="P379" s="147"/>
      <c r="Q379" s="67">
        <f>IF(A26stdlife="n/a","n/a",IF(Q$3&gt;(A26stdlife+$F379),(Input!$P$168*(1+vanilla9)^0.5)-SUM($P379:P379),(Input!$P$168*(1+vanilla9)^0.5)/A26stdlife))</f>
        <v>0</v>
      </c>
      <c r="R379" s="67"/>
      <c r="S379" s="102"/>
      <c r="T379" s="102"/>
      <c r="U379" s="102"/>
      <c r="V379" s="102"/>
      <c r="W379" s="102"/>
      <c r="X379" s="102"/>
      <c r="Y379" s="102"/>
      <c r="Z379" s="102"/>
      <c r="AA379" s="102"/>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102"/>
      <c r="BE379" s="102"/>
      <c r="BF379" s="102"/>
      <c r="BG379" s="102"/>
      <c r="BH379" s="102"/>
      <c r="BI379" s="102"/>
      <c r="BJ379" s="102"/>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3.5" hidden="1" customHeight="1" outlineLevel="2">
      <c r="A380" s="9"/>
      <c r="B380" s="9"/>
      <c r="C380" s="9"/>
      <c r="D380" s="25"/>
      <c r="E380" s="376"/>
      <c r="F380" s="86">
        <v>10</v>
      </c>
      <c r="G380" s="26"/>
      <c r="H380" s="146"/>
      <c r="I380" s="148"/>
      <c r="J380" s="148"/>
      <c r="K380" s="148"/>
      <c r="L380" s="148"/>
      <c r="M380" s="148"/>
      <c r="N380" s="148"/>
      <c r="O380" s="148"/>
      <c r="P380" s="148"/>
      <c r="Q380" s="147"/>
      <c r="R380" s="67"/>
      <c r="S380" s="102"/>
      <c r="T380" s="102"/>
      <c r="U380" s="102"/>
      <c r="V380" s="102"/>
      <c r="W380" s="102"/>
      <c r="X380" s="102"/>
      <c r="Y380" s="102"/>
      <c r="Z380" s="102"/>
      <c r="AA380" s="102"/>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102"/>
      <c r="BE380" s="102"/>
      <c r="BF380" s="102"/>
      <c r="BG380" s="102"/>
      <c r="BH380" s="102"/>
      <c r="BI380" s="102"/>
      <c r="BJ380" s="102"/>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3.5" customHeight="1" outlineLevel="1" collapsed="1">
      <c r="A381" s="9"/>
      <c r="B381" s="9"/>
      <c r="C381" s="9"/>
      <c r="D381" s="25">
        <f>Asset26</f>
        <v>0</v>
      </c>
      <c r="E381" s="9"/>
      <c r="F381" s="9"/>
      <c r="G381" s="122"/>
      <c r="H381" s="165">
        <f>-SUM(H369:H380)</f>
        <v>0</v>
      </c>
      <c r="I381" s="165">
        <f>-SUM(I369:I380)</f>
        <v>0</v>
      </c>
      <c r="J381" s="165">
        <f>-SUM(J369:J380)</f>
        <v>0</v>
      </c>
      <c r="K381" s="165">
        <f>-SUM(K369:K380)</f>
        <v>0</v>
      </c>
      <c r="L381" s="165">
        <f>-SUM(L369:L380)</f>
        <v>0</v>
      </c>
      <c r="M381" s="165">
        <f>IF(Input!M173&gt;0, -SUM(M369:M380), 0)</f>
        <v>0</v>
      </c>
      <c r="N381" s="165">
        <f>IF(Input!N173&gt;0, -SUM(N369:N380), 0)</f>
        <v>0</v>
      </c>
      <c r="O381" s="165">
        <f>IF(Input!O173&gt;0, -SUM(O369:O380), 0)</f>
        <v>0</v>
      </c>
      <c r="P381" s="165">
        <f>IF(Input!P173&gt;0, -SUM(P369:P380), 0)</f>
        <v>0</v>
      </c>
      <c r="Q381" s="165">
        <f>IF(Input!Q173&gt;0, -SUM(Q369:Q380), 0)</f>
        <v>0</v>
      </c>
      <c r="R381" s="65"/>
      <c r="S381" s="104"/>
      <c r="T381" s="104"/>
      <c r="U381" s="104"/>
      <c r="V381" s="104"/>
      <c r="W381" s="104"/>
      <c r="X381" s="104"/>
      <c r="Y381" s="104"/>
      <c r="Z381" s="104"/>
      <c r="AA381" s="104"/>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104"/>
      <c r="BE381" s="104"/>
      <c r="BF381" s="104"/>
      <c r="BG381" s="104"/>
      <c r="BH381" s="104"/>
      <c r="BI381" s="104"/>
      <c r="BJ381" s="104"/>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3.5" hidden="1" customHeight="1" outlineLevel="2">
      <c r="A382" s="9"/>
      <c r="B382" s="9"/>
      <c r="C382" s="31">
        <f>Asset27</f>
        <v>0</v>
      </c>
      <c r="D382" s="161"/>
      <c r="E382" s="33" t="s">
        <v>28</v>
      </c>
      <c r="F382" s="32"/>
      <c r="G382" s="174"/>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102"/>
      <c r="BE382" s="102"/>
      <c r="BF382" s="102"/>
      <c r="BG382" s="102"/>
      <c r="BH382" s="102"/>
      <c r="BI382" s="102"/>
      <c r="BJ382" s="102"/>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3.5" hidden="1" customHeight="1" outlineLevel="2">
      <c r="A383" s="9"/>
      <c r="B383" s="9"/>
      <c r="C383" s="9"/>
      <c r="D383" s="25"/>
      <c r="E383" s="375" t="s">
        <v>85</v>
      </c>
      <c r="F383" s="85">
        <v>0</v>
      </c>
      <c r="G383" s="122"/>
      <c r="H383" s="67"/>
      <c r="I383" s="67"/>
      <c r="J383" s="67"/>
      <c r="K383" s="67"/>
      <c r="L383" s="67"/>
      <c r="M383" s="163"/>
      <c r="N383" s="111"/>
      <c r="O383" s="67"/>
      <c r="P383" s="67"/>
      <c r="Q383" s="67"/>
      <c r="R383" s="67"/>
      <c r="S383" s="102"/>
      <c r="T383" s="102"/>
      <c r="U383" s="102"/>
      <c r="V383" s="102"/>
      <c r="W383" s="102"/>
      <c r="X383" s="102"/>
      <c r="Y383" s="102"/>
      <c r="Z383" s="102"/>
      <c r="AA383" s="102"/>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102"/>
      <c r="BE383" s="102"/>
      <c r="BF383" s="102"/>
      <c r="BG383" s="102"/>
      <c r="BH383" s="102"/>
      <c r="BI383" s="102"/>
      <c r="BJ383" s="102"/>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3.5" hidden="1" customHeight="1" outlineLevel="2">
      <c r="A384" s="9"/>
      <c r="B384" s="9"/>
      <c r="C384" s="9"/>
      <c r="D384" s="25"/>
      <c r="E384" s="376"/>
      <c r="F384" s="85">
        <v>1</v>
      </c>
      <c r="G384" s="122"/>
      <c r="H384" s="145"/>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2"/>
      <c r="T384" s="102"/>
      <c r="U384" s="102"/>
      <c r="V384" s="102"/>
      <c r="W384" s="102"/>
      <c r="X384" s="102"/>
      <c r="Y384" s="102"/>
      <c r="Z384" s="102"/>
      <c r="AA384" s="102"/>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102"/>
      <c r="BE384" s="102"/>
      <c r="BF384" s="102"/>
      <c r="BG384" s="102"/>
      <c r="BH384" s="102"/>
      <c r="BI384" s="102"/>
      <c r="BJ384" s="102"/>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3.5" hidden="1" customHeight="1" outlineLevel="2">
      <c r="A385" s="9"/>
      <c r="B385" s="9"/>
      <c r="C385" s="9"/>
      <c r="D385" s="25"/>
      <c r="E385" s="376"/>
      <c r="F385" s="85">
        <v>2</v>
      </c>
      <c r="G385" s="122"/>
      <c r="H385" s="146"/>
      <c r="I385" s="147"/>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2"/>
      <c r="T385" s="102"/>
      <c r="U385" s="102"/>
      <c r="V385" s="102"/>
      <c r="W385" s="102"/>
      <c r="X385" s="102"/>
      <c r="Y385" s="102"/>
      <c r="Z385" s="102"/>
      <c r="AA385" s="102"/>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102"/>
      <c r="BE385" s="102"/>
      <c r="BF385" s="102"/>
      <c r="BG385" s="102"/>
      <c r="BH385" s="102"/>
      <c r="BI385" s="102"/>
      <c r="BJ385" s="102"/>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3.5" hidden="1" customHeight="1" outlineLevel="2">
      <c r="A386" s="9"/>
      <c r="B386" s="9"/>
      <c r="C386" s="9"/>
      <c r="D386" s="25"/>
      <c r="E386" s="376"/>
      <c r="F386" s="85">
        <v>3</v>
      </c>
      <c r="G386" s="122"/>
      <c r="H386" s="146"/>
      <c r="I386" s="148"/>
      <c r="J386" s="147"/>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2"/>
      <c r="T386" s="102"/>
      <c r="U386" s="102"/>
      <c r="V386" s="102"/>
      <c r="W386" s="102"/>
      <c r="X386" s="102"/>
      <c r="Y386" s="102"/>
      <c r="Z386" s="102"/>
      <c r="AA386" s="102"/>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102"/>
      <c r="BE386" s="102"/>
      <c r="BF386" s="102"/>
      <c r="BG386" s="102"/>
      <c r="BH386" s="102"/>
      <c r="BI386" s="102"/>
      <c r="BJ386" s="102"/>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3.5" hidden="1" customHeight="1" outlineLevel="2">
      <c r="A387" s="9"/>
      <c r="B387" s="9"/>
      <c r="C387" s="9"/>
      <c r="D387" s="25"/>
      <c r="E387" s="376"/>
      <c r="F387" s="85">
        <v>4</v>
      </c>
      <c r="G387" s="122"/>
      <c r="H387" s="146"/>
      <c r="I387" s="148"/>
      <c r="J387" s="148"/>
      <c r="K387" s="147"/>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2"/>
      <c r="T387" s="102"/>
      <c r="U387" s="102"/>
      <c r="V387" s="102"/>
      <c r="W387" s="102"/>
      <c r="X387" s="102"/>
      <c r="Y387" s="102"/>
      <c r="Z387" s="102"/>
      <c r="AA387" s="102"/>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102"/>
      <c r="BE387" s="102"/>
      <c r="BF387" s="102"/>
      <c r="BG387" s="102"/>
      <c r="BH387" s="102"/>
      <c r="BI387" s="102"/>
      <c r="BJ387" s="102"/>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3.5" hidden="1" customHeight="1" outlineLevel="2">
      <c r="A388" s="9"/>
      <c r="B388" s="9"/>
      <c r="C388" s="9"/>
      <c r="D388" s="25"/>
      <c r="E388" s="376"/>
      <c r="F388" s="85">
        <v>5</v>
      </c>
      <c r="G388" s="26"/>
      <c r="H388" s="146"/>
      <c r="I388" s="148"/>
      <c r="J388" s="148"/>
      <c r="K388" s="148"/>
      <c r="L388" s="147"/>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2"/>
      <c r="T388" s="102"/>
      <c r="U388" s="102"/>
      <c r="V388" s="102"/>
      <c r="W388" s="102"/>
      <c r="X388" s="102"/>
      <c r="Y388" s="102"/>
      <c r="Z388" s="102"/>
      <c r="AA388" s="102"/>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102"/>
      <c r="BE388" s="102"/>
      <c r="BF388" s="102"/>
      <c r="BG388" s="102"/>
      <c r="BH388" s="102"/>
      <c r="BI388" s="102"/>
      <c r="BJ388" s="102"/>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3.5" hidden="1" customHeight="1" outlineLevel="2">
      <c r="A389" s="9"/>
      <c r="B389" s="9"/>
      <c r="C389" s="9"/>
      <c r="D389" s="25"/>
      <c r="E389" s="376"/>
      <c r="F389" s="85">
        <v>6</v>
      </c>
      <c r="G389" s="26"/>
      <c r="H389" s="146"/>
      <c r="I389" s="148"/>
      <c r="J389" s="148"/>
      <c r="K389" s="148"/>
      <c r="L389" s="148"/>
      <c r="M389" s="147"/>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2"/>
      <c r="T389" s="102"/>
      <c r="U389" s="102"/>
      <c r="V389" s="102"/>
      <c r="W389" s="102"/>
      <c r="X389" s="102"/>
      <c r="Y389" s="102"/>
      <c r="Z389" s="102"/>
      <c r="AA389" s="102"/>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102"/>
      <c r="BE389" s="102"/>
      <c r="BF389" s="102"/>
      <c r="BG389" s="102"/>
      <c r="BH389" s="102"/>
      <c r="BI389" s="102"/>
      <c r="BJ389" s="102"/>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3.5" hidden="1" customHeight="1" outlineLevel="2">
      <c r="A390" s="9"/>
      <c r="B390" s="9"/>
      <c r="C390" s="9"/>
      <c r="D390" s="25"/>
      <c r="E390" s="376"/>
      <c r="F390" s="85">
        <v>7</v>
      </c>
      <c r="G390" s="26"/>
      <c r="H390" s="146"/>
      <c r="I390" s="148"/>
      <c r="J390" s="148"/>
      <c r="K390" s="148"/>
      <c r="L390" s="148"/>
      <c r="M390" s="148"/>
      <c r="N390" s="147"/>
      <c r="O390" s="67">
        <f>IF(A27stdlife="n/a","n/a",IF(O$3&gt;(A27stdlife+$F390),(Input!N$169*(1+vanilla7)^0.5)-SUM($N390:N390),(Input!$N$169*(1+vanilla7)^0.5)/A27stdlife))</f>
        <v>0</v>
      </c>
      <c r="P390" s="67">
        <f>IF(A27stdlife="n/a","n/a",IF(P$3&gt;(A27stdlife+$F390),(Input!O$169*(1+vanilla7)^0.5)-SUM($N390:O390),(Input!$N$169*(1+vanilla7)^0.5)/A27stdlife))</f>
        <v>0</v>
      </c>
      <c r="Q390" s="67">
        <f>IF(A27stdlife="n/a","n/a",IF(Q$3&gt;(A27stdlife+$F390),(Input!P$169*(1+vanilla7)^0.5)-SUM($N390:P390),(Input!$N$169*(1+vanilla7)^0.5)/A27stdlife))</f>
        <v>0</v>
      </c>
      <c r="R390" s="67"/>
      <c r="S390" s="102"/>
      <c r="T390" s="102"/>
      <c r="U390" s="102"/>
      <c r="V390" s="102"/>
      <c r="W390" s="102"/>
      <c r="X390" s="102"/>
      <c r="Y390" s="102"/>
      <c r="Z390" s="102"/>
      <c r="AA390" s="102"/>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102"/>
      <c r="BE390" s="102"/>
      <c r="BF390" s="102"/>
      <c r="BG390" s="102"/>
      <c r="BH390" s="102"/>
      <c r="BI390" s="102"/>
      <c r="BJ390" s="102"/>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3.5" hidden="1" customHeight="1" outlineLevel="2">
      <c r="A391" s="9"/>
      <c r="B391" s="9"/>
      <c r="C391" s="9"/>
      <c r="D391" s="25"/>
      <c r="E391" s="376"/>
      <c r="F391" s="85">
        <v>8</v>
      </c>
      <c r="G391" s="26"/>
      <c r="H391" s="146"/>
      <c r="I391" s="148"/>
      <c r="J391" s="148"/>
      <c r="K391" s="148"/>
      <c r="L391" s="148"/>
      <c r="M391" s="148"/>
      <c r="N391" s="148"/>
      <c r="O391" s="147"/>
      <c r="P391" s="67">
        <f>IF(A27stdlife="n/a","n/a",IF(P$3&gt;(A27stdlife+$F391),(Input!$O$169*(1+vanilla8)^0.5)-SUM($O391:O391),(Input!$O$169*(1+vanilla8)^0.5)/A27stdlife))</f>
        <v>0</v>
      </c>
      <c r="Q391" s="67">
        <f>IF(A27stdlife="n/a","n/a",IF(Q$3&gt;(A27stdlife+$F391),(Input!$O$169*(1+vanilla8)^0.5)-SUM($O391:P391),(Input!$O$169*(1+vanilla8)^0.5)/A27stdlife))</f>
        <v>0</v>
      </c>
      <c r="R391" s="67"/>
      <c r="S391" s="102"/>
      <c r="T391" s="102"/>
      <c r="U391" s="102"/>
      <c r="V391" s="102"/>
      <c r="W391" s="102"/>
      <c r="X391" s="102"/>
      <c r="Y391" s="102"/>
      <c r="Z391" s="102"/>
      <c r="AA391" s="102"/>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102"/>
      <c r="BE391" s="102"/>
      <c r="BF391" s="102"/>
      <c r="BG391" s="102"/>
      <c r="BH391" s="102"/>
      <c r="BI391" s="102"/>
      <c r="BJ391" s="102"/>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3.5" hidden="1" customHeight="1" outlineLevel="2">
      <c r="A392" s="9"/>
      <c r="B392" s="9"/>
      <c r="C392" s="9"/>
      <c r="D392" s="25"/>
      <c r="E392" s="376"/>
      <c r="F392" s="85">
        <v>9</v>
      </c>
      <c r="G392" s="26"/>
      <c r="H392" s="146"/>
      <c r="I392" s="148"/>
      <c r="J392" s="148"/>
      <c r="K392" s="148"/>
      <c r="L392" s="148"/>
      <c r="M392" s="148"/>
      <c r="N392" s="148"/>
      <c r="O392" s="148"/>
      <c r="P392" s="147"/>
      <c r="Q392" s="67">
        <f>IF(A27stdlife="n/a","n/a",IF(Q$3&gt;(A27stdlife+$F392),(Input!$P$169*(1+vanilla9)^0.5)-SUM($P392:P392),(Input!$P$169*(1+vanilla9)^0.5)/A27stdlife))</f>
        <v>0</v>
      </c>
      <c r="R392" s="67"/>
      <c r="S392" s="102"/>
      <c r="T392" s="102"/>
      <c r="U392" s="102"/>
      <c r="V392" s="102"/>
      <c r="W392" s="102"/>
      <c r="X392" s="102"/>
      <c r="Y392" s="102"/>
      <c r="Z392" s="102"/>
      <c r="AA392" s="102"/>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102"/>
      <c r="BE392" s="102"/>
      <c r="BF392" s="102"/>
      <c r="BG392" s="102"/>
      <c r="BH392" s="102"/>
      <c r="BI392" s="102"/>
      <c r="BJ392" s="102"/>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13.5" hidden="1" customHeight="1" outlineLevel="2">
      <c r="A393" s="9"/>
      <c r="B393" s="9"/>
      <c r="C393" s="9"/>
      <c r="D393" s="25"/>
      <c r="E393" s="376"/>
      <c r="F393" s="86">
        <v>10</v>
      </c>
      <c r="G393" s="26"/>
      <c r="H393" s="146"/>
      <c r="I393" s="148"/>
      <c r="J393" s="148"/>
      <c r="K393" s="148"/>
      <c r="L393" s="148"/>
      <c r="M393" s="148"/>
      <c r="N393" s="148"/>
      <c r="O393" s="148"/>
      <c r="P393" s="148"/>
      <c r="Q393" s="147"/>
      <c r="R393" s="67"/>
      <c r="S393" s="102"/>
      <c r="T393" s="102"/>
      <c r="U393" s="102"/>
      <c r="V393" s="102"/>
      <c r="W393" s="102"/>
      <c r="X393" s="102"/>
      <c r="Y393" s="102"/>
      <c r="Z393" s="102"/>
      <c r="AA393" s="102"/>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102"/>
      <c r="BE393" s="102"/>
      <c r="BF393" s="102"/>
      <c r="BG393" s="102"/>
      <c r="BH393" s="102"/>
      <c r="BI393" s="102"/>
      <c r="BJ393" s="102"/>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3.5" customHeight="1" outlineLevel="1" collapsed="1">
      <c r="A394" s="9"/>
      <c r="B394" s="9"/>
      <c r="C394" s="9"/>
      <c r="D394" s="25">
        <f>Asset27</f>
        <v>0</v>
      </c>
      <c r="E394" s="9"/>
      <c r="F394" s="9"/>
      <c r="G394" s="122"/>
      <c r="H394" s="165">
        <f>-SUM(H382:H393)</f>
        <v>0</v>
      </c>
      <c r="I394" s="165">
        <f>-SUM(I382:I393)</f>
        <v>0</v>
      </c>
      <c r="J394" s="165">
        <f>-SUM(J382:J393)</f>
        <v>0</v>
      </c>
      <c r="K394" s="165">
        <f>-SUM(K382:K393)</f>
        <v>0</v>
      </c>
      <c r="L394" s="165">
        <f>-SUM(L382:L393)</f>
        <v>0</v>
      </c>
      <c r="M394" s="165">
        <f>IF(Input!M173&gt;0, -SUM(M382:M393), 0)</f>
        <v>0</v>
      </c>
      <c r="N394" s="165">
        <f>IF(Input!N173&gt;0, -SUM(N382:N393), 0)</f>
        <v>0</v>
      </c>
      <c r="O394" s="165">
        <f>IF(Input!O173&gt;0, -SUM(O382:O393), 0)</f>
        <v>0</v>
      </c>
      <c r="P394" s="165">
        <f>IF(Input!P173&gt;0, -SUM(P382:P393), 0)</f>
        <v>0</v>
      </c>
      <c r="Q394" s="165">
        <f>IF(Input!Q173&gt;0, -SUM(Q382:Q393), 0)</f>
        <v>0</v>
      </c>
      <c r="R394" s="65"/>
      <c r="S394" s="104"/>
      <c r="T394" s="104"/>
      <c r="U394" s="104"/>
      <c r="V394" s="104"/>
      <c r="W394" s="104"/>
      <c r="X394" s="104"/>
      <c r="Y394" s="104"/>
      <c r="Z394" s="104"/>
      <c r="AA394" s="104"/>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104"/>
      <c r="BE394" s="104"/>
      <c r="BF394" s="104"/>
      <c r="BG394" s="104"/>
      <c r="BH394" s="104"/>
      <c r="BI394" s="104"/>
      <c r="BJ394" s="104"/>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3.5" hidden="1" customHeight="1" outlineLevel="2">
      <c r="A395" s="9"/>
      <c r="B395" s="9"/>
      <c r="C395" s="31">
        <f>Asset28</f>
        <v>0</v>
      </c>
      <c r="D395" s="161"/>
      <c r="E395" s="33" t="s">
        <v>28</v>
      </c>
      <c r="F395" s="32"/>
      <c r="G395" s="174"/>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102"/>
      <c r="BE395" s="102"/>
      <c r="BF395" s="102"/>
      <c r="BG395" s="102"/>
      <c r="BH395" s="102"/>
      <c r="BI395" s="102"/>
      <c r="BJ395" s="102"/>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3.5" hidden="1" customHeight="1" outlineLevel="2">
      <c r="A396" s="9"/>
      <c r="B396" s="9"/>
      <c r="C396" s="9"/>
      <c r="D396" s="25"/>
      <c r="E396" s="375" t="s">
        <v>85</v>
      </c>
      <c r="F396" s="85">
        <v>0</v>
      </c>
      <c r="G396" s="122"/>
      <c r="H396" s="67"/>
      <c r="I396" s="67"/>
      <c r="J396" s="67"/>
      <c r="K396" s="67"/>
      <c r="L396" s="67"/>
      <c r="M396" s="163"/>
      <c r="N396" s="111"/>
      <c r="O396" s="67"/>
      <c r="P396" s="67"/>
      <c r="Q396" s="67"/>
      <c r="R396" s="67"/>
      <c r="S396" s="102"/>
      <c r="T396" s="102"/>
      <c r="U396" s="102"/>
      <c r="V396" s="102"/>
      <c r="W396" s="102"/>
      <c r="X396" s="102"/>
      <c r="Y396" s="102"/>
      <c r="Z396" s="102"/>
      <c r="AA396" s="102"/>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102"/>
      <c r="BE396" s="102"/>
      <c r="BF396" s="102"/>
      <c r="BG396" s="102"/>
      <c r="BH396" s="102"/>
      <c r="BI396" s="102"/>
      <c r="BJ396" s="102"/>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3.5" hidden="1" customHeight="1" outlineLevel="2">
      <c r="A397" s="9"/>
      <c r="B397" s="9"/>
      <c r="C397" s="9"/>
      <c r="D397" s="25"/>
      <c r="E397" s="376"/>
      <c r="F397" s="85">
        <v>1</v>
      </c>
      <c r="G397" s="122"/>
      <c r="H397" s="145"/>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2"/>
      <c r="T397" s="102"/>
      <c r="U397" s="102"/>
      <c r="V397" s="102"/>
      <c r="W397" s="102"/>
      <c r="X397" s="102"/>
      <c r="Y397" s="102"/>
      <c r="Z397" s="102"/>
      <c r="AA397" s="102"/>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102"/>
      <c r="BE397" s="102"/>
      <c r="BF397" s="102"/>
      <c r="BG397" s="102"/>
      <c r="BH397" s="102"/>
      <c r="BI397" s="102"/>
      <c r="BJ397" s="102"/>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3.5" hidden="1" customHeight="1" outlineLevel="2">
      <c r="A398" s="9"/>
      <c r="B398" s="9"/>
      <c r="C398" s="9"/>
      <c r="D398" s="25"/>
      <c r="E398" s="376"/>
      <c r="F398" s="85">
        <v>2</v>
      </c>
      <c r="G398" s="122"/>
      <c r="H398" s="146"/>
      <c r="I398" s="147"/>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2"/>
      <c r="T398" s="102"/>
      <c r="U398" s="102"/>
      <c r="V398" s="102"/>
      <c r="W398" s="102"/>
      <c r="X398" s="102"/>
      <c r="Y398" s="102"/>
      <c r="Z398" s="102"/>
      <c r="AA398" s="102"/>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102"/>
      <c r="BE398" s="102"/>
      <c r="BF398" s="102"/>
      <c r="BG398" s="102"/>
      <c r="BH398" s="102"/>
      <c r="BI398" s="102"/>
      <c r="BJ398" s="102"/>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3.5" hidden="1" customHeight="1" outlineLevel="2">
      <c r="A399" s="9"/>
      <c r="B399" s="9"/>
      <c r="C399" s="9"/>
      <c r="D399" s="25"/>
      <c r="E399" s="376"/>
      <c r="F399" s="85">
        <v>3</v>
      </c>
      <c r="G399" s="122"/>
      <c r="H399" s="146"/>
      <c r="I399" s="148"/>
      <c r="J399" s="147"/>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2"/>
      <c r="T399" s="102"/>
      <c r="U399" s="102"/>
      <c r="V399" s="102"/>
      <c r="W399" s="102"/>
      <c r="X399" s="102"/>
      <c r="Y399" s="102"/>
      <c r="Z399" s="102"/>
      <c r="AA399" s="102"/>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102"/>
      <c r="BE399" s="102"/>
      <c r="BF399" s="102"/>
      <c r="BG399" s="102"/>
      <c r="BH399" s="102"/>
      <c r="BI399" s="102"/>
      <c r="BJ399" s="102"/>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3.5" hidden="1" customHeight="1" outlineLevel="2">
      <c r="A400" s="9"/>
      <c r="B400" s="9"/>
      <c r="C400" s="9"/>
      <c r="D400" s="25"/>
      <c r="E400" s="376"/>
      <c r="F400" s="85">
        <v>4</v>
      </c>
      <c r="G400" s="122"/>
      <c r="H400" s="146"/>
      <c r="I400" s="148"/>
      <c r="J400" s="148"/>
      <c r="K400" s="147"/>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2"/>
      <c r="T400" s="102"/>
      <c r="U400" s="102"/>
      <c r="V400" s="102"/>
      <c r="W400" s="102"/>
      <c r="X400" s="102"/>
      <c r="Y400" s="102"/>
      <c r="Z400" s="102"/>
      <c r="AA400" s="102"/>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102"/>
      <c r="BE400" s="102"/>
      <c r="BF400" s="102"/>
      <c r="BG400" s="102"/>
      <c r="BH400" s="102"/>
      <c r="BI400" s="102"/>
      <c r="BJ400" s="102"/>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3.5" hidden="1" customHeight="1" outlineLevel="2">
      <c r="A401" s="9"/>
      <c r="B401" s="9"/>
      <c r="C401" s="9"/>
      <c r="D401" s="25"/>
      <c r="E401" s="376"/>
      <c r="F401" s="85">
        <v>5</v>
      </c>
      <c r="G401" s="26"/>
      <c r="H401" s="146"/>
      <c r="I401" s="148"/>
      <c r="J401" s="148"/>
      <c r="K401" s="148"/>
      <c r="L401" s="147"/>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2"/>
      <c r="T401" s="102"/>
      <c r="U401" s="102"/>
      <c r="V401" s="102"/>
      <c r="W401" s="102"/>
      <c r="X401" s="102"/>
      <c r="Y401" s="102"/>
      <c r="Z401" s="102"/>
      <c r="AA401" s="102"/>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102"/>
      <c r="BE401" s="102"/>
      <c r="BF401" s="102"/>
      <c r="BG401" s="102"/>
      <c r="BH401" s="102"/>
      <c r="BI401" s="102"/>
      <c r="BJ401" s="102"/>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3.5" hidden="1" customHeight="1" outlineLevel="2">
      <c r="A402" s="9"/>
      <c r="B402" s="9"/>
      <c r="C402" s="9"/>
      <c r="D402" s="25"/>
      <c r="E402" s="376"/>
      <c r="F402" s="85">
        <v>6</v>
      </c>
      <c r="G402" s="26"/>
      <c r="H402" s="146"/>
      <c r="I402" s="148"/>
      <c r="J402" s="148"/>
      <c r="K402" s="148"/>
      <c r="L402" s="148"/>
      <c r="M402" s="147"/>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2"/>
      <c r="T402" s="102"/>
      <c r="U402" s="102"/>
      <c r="V402" s="102"/>
      <c r="W402" s="102"/>
      <c r="X402" s="102"/>
      <c r="Y402" s="102"/>
      <c r="Z402" s="102"/>
      <c r="AA402" s="102"/>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102"/>
      <c r="BE402" s="102"/>
      <c r="BF402" s="102"/>
      <c r="BG402" s="102"/>
      <c r="BH402" s="102"/>
      <c r="BI402" s="102"/>
      <c r="BJ402" s="102"/>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3.5" hidden="1" customHeight="1" outlineLevel="2">
      <c r="A403" s="9"/>
      <c r="B403" s="9"/>
      <c r="C403" s="9"/>
      <c r="D403" s="25"/>
      <c r="E403" s="376"/>
      <c r="F403" s="85">
        <v>7</v>
      </c>
      <c r="G403" s="26"/>
      <c r="H403" s="146"/>
      <c r="I403" s="148"/>
      <c r="J403" s="148"/>
      <c r="K403" s="148"/>
      <c r="L403" s="148"/>
      <c r="M403" s="148"/>
      <c r="N403" s="147"/>
      <c r="O403" s="67">
        <f>IF(A28stdlife="n/a","n/a",IF(O$3&gt;(A28stdlife+$F403),(Input!N$170*(1+vanilla7)^0.5)-SUM($N403:N403),(Input!$N$170*(1+vanilla7)^0.5)/A28stdlife))</f>
        <v>0</v>
      </c>
      <c r="P403" s="67">
        <f>IF(A28stdlife="n/a","n/a",IF(P$3&gt;(A28stdlife+$F403),(Input!O$170*(1+vanilla7)^0.5)-SUM($N403:O403),(Input!$N$170*(1+vanilla7)^0.5)/A28stdlife))</f>
        <v>0</v>
      </c>
      <c r="Q403" s="67">
        <f>IF(A28stdlife="n/a","n/a",IF(Q$3&gt;(A28stdlife+$F403),(Input!P$170*(1+vanilla7)^0.5)-SUM($N403:P403),(Input!$N$170*(1+vanilla7)^0.5)/A28stdlife))</f>
        <v>0</v>
      </c>
      <c r="R403" s="67"/>
      <c r="S403" s="102"/>
      <c r="T403" s="102"/>
      <c r="U403" s="102"/>
      <c r="V403" s="102"/>
      <c r="W403" s="102"/>
      <c r="X403" s="102"/>
      <c r="Y403" s="102"/>
      <c r="Z403" s="102"/>
      <c r="AA403" s="102"/>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102"/>
      <c r="BE403" s="102"/>
      <c r="BF403" s="102"/>
      <c r="BG403" s="102"/>
      <c r="BH403" s="102"/>
      <c r="BI403" s="102"/>
      <c r="BJ403" s="102"/>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3.5" hidden="1" customHeight="1" outlineLevel="2">
      <c r="A404" s="9"/>
      <c r="B404" s="9"/>
      <c r="C404" s="9"/>
      <c r="D404" s="25"/>
      <c r="E404" s="376"/>
      <c r="F404" s="85">
        <v>8</v>
      </c>
      <c r="G404" s="26"/>
      <c r="H404" s="146"/>
      <c r="I404" s="148"/>
      <c r="J404" s="148"/>
      <c r="K404" s="148"/>
      <c r="L404" s="148"/>
      <c r="M404" s="148"/>
      <c r="N404" s="148"/>
      <c r="O404" s="147"/>
      <c r="P404" s="67">
        <f>IF(A28stdlife="n/a","n/a",IF(P$3&gt;(A28stdlife+$F404),(Input!$O$170*(1+vanilla8)^0.5)-SUM($O404:O404),(Input!$O$170*(1+vanilla8)^0.5)/A28stdlife))</f>
        <v>0</v>
      </c>
      <c r="Q404" s="67">
        <f>IF(A28stdlife="n/a","n/a",IF(Q$3&gt;(A28stdlife+$F404),(Input!$O$170*(1+vanilla8)^0.5)-SUM($O404:P404),(Input!$O$170*(1+vanilla8)^0.5)/A28stdlife))</f>
        <v>0</v>
      </c>
      <c r="R404" s="67"/>
      <c r="S404" s="102"/>
      <c r="T404" s="102"/>
      <c r="U404" s="102"/>
      <c r="V404" s="102"/>
      <c r="W404" s="102"/>
      <c r="X404" s="102"/>
      <c r="Y404" s="102"/>
      <c r="Z404" s="102"/>
      <c r="AA404" s="102"/>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102"/>
      <c r="BE404" s="102"/>
      <c r="BF404" s="102"/>
      <c r="BG404" s="102"/>
      <c r="BH404" s="102"/>
      <c r="BI404" s="102"/>
      <c r="BJ404" s="102"/>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3.5" hidden="1" customHeight="1" outlineLevel="2">
      <c r="A405" s="9"/>
      <c r="B405" s="9"/>
      <c r="C405" s="9"/>
      <c r="D405" s="25"/>
      <c r="E405" s="376"/>
      <c r="F405" s="85">
        <v>9</v>
      </c>
      <c r="G405" s="26"/>
      <c r="H405" s="146"/>
      <c r="I405" s="148"/>
      <c r="J405" s="148"/>
      <c r="K405" s="148"/>
      <c r="L405" s="148"/>
      <c r="M405" s="148"/>
      <c r="N405" s="148"/>
      <c r="O405" s="148"/>
      <c r="P405" s="147"/>
      <c r="Q405" s="67">
        <f>IF(A28stdlife="n/a","n/a",IF(Q$3&gt;(A28stdlife+$F405),(Input!$P$170*(1+vanilla9)^0.5)-SUM($P405:P405),(Input!$P$170*(1+vanilla9)^0.5)/A28stdlife))</f>
        <v>0</v>
      </c>
      <c r="R405" s="67"/>
      <c r="S405" s="102"/>
      <c r="T405" s="102"/>
      <c r="U405" s="102"/>
      <c r="V405" s="102"/>
      <c r="W405" s="102"/>
      <c r="X405" s="102"/>
      <c r="Y405" s="102"/>
      <c r="Z405" s="102"/>
      <c r="AA405" s="102"/>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102"/>
      <c r="BE405" s="102"/>
      <c r="BF405" s="102"/>
      <c r="BG405" s="102"/>
      <c r="BH405" s="102"/>
      <c r="BI405" s="102"/>
      <c r="BJ405" s="102"/>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3.5" hidden="1" customHeight="1" outlineLevel="2">
      <c r="A406" s="9"/>
      <c r="B406" s="9"/>
      <c r="C406" s="9"/>
      <c r="D406" s="25"/>
      <c r="E406" s="376"/>
      <c r="F406" s="86">
        <v>10</v>
      </c>
      <c r="G406" s="26"/>
      <c r="H406" s="146"/>
      <c r="I406" s="148"/>
      <c r="J406" s="148"/>
      <c r="K406" s="148"/>
      <c r="L406" s="148"/>
      <c r="M406" s="148"/>
      <c r="N406" s="148"/>
      <c r="O406" s="148"/>
      <c r="P406" s="148"/>
      <c r="Q406" s="147"/>
      <c r="R406" s="67"/>
      <c r="S406" s="102"/>
      <c r="T406" s="102"/>
      <c r="U406" s="102"/>
      <c r="V406" s="102"/>
      <c r="W406" s="102"/>
      <c r="X406" s="102"/>
      <c r="Y406" s="102"/>
      <c r="Z406" s="102"/>
      <c r="AA406" s="102"/>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102"/>
      <c r="BE406" s="102"/>
      <c r="BF406" s="102"/>
      <c r="BG406" s="102"/>
      <c r="BH406" s="102"/>
      <c r="BI406" s="102"/>
      <c r="BJ406" s="102"/>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t="13.5" customHeight="1" outlineLevel="1" collapsed="1">
      <c r="A407" s="9"/>
      <c r="B407" s="9"/>
      <c r="C407" s="9"/>
      <c r="D407" s="25">
        <f>Asset28</f>
        <v>0</v>
      </c>
      <c r="E407" s="9"/>
      <c r="F407" s="9"/>
      <c r="G407" s="122"/>
      <c r="H407" s="165">
        <f>-SUM(H395:H406)</f>
        <v>0</v>
      </c>
      <c r="I407" s="165">
        <f>-SUM(I395:I406)</f>
        <v>0</v>
      </c>
      <c r="J407" s="165">
        <f>-SUM(J395:J406)</f>
        <v>0</v>
      </c>
      <c r="K407" s="165">
        <f>-SUM(K395:K406)</f>
        <v>0</v>
      </c>
      <c r="L407" s="165">
        <f>-SUM(L395:L406)</f>
        <v>0</v>
      </c>
      <c r="M407" s="165">
        <f>IF(Input!M173&gt;0, -SUM(M395:M406), 0)</f>
        <v>0</v>
      </c>
      <c r="N407" s="165">
        <f>IF(Input!N173&gt;0, -SUM(N395:N406), 0)</f>
        <v>0</v>
      </c>
      <c r="O407" s="165">
        <f>IF(Input!O173&gt;0, -SUM(O395:O406), 0)</f>
        <v>0</v>
      </c>
      <c r="P407" s="165">
        <f>IF(Input!P173&gt;0, -SUM(P395:P406), 0)</f>
        <v>0</v>
      </c>
      <c r="Q407" s="165">
        <f>IF(Input!Q173&gt;0, -SUM(Q395:Q406), 0)</f>
        <v>0</v>
      </c>
      <c r="R407" s="65"/>
      <c r="S407" s="104"/>
      <c r="T407" s="104"/>
      <c r="U407" s="104"/>
      <c r="V407" s="104"/>
      <c r="W407" s="104"/>
      <c r="X407" s="104"/>
      <c r="Y407" s="104"/>
      <c r="Z407" s="104"/>
      <c r="AA407" s="104"/>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104"/>
      <c r="BE407" s="104"/>
      <c r="BF407" s="104"/>
      <c r="BG407" s="104"/>
      <c r="BH407" s="104"/>
      <c r="BI407" s="104"/>
      <c r="BJ407" s="104"/>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3.5" hidden="1" customHeight="1" outlineLevel="2">
      <c r="A408" s="9"/>
      <c r="B408" s="9"/>
      <c r="C408" s="31">
        <f>Asset29</f>
        <v>0</v>
      </c>
      <c r="D408" s="161"/>
      <c r="E408" s="33" t="s">
        <v>28</v>
      </c>
      <c r="F408" s="32"/>
      <c r="G408" s="174"/>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102"/>
      <c r="BE408" s="102"/>
      <c r="BF408" s="102"/>
      <c r="BG408" s="102"/>
      <c r="BH408" s="102"/>
      <c r="BI408" s="102"/>
      <c r="BJ408" s="102"/>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3.5" hidden="1" customHeight="1" outlineLevel="2">
      <c r="A409" s="9"/>
      <c r="B409" s="9"/>
      <c r="C409" s="9"/>
      <c r="D409" s="25"/>
      <c r="E409" s="375" t="s">
        <v>85</v>
      </c>
      <c r="F409" s="85">
        <v>0</v>
      </c>
      <c r="G409" s="122"/>
      <c r="H409" s="67"/>
      <c r="I409" s="67"/>
      <c r="J409" s="67"/>
      <c r="K409" s="67"/>
      <c r="L409" s="67"/>
      <c r="M409" s="163"/>
      <c r="N409" s="111"/>
      <c r="O409" s="67"/>
      <c r="P409" s="67"/>
      <c r="Q409" s="67"/>
      <c r="R409" s="67"/>
      <c r="S409" s="102"/>
      <c r="T409" s="102"/>
      <c r="U409" s="102"/>
      <c r="V409" s="102"/>
      <c r="W409" s="102"/>
      <c r="X409" s="102"/>
      <c r="Y409" s="102"/>
      <c r="Z409" s="102"/>
      <c r="AA409" s="102"/>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102"/>
      <c r="BE409" s="102"/>
      <c r="BF409" s="102"/>
      <c r="BG409" s="102"/>
      <c r="BH409" s="102"/>
      <c r="BI409" s="102"/>
      <c r="BJ409" s="102"/>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3.5" hidden="1" customHeight="1" outlineLevel="2">
      <c r="A410" s="9"/>
      <c r="B410" s="9"/>
      <c r="C410" s="9"/>
      <c r="D410" s="25"/>
      <c r="E410" s="376"/>
      <c r="F410" s="85">
        <v>1</v>
      </c>
      <c r="G410" s="122"/>
      <c r="H410" s="145"/>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2"/>
      <c r="T410" s="102"/>
      <c r="U410" s="102"/>
      <c r="V410" s="102"/>
      <c r="W410" s="102"/>
      <c r="X410" s="102"/>
      <c r="Y410" s="102"/>
      <c r="Z410" s="102"/>
      <c r="AA410" s="102"/>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102"/>
      <c r="BE410" s="102"/>
      <c r="BF410" s="102"/>
      <c r="BG410" s="102"/>
      <c r="BH410" s="102"/>
      <c r="BI410" s="102"/>
      <c r="BJ410" s="102"/>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3.5" hidden="1" customHeight="1" outlineLevel="2">
      <c r="A411" s="9"/>
      <c r="B411" s="9"/>
      <c r="C411" s="9"/>
      <c r="D411" s="25"/>
      <c r="E411" s="376"/>
      <c r="F411" s="85">
        <v>2</v>
      </c>
      <c r="G411" s="122"/>
      <c r="H411" s="146"/>
      <c r="I411" s="147"/>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2"/>
      <c r="T411" s="102"/>
      <c r="U411" s="102"/>
      <c r="V411" s="102"/>
      <c r="W411" s="102"/>
      <c r="X411" s="102"/>
      <c r="Y411" s="102"/>
      <c r="Z411" s="102"/>
      <c r="AA411" s="102"/>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102"/>
      <c r="BE411" s="102"/>
      <c r="BF411" s="102"/>
      <c r="BG411" s="102"/>
      <c r="BH411" s="102"/>
      <c r="BI411" s="102"/>
      <c r="BJ411" s="102"/>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3.5" hidden="1" customHeight="1" outlineLevel="2">
      <c r="A412" s="9"/>
      <c r="B412" s="9"/>
      <c r="C412" s="9"/>
      <c r="D412" s="25"/>
      <c r="E412" s="376"/>
      <c r="F412" s="85">
        <v>3</v>
      </c>
      <c r="G412" s="122"/>
      <c r="H412" s="146"/>
      <c r="I412" s="148"/>
      <c r="J412" s="147"/>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2"/>
      <c r="T412" s="102"/>
      <c r="U412" s="102"/>
      <c r="V412" s="102"/>
      <c r="W412" s="102"/>
      <c r="X412" s="102"/>
      <c r="Y412" s="102"/>
      <c r="Z412" s="102"/>
      <c r="AA412" s="102"/>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102"/>
      <c r="BE412" s="102"/>
      <c r="BF412" s="102"/>
      <c r="BG412" s="102"/>
      <c r="BH412" s="102"/>
      <c r="BI412" s="102"/>
      <c r="BJ412" s="102"/>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3.5" hidden="1" customHeight="1" outlineLevel="2">
      <c r="A413" s="9"/>
      <c r="B413" s="9"/>
      <c r="C413" s="9"/>
      <c r="D413" s="25"/>
      <c r="E413" s="376"/>
      <c r="F413" s="85">
        <v>4</v>
      </c>
      <c r="G413" s="122"/>
      <c r="H413" s="146"/>
      <c r="I413" s="148"/>
      <c r="J413" s="148"/>
      <c r="K413" s="147"/>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2"/>
      <c r="T413" s="102"/>
      <c r="U413" s="102"/>
      <c r="V413" s="102"/>
      <c r="W413" s="102"/>
      <c r="X413" s="102"/>
      <c r="Y413" s="102"/>
      <c r="Z413" s="102"/>
      <c r="AA413" s="102"/>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102"/>
      <c r="BE413" s="102"/>
      <c r="BF413" s="102"/>
      <c r="BG413" s="102"/>
      <c r="BH413" s="102"/>
      <c r="BI413" s="102"/>
      <c r="BJ413" s="102"/>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3.5" hidden="1" customHeight="1" outlineLevel="2">
      <c r="A414" s="9"/>
      <c r="B414" s="9"/>
      <c r="C414" s="9"/>
      <c r="D414" s="25"/>
      <c r="E414" s="376"/>
      <c r="F414" s="85">
        <v>5</v>
      </c>
      <c r="G414" s="26"/>
      <c r="H414" s="146"/>
      <c r="I414" s="148"/>
      <c r="J414" s="148"/>
      <c r="K414" s="148"/>
      <c r="L414" s="147"/>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2"/>
      <c r="T414" s="102"/>
      <c r="U414" s="102"/>
      <c r="V414" s="102"/>
      <c r="W414" s="102"/>
      <c r="X414" s="102"/>
      <c r="Y414" s="102"/>
      <c r="Z414" s="102"/>
      <c r="AA414" s="102"/>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102"/>
      <c r="BE414" s="102"/>
      <c r="BF414" s="102"/>
      <c r="BG414" s="102"/>
      <c r="BH414" s="102"/>
      <c r="BI414" s="102"/>
      <c r="BJ414" s="102"/>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3.5" hidden="1" customHeight="1" outlineLevel="2">
      <c r="A415" s="9"/>
      <c r="B415" s="9"/>
      <c r="C415" s="9"/>
      <c r="D415" s="25"/>
      <c r="E415" s="376"/>
      <c r="F415" s="85">
        <v>6</v>
      </c>
      <c r="G415" s="26"/>
      <c r="H415" s="146"/>
      <c r="I415" s="148"/>
      <c r="J415" s="148"/>
      <c r="K415" s="148"/>
      <c r="L415" s="148"/>
      <c r="M415" s="147"/>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2"/>
      <c r="T415" s="102"/>
      <c r="U415" s="102"/>
      <c r="V415" s="102"/>
      <c r="W415" s="102"/>
      <c r="X415" s="102"/>
      <c r="Y415" s="102"/>
      <c r="Z415" s="102"/>
      <c r="AA415" s="102"/>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102"/>
      <c r="BE415" s="102"/>
      <c r="BF415" s="102"/>
      <c r="BG415" s="102"/>
      <c r="BH415" s="102"/>
      <c r="BI415" s="102"/>
      <c r="BJ415" s="102"/>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3.5" hidden="1" customHeight="1" outlineLevel="2">
      <c r="A416" s="9"/>
      <c r="B416" s="9"/>
      <c r="C416" s="9"/>
      <c r="D416" s="25"/>
      <c r="E416" s="376"/>
      <c r="F416" s="85">
        <v>7</v>
      </c>
      <c r="G416" s="26"/>
      <c r="H416" s="146"/>
      <c r="I416" s="148"/>
      <c r="J416" s="148"/>
      <c r="K416" s="148"/>
      <c r="L416" s="148"/>
      <c r="M416" s="148"/>
      <c r="N416" s="147"/>
      <c r="O416" s="67">
        <f>IF(A29stdlife="n/a","n/a",IF(O$3&gt;(A29stdlife+$F416),(Input!N$171*(1+vanilla7)^0.5)-SUM($N416:N416),(Input!$N$171*(1+vanilla7)^0.5)/A29stdlife))</f>
        <v>0</v>
      </c>
      <c r="P416" s="67">
        <f>IF(A29stdlife="n/a","n/a",IF(P$3&gt;(A29stdlife+$F416),(Input!O$171*(1+vanilla7)^0.5)-SUM($N416:O416),(Input!$N$171*(1+vanilla7)^0.5)/A29stdlife))</f>
        <v>0</v>
      </c>
      <c r="Q416" s="67">
        <f>IF(A29stdlife="n/a","n/a",IF(Q$3&gt;(A29stdlife+$F416),(Input!P$171*(1+vanilla7)^0.5)-SUM($N416:P416),(Input!$N$171*(1+vanilla7)^0.5)/A29stdlife))</f>
        <v>0</v>
      </c>
      <c r="R416" s="67"/>
      <c r="S416" s="102"/>
      <c r="T416" s="102"/>
      <c r="U416" s="102"/>
      <c r="V416" s="102"/>
      <c r="W416" s="102"/>
      <c r="X416" s="102"/>
      <c r="Y416" s="102"/>
      <c r="Z416" s="102"/>
      <c r="AA416" s="102"/>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102"/>
      <c r="BE416" s="102"/>
      <c r="BF416" s="102"/>
      <c r="BG416" s="102"/>
      <c r="BH416" s="102"/>
      <c r="BI416" s="102"/>
      <c r="BJ416" s="102"/>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3.5" hidden="1" customHeight="1" outlineLevel="2">
      <c r="A417" s="9"/>
      <c r="B417" s="9"/>
      <c r="C417" s="9"/>
      <c r="D417" s="25"/>
      <c r="E417" s="376"/>
      <c r="F417" s="85">
        <v>8</v>
      </c>
      <c r="G417" s="26"/>
      <c r="H417" s="146"/>
      <c r="I417" s="148"/>
      <c r="J417" s="148"/>
      <c r="K417" s="148"/>
      <c r="L417" s="148"/>
      <c r="M417" s="148"/>
      <c r="N417" s="148"/>
      <c r="O417" s="147"/>
      <c r="P417" s="67">
        <f>IF(A29stdlife="n/a","n/a",IF(P$3&gt;(A29stdlife+$F417),(Input!$O$171*(1+vanilla8)^0.5)-SUM($O417:O417),(Input!$O$171*(1+vanilla8)^0.5)/A29stdlife))</f>
        <v>0</v>
      </c>
      <c r="Q417" s="67">
        <f>IF(A29stdlife="n/a","n/a",IF(Q$3&gt;(A29stdlife+$F417),(Input!$O$171*(1+vanilla8)^0.5)-SUM($O417:P417),(Input!$O$171*(1+vanilla8)^0.5)/A29stdlife))</f>
        <v>0</v>
      </c>
      <c r="R417" s="67"/>
      <c r="S417" s="102"/>
      <c r="T417" s="102"/>
      <c r="U417" s="102"/>
      <c r="V417" s="102"/>
      <c r="W417" s="102"/>
      <c r="X417" s="102"/>
      <c r="Y417" s="102"/>
      <c r="Z417" s="102"/>
      <c r="AA417" s="102"/>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102"/>
      <c r="BE417" s="102"/>
      <c r="BF417" s="102"/>
      <c r="BG417" s="102"/>
      <c r="BH417" s="102"/>
      <c r="BI417" s="102"/>
      <c r="BJ417" s="102"/>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3.5" hidden="1" customHeight="1" outlineLevel="2">
      <c r="A418" s="9"/>
      <c r="B418" s="9"/>
      <c r="C418" s="9"/>
      <c r="D418" s="25"/>
      <c r="E418" s="376"/>
      <c r="F418" s="85">
        <v>9</v>
      </c>
      <c r="G418" s="26"/>
      <c r="H418" s="146"/>
      <c r="I418" s="148"/>
      <c r="J418" s="148"/>
      <c r="K418" s="148"/>
      <c r="L418" s="148"/>
      <c r="M418" s="148"/>
      <c r="N418" s="148"/>
      <c r="O418" s="148"/>
      <c r="P418" s="147"/>
      <c r="Q418" s="67">
        <f>IF(A29stdlife="n/a","n/a",IF(Q$3&gt;(A29stdlife+$F418),(Input!$P$171*(1+vanilla9)^0.5)-SUM($P418:P418),(Input!$P$171*(1+vanilla9)^0.5)/A29stdlife))</f>
        <v>0</v>
      </c>
      <c r="R418" s="67"/>
      <c r="S418" s="102"/>
      <c r="T418" s="102"/>
      <c r="U418" s="102"/>
      <c r="V418" s="102"/>
      <c r="W418" s="102"/>
      <c r="X418" s="102"/>
      <c r="Y418" s="102"/>
      <c r="Z418" s="102"/>
      <c r="AA418" s="102"/>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102"/>
      <c r="BE418" s="102"/>
      <c r="BF418" s="102"/>
      <c r="BG418" s="102"/>
      <c r="BH418" s="102"/>
      <c r="BI418" s="102"/>
      <c r="BJ418" s="102"/>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3.5" hidden="1" customHeight="1" outlineLevel="2">
      <c r="A419" s="9"/>
      <c r="B419" s="9"/>
      <c r="C419" s="9"/>
      <c r="D419" s="25"/>
      <c r="E419" s="376"/>
      <c r="F419" s="86">
        <v>10</v>
      </c>
      <c r="G419" s="26"/>
      <c r="H419" s="146"/>
      <c r="I419" s="148"/>
      <c r="J419" s="148"/>
      <c r="K419" s="148"/>
      <c r="L419" s="148"/>
      <c r="M419" s="148"/>
      <c r="N419" s="148"/>
      <c r="O419" s="148"/>
      <c r="P419" s="148"/>
      <c r="Q419" s="147"/>
      <c r="R419" s="67"/>
      <c r="S419" s="102"/>
      <c r="T419" s="102"/>
      <c r="U419" s="102"/>
      <c r="V419" s="102"/>
      <c r="W419" s="102"/>
      <c r="X419" s="102"/>
      <c r="Y419" s="102"/>
      <c r="Z419" s="102"/>
      <c r="AA419" s="102"/>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102"/>
      <c r="BE419" s="102"/>
      <c r="BF419" s="102"/>
      <c r="BG419" s="102"/>
      <c r="BH419" s="102"/>
      <c r="BI419" s="102"/>
      <c r="BJ419" s="102"/>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3.5" customHeight="1" outlineLevel="1" collapsed="1">
      <c r="A420" s="9"/>
      <c r="B420" s="9"/>
      <c r="C420" s="9"/>
      <c r="D420" s="25">
        <f>Asset29</f>
        <v>0</v>
      </c>
      <c r="E420" s="9"/>
      <c r="F420" s="9"/>
      <c r="G420" s="122"/>
      <c r="H420" s="165">
        <f>-SUM(H408:H419)</f>
        <v>0</v>
      </c>
      <c r="I420" s="165">
        <f>-SUM(I408:I419)</f>
        <v>0</v>
      </c>
      <c r="J420" s="165">
        <f>-SUM(J408:J419)</f>
        <v>0</v>
      </c>
      <c r="K420" s="165">
        <f>-SUM(K408:K419)</f>
        <v>0</v>
      </c>
      <c r="L420" s="165">
        <f>-SUM(L408:L419)</f>
        <v>0</v>
      </c>
      <c r="M420" s="165">
        <f>IF(Input!M173&gt;0, -SUM(M408:M419), 0)</f>
        <v>0</v>
      </c>
      <c r="N420" s="165">
        <f>IF(Input!N173&gt;0, -SUM(N408:N419), 0)</f>
        <v>0</v>
      </c>
      <c r="O420" s="165">
        <f>IF(Input!O173&gt;0, -SUM(O408:O419), 0)</f>
        <v>0</v>
      </c>
      <c r="P420" s="165">
        <f>IF(Input!P173&gt;0, -SUM(P408:P419), 0)</f>
        <v>0</v>
      </c>
      <c r="Q420" s="165">
        <f>IF(Input!Q173&gt;0, -SUM(Q408:Q419), 0)</f>
        <v>0</v>
      </c>
      <c r="R420" s="65"/>
      <c r="S420" s="104"/>
      <c r="T420" s="104"/>
      <c r="U420" s="104"/>
      <c r="V420" s="104"/>
      <c r="W420" s="104"/>
      <c r="X420" s="104"/>
      <c r="Y420" s="104"/>
      <c r="Z420" s="104"/>
      <c r="AA420" s="104"/>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104"/>
      <c r="BE420" s="104"/>
      <c r="BF420" s="104"/>
      <c r="BG420" s="104"/>
      <c r="BH420" s="104"/>
      <c r="BI420" s="104"/>
      <c r="BJ420" s="104"/>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13.5" hidden="1" customHeight="1" outlineLevel="2">
      <c r="A421" s="9"/>
      <c r="B421" s="9"/>
      <c r="C421" s="31">
        <f>Asset30</f>
        <v>0</v>
      </c>
      <c r="D421" s="161"/>
      <c r="E421" s="33" t="s">
        <v>28</v>
      </c>
      <c r="F421" s="32"/>
      <c r="G421" s="174"/>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102"/>
      <c r="BE421" s="102"/>
      <c r="BF421" s="102"/>
      <c r="BG421" s="102"/>
      <c r="BH421" s="102"/>
      <c r="BI421" s="102"/>
      <c r="BJ421" s="102"/>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3.5" hidden="1" customHeight="1" outlineLevel="2">
      <c r="A422" s="9"/>
      <c r="B422" s="9"/>
      <c r="C422" s="9"/>
      <c r="D422" s="25"/>
      <c r="E422" s="375" t="s">
        <v>85</v>
      </c>
      <c r="F422" s="85">
        <v>0</v>
      </c>
      <c r="G422" s="122"/>
      <c r="H422" s="67"/>
      <c r="I422" s="67"/>
      <c r="J422" s="67"/>
      <c r="K422" s="67"/>
      <c r="L422" s="67"/>
      <c r="M422" s="163"/>
      <c r="N422" s="111"/>
      <c r="O422" s="67"/>
      <c r="P422" s="67"/>
      <c r="Q422" s="67"/>
      <c r="R422" s="67"/>
      <c r="S422" s="102"/>
      <c r="T422" s="102"/>
      <c r="U422" s="102"/>
      <c r="V422" s="102"/>
      <c r="W422" s="102"/>
      <c r="X422" s="102"/>
      <c r="Y422" s="102"/>
      <c r="Z422" s="102"/>
      <c r="AA422" s="102"/>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102"/>
      <c r="BE422" s="102"/>
      <c r="BF422" s="102"/>
      <c r="BG422" s="102"/>
      <c r="BH422" s="102"/>
      <c r="BI422" s="102"/>
      <c r="BJ422" s="102"/>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3.5" hidden="1" customHeight="1" outlineLevel="2">
      <c r="A423" s="9"/>
      <c r="B423" s="9"/>
      <c r="C423" s="9"/>
      <c r="D423" s="25"/>
      <c r="E423" s="376"/>
      <c r="F423" s="85">
        <v>1</v>
      </c>
      <c r="G423" s="122"/>
      <c r="H423" s="145"/>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2"/>
      <c r="T423" s="102"/>
      <c r="U423" s="102"/>
      <c r="V423" s="102"/>
      <c r="W423" s="102"/>
      <c r="X423" s="102"/>
      <c r="Y423" s="102"/>
      <c r="Z423" s="102"/>
      <c r="AA423" s="102"/>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102"/>
      <c r="BE423" s="102"/>
      <c r="BF423" s="102"/>
      <c r="BG423" s="102"/>
      <c r="BH423" s="102"/>
      <c r="BI423" s="102"/>
      <c r="BJ423" s="102"/>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3.5" hidden="1" customHeight="1" outlineLevel="2">
      <c r="A424" s="9"/>
      <c r="B424" s="9"/>
      <c r="C424" s="9"/>
      <c r="D424" s="25"/>
      <c r="E424" s="376"/>
      <c r="F424" s="85">
        <v>2</v>
      </c>
      <c r="G424" s="122"/>
      <c r="H424" s="146"/>
      <c r="I424" s="147"/>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2"/>
      <c r="T424" s="102"/>
      <c r="U424" s="102"/>
      <c r="V424" s="102"/>
      <c r="W424" s="102"/>
      <c r="X424" s="102"/>
      <c r="Y424" s="102"/>
      <c r="Z424" s="102"/>
      <c r="AA424" s="102"/>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102"/>
      <c r="BE424" s="102"/>
      <c r="BF424" s="102"/>
      <c r="BG424" s="102"/>
      <c r="BH424" s="102"/>
      <c r="BI424" s="102"/>
      <c r="BJ424" s="102"/>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3.5" hidden="1" customHeight="1" outlineLevel="2">
      <c r="A425" s="9"/>
      <c r="B425" s="9"/>
      <c r="C425" s="9"/>
      <c r="D425" s="25"/>
      <c r="E425" s="376"/>
      <c r="F425" s="85">
        <v>3</v>
      </c>
      <c r="G425" s="122"/>
      <c r="H425" s="146"/>
      <c r="I425" s="148"/>
      <c r="J425" s="147"/>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2"/>
      <c r="T425" s="102"/>
      <c r="U425" s="102"/>
      <c r="V425" s="102"/>
      <c r="W425" s="102"/>
      <c r="X425" s="102"/>
      <c r="Y425" s="102"/>
      <c r="Z425" s="102"/>
      <c r="AA425" s="102"/>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102"/>
      <c r="BE425" s="102"/>
      <c r="BF425" s="102"/>
      <c r="BG425" s="102"/>
      <c r="BH425" s="102"/>
      <c r="BI425" s="102"/>
      <c r="BJ425" s="102"/>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3.5" hidden="1" customHeight="1" outlineLevel="2">
      <c r="A426" s="9"/>
      <c r="B426" s="9"/>
      <c r="C426" s="9"/>
      <c r="D426" s="25"/>
      <c r="E426" s="376"/>
      <c r="F426" s="85">
        <v>4</v>
      </c>
      <c r="G426" s="122"/>
      <c r="H426" s="146"/>
      <c r="I426" s="148"/>
      <c r="J426" s="148"/>
      <c r="K426" s="147"/>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2"/>
      <c r="T426" s="102"/>
      <c r="U426" s="102"/>
      <c r="V426" s="102"/>
      <c r="W426" s="102"/>
      <c r="X426" s="102"/>
      <c r="Y426" s="102"/>
      <c r="Z426" s="102"/>
      <c r="AA426" s="102"/>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102"/>
      <c r="BE426" s="102"/>
      <c r="BF426" s="102"/>
      <c r="BG426" s="102"/>
      <c r="BH426" s="102"/>
      <c r="BI426" s="102"/>
      <c r="BJ426" s="102"/>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3.5" hidden="1" customHeight="1" outlineLevel="2">
      <c r="A427" s="9"/>
      <c r="B427" s="9"/>
      <c r="C427" s="9"/>
      <c r="D427" s="25"/>
      <c r="E427" s="376"/>
      <c r="F427" s="85">
        <v>5</v>
      </c>
      <c r="G427" s="26"/>
      <c r="H427" s="146"/>
      <c r="I427" s="148"/>
      <c r="J427" s="148"/>
      <c r="K427" s="148"/>
      <c r="L427" s="147"/>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2"/>
      <c r="T427" s="102"/>
      <c r="U427" s="102"/>
      <c r="V427" s="102"/>
      <c r="W427" s="102"/>
      <c r="X427" s="102"/>
      <c r="Y427" s="102"/>
      <c r="Z427" s="102"/>
      <c r="AA427" s="102"/>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102"/>
      <c r="BE427" s="102"/>
      <c r="BF427" s="102"/>
      <c r="BG427" s="102"/>
      <c r="BH427" s="102"/>
      <c r="BI427" s="102"/>
      <c r="BJ427" s="102"/>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3.5" hidden="1" customHeight="1" outlineLevel="2">
      <c r="A428" s="9"/>
      <c r="B428" s="9"/>
      <c r="C428" s="9"/>
      <c r="D428" s="25"/>
      <c r="E428" s="376"/>
      <c r="F428" s="85">
        <v>6</v>
      </c>
      <c r="G428" s="26"/>
      <c r="H428" s="146"/>
      <c r="I428" s="148"/>
      <c r="J428" s="148"/>
      <c r="K428" s="148"/>
      <c r="L428" s="148"/>
      <c r="M428" s="147"/>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2"/>
      <c r="T428" s="102"/>
      <c r="U428" s="102"/>
      <c r="V428" s="102"/>
      <c r="W428" s="102"/>
      <c r="X428" s="102"/>
      <c r="Y428" s="102"/>
      <c r="Z428" s="102"/>
      <c r="AA428" s="102"/>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102"/>
      <c r="BE428" s="102"/>
      <c r="BF428" s="102"/>
      <c r="BG428" s="102"/>
      <c r="BH428" s="102"/>
      <c r="BI428" s="102"/>
      <c r="BJ428" s="102"/>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3.5" hidden="1" customHeight="1" outlineLevel="2">
      <c r="A429" s="9"/>
      <c r="B429" s="9"/>
      <c r="C429" s="9"/>
      <c r="D429" s="25"/>
      <c r="E429" s="376"/>
      <c r="F429" s="85">
        <v>7</v>
      </c>
      <c r="G429" s="26"/>
      <c r="H429" s="146"/>
      <c r="I429" s="148"/>
      <c r="J429" s="148"/>
      <c r="K429" s="148"/>
      <c r="L429" s="148"/>
      <c r="M429" s="148"/>
      <c r="N429" s="147"/>
      <c r="O429" s="67">
        <f>IF(A30stdlife="n/a","n/a",IF(O$3&gt;(A30stdlife+$F429),(Input!N$172*(1+vanilla7)^0.5)-SUM($N429:N429),(Input!$N$172*(1+vanilla7)^0.5)/A30stdlife))</f>
        <v>0</v>
      </c>
      <c r="P429" s="67">
        <f>IF(A30stdlife="n/a","n/a",IF(P$3&gt;(A30stdlife+$F429),(Input!O$172*(1+vanilla7)^0.5)-SUM($N429:O429),(Input!$N$172*(1+vanilla7)^0.5)/A30stdlife))</f>
        <v>0</v>
      </c>
      <c r="Q429" s="67">
        <f>IF(A30stdlife="n/a","n/a",IF(Q$3&gt;(A30stdlife+$F429),(Input!P$172*(1+vanilla7)^0.5)-SUM($N429:P429),(Input!$N$172*(1+vanilla7)^0.5)/A30stdlife))</f>
        <v>0</v>
      </c>
      <c r="R429" s="67"/>
      <c r="S429" s="102"/>
      <c r="T429" s="102"/>
      <c r="U429" s="102"/>
      <c r="V429" s="102"/>
      <c r="W429" s="102"/>
      <c r="X429" s="102"/>
      <c r="Y429" s="102"/>
      <c r="Z429" s="102"/>
      <c r="AA429" s="102"/>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102"/>
      <c r="BE429" s="102"/>
      <c r="BF429" s="102"/>
      <c r="BG429" s="102"/>
      <c r="BH429" s="102"/>
      <c r="BI429" s="102"/>
      <c r="BJ429" s="102"/>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3.5" hidden="1" customHeight="1" outlineLevel="2">
      <c r="A430" s="9"/>
      <c r="B430" s="9"/>
      <c r="C430" s="9"/>
      <c r="D430" s="25"/>
      <c r="E430" s="376"/>
      <c r="F430" s="85">
        <v>8</v>
      </c>
      <c r="G430" s="26"/>
      <c r="H430" s="146"/>
      <c r="I430" s="148"/>
      <c r="J430" s="148"/>
      <c r="K430" s="148"/>
      <c r="L430" s="148"/>
      <c r="M430" s="148"/>
      <c r="N430" s="148"/>
      <c r="O430" s="147"/>
      <c r="P430" s="67">
        <f>IF(A30stdlife="n/a","n/a",IF(P$3&gt;(A30stdlife+$F430),(Input!$O$172*(1+vanilla8)^0.5)-SUM($O430:O430),(Input!$O$172*(1+vanilla8)^0.5)/A30stdlife))</f>
        <v>0</v>
      </c>
      <c r="Q430" s="67">
        <f>IF(A30stdlife="n/a","n/a",IF(Q$3&gt;(A30stdlife+$F430),(Input!$O$172*(1+vanilla8)^0.5)-SUM($O430:P430),(Input!$O$172*(1+vanilla8)^0.5)/A30stdlife))</f>
        <v>0</v>
      </c>
      <c r="R430" s="67"/>
      <c r="S430" s="102"/>
      <c r="T430" s="102"/>
      <c r="U430" s="102"/>
      <c r="V430" s="102"/>
      <c r="W430" s="102"/>
      <c r="X430" s="102"/>
      <c r="Y430" s="102"/>
      <c r="Z430" s="102"/>
      <c r="AA430" s="102"/>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102"/>
      <c r="BE430" s="102"/>
      <c r="BF430" s="102"/>
      <c r="BG430" s="102"/>
      <c r="BH430" s="102"/>
      <c r="BI430" s="102"/>
      <c r="BJ430" s="102"/>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3.5" hidden="1" customHeight="1" outlineLevel="2">
      <c r="A431" s="9"/>
      <c r="B431" s="9"/>
      <c r="C431" s="9"/>
      <c r="D431" s="25"/>
      <c r="E431" s="376"/>
      <c r="F431" s="85">
        <v>9</v>
      </c>
      <c r="G431" s="26"/>
      <c r="H431" s="146"/>
      <c r="I431" s="148"/>
      <c r="J431" s="148"/>
      <c r="K431" s="148"/>
      <c r="L431" s="148"/>
      <c r="M431" s="148"/>
      <c r="N431" s="148"/>
      <c r="O431" s="148"/>
      <c r="P431" s="147"/>
      <c r="Q431" s="67">
        <f>IF(A30stdlife="n/a","n/a",IF(Q$3&gt;(A30stdlife+$F431),(Input!$P$172*(1+vanilla9)^0.5)-SUM($P431:P431),(Input!$P$172*(1+vanilla9)^0.5)/A30stdlife))</f>
        <v>0</v>
      </c>
      <c r="R431" s="67"/>
      <c r="S431" s="102"/>
      <c r="T431" s="102"/>
      <c r="U431" s="102"/>
      <c r="V431" s="102"/>
      <c r="W431" s="102"/>
      <c r="X431" s="102"/>
      <c r="Y431" s="102"/>
      <c r="Z431" s="102"/>
      <c r="AA431" s="102"/>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102"/>
      <c r="BE431" s="102"/>
      <c r="BF431" s="102"/>
      <c r="BG431" s="102"/>
      <c r="BH431" s="102"/>
      <c r="BI431" s="102"/>
      <c r="BJ431" s="102"/>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3.5" hidden="1" customHeight="1" outlineLevel="2">
      <c r="A432" s="9"/>
      <c r="B432" s="9"/>
      <c r="C432" s="9"/>
      <c r="D432" s="25"/>
      <c r="E432" s="376"/>
      <c r="F432" s="86">
        <v>10</v>
      </c>
      <c r="G432" s="26"/>
      <c r="H432" s="146"/>
      <c r="I432" s="148"/>
      <c r="J432" s="148"/>
      <c r="K432" s="148"/>
      <c r="L432" s="148"/>
      <c r="M432" s="148"/>
      <c r="N432" s="148"/>
      <c r="O432" s="148"/>
      <c r="P432" s="148"/>
      <c r="Q432" s="147"/>
      <c r="R432" s="67"/>
      <c r="S432" s="102"/>
      <c r="T432" s="102"/>
      <c r="U432" s="102"/>
      <c r="V432" s="102"/>
      <c r="W432" s="102"/>
      <c r="X432" s="102"/>
      <c r="Y432" s="102"/>
      <c r="Z432" s="102"/>
      <c r="AA432" s="102"/>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102"/>
      <c r="BE432" s="102"/>
      <c r="BF432" s="102"/>
      <c r="BG432" s="102"/>
      <c r="BH432" s="102"/>
      <c r="BI432" s="102"/>
      <c r="BJ432" s="102"/>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3.5" customHeight="1" outlineLevel="1" collapsed="1">
      <c r="A433" s="9"/>
      <c r="B433" s="9"/>
      <c r="C433" s="9"/>
      <c r="D433" s="25">
        <f>Asset30</f>
        <v>0</v>
      </c>
      <c r="E433" s="9"/>
      <c r="F433" s="9"/>
      <c r="G433" s="122"/>
      <c r="H433" s="165">
        <f>-SUM(H421:H432)</f>
        <v>0</v>
      </c>
      <c r="I433" s="165">
        <f>-SUM(I421:I432)</f>
        <v>0</v>
      </c>
      <c r="J433" s="165">
        <f>-SUM(J421:J432)</f>
        <v>0</v>
      </c>
      <c r="K433" s="165">
        <f>-SUM(K421:K432)</f>
        <v>0</v>
      </c>
      <c r="L433" s="165">
        <f>-SUM(L421:L432)</f>
        <v>0</v>
      </c>
      <c r="M433" s="165">
        <f>IF(Input!M173&gt;0, -SUM(M421:M432), 0)</f>
        <v>0</v>
      </c>
      <c r="N433" s="165">
        <f>IF(Input!N173&gt;0, -SUM(N421:N432), 0)</f>
        <v>0</v>
      </c>
      <c r="O433" s="165">
        <f>IF(Input!O173&gt;0, -SUM(O421:O432), 0)</f>
        <v>0</v>
      </c>
      <c r="P433" s="165">
        <f>IF(Input!P173&gt;0, -SUM(P421:P432), 0)</f>
        <v>0</v>
      </c>
      <c r="Q433" s="165">
        <f>IF(Input!Q173&gt;0, -SUM(Q421:Q432), 0)</f>
        <v>0</v>
      </c>
      <c r="R433" s="65"/>
      <c r="S433" s="104"/>
      <c r="T433" s="104"/>
      <c r="U433" s="104"/>
      <c r="V433" s="104"/>
      <c r="W433" s="104"/>
      <c r="X433" s="104"/>
      <c r="Y433" s="104"/>
      <c r="Z433" s="104"/>
      <c r="AA433" s="104"/>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104"/>
      <c r="BE433" s="104"/>
      <c r="BF433" s="104"/>
      <c r="BG433" s="104"/>
      <c r="BH433" s="104"/>
      <c r="BI433" s="104"/>
      <c r="BJ433" s="104"/>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ht="13.5" customHeight="1">
      <c r="A434" s="9"/>
      <c r="B434" s="9"/>
      <c r="C434" s="9"/>
      <c r="D434" s="9"/>
      <c r="E434" s="9"/>
      <c r="F434" s="9"/>
      <c r="G434" s="22"/>
      <c r="H434" s="117"/>
      <c r="I434" s="117"/>
      <c r="J434" s="117"/>
      <c r="K434" s="117"/>
      <c r="L434" s="117"/>
      <c r="M434" s="117"/>
      <c r="N434" s="30"/>
      <c r="O434" s="30"/>
      <c r="P434" s="30"/>
      <c r="Q434" s="30"/>
      <c r="R434" s="30"/>
      <c r="S434" s="105"/>
      <c r="T434" s="105"/>
      <c r="U434" s="105"/>
      <c r="V434" s="105"/>
      <c r="W434" s="105"/>
      <c r="X434" s="105"/>
      <c r="Y434" s="105"/>
      <c r="Z434" s="105"/>
      <c r="AA434" s="105"/>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105"/>
      <c r="BE434" s="105"/>
      <c r="BF434" s="105"/>
      <c r="BG434" s="105"/>
      <c r="BH434" s="105"/>
      <c r="BI434" s="105"/>
      <c r="BJ434" s="105"/>
      <c r="BK434" s="11"/>
      <c r="BL434" s="11"/>
    </row>
    <row r="435" spans="1:256" ht="13.5" customHeight="1">
      <c r="A435" s="72"/>
      <c r="B435" s="72"/>
      <c r="C435" s="79" t="s">
        <v>31</v>
      </c>
      <c r="D435" s="72"/>
      <c r="E435" s="72"/>
      <c r="F435" s="72"/>
      <c r="G435" s="82"/>
      <c r="H435" s="118"/>
      <c r="I435" s="118"/>
      <c r="J435" s="118"/>
      <c r="K435" s="118"/>
      <c r="L435" s="118"/>
      <c r="M435" s="118"/>
      <c r="N435" s="83"/>
      <c r="O435" s="83"/>
      <c r="P435" s="83"/>
      <c r="Q435" s="83"/>
      <c r="R435" s="83"/>
      <c r="S435" s="83"/>
      <c r="T435" s="105"/>
      <c r="U435" s="105"/>
      <c r="V435" s="105"/>
      <c r="W435" s="105"/>
      <c r="X435" s="105"/>
      <c r="Y435" s="105"/>
      <c r="Z435" s="105"/>
      <c r="AA435" s="105"/>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105"/>
      <c r="BE435" s="105"/>
      <c r="BF435" s="105"/>
      <c r="BG435" s="105"/>
      <c r="BH435" s="105"/>
      <c r="BI435" s="105"/>
      <c r="BJ435" s="105"/>
      <c r="BK435" s="11"/>
      <c r="BL435" s="11"/>
    </row>
    <row r="436" spans="1:256" ht="13.5" customHeight="1">
      <c r="A436" s="9"/>
      <c r="B436" s="11"/>
      <c r="C436" s="16"/>
      <c r="D436" s="11"/>
      <c r="E436" s="11"/>
      <c r="F436" s="11"/>
      <c r="G436" s="113"/>
      <c r="H436" s="292"/>
      <c r="I436" s="292"/>
      <c r="J436" s="292"/>
      <c r="K436" s="292"/>
      <c r="L436" s="119"/>
      <c r="M436" s="119"/>
      <c r="N436" s="105"/>
      <c r="O436" s="105"/>
      <c r="P436" s="105"/>
      <c r="Q436" s="105"/>
      <c r="R436" s="105"/>
      <c r="S436" s="105"/>
      <c r="T436" s="105"/>
      <c r="U436" s="105"/>
      <c r="V436" s="105"/>
      <c r="W436" s="105"/>
      <c r="X436" s="105"/>
      <c r="Y436" s="105"/>
      <c r="Z436" s="105"/>
      <c r="AA436" s="105"/>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105"/>
      <c r="BE436" s="105"/>
      <c r="BF436" s="105"/>
      <c r="BG436" s="105"/>
      <c r="BH436" s="105"/>
      <c r="BI436" s="105"/>
      <c r="BJ436" s="105"/>
      <c r="BK436" s="11"/>
      <c r="BL436" s="11"/>
    </row>
    <row r="437" spans="1:256" ht="12.75" customHeight="1">
      <c r="A437" s="9"/>
      <c r="B437" s="9"/>
      <c r="C437" s="44" t="s">
        <v>46</v>
      </c>
      <c r="D437" s="9"/>
      <c r="E437" s="9"/>
      <c r="F437" s="9"/>
      <c r="G437" s="198">
        <f>SUM(G438:G467)</f>
        <v>876.96965593969333</v>
      </c>
      <c r="H437" s="114">
        <f>SUM(H438:H467)</f>
        <v>1028.4729232970931</v>
      </c>
      <c r="I437" s="114">
        <f t="shared" ref="I437:R437" si="3">SUM(I438:I467)</f>
        <v>1264.1766710268857</v>
      </c>
      <c r="J437" s="114">
        <f t="shared" si="3"/>
        <v>1544.9628270260835</v>
      </c>
      <c r="K437" s="114">
        <f t="shared" si="3"/>
        <v>1862.8961133721868</v>
      </c>
      <c r="L437" s="114">
        <f t="shared" si="3"/>
        <v>2062.889031702352</v>
      </c>
      <c r="M437" s="114">
        <f>SUM(M438:M467)</f>
        <v>2201.1934914000376</v>
      </c>
      <c r="N437" s="114">
        <f t="shared" si="3"/>
        <v>0</v>
      </c>
      <c r="O437" s="114">
        <f t="shared" si="3"/>
        <v>0</v>
      </c>
      <c r="P437" s="114">
        <f t="shared" si="3"/>
        <v>0</v>
      </c>
      <c r="Q437" s="114">
        <f t="shared" si="3"/>
        <v>0</v>
      </c>
      <c r="R437" s="114">
        <f t="shared" si="3"/>
        <v>0</v>
      </c>
      <c r="S437" s="98"/>
      <c r="T437" s="36"/>
      <c r="U437" s="98"/>
      <c r="V437" s="98"/>
      <c r="W437" s="98"/>
      <c r="X437" s="98"/>
      <c r="Y437" s="98"/>
      <c r="Z437" s="98"/>
      <c r="AA437" s="98"/>
      <c r="AB437" s="228"/>
      <c r="AC437" s="228"/>
      <c r="AD437" s="228"/>
      <c r="AE437" s="228"/>
      <c r="AF437" s="228"/>
      <c r="AG437" s="228"/>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c r="BD437" s="98"/>
      <c r="BE437" s="98"/>
      <c r="BF437" s="98"/>
      <c r="BG437" s="98"/>
      <c r="BH437" s="98"/>
      <c r="BI437" s="98"/>
      <c r="BJ437" s="98"/>
      <c r="BK437" s="11"/>
      <c r="BL437" s="11"/>
    </row>
    <row r="438" spans="1:256" ht="12.75" customHeight="1" outlineLevel="1">
      <c r="A438" s="9"/>
      <c r="B438" s="9"/>
      <c r="C438" s="9"/>
      <c r="D438" s="128" t="str">
        <f>Asset1</f>
        <v>Transmission &amp; Zone land &amp; easements</v>
      </c>
      <c r="E438" s="9"/>
      <c r="F438" s="9"/>
      <c r="G438" s="191">
        <f>Input!J7</f>
        <v>274.67802212915171</v>
      </c>
      <c r="H438" s="109">
        <f t="shared" ref="H438:H457" si="4">G438+G470+G502+G534+G566+G598</f>
        <v>332.15104413489365</v>
      </c>
      <c r="I438" s="109">
        <f t="shared" ref="I438:M447" si="5">H438+H470+H502</f>
        <v>341.74385407380754</v>
      </c>
      <c r="J438" s="109">
        <f t="shared" si="5"/>
        <v>367.71721018810422</v>
      </c>
      <c r="K438" s="109">
        <f t="shared" si="5"/>
        <v>376.58998499900576</v>
      </c>
      <c r="L438" s="109">
        <f t="shared" si="5"/>
        <v>387.91683367854688</v>
      </c>
      <c r="M438" s="109">
        <f t="shared" si="5"/>
        <v>399.10031828066923</v>
      </c>
      <c r="N438" s="109">
        <f>IF(Input!M$173&gt;0, M438+M470+M502, 0)</f>
        <v>0</v>
      </c>
      <c r="O438" s="109">
        <f>IF(Input!N$173&gt;0, N438+N470+N502, 0)</f>
        <v>0</v>
      </c>
      <c r="P438" s="109">
        <f>IF(Input!O$173&gt;0, O438+O470+O502, 0)</f>
        <v>0</v>
      </c>
      <c r="Q438" s="109">
        <f>IF(Input!P$173&gt;0, P438+P470+P502, 0)</f>
        <v>0</v>
      </c>
      <c r="R438" s="109">
        <f>IF(Input!Q$173&gt;0, Q438+Q470+Q502, 0)</f>
        <v>0</v>
      </c>
      <c r="S438" s="9"/>
      <c r="T438" s="36"/>
      <c r="U438" s="98"/>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9"/>
      <c r="BE438" s="9"/>
      <c r="BF438" s="9"/>
      <c r="BG438" s="9"/>
      <c r="BH438" s="9"/>
      <c r="BI438" s="9"/>
      <c r="BJ438" s="9"/>
      <c r="BK438" s="9"/>
      <c r="BL438" s="9"/>
    </row>
    <row r="439" spans="1:256" ht="12.75" customHeight="1" outlineLevel="1">
      <c r="A439" s="9"/>
      <c r="B439" s="9"/>
      <c r="C439" s="44"/>
      <c r="D439" s="128" t="str">
        <f>Asset2</f>
        <v>Transmission buildings 132/66kV</v>
      </c>
      <c r="E439" s="9"/>
      <c r="F439" s="9"/>
      <c r="G439" s="191">
        <f>Input!J8</f>
        <v>25.232324415022465</v>
      </c>
      <c r="H439" s="109">
        <f t="shared" si="4"/>
        <v>39.756174151289621</v>
      </c>
      <c r="I439" s="109">
        <f t="shared" si="5"/>
        <v>59.36371386426336</v>
      </c>
      <c r="J439" s="109">
        <f t="shared" si="5"/>
        <v>64.725591540428269</v>
      </c>
      <c r="K439" s="109">
        <f t="shared" si="5"/>
        <v>67.458990944055145</v>
      </c>
      <c r="L439" s="109">
        <f t="shared" si="5"/>
        <v>74.114705257476672</v>
      </c>
      <c r="M439" s="109">
        <f t="shared" si="5"/>
        <v>79.272556574317505</v>
      </c>
      <c r="N439" s="109">
        <f>IF(Input!M$173&gt;0, M439+M471+M503, 0)</f>
        <v>0</v>
      </c>
      <c r="O439" s="109">
        <f>IF(Input!N$173&gt;0, N439+N471+N503, 0)</f>
        <v>0</v>
      </c>
      <c r="P439" s="109">
        <f>IF(Input!O$173&gt;0, O439+O471+O503, 0)</f>
        <v>0</v>
      </c>
      <c r="Q439" s="109">
        <f>IF(Input!P$173&gt;0, P439+P471+P503, 0)</f>
        <v>0</v>
      </c>
      <c r="R439" s="109">
        <f>IF(Input!Q$173&gt;0, Q439+Q471+Q503, 0)</f>
        <v>0</v>
      </c>
      <c r="S439" s="99"/>
      <c r="T439" s="99"/>
      <c r="U439" s="99"/>
      <c r="V439" s="99"/>
      <c r="W439" s="99"/>
      <c r="X439" s="99"/>
      <c r="Y439" s="99"/>
      <c r="Z439" s="99"/>
      <c r="AA439" s="99"/>
      <c r="AB439" s="226"/>
      <c r="AC439" s="226"/>
      <c r="AD439" s="226"/>
      <c r="AE439" s="226"/>
      <c r="AF439" s="226"/>
      <c r="AG439" s="226"/>
      <c r="AH439" s="226"/>
      <c r="AI439" s="226"/>
      <c r="AJ439" s="226"/>
      <c r="AK439" s="226"/>
      <c r="AL439" s="226"/>
      <c r="AM439" s="226"/>
      <c r="AN439" s="226"/>
      <c r="AO439" s="226"/>
      <c r="AP439" s="226"/>
      <c r="AQ439" s="226"/>
      <c r="AR439" s="226"/>
      <c r="AS439" s="226"/>
      <c r="AT439" s="226"/>
      <c r="AU439" s="226"/>
      <c r="AV439" s="226"/>
      <c r="AW439" s="226"/>
      <c r="AX439" s="226"/>
      <c r="AY439" s="226"/>
      <c r="AZ439" s="226"/>
      <c r="BA439" s="226"/>
      <c r="BB439" s="226"/>
      <c r="BC439" s="226"/>
      <c r="BD439" s="99"/>
      <c r="BE439" s="99"/>
      <c r="BF439" s="99"/>
      <c r="BG439" s="99"/>
      <c r="BH439" s="99"/>
      <c r="BI439" s="99"/>
      <c r="BJ439" s="99"/>
      <c r="BK439" s="11"/>
      <c r="BL439" s="11"/>
    </row>
    <row r="440" spans="1:256" ht="12.75" customHeight="1" outlineLevel="1">
      <c r="A440" s="9"/>
      <c r="B440" s="9"/>
      <c r="C440" s="44"/>
      <c r="D440" s="128" t="str">
        <f>Asset3</f>
        <v>Zone buildings 132/66kV</v>
      </c>
      <c r="E440" s="9"/>
      <c r="F440" s="9"/>
      <c r="G440" s="191">
        <f>Input!J9</f>
        <v>57.644270750185285</v>
      </c>
      <c r="H440" s="109">
        <f t="shared" si="4"/>
        <v>57.805601222983462</v>
      </c>
      <c r="I440" s="109">
        <f t="shared" si="5"/>
        <v>58.604331432030868</v>
      </c>
      <c r="J440" s="109">
        <f t="shared" si="5"/>
        <v>66.065777888212835</v>
      </c>
      <c r="K440" s="109">
        <f t="shared" si="5"/>
        <v>70.638145992795614</v>
      </c>
      <c r="L440" s="109">
        <f t="shared" si="5"/>
        <v>105.44966478289518</v>
      </c>
      <c r="M440" s="109">
        <f t="shared" si="5"/>
        <v>133.05594966081074</v>
      </c>
      <c r="N440" s="109">
        <f>IF(Input!M$173&gt;0, M440+M472+M504, 0)</f>
        <v>0</v>
      </c>
      <c r="O440" s="109">
        <f>IF(Input!N$173&gt;0, N440+N472+N504, 0)</f>
        <v>0</v>
      </c>
      <c r="P440" s="109">
        <f>IF(Input!O$173&gt;0, O440+O472+O504, 0)</f>
        <v>0</v>
      </c>
      <c r="Q440" s="109">
        <f>IF(Input!P$173&gt;0, P440+P472+P504, 0)</f>
        <v>0</v>
      </c>
      <c r="R440" s="109">
        <f>IF(Input!Q$173&gt;0, Q440+Q472+Q504, 0)</f>
        <v>0</v>
      </c>
      <c r="S440" s="99"/>
      <c r="T440" s="99"/>
      <c r="U440" s="99"/>
      <c r="V440" s="99"/>
      <c r="W440" s="99"/>
      <c r="X440" s="99"/>
      <c r="Y440" s="99"/>
      <c r="Z440" s="99"/>
      <c r="AA440" s="99"/>
      <c r="AB440" s="226"/>
      <c r="AC440" s="226"/>
      <c r="AD440" s="226"/>
      <c r="AE440" s="226"/>
      <c r="AF440" s="226"/>
      <c r="AG440" s="226"/>
      <c r="AH440" s="226"/>
      <c r="AI440" s="226"/>
      <c r="AJ440" s="226"/>
      <c r="AK440" s="226"/>
      <c r="AL440" s="226"/>
      <c r="AM440" s="226"/>
      <c r="AN440" s="226"/>
      <c r="AO440" s="226"/>
      <c r="AP440" s="226"/>
      <c r="AQ440" s="226"/>
      <c r="AR440" s="226"/>
      <c r="AS440" s="226"/>
      <c r="AT440" s="226"/>
      <c r="AU440" s="226"/>
      <c r="AV440" s="226"/>
      <c r="AW440" s="226"/>
      <c r="AX440" s="226"/>
      <c r="AY440" s="226"/>
      <c r="AZ440" s="226"/>
      <c r="BA440" s="226"/>
      <c r="BB440" s="226"/>
      <c r="BC440" s="226"/>
      <c r="BD440" s="99"/>
      <c r="BE440" s="99"/>
      <c r="BF440" s="99"/>
      <c r="BG440" s="99"/>
      <c r="BH440" s="99"/>
      <c r="BI440" s="99"/>
      <c r="BJ440" s="99"/>
      <c r="BK440" s="11"/>
      <c r="BL440" s="11"/>
    </row>
    <row r="441" spans="1:256" ht="12.75" customHeight="1" outlineLevel="1">
      <c r="A441" s="9"/>
      <c r="B441" s="9"/>
      <c r="C441" s="44"/>
      <c r="D441" s="128" t="str">
        <f>Asset4</f>
        <v>Transmission transformers 132/66kV</v>
      </c>
      <c r="E441" s="9"/>
      <c r="F441" s="9"/>
      <c r="G441" s="191">
        <f>Input!J10</f>
        <v>20.605069136113649</v>
      </c>
      <c r="H441" s="109">
        <f t="shared" si="4"/>
        <v>22.737242402904922</v>
      </c>
      <c r="I441" s="109">
        <f t="shared" si="5"/>
        <v>26.087962382826813</v>
      </c>
      <c r="J441" s="109">
        <f t="shared" si="5"/>
        <v>27.400646293445764</v>
      </c>
      <c r="K441" s="109">
        <f t="shared" si="5"/>
        <v>29.718590388685424</v>
      </c>
      <c r="L441" s="109">
        <f t="shared" si="5"/>
        <v>35.746111896405203</v>
      </c>
      <c r="M441" s="109">
        <f t="shared" si="5"/>
        <v>40.783523375192303</v>
      </c>
      <c r="N441" s="109">
        <f>IF(Input!M$173&gt;0, M441+M473+M505, 0)</f>
        <v>0</v>
      </c>
      <c r="O441" s="109">
        <f>IF(Input!N$173&gt;0, N441+N473+N505, 0)</f>
        <v>0</v>
      </c>
      <c r="P441" s="109">
        <f>IF(Input!O$173&gt;0, O441+O473+O505, 0)</f>
        <v>0</v>
      </c>
      <c r="Q441" s="109">
        <f>IF(Input!P$173&gt;0, P441+P473+P505, 0)</f>
        <v>0</v>
      </c>
      <c r="R441" s="109">
        <f>IF(Input!Q$173&gt;0, Q441+Q473+Q505, 0)</f>
        <v>0</v>
      </c>
      <c r="S441" s="99"/>
      <c r="T441" s="99"/>
      <c r="U441" s="99"/>
      <c r="V441" s="99"/>
      <c r="W441" s="99"/>
      <c r="X441" s="99"/>
      <c r="Y441" s="99"/>
      <c r="Z441" s="99"/>
      <c r="AA441" s="99"/>
      <c r="AB441" s="226"/>
      <c r="AC441" s="226"/>
      <c r="AD441" s="226"/>
      <c r="AE441" s="226"/>
      <c r="AF441" s="226"/>
      <c r="AG441" s="226"/>
      <c r="AH441" s="226"/>
      <c r="AI441" s="226"/>
      <c r="AJ441" s="226"/>
      <c r="AK441" s="226"/>
      <c r="AL441" s="226"/>
      <c r="AM441" s="226"/>
      <c r="AN441" s="226"/>
      <c r="AO441" s="226"/>
      <c r="AP441" s="226"/>
      <c r="AQ441" s="226"/>
      <c r="AR441" s="226"/>
      <c r="AS441" s="226"/>
      <c r="AT441" s="226"/>
      <c r="AU441" s="226"/>
      <c r="AV441" s="226"/>
      <c r="AW441" s="226"/>
      <c r="AX441" s="226"/>
      <c r="AY441" s="226"/>
      <c r="AZ441" s="226"/>
      <c r="BA441" s="226"/>
      <c r="BB441" s="226"/>
      <c r="BC441" s="226"/>
      <c r="BD441" s="99"/>
      <c r="BE441" s="99"/>
      <c r="BF441" s="99"/>
      <c r="BG441" s="99"/>
      <c r="BH441" s="99"/>
      <c r="BI441" s="99"/>
      <c r="BJ441" s="99"/>
      <c r="BK441" s="11"/>
      <c r="BL441" s="11"/>
    </row>
    <row r="442" spans="1:256" ht="12.75" customHeight="1" outlineLevel="1">
      <c r="A442" s="9"/>
      <c r="B442" s="9"/>
      <c r="C442" s="44"/>
      <c r="D442" s="128" t="str">
        <f>Asset5</f>
        <v>Zone transformers 132/66kV</v>
      </c>
      <c r="E442" s="9"/>
      <c r="F442" s="9"/>
      <c r="G442" s="191">
        <f>Input!J11</f>
        <v>20.429674712181942</v>
      </c>
      <c r="H442" s="109">
        <f t="shared" si="4"/>
        <v>20.71135255837477</v>
      </c>
      <c r="I442" s="109">
        <f t="shared" si="5"/>
        <v>23.805307730840845</v>
      </c>
      <c r="J442" s="109">
        <f t="shared" si="5"/>
        <v>26.929674994489854</v>
      </c>
      <c r="K442" s="109">
        <f t="shared" si="5"/>
        <v>29.677348042907113</v>
      </c>
      <c r="L442" s="109">
        <f t="shared" si="5"/>
        <v>29.527931630960779</v>
      </c>
      <c r="M442" s="109">
        <f t="shared" si="5"/>
        <v>29.352451425187049</v>
      </c>
      <c r="N442" s="109">
        <f>IF(Input!M$173&gt;0, M442+M474+M506, 0)</f>
        <v>0</v>
      </c>
      <c r="O442" s="109">
        <f>IF(Input!N$173&gt;0, N442+N474+N506, 0)</f>
        <v>0</v>
      </c>
      <c r="P442" s="109">
        <f>IF(Input!O$173&gt;0, O442+O474+O506, 0)</f>
        <v>0</v>
      </c>
      <c r="Q442" s="109">
        <f>IF(Input!P$173&gt;0, P442+P474+P506, 0)</f>
        <v>0</v>
      </c>
      <c r="R442" s="109">
        <f>IF(Input!Q$173&gt;0, Q442+Q474+Q506, 0)</f>
        <v>0</v>
      </c>
      <c r="S442" s="99"/>
      <c r="T442" s="99"/>
      <c r="U442" s="99"/>
      <c r="V442" s="99"/>
      <c r="W442" s="99"/>
      <c r="X442" s="99"/>
      <c r="Y442" s="99"/>
      <c r="Z442" s="99"/>
      <c r="AA442" s="99"/>
      <c r="AB442" s="226"/>
      <c r="AC442" s="226"/>
      <c r="AD442" s="226"/>
      <c r="AE442" s="226"/>
      <c r="AF442" s="226"/>
      <c r="AG442" s="226"/>
      <c r="AH442" s="226"/>
      <c r="AI442" s="226"/>
      <c r="AJ442" s="226"/>
      <c r="AK442" s="226"/>
      <c r="AL442" s="226"/>
      <c r="AM442" s="226"/>
      <c r="AN442" s="226"/>
      <c r="AO442" s="226"/>
      <c r="AP442" s="226"/>
      <c r="AQ442" s="226"/>
      <c r="AR442" s="226"/>
      <c r="AS442" s="226"/>
      <c r="AT442" s="226"/>
      <c r="AU442" s="226"/>
      <c r="AV442" s="226"/>
      <c r="AW442" s="226"/>
      <c r="AX442" s="226"/>
      <c r="AY442" s="226"/>
      <c r="AZ442" s="226"/>
      <c r="BA442" s="226"/>
      <c r="BB442" s="226"/>
      <c r="BC442" s="226"/>
      <c r="BD442" s="99"/>
      <c r="BE442" s="99"/>
      <c r="BF442" s="99"/>
      <c r="BG442" s="99"/>
      <c r="BH442" s="99"/>
      <c r="BI442" s="99"/>
      <c r="BJ442" s="99"/>
      <c r="BK442" s="11"/>
      <c r="BL442" s="11"/>
    </row>
    <row r="443" spans="1:256" ht="12.75" customHeight="1" outlineLevel="1">
      <c r="A443" s="9"/>
      <c r="B443" s="9"/>
      <c r="C443" s="44"/>
      <c r="D443" s="128" t="str">
        <f>Asset6</f>
        <v>Transmission substation equip 132/66kV</v>
      </c>
      <c r="E443" s="9"/>
      <c r="F443" s="9"/>
      <c r="G443" s="191">
        <f>Input!J12</f>
        <v>87.787549352319516</v>
      </c>
      <c r="H443" s="109">
        <f t="shared" si="4"/>
        <v>99.189836770526512</v>
      </c>
      <c r="I443" s="109">
        <f t="shared" si="5"/>
        <v>124.61480661003358</v>
      </c>
      <c r="J443" s="109">
        <f t="shared" si="5"/>
        <v>145.49043188813386</v>
      </c>
      <c r="K443" s="109">
        <f t="shared" si="5"/>
        <v>171.33261527021938</v>
      </c>
      <c r="L443" s="109">
        <f t="shared" si="5"/>
        <v>189.26442250949603</v>
      </c>
      <c r="M443" s="109">
        <f t="shared" si="5"/>
        <v>202.6140730411864</v>
      </c>
      <c r="N443" s="109">
        <f>IF(Input!M$173&gt;0, M443+M475+M507, 0)</f>
        <v>0</v>
      </c>
      <c r="O443" s="109">
        <f>IF(Input!N$173&gt;0, N443+N475+N507, 0)</f>
        <v>0</v>
      </c>
      <c r="P443" s="109">
        <f>IF(Input!O$173&gt;0, O443+O475+O507, 0)</f>
        <v>0</v>
      </c>
      <c r="Q443" s="109">
        <f>IF(Input!P$173&gt;0, P443+P475+P507, 0)</f>
        <v>0</v>
      </c>
      <c r="R443" s="109">
        <f>IF(Input!Q$173&gt;0, Q443+Q475+Q507, 0)</f>
        <v>0</v>
      </c>
      <c r="S443" s="99"/>
      <c r="T443" s="99"/>
      <c r="U443" s="99"/>
      <c r="V443" s="99"/>
      <c r="W443" s="99"/>
      <c r="X443" s="99"/>
      <c r="Y443" s="99"/>
      <c r="Z443" s="99"/>
      <c r="AA443" s="99"/>
      <c r="AB443" s="226"/>
      <c r="AC443" s="226"/>
      <c r="AD443" s="226"/>
      <c r="AE443" s="226"/>
      <c r="AF443" s="226"/>
      <c r="AG443" s="226"/>
      <c r="AH443" s="226"/>
      <c r="AI443" s="226"/>
      <c r="AJ443" s="226"/>
      <c r="AK443" s="226"/>
      <c r="AL443" s="226"/>
      <c r="AM443" s="226"/>
      <c r="AN443" s="226"/>
      <c r="AO443" s="226"/>
      <c r="AP443" s="226"/>
      <c r="AQ443" s="226"/>
      <c r="AR443" s="226"/>
      <c r="AS443" s="226"/>
      <c r="AT443" s="226"/>
      <c r="AU443" s="226"/>
      <c r="AV443" s="226"/>
      <c r="AW443" s="226"/>
      <c r="AX443" s="226"/>
      <c r="AY443" s="226"/>
      <c r="AZ443" s="226"/>
      <c r="BA443" s="226"/>
      <c r="BB443" s="226"/>
      <c r="BC443" s="226"/>
      <c r="BD443" s="99"/>
      <c r="BE443" s="99"/>
      <c r="BF443" s="99"/>
      <c r="BG443" s="99"/>
      <c r="BH443" s="99"/>
      <c r="BI443" s="99"/>
      <c r="BJ443" s="99"/>
      <c r="BK443" s="11"/>
      <c r="BL443" s="11"/>
    </row>
    <row r="444" spans="1:256" ht="12.75" customHeight="1" outlineLevel="1">
      <c r="A444" s="9"/>
      <c r="B444" s="9"/>
      <c r="C444" s="44"/>
      <c r="D444" s="128" t="str">
        <f>Asset7</f>
        <v>Zone substation equip 132/66kV</v>
      </c>
      <c r="E444" s="9"/>
      <c r="F444" s="9"/>
      <c r="G444" s="191">
        <f>Input!J13</f>
        <v>113.14708349005643</v>
      </c>
      <c r="H444" s="109">
        <f t="shared" si="4"/>
        <v>119.55875234484482</v>
      </c>
      <c r="I444" s="109">
        <f t="shared" si="5"/>
        <v>156.35557149608007</v>
      </c>
      <c r="J444" s="109">
        <f t="shared" si="5"/>
        <v>245.71104125602758</v>
      </c>
      <c r="K444" s="109">
        <f t="shared" si="5"/>
        <v>327.38057588752974</v>
      </c>
      <c r="L444" s="109">
        <f t="shared" si="5"/>
        <v>361.20927525883332</v>
      </c>
      <c r="M444" s="109">
        <f t="shared" si="5"/>
        <v>386.83454113058212</v>
      </c>
      <c r="N444" s="109">
        <f>IF(Input!M$173&gt;0, M444+M476+M508, 0)</f>
        <v>0</v>
      </c>
      <c r="O444" s="109">
        <f>IF(Input!N$173&gt;0, N444+N476+N508, 0)</f>
        <v>0</v>
      </c>
      <c r="P444" s="109">
        <f>IF(Input!O$173&gt;0, O444+O476+O508, 0)</f>
        <v>0</v>
      </c>
      <c r="Q444" s="109">
        <f>IF(Input!P$173&gt;0, P444+P476+P508, 0)</f>
        <v>0</v>
      </c>
      <c r="R444" s="109">
        <f>IF(Input!Q$173&gt;0, Q444+Q476+Q508, 0)</f>
        <v>0</v>
      </c>
      <c r="S444" s="99"/>
      <c r="T444" s="99"/>
      <c r="U444" s="99"/>
      <c r="V444" s="99"/>
      <c r="W444" s="99"/>
      <c r="X444" s="99"/>
      <c r="Y444" s="99"/>
      <c r="Z444" s="99"/>
      <c r="AA444" s="99"/>
      <c r="AB444" s="226"/>
      <c r="AC444" s="226"/>
      <c r="AD444" s="226"/>
      <c r="AE444" s="226"/>
      <c r="AF444" s="226"/>
      <c r="AG444" s="226"/>
      <c r="AH444" s="226"/>
      <c r="AI444" s="226"/>
      <c r="AJ444" s="226"/>
      <c r="AK444" s="226"/>
      <c r="AL444" s="226"/>
      <c r="AM444" s="226"/>
      <c r="AN444" s="226"/>
      <c r="AO444" s="226"/>
      <c r="AP444" s="226"/>
      <c r="AQ444" s="226"/>
      <c r="AR444" s="226"/>
      <c r="AS444" s="226"/>
      <c r="AT444" s="226"/>
      <c r="AU444" s="226"/>
      <c r="AV444" s="226"/>
      <c r="AW444" s="226"/>
      <c r="AX444" s="226"/>
      <c r="AY444" s="226"/>
      <c r="AZ444" s="226"/>
      <c r="BA444" s="226"/>
      <c r="BB444" s="226"/>
      <c r="BC444" s="226"/>
      <c r="BD444" s="99"/>
      <c r="BE444" s="99"/>
      <c r="BF444" s="99"/>
      <c r="BG444" s="99"/>
      <c r="BH444" s="99"/>
      <c r="BI444" s="99"/>
      <c r="BJ444" s="99"/>
      <c r="BK444" s="11"/>
      <c r="BL444" s="11"/>
    </row>
    <row r="445" spans="1:256" ht="12.75" customHeight="1" outlineLevel="1">
      <c r="A445" s="9"/>
      <c r="B445" s="9"/>
      <c r="C445" s="44"/>
      <c r="D445" s="128" t="str">
        <f>Asset8</f>
        <v>Transmission &amp; Zone emergency spares</v>
      </c>
      <c r="E445" s="9"/>
      <c r="F445" s="9"/>
      <c r="G445" s="191">
        <f>Input!J14</f>
        <v>2.1165569581876809</v>
      </c>
      <c r="H445" s="109">
        <f t="shared" si="4"/>
        <v>2.1161575869336744</v>
      </c>
      <c r="I445" s="109">
        <f t="shared" si="5"/>
        <v>2.123065452440172</v>
      </c>
      <c r="J445" s="109">
        <f t="shared" si="5"/>
        <v>2.1380601104470669</v>
      </c>
      <c r="K445" s="109">
        <f t="shared" si="5"/>
        <v>2.115227351841384</v>
      </c>
      <c r="L445" s="109">
        <f t="shared" si="5"/>
        <v>2.1095895585142945</v>
      </c>
      <c r="M445" s="109">
        <f t="shared" si="5"/>
        <v>2.1023449282485758</v>
      </c>
      <c r="N445" s="109">
        <f>IF(Input!M$173&gt;0, M445+M477+M509, 0)</f>
        <v>0</v>
      </c>
      <c r="O445" s="109">
        <f>IF(Input!N$173&gt;0, N445+N477+N509, 0)</f>
        <v>0</v>
      </c>
      <c r="P445" s="109">
        <f>IF(Input!O$173&gt;0, O445+O477+O509, 0)</f>
        <v>0</v>
      </c>
      <c r="Q445" s="109">
        <f>IF(Input!P$173&gt;0, P445+P477+P509, 0)</f>
        <v>0</v>
      </c>
      <c r="R445" s="109">
        <f>IF(Input!Q$173&gt;0, Q445+Q477+Q509, 0)</f>
        <v>0</v>
      </c>
      <c r="S445" s="99"/>
      <c r="T445" s="99"/>
      <c r="U445" s="99"/>
      <c r="V445" s="99"/>
      <c r="W445" s="99"/>
      <c r="X445" s="99"/>
      <c r="Y445" s="99"/>
      <c r="Z445" s="99"/>
      <c r="AA445" s="99"/>
      <c r="AB445" s="226"/>
      <c r="AC445" s="226"/>
      <c r="AD445" s="226"/>
      <c r="AE445" s="226"/>
      <c r="AF445" s="226"/>
      <c r="AG445" s="226"/>
      <c r="AH445" s="226"/>
      <c r="AI445" s="226"/>
      <c r="AJ445" s="226"/>
      <c r="AK445" s="226"/>
      <c r="AL445" s="226"/>
      <c r="AM445" s="226"/>
      <c r="AN445" s="226"/>
      <c r="AO445" s="226"/>
      <c r="AP445" s="226"/>
      <c r="AQ445" s="226"/>
      <c r="AR445" s="226"/>
      <c r="AS445" s="226"/>
      <c r="AT445" s="226"/>
      <c r="AU445" s="226"/>
      <c r="AV445" s="226"/>
      <c r="AW445" s="226"/>
      <c r="AX445" s="226"/>
      <c r="AY445" s="226"/>
      <c r="AZ445" s="226"/>
      <c r="BA445" s="226"/>
      <c r="BB445" s="226"/>
      <c r="BC445" s="226"/>
      <c r="BD445" s="99"/>
      <c r="BE445" s="99"/>
      <c r="BF445" s="99"/>
      <c r="BG445" s="99"/>
      <c r="BH445" s="99"/>
      <c r="BI445" s="99"/>
      <c r="BJ445" s="99"/>
      <c r="BK445" s="11"/>
      <c r="BL445" s="11"/>
    </row>
    <row r="446" spans="1:256" ht="12.75" customHeight="1" outlineLevel="1">
      <c r="A446" s="9"/>
      <c r="B446" s="9"/>
      <c r="C446" s="44"/>
      <c r="D446" s="128" t="str">
        <f>Asset9</f>
        <v>Ancillary substation equipment (tx)</v>
      </c>
      <c r="E446" s="9"/>
      <c r="F446" s="9"/>
      <c r="G446" s="191">
        <f>Input!J15</f>
        <v>0</v>
      </c>
      <c r="H446" s="109">
        <f t="shared" si="4"/>
        <v>0</v>
      </c>
      <c r="I446" s="109">
        <f t="shared" si="5"/>
        <v>1.1808068968042551</v>
      </c>
      <c r="J446" s="109">
        <f t="shared" si="5"/>
        <v>4.4076600705993458</v>
      </c>
      <c r="K446" s="109">
        <f t="shared" si="5"/>
        <v>11.009600118189903</v>
      </c>
      <c r="L446" s="109">
        <f t="shared" si="5"/>
        <v>33.359723102972552</v>
      </c>
      <c r="M446" s="109">
        <f t="shared" si="5"/>
        <v>49.403565981604324</v>
      </c>
      <c r="N446" s="109">
        <f>IF(Input!M$173&gt;0, M446+M478+M510, 0)</f>
        <v>0</v>
      </c>
      <c r="O446" s="109">
        <f>IF(Input!N$173&gt;0, N446+N478+N510, 0)</f>
        <v>0</v>
      </c>
      <c r="P446" s="109">
        <f>IF(Input!O$173&gt;0, O446+O478+O510, 0)</f>
        <v>0</v>
      </c>
      <c r="Q446" s="109">
        <f>IF(Input!P$173&gt;0, P446+P478+P510, 0)</f>
        <v>0</v>
      </c>
      <c r="R446" s="109">
        <f>IF(Input!Q$173&gt;0, Q446+Q478+Q510, 0)</f>
        <v>0</v>
      </c>
      <c r="S446" s="99"/>
      <c r="T446" s="99"/>
      <c r="U446" s="99"/>
      <c r="V446" s="99"/>
      <c r="W446" s="99"/>
      <c r="X446" s="99"/>
      <c r="Y446" s="99"/>
      <c r="Z446" s="99"/>
      <c r="AA446" s="99"/>
      <c r="AB446" s="226"/>
      <c r="AC446" s="226"/>
      <c r="AD446" s="226"/>
      <c r="AE446" s="226"/>
      <c r="AF446" s="226"/>
      <c r="AG446" s="226"/>
      <c r="AH446" s="226"/>
      <c r="AI446" s="226"/>
      <c r="AJ446" s="226"/>
      <c r="AK446" s="226"/>
      <c r="AL446" s="226"/>
      <c r="AM446" s="226"/>
      <c r="AN446" s="226"/>
      <c r="AO446" s="226"/>
      <c r="AP446" s="226"/>
      <c r="AQ446" s="226"/>
      <c r="AR446" s="226"/>
      <c r="AS446" s="226"/>
      <c r="AT446" s="226"/>
      <c r="AU446" s="226"/>
      <c r="AV446" s="226"/>
      <c r="AW446" s="226"/>
      <c r="AX446" s="226"/>
      <c r="AY446" s="226"/>
      <c r="AZ446" s="226"/>
      <c r="BA446" s="226"/>
      <c r="BB446" s="226"/>
      <c r="BC446" s="226"/>
      <c r="BD446" s="99"/>
      <c r="BE446" s="99"/>
      <c r="BF446" s="99"/>
      <c r="BG446" s="99"/>
      <c r="BH446" s="99"/>
      <c r="BI446" s="99"/>
      <c r="BJ446" s="99"/>
      <c r="BK446" s="11"/>
      <c r="BL446" s="11"/>
    </row>
    <row r="447" spans="1:256" ht="12.75" customHeight="1" outlineLevel="1">
      <c r="A447" s="9"/>
      <c r="B447" s="9"/>
      <c r="C447" s="44"/>
      <c r="D447" s="128" t="str">
        <f>Asset10</f>
        <v>132kV tower lines</v>
      </c>
      <c r="E447" s="9"/>
      <c r="F447" s="9"/>
      <c r="G447" s="191">
        <f>Input!J16</f>
        <v>16.165889623498565</v>
      </c>
      <c r="H447" s="109">
        <f t="shared" si="4"/>
        <v>15.783904930253815</v>
      </c>
      <c r="I447" s="109">
        <f t="shared" si="5"/>
        <v>19.935818196280191</v>
      </c>
      <c r="J447" s="109">
        <f t="shared" si="5"/>
        <v>28.973449559506051</v>
      </c>
      <c r="K447" s="109">
        <f t="shared" si="5"/>
        <v>34.6311989340225</v>
      </c>
      <c r="L447" s="109">
        <f t="shared" si="5"/>
        <v>33.579306161815367</v>
      </c>
      <c r="M447" s="109">
        <f t="shared" si="5"/>
        <v>33.736392695012839</v>
      </c>
      <c r="N447" s="109">
        <f>IF(Input!M$173&gt;0, M447+M479+M511, 0)</f>
        <v>0</v>
      </c>
      <c r="O447" s="109">
        <f>IF(Input!N$173&gt;0, N447+N479+N511, 0)</f>
        <v>0</v>
      </c>
      <c r="P447" s="109">
        <f>IF(Input!O$173&gt;0, O447+O479+O511, 0)</f>
        <v>0</v>
      </c>
      <c r="Q447" s="109">
        <f>IF(Input!P$173&gt;0, P447+P479+P511, 0)</f>
        <v>0</v>
      </c>
      <c r="R447" s="109">
        <f>IF(Input!Q$173&gt;0, Q447+Q479+Q511, 0)</f>
        <v>0</v>
      </c>
      <c r="S447" s="99"/>
      <c r="T447" s="99"/>
      <c r="U447" s="99"/>
      <c r="V447" s="99"/>
      <c r="W447" s="99"/>
      <c r="X447" s="99"/>
      <c r="Y447" s="99"/>
      <c r="Z447" s="99"/>
      <c r="AA447" s="99"/>
      <c r="AB447" s="226"/>
      <c r="AC447" s="226"/>
      <c r="AD447" s="226"/>
      <c r="AE447" s="226"/>
      <c r="AF447" s="226"/>
      <c r="AG447" s="226"/>
      <c r="AH447" s="226"/>
      <c r="AI447" s="226"/>
      <c r="AJ447" s="226"/>
      <c r="AK447" s="226"/>
      <c r="AL447" s="226"/>
      <c r="AM447" s="226"/>
      <c r="AN447" s="226"/>
      <c r="AO447" s="226"/>
      <c r="AP447" s="226"/>
      <c r="AQ447" s="226"/>
      <c r="AR447" s="226"/>
      <c r="AS447" s="226"/>
      <c r="AT447" s="226"/>
      <c r="AU447" s="226"/>
      <c r="AV447" s="226"/>
      <c r="AW447" s="226"/>
      <c r="AX447" s="226"/>
      <c r="AY447" s="226"/>
      <c r="AZ447" s="226"/>
      <c r="BA447" s="226"/>
      <c r="BB447" s="226"/>
      <c r="BC447" s="226"/>
      <c r="BD447" s="99"/>
      <c r="BE447" s="99"/>
      <c r="BF447" s="99"/>
      <c r="BG447" s="99"/>
      <c r="BH447" s="99"/>
      <c r="BI447" s="99"/>
      <c r="BJ447" s="99"/>
      <c r="BK447" s="11"/>
      <c r="BL447" s="11"/>
    </row>
    <row r="448" spans="1:256" ht="12.75" customHeight="1" outlineLevel="1">
      <c r="A448" s="9"/>
      <c r="B448" s="9"/>
      <c r="C448" s="44"/>
      <c r="D448" s="128" t="str">
        <f>Asset11</f>
        <v>132kV concrete &amp; steel pole lines</v>
      </c>
      <c r="E448" s="9"/>
      <c r="F448" s="9"/>
      <c r="G448" s="191">
        <f>Input!J17</f>
        <v>10.46856795269731</v>
      </c>
      <c r="H448" s="109">
        <f t="shared" si="4"/>
        <v>10.998490886977528</v>
      </c>
      <c r="I448" s="109">
        <f t="shared" ref="I448:M457" si="6">H448+H480+H512</f>
        <v>25.882886168888906</v>
      </c>
      <c r="J448" s="109">
        <f t="shared" si="6"/>
        <v>30.318541642338566</v>
      </c>
      <c r="K448" s="109">
        <f t="shared" si="6"/>
        <v>30.994977296450728</v>
      </c>
      <c r="L448" s="109">
        <f t="shared" si="6"/>
        <v>28.905140348981462</v>
      </c>
      <c r="M448" s="109">
        <f t="shared" si="6"/>
        <v>28.732918016993192</v>
      </c>
      <c r="N448" s="109">
        <f>IF(Input!M$173&gt;0, M448+M480+M512, 0)</f>
        <v>0</v>
      </c>
      <c r="O448" s="109">
        <f>IF(Input!N$173&gt;0, N448+N480+N512, 0)</f>
        <v>0</v>
      </c>
      <c r="P448" s="109">
        <f>IF(Input!O$173&gt;0, O448+O480+O512, 0)</f>
        <v>0</v>
      </c>
      <c r="Q448" s="109">
        <f>IF(Input!P$173&gt;0, P448+P480+P512, 0)</f>
        <v>0</v>
      </c>
      <c r="R448" s="109">
        <f>IF(Input!Q$173&gt;0, Q448+Q480+Q512, 0)</f>
        <v>0</v>
      </c>
      <c r="S448" s="99"/>
      <c r="T448" s="99"/>
      <c r="U448" s="99"/>
      <c r="V448" s="99"/>
      <c r="W448" s="99"/>
      <c r="X448" s="99"/>
      <c r="Y448" s="99"/>
      <c r="Z448" s="99"/>
      <c r="AA448" s="99"/>
      <c r="AB448" s="226"/>
      <c r="AC448" s="226"/>
      <c r="AD448" s="226"/>
      <c r="AE448" s="226"/>
      <c r="AF448" s="226"/>
      <c r="AG448" s="226"/>
      <c r="AH448" s="226"/>
      <c r="AI448" s="226"/>
      <c r="AJ448" s="226"/>
      <c r="AK448" s="226"/>
      <c r="AL448" s="226"/>
      <c r="AM448" s="226"/>
      <c r="AN448" s="226"/>
      <c r="AO448" s="226"/>
      <c r="AP448" s="226"/>
      <c r="AQ448" s="226"/>
      <c r="AR448" s="226"/>
      <c r="AS448" s="226"/>
      <c r="AT448" s="226"/>
      <c r="AU448" s="226"/>
      <c r="AV448" s="226"/>
      <c r="AW448" s="226"/>
      <c r="AX448" s="226"/>
      <c r="AY448" s="226"/>
      <c r="AZ448" s="226"/>
      <c r="BA448" s="226"/>
      <c r="BB448" s="226"/>
      <c r="BC448" s="226"/>
      <c r="BD448" s="99"/>
      <c r="BE448" s="99"/>
      <c r="BF448" s="99"/>
      <c r="BG448" s="99"/>
      <c r="BH448" s="99"/>
      <c r="BI448" s="99"/>
      <c r="BJ448" s="99"/>
      <c r="BK448" s="11"/>
      <c r="BL448" s="11"/>
    </row>
    <row r="449" spans="1:64" ht="12.75" customHeight="1" outlineLevel="1">
      <c r="A449" s="9"/>
      <c r="B449" s="9"/>
      <c r="C449" s="44"/>
      <c r="D449" s="128" t="str">
        <f>Asset12</f>
        <v>132kV wood pole lines</v>
      </c>
      <c r="E449" s="9"/>
      <c r="F449" s="9"/>
      <c r="G449" s="191">
        <f>Input!J18</f>
        <v>24.007811967899354</v>
      </c>
      <c r="H449" s="109">
        <f t="shared" si="4"/>
        <v>23.622403565614938</v>
      </c>
      <c r="I449" s="109">
        <f t="shared" si="6"/>
        <v>34.022810720496338</v>
      </c>
      <c r="J449" s="109">
        <f t="shared" si="6"/>
        <v>34.49635732725762</v>
      </c>
      <c r="K449" s="109">
        <f t="shared" si="6"/>
        <v>34.27466503916078</v>
      </c>
      <c r="L449" s="109">
        <f t="shared" si="6"/>
        <v>34.569343528320346</v>
      </c>
      <c r="M449" s="109">
        <f t="shared" si="6"/>
        <v>34.685884564266601</v>
      </c>
      <c r="N449" s="109">
        <f>IF(Input!M$173&gt;0, M449+M481+M513, 0)</f>
        <v>0</v>
      </c>
      <c r="O449" s="109">
        <f>IF(Input!N$173&gt;0, N449+N481+N513, 0)</f>
        <v>0</v>
      </c>
      <c r="P449" s="109">
        <f>IF(Input!O$173&gt;0, O449+O481+O513, 0)</f>
        <v>0</v>
      </c>
      <c r="Q449" s="109">
        <f>IF(Input!P$173&gt;0, P449+P481+P513, 0)</f>
        <v>0</v>
      </c>
      <c r="R449" s="109">
        <f>IF(Input!Q$173&gt;0, Q449+Q481+Q513, 0)</f>
        <v>0</v>
      </c>
      <c r="S449" s="99"/>
      <c r="T449" s="99"/>
      <c r="U449" s="99"/>
      <c r="V449" s="99"/>
      <c r="W449" s="99"/>
      <c r="X449" s="99"/>
      <c r="Y449" s="99"/>
      <c r="Z449" s="99"/>
      <c r="AA449" s="99"/>
      <c r="AB449" s="226"/>
      <c r="AC449" s="226"/>
      <c r="AD449" s="226"/>
      <c r="AE449" s="226"/>
      <c r="AF449" s="226"/>
      <c r="AG449" s="226"/>
      <c r="AH449" s="226"/>
      <c r="AI449" s="226"/>
      <c r="AJ449" s="226"/>
      <c r="AK449" s="226"/>
      <c r="AL449" s="226"/>
      <c r="AM449" s="226"/>
      <c r="AN449" s="226"/>
      <c r="AO449" s="226"/>
      <c r="AP449" s="226"/>
      <c r="AQ449" s="226"/>
      <c r="AR449" s="226"/>
      <c r="AS449" s="226"/>
      <c r="AT449" s="226"/>
      <c r="AU449" s="226"/>
      <c r="AV449" s="226"/>
      <c r="AW449" s="226"/>
      <c r="AX449" s="226"/>
      <c r="AY449" s="226"/>
      <c r="AZ449" s="226"/>
      <c r="BA449" s="226"/>
      <c r="BB449" s="226"/>
      <c r="BC449" s="226"/>
      <c r="BD449" s="99"/>
      <c r="BE449" s="99"/>
      <c r="BF449" s="99"/>
      <c r="BG449" s="99"/>
      <c r="BH449" s="99"/>
      <c r="BI449" s="99"/>
      <c r="BJ449" s="99"/>
      <c r="BK449" s="11"/>
      <c r="BL449" s="11"/>
    </row>
    <row r="450" spans="1:64" ht="12.75" customHeight="1" outlineLevel="1">
      <c r="A450" s="9"/>
      <c r="B450" s="9"/>
      <c r="C450" s="44"/>
      <c r="D450" s="128" t="str">
        <f>Asset13</f>
        <v>132kV feeders underground</v>
      </c>
      <c r="E450" s="9"/>
      <c r="F450" s="9"/>
      <c r="G450" s="191">
        <f>Input!J19</f>
        <v>134.85935197535869</v>
      </c>
      <c r="H450" s="109">
        <f t="shared" si="4"/>
        <v>178.46355791015472</v>
      </c>
      <c r="I450" s="109">
        <f t="shared" si="6"/>
        <v>255.89804938977014</v>
      </c>
      <c r="J450" s="109">
        <f t="shared" si="6"/>
        <v>345.71703131018643</v>
      </c>
      <c r="K450" s="109">
        <f t="shared" si="6"/>
        <v>509.31422548989553</v>
      </c>
      <c r="L450" s="109">
        <f t="shared" si="6"/>
        <v>580.06557904287229</v>
      </c>
      <c r="M450" s="109">
        <f t="shared" si="6"/>
        <v>633.39218249533235</v>
      </c>
      <c r="N450" s="109">
        <f>IF(Input!M$173&gt;0, M450+M482+M514, 0)</f>
        <v>0</v>
      </c>
      <c r="O450" s="109">
        <f>IF(Input!N$173&gt;0, N450+N482+N514, 0)</f>
        <v>0</v>
      </c>
      <c r="P450" s="109">
        <f>IF(Input!O$173&gt;0, O450+O482+O514, 0)</f>
        <v>0</v>
      </c>
      <c r="Q450" s="109">
        <f>IF(Input!P$173&gt;0, P450+P482+P514, 0)</f>
        <v>0</v>
      </c>
      <c r="R450" s="109">
        <f>IF(Input!Q$173&gt;0, Q450+Q482+Q514, 0)</f>
        <v>0</v>
      </c>
      <c r="S450" s="99"/>
      <c r="T450" s="99"/>
      <c r="U450" s="99"/>
      <c r="V450" s="99"/>
      <c r="W450" s="99"/>
      <c r="X450" s="99"/>
      <c r="Y450" s="99"/>
      <c r="Z450" s="99"/>
      <c r="AA450" s="99"/>
      <c r="AB450" s="226"/>
      <c r="AC450" s="226"/>
      <c r="AD450" s="226"/>
      <c r="AE450" s="226"/>
      <c r="AF450" s="226"/>
      <c r="AG450" s="226"/>
      <c r="AH450" s="226"/>
      <c r="AI450" s="226"/>
      <c r="AJ450" s="226"/>
      <c r="AK450" s="226"/>
      <c r="AL450" s="226"/>
      <c r="AM450" s="226"/>
      <c r="AN450" s="226"/>
      <c r="AO450" s="226"/>
      <c r="AP450" s="226"/>
      <c r="AQ450" s="226"/>
      <c r="AR450" s="226"/>
      <c r="AS450" s="226"/>
      <c r="AT450" s="226"/>
      <c r="AU450" s="226"/>
      <c r="AV450" s="226"/>
      <c r="AW450" s="226"/>
      <c r="AX450" s="226"/>
      <c r="AY450" s="226"/>
      <c r="AZ450" s="226"/>
      <c r="BA450" s="226"/>
      <c r="BB450" s="226"/>
      <c r="BC450" s="226"/>
      <c r="BD450" s="99"/>
      <c r="BE450" s="99"/>
      <c r="BF450" s="99"/>
      <c r="BG450" s="99"/>
      <c r="BH450" s="99"/>
      <c r="BI450" s="99"/>
      <c r="BJ450" s="99"/>
      <c r="BK450" s="11"/>
      <c r="BL450" s="11"/>
    </row>
    <row r="451" spans="1:64" ht="12.75" customHeight="1" outlineLevel="1">
      <c r="A451" s="9"/>
      <c r="B451" s="9"/>
      <c r="C451" s="44"/>
      <c r="D451" s="128" t="str">
        <f>Asset14</f>
        <v>Cable tunnel (tx)</v>
      </c>
      <c r="E451" s="9"/>
      <c r="F451" s="9"/>
      <c r="G451" s="191">
        <f>Input!J20</f>
        <v>10.711449207362918</v>
      </c>
      <c r="H451" s="109">
        <f t="shared" si="4"/>
        <v>10.809156600988063</v>
      </c>
      <c r="I451" s="109">
        <f t="shared" si="6"/>
        <v>10.949855287376929</v>
      </c>
      <c r="J451" s="109">
        <f t="shared" si="6"/>
        <v>11.138418876435663</v>
      </c>
      <c r="K451" s="109">
        <f t="shared" si="6"/>
        <v>11.666681360729351</v>
      </c>
      <c r="L451" s="109">
        <f t="shared" si="6"/>
        <v>11.946350333571662</v>
      </c>
      <c r="M451" s="109">
        <f t="shared" si="6"/>
        <v>12.183761959469843</v>
      </c>
      <c r="N451" s="109">
        <f>IF(Input!M$173&gt;0, M451+M483+M515, 0)</f>
        <v>0</v>
      </c>
      <c r="O451" s="109">
        <f>IF(Input!N$173&gt;0, N451+N483+N515, 0)</f>
        <v>0</v>
      </c>
      <c r="P451" s="109">
        <f>IF(Input!O$173&gt;0, O451+O483+O515, 0)</f>
        <v>0</v>
      </c>
      <c r="Q451" s="109">
        <f>IF(Input!P$173&gt;0, P451+P483+P515, 0)</f>
        <v>0</v>
      </c>
      <c r="R451" s="109">
        <f>IF(Input!Q$173&gt;0, Q451+Q483+Q515, 0)</f>
        <v>0</v>
      </c>
      <c r="S451" s="99"/>
      <c r="T451" s="99"/>
      <c r="U451" s="99"/>
      <c r="V451" s="99"/>
      <c r="W451" s="99"/>
      <c r="X451" s="99"/>
      <c r="Y451" s="99"/>
      <c r="Z451" s="99"/>
      <c r="AA451" s="99"/>
      <c r="AB451" s="226"/>
      <c r="AC451" s="226"/>
      <c r="AD451" s="226"/>
      <c r="AE451" s="226"/>
      <c r="AF451" s="226"/>
      <c r="AG451" s="226"/>
      <c r="AH451" s="226"/>
      <c r="AI451" s="226"/>
      <c r="AJ451" s="226"/>
      <c r="AK451" s="226"/>
      <c r="AL451" s="226"/>
      <c r="AM451" s="226"/>
      <c r="AN451" s="226"/>
      <c r="AO451" s="226"/>
      <c r="AP451" s="226"/>
      <c r="AQ451" s="226"/>
      <c r="AR451" s="226"/>
      <c r="AS451" s="226"/>
      <c r="AT451" s="226"/>
      <c r="AU451" s="226"/>
      <c r="AV451" s="226"/>
      <c r="AW451" s="226"/>
      <c r="AX451" s="226"/>
      <c r="AY451" s="226"/>
      <c r="AZ451" s="226"/>
      <c r="BA451" s="226"/>
      <c r="BB451" s="226"/>
      <c r="BC451" s="226"/>
      <c r="BD451" s="99"/>
      <c r="BE451" s="99"/>
      <c r="BF451" s="99"/>
      <c r="BG451" s="99"/>
      <c r="BH451" s="99"/>
      <c r="BI451" s="99"/>
      <c r="BJ451" s="99"/>
      <c r="BK451" s="11"/>
      <c r="BL451" s="11"/>
    </row>
    <row r="452" spans="1:64" ht="12.75" customHeight="1" outlineLevel="1">
      <c r="A452" s="9"/>
      <c r="B452" s="9"/>
      <c r="C452" s="44"/>
      <c r="D452" s="128" t="str">
        <f>Asset15</f>
        <v>Network control &amp; com systems</v>
      </c>
      <c r="E452" s="9"/>
      <c r="F452" s="9"/>
      <c r="G452" s="191">
        <f>Input!J21</f>
        <v>22.827986828751065</v>
      </c>
      <c r="H452" s="109">
        <f t="shared" si="4"/>
        <v>22.03100338356256</v>
      </c>
      <c r="I452" s="109">
        <f t="shared" si="6"/>
        <v>23.172006075518276</v>
      </c>
      <c r="J452" s="109">
        <f t="shared" si="6"/>
        <v>22.804213865105037</v>
      </c>
      <c r="K452" s="109">
        <f t="shared" si="6"/>
        <v>22.02301870555138</v>
      </c>
      <c r="L452" s="109">
        <f t="shared" si="6"/>
        <v>21.376063678326272</v>
      </c>
      <c r="M452" s="109">
        <f t="shared" si="6"/>
        <v>20.682936562795778</v>
      </c>
      <c r="N452" s="109">
        <f>IF(Input!M$173&gt;0, M452+M484+M516, 0)</f>
        <v>0</v>
      </c>
      <c r="O452" s="109">
        <f>IF(Input!N$173&gt;0, N452+N484+N516, 0)</f>
        <v>0</v>
      </c>
      <c r="P452" s="109">
        <f>IF(Input!O$173&gt;0, O452+O484+O516, 0)</f>
        <v>0</v>
      </c>
      <c r="Q452" s="109">
        <f>IF(Input!P$173&gt;0, P452+P484+P516, 0)</f>
        <v>0</v>
      </c>
      <c r="R452" s="109">
        <f>IF(Input!Q$173&gt;0, Q452+Q484+Q516, 0)</f>
        <v>0</v>
      </c>
      <c r="S452" s="99"/>
      <c r="T452" s="99"/>
      <c r="U452" s="99"/>
      <c r="V452" s="99"/>
      <c r="W452" s="99"/>
      <c r="X452" s="99"/>
      <c r="Y452" s="99"/>
      <c r="Z452" s="99"/>
      <c r="AA452" s="99"/>
      <c r="AB452" s="226"/>
      <c r="AC452" s="226"/>
      <c r="AD452" s="226"/>
      <c r="AE452" s="226"/>
      <c r="AF452" s="226"/>
      <c r="AG452" s="226"/>
      <c r="AH452" s="226"/>
      <c r="AI452" s="226"/>
      <c r="AJ452" s="226"/>
      <c r="AK452" s="226"/>
      <c r="AL452" s="226"/>
      <c r="AM452" s="226"/>
      <c r="AN452" s="226"/>
      <c r="AO452" s="226"/>
      <c r="AP452" s="226"/>
      <c r="AQ452" s="226"/>
      <c r="AR452" s="226"/>
      <c r="AS452" s="226"/>
      <c r="AT452" s="226"/>
      <c r="AU452" s="226"/>
      <c r="AV452" s="226"/>
      <c r="AW452" s="226"/>
      <c r="AX452" s="226"/>
      <c r="AY452" s="226"/>
      <c r="AZ452" s="226"/>
      <c r="BA452" s="226"/>
      <c r="BB452" s="226"/>
      <c r="BC452" s="226"/>
      <c r="BD452" s="99"/>
      <c r="BE452" s="99"/>
      <c r="BF452" s="99"/>
      <c r="BG452" s="99"/>
      <c r="BH452" s="99"/>
      <c r="BI452" s="99"/>
      <c r="BJ452" s="99"/>
      <c r="BK452" s="11"/>
      <c r="BL452" s="11"/>
    </row>
    <row r="453" spans="1:64" ht="12.75" customHeight="1" outlineLevel="1">
      <c r="A453" s="9"/>
      <c r="B453" s="9"/>
      <c r="C453" s="44"/>
      <c r="D453" s="128" t="str">
        <f>Asset16</f>
        <v>Communications (digital) - tx</v>
      </c>
      <c r="E453" s="9"/>
      <c r="F453" s="9"/>
      <c r="G453" s="191">
        <f>Input!J22</f>
        <v>0</v>
      </c>
      <c r="H453" s="109">
        <f t="shared" si="4"/>
        <v>0</v>
      </c>
      <c r="I453" s="109">
        <f t="shared" si="6"/>
        <v>0</v>
      </c>
      <c r="J453" s="109">
        <f t="shared" si="6"/>
        <v>0.34087493634308763</v>
      </c>
      <c r="K453" s="109">
        <f t="shared" si="6"/>
        <v>0.81733090028316369</v>
      </c>
      <c r="L453" s="109">
        <f t="shared" si="6"/>
        <v>0.9328665025137064</v>
      </c>
      <c r="M453" s="109">
        <f t="shared" si="6"/>
        <v>0.98826139978489147</v>
      </c>
      <c r="N453" s="109">
        <f>IF(Input!M$173&gt;0, M453+M485+M517, 0)</f>
        <v>0</v>
      </c>
      <c r="O453" s="109">
        <f>IF(Input!N$173&gt;0, N453+N485+N517, 0)</f>
        <v>0</v>
      </c>
      <c r="P453" s="109">
        <f>IF(Input!O$173&gt;0, O453+O485+O517, 0)</f>
        <v>0</v>
      </c>
      <c r="Q453" s="109">
        <f>IF(Input!P$173&gt;0, P453+P485+P517, 0)</f>
        <v>0</v>
      </c>
      <c r="R453" s="109">
        <f>IF(Input!Q$173&gt;0, Q453+Q485+Q517, 0)</f>
        <v>0</v>
      </c>
      <c r="S453" s="99"/>
      <c r="T453" s="99"/>
      <c r="U453" s="99"/>
      <c r="V453" s="99"/>
      <c r="W453" s="99"/>
      <c r="X453" s="99"/>
      <c r="Y453" s="99"/>
      <c r="Z453" s="99"/>
      <c r="AA453" s="99"/>
      <c r="AB453" s="226"/>
      <c r="AC453" s="226"/>
      <c r="AD453" s="226"/>
      <c r="AE453" s="226"/>
      <c r="AF453" s="226"/>
      <c r="AG453" s="226"/>
      <c r="AH453" s="226"/>
      <c r="AI453" s="226"/>
      <c r="AJ453" s="226"/>
      <c r="AK453" s="226"/>
      <c r="AL453" s="226"/>
      <c r="AM453" s="226"/>
      <c r="AN453" s="226"/>
      <c r="AO453" s="226"/>
      <c r="AP453" s="226"/>
      <c r="AQ453" s="226"/>
      <c r="AR453" s="226"/>
      <c r="AS453" s="226"/>
      <c r="AT453" s="226"/>
      <c r="AU453" s="226"/>
      <c r="AV453" s="226"/>
      <c r="AW453" s="226"/>
      <c r="AX453" s="226"/>
      <c r="AY453" s="226"/>
      <c r="AZ453" s="226"/>
      <c r="BA453" s="226"/>
      <c r="BB453" s="226"/>
      <c r="BC453" s="226"/>
      <c r="BD453" s="99"/>
      <c r="BE453" s="99"/>
      <c r="BF453" s="99"/>
      <c r="BG453" s="99"/>
      <c r="BH453" s="99"/>
      <c r="BI453" s="99"/>
      <c r="BJ453" s="99"/>
      <c r="BK453" s="11"/>
      <c r="BL453" s="11"/>
    </row>
    <row r="454" spans="1:64" ht="12.75" customHeight="1" outlineLevel="1">
      <c r="A454" s="9"/>
      <c r="B454" s="9"/>
      <c r="C454" s="44"/>
      <c r="D454" s="128" t="str">
        <f>Asset17</f>
        <v>System IT (tx)</v>
      </c>
      <c r="E454" s="9"/>
      <c r="F454" s="9"/>
      <c r="G454" s="191">
        <f>Input!J23</f>
        <v>0</v>
      </c>
      <c r="H454" s="109">
        <f t="shared" si="4"/>
        <v>0</v>
      </c>
      <c r="I454" s="109">
        <f t="shared" si="6"/>
        <v>3.7335598667508916</v>
      </c>
      <c r="J454" s="109">
        <f t="shared" si="6"/>
        <v>11.758616658239434</v>
      </c>
      <c r="K454" s="109">
        <f t="shared" si="6"/>
        <v>19.929499222871531</v>
      </c>
      <c r="L454" s="109">
        <f t="shared" si="6"/>
        <v>22.378758705518518</v>
      </c>
      <c r="M454" s="109">
        <f t="shared" si="6"/>
        <v>22.837465706675264</v>
      </c>
      <c r="N454" s="109">
        <f>IF(Input!M$173&gt;0, M454+M486+M518, 0)</f>
        <v>0</v>
      </c>
      <c r="O454" s="109">
        <f>IF(Input!N$173&gt;0, N454+N486+N518, 0)</f>
        <v>0</v>
      </c>
      <c r="P454" s="109">
        <f>IF(Input!O$173&gt;0, O454+O486+O518, 0)</f>
        <v>0</v>
      </c>
      <c r="Q454" s="109">
        <f>IF(Input!P$173&gt;0, P454+P486+P518, 0)</f>
        <v>0</v>
      </c>
      <c r="R454" s="109">
        <f>IF(Input!Q$173&gt;0, Q454+Q486+Q518, 0)</f>
        <v>0</v>
      </c>
      <c r="S454" s="99"/>
      <c r="T454" s="99"/>
      <c r="U454" s="99"/>
      <c r="V454" s="99"/>
      <c r="W454" s="99"/>
      <c r="X454" s="99"/>
      <c r="Y454" s="99"/>
      <c r="Z454" s="99"/>
      <c r="AA454" s="99"/>
      <c r="AB454" s="226"/>
      <c r="AC454" s="226"/>
      <c r="AD454" s="226"/>
      <c r="AE454" s="226"/>
      <c r="AF454" s="226"/>
      <c r="AG454" s="226"/>
      <c r="AH454" s="226"/>
      <c r="AI454" s="226"/>
      <c r="AJ454" s="226"/>
      <c r="AK454" s="226"/>
      <c r="AL454" s="226"/>
      <c r="AM454" s="226"/>
      <c r="AN454" s="226"/>
      <c r="AO454" s="226"/>
      <c r="AP454" s="226"/>
      <c r="AQ454" s="226"/>
      <c r="AR454" s="226"/>
      <c r="AS454" s="226"/>
      <c r="AT454" s="226"/>
      <c r="AU454" s="226"/>
      <c r="AV454" s="226"/>
      <c r="AW454" s="226"/>
      <c r="AX454" s="226"/>
      <c r="AY454" s="226"/>
      <c r="AZ454" s="226"/>
      <c r="BA454" s="226"/>
      <c r="BB454" s="226"/>
      <c r="BC454" s="226"/>
      <c r="BD454" s="99"/>
      <c r="BE454" s="99"/>
      <c r="BF454" s="99"/>
      <c r="BG454" s="99"/>
      <c r="BH454" s="99"/>
      <c r="BI454" s="99"/>
      <c r="BJ454" s="99"/>
      <c r="BK454" s="11"/>
      <c r="BL454" s="11"/>
    </row>
    <row r="455" spans="1:64" ht="12.75" customHeight="1" outlineLevel="1">
      <c r="A455" s="9"/>
      <c r="B455" s="9"/>
      <c r="C455" s="44"/>
      <c r="D455" s="128" t="str">
        <f>Asset18</f>
        <v>IT systems</v>
      </c>
      <c r="E455" s="9"/>
      <c r="F455" s="9"/>
      <c r="G455" s="191">
        <f>Input!J24</f>
        <v>12.911219228158838</v>
      </c>
      <c r="H455" s="109">
        <f t="shared" si="4"/>
        <v>16.684526612409858</v>
      </c>
      <c r="I455" s="109">
        <f t="shared" si="6"/>
        <v>19.61493536996511</v>
      </c>
      <c r="J455" s="109">
        <f t="shared" si="6"/>
        <v>22.102725892480681</v>
      </c>
      <c r="K455" s="109">
        <f t="shared" si="6"/>
        <v>19.902900183374499</v>
      </c>
      <c r="L455" s="109">
        <f t="shared" si="6"/>
        <v>15.688519454760886</v>
      </c>
      <c r="M455" s="109">
        <f t="shared" si="6"/>
        <v>13.414874892964495</v>
      </c>
      <c r="N455" s="109">
        <f>IF(Input!M$173&gt;0, M455+M487+M519, 0)</f>
        <v>0</v>
      </c>
      <c r="O455" s="109">
        <f>IF(Input!N$173&gt;0, N455+N487+N519, 0)</f>
        <v>0</v>
      </c>
      <c r="P455" s="109">
        <f>IF(Input!O$173&gt;0, O455+O487+O519, 0)</f>
        <v>0</v>
      </c>
      <c r="Q455" s="109">
        <f>IF(Input!P$173&gt;0, P455+P487+P519, 0)</f>
        <v>0</v>
      </c>
      <c r="R455" s="109">
        <f>IF(Input!Q$173&gt;0, Q455+Q487+Q519, 0)</f>
        <v>0</v>
      </c>
      <c r="S455" s="99"/>
      <c r="T455" s="99"/>
      <c r="U455" s="99"/>
      <c r="V455" s="99"/>
      <c r="W455" s="99"/>
      <c r="X455" s="99"/>
      <c r="Y455" s="99"/>
      <c r="Z455" s="99"/>
      <c r="AA455" s="99"/>
      <c r="AB455" s="226"/>
      <c r="AC455" s="226"/>
      <c r="AD455" s="226"/>
      <c r="AE455" s="226"/>
      <c r="AF455" s="226"/>
      <c r="AG455" s="226"/>
      <c r="AH455" s="226"/>
      <c r="AI455" s="226"/>
      <c r="AJ455" s="226"/>
      <c r="AK455" s="226"/>
      <c r="AL455" s="226"/>
      <c r="AM455" s="226"/>
      <c r="AN455" s="226"/>
      <c r="AO455" s="226"/>
      <c r="AP455" s="226"/>
      <c r="AQ455" s="226"/>
      <c r="AR455" s="226"/>
      <c r="AS455" s="226"/>
      <c r="AT455" s="226"/>
      <c r="AU455" s="226"/>
      <c r="AV455" s="226"/>
      <c r="AW455" s="226"/>
      <c r="AX455" s="226"/>
      <c r="AY455" s="226"/>
      <c r="AZ455" s="226"/>
      <c r="BA455" s="226"/>
      <c r="BB455" s="226"/>
      <c r="BC455" s="226"/>
      <c r="BD455" s="99"/>
      <c r="BE455" s="99"/>
      <c r="BF455" s="99"/>
      <c r="BG455" s="99"/>
      <c r="BH455" s="99"/>
      <c r="BI455" s="99"/>
      <c r="BJ455" s="99"/>
      <c r="BK455" s="11"/>
      <c r="BL455" s="11"/>
    </row>
    <row r="456" spans="1:64" ht="12.75" customHeight="1" outlineLevel="1">
      <c r="A456" s="9"/>
      <c r="B456" s="9"/>
      <c r="C456" s="44"/>
      <c r="D456" s="128" t="str">
        <f>Asset19</f>
        <v>Furniture, fittings, plant and equipment</v>
      </c>
      <c r="E456" s="9"/>
      <c r="F456" s="9"/>
      <c r="G456" s="191">
        <f>Input!J25</f>
        <v>3.0430407121232892</v>
      </c>
      <c r="H456" s="109">
        <f t="shared" si="4"/>
        <v>3.9323702004328678</v>
      </c>
      <c r="I456" s="109">
        <f t="shared" si="6"/>
        <v>4.8030289502783354</v>
      </c>
      <c r="J456" s="109">
        <f t="shared" si="6"/>
        <v>5.559090791413646</v>
      </c>
      <c r="K456" s="109">
        <f t="shared" si="6"/>
        <v>6.2218890149787809</v>
      </c>
      <c r="L456" s="109">
        <f t="shared" si="6"/>
        <v>6.4992585591835468</v>
      </c>
      <c r="M456" s="109">
        <f t="shared" si="6"/>
        <v>6.598373212303609</v>
      </c>
      <c r="N456" s="109">
        <f>IF(Input!M$173&gt;0, M456+M488+M520, 0)</f>
        <v>0</v>
      </c>
      <c r="O456" s="109">
        <f>IF(Input!N$173&gt;0, N456+N488+N520, 0)</f>
        <v>0</v>
      </c>
      <c r="P456" s="109">
        <f>IF(Input!O$173&gt;0, O456+O488+O520, 0)</f>
        <v>0</v>
      </c>
      <c r="Q456" s="109">
        <f>IF(Input!P$173&gt;0, P456+P488+P520, 0)</f>
        <v>0</v>
      </c>
      <c r="R456" s="109">
        <f>IF(Input!Q$173&gt;0, Q456+Q488+Q520, 0)</f>
        <v>0</v>
      </c>
      <c r="S456" s="99"/>
      <c r="T456" s="99"/>
      <c r="U456" s="99"/>
      <c r="V456" s="99"/>
      <c r="W456" s="99"/>
      <c r="X456" s="99"/>
      <c r="Y456" s="99"/>
      <c r="Z456" s="99"/>
      <c r="AA456" s="99"/>
      <c r="AB456" s="226"/>
      <c r="AC456" s="226"/>
      <c r="AD456" s="226"/>
      <c r="AE456" s="226"/>
      <c r="AF456" s="226"/>
      <c r="AG456" s="226"/>
      <c r="AH456" s="226"/>
      <c r="AI456" s="226"/>
      <c r="AJ456" s="226"/>
      <c r="AK456" s="226"/>
      <c r="AL456" s="226"/>
      <c r="AM456" s="226"/>
      <c r="AN456" s="226"/>
      <c r="AO456" s="226"/>
      <c r="AP456" s="226"/>
      <c r="AQ456" s="226"/>
      <c r="AR456" s="226"/>
      <c r="AS456" s="226"/>
      <c r="AT456" s="226"/>
      <c r="AU456" s="226"/>
      <c r="AV456" s="226"/>
      <c r="AW456" s="226"/>
      <c r="AX456" s="226"/>
      <c r="AY456" s="226"/>
      <c r="AZ456" s="226"/>
      <c r="BA456" s="226"/>
      <c r="BB456" s="226"/>
      <c r="BC456" s="226"/>
      <c r="BD456" s="99"/>
      <c r="BE456" s="99"/>
      <c r="BF456" s="99"/>
      <c r="BG456" s="99"/>
      <c r="BH456" s="99"/>
      <c r="BI456" s="99"/>
      <c r="BJ456" s="99"/>
      <c r="BK456" s="11"/>
      <c r="BL456" s="11"/>
    </row>
    <row r="457" spans="1:64" ht="12.75" customHeight="1" outlineLevel="1">
      <c r="A457" s="9"/>
      <c r="B457" s="9"/>
      <c r="C457" s="44"/>
      <c r="D457" s="128" t="str">
        <f>Asset20</f>
        <v>Motor vehicles</v>
      </c>
      <c r="E457" s="9"/>
      <c r="F457" s="9"/>
      <c r="G457" s="191">
        <f>Input!J26</f>
        <v>9.9306139183716944</v>
      </c>
      <c r="H457" s="109">
        <f t="shared" si="4"/>
        <v>12.832838577884454</v>
      </c>
      <c r="I457" s="109">
        <f t="shared" si="6"/>
        <v>15.044245886370904</v>
      </c>
      <c r="J457" s="109">
        <f t="shared" si="6"/>
        <v>17.254326401879396</v>
      </c>
      <c r="K457" s="109">
        <f t="shared" si="6"/>
        <v>19.118204242095938</v>
      </c>
      <c r="L457" s="109">
        <f t="shared" si="6"/>
        <v>18.544940434397894</v>
      </c>
      <c r="M457" s="109">
        <f t="shared" si="6"/>
        <v>17.539989573528626</v>
      </c>
      <c r="N457" s="109">
        <f>IF(Input!M$173&gt;0, M457+M489+M521, 0)</f>
        <v>0</v>
      </c>
      <c r="O457" s="109">
        <f>IF(Input!N$173&gt;0, N457+N489+N521, 0)</f>
        <v>0</v>
      </c>
      <c r="P457" s="109">
        <f>IF(Input!O$173&gt;0, O457+O489+O521, 0)</f>
        <v>0</v>
      </c>
      <c r="Q457" s="109">
        <f>IF(Input!P$173&gt;0, P457+P489+P521, 0)</f>
        <v>0</v>
      </c>
      <c r="R457" s="109">
        <f>IF(Input!Q$173&gt;0, Q457+Q489+Q521, 0)</f>
        <v>0</v>
      </c>
      <c r="S457" s="99"/>
      <c r="T457" s="99"/>
      <c r="U457" s="99"/>
      <c r="V457" s="99"/>
      <c r="W457" s="99"/>
      <c r="X457" s="99"/>
      <c r="Y457" s="99"/>
      <c r="Z457" s="99"/>
      <c r="AA457" s="99"/>
      <c r="AB457" s="226"/>
      <c r="AC457" s="226"/>
      <c r="AD457" s="226"/>
      <c r="AE457" s="226"/>
      <c r="AF457" s="226"/>
      <c r="AG457" s="226"/>
      <c r="AH457" s="226"/>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99"/>
      <c r="BE457" s="99"/>
      <c r="BF457" s="99"/>
      <c r="BG457" s="99"/>
      <c r="BH457" s="99"/>
      <c r="BI457" s="99"/>
      <c r="BJ457" s="99"/>
      <c r="BK457" s="11"/>
      <c r="BL457" s="11"/>
    </row>
    <row r="458" spans="1:64" ht="12" customHeight="1" outlineLevel="1">
      <c r="A458" s="9"/>
      <c r="B458" s="9"/>
      <c r="C458" s="44"/>
      <c r="D458" s="128" t="str">
        <f>Asset21</f>
        <v>Buildings</v>
      </c>
      <c r="E458" s="9"/>
      <c r="F458" s="9"/>
      <c r="G458" s="191">
        <f>Input!J27</f>
        <v>13.556619049020277</v>
      </c>
      <c r="H458" s="109">
        <f t="shared" ref="H458:H467" si="7">G458+G490+G522+G554+G586+G618</f>
        <v>17.518544709114643</v>
      </c>
      <c r="I458" s="109">
        <f t="shared" ref="I458:M465" si="8">H458+H490+H522</f>
        <v>26.777777195025433</v>
      </c>
      <c r="J458" s="109">
        <f t="shared" si="8"/>
        <v>32.986657254452609</v>
      </c>
      <c r="K458" s="109">
        <f t="shared" si="8"/>
        <v>36.839208926702675</v>
      </c>
      <c r="L458" s="109">
        <f t="shared" si="8"/>
        <v>39.241689175118466</v>
      </c>
      <c r="M458" s="109">
        <f t="shared" si="8"/>
        <v>32.621163004181767</v>
      </c>
      <c r="N458" s="109">
        <f>IF(Input!M$173&gt;0, M458+M490+M522, 0)</f>
        <v>0</v>
      </c>
      <c r="O458" s="109">
        <f>IF(Input!N$173&gt;0, N458+N490+N522, 0)</f>
        <v>0</v>
      </c>
      <c r="P458" s="109">
        <f>IF(Input!O$173&gt;0, O458+O490+O522, 0)</f>
        <v>0</v>
      </c>
      <c r="Q458" s="109">
        <f>IF(Input!P$173&gt;0, P458+P490+P522, 0)</f>
        <v>0</v>
      </c>
      <c r="R458" s="109">
        <f>IF(Input!Q$173&gt;0, Q458+Q490+Q522, 0)</f>
        <v>0</v>
      </c>
      <c r="S458" s="99"/>
      <c r="T458" s="99"/>
      <c r="U458" s="99"/>
      <c r="V458" s="99"/>
      <c r="W458" s="99"/>
      <c r="X458" s="99"/>
      <c r="Y458" s="99"/>
      <c r="Z458" s="99"/>
      <c r="AA458" s="99"/>
      <c r="AB458" s="226"/>
      <c r="AC458" s="226"/>
      <c r="AD458" s="226"/>
      <c r="AE458" s="226"/>
      <c r="AF458" s="226"/>
      <c r="AG458" s="226"/>
      <c r="AH458" s="226"/>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99"/>
      <c r="BE458" s="99"/>
      <c r="BF458" s="99"/>
      <c r="BG458" s="99"/>
      <c r="BH458" s="99"/>
      <c r="BI458" s="99"/>
      <c r="BJ458" s="99"/>
      <c r="BK458" s="11"/>
      <c r="BL458" s="11"/>
    </row>
    <row r="459" spans="1:64" ht="4.5" customHeight="1" outlineLevel="1">
      <c r="A459" s="9"/>
      <c r="B459" s="9"/>
      <c r="C459" s="44"/>
      <c r="D459" s="128" t="str">
        <f>Asset22</f>
        <v>Land (non-system)</v>
      </c>
      <c r="E459" s="9"/>
      <c r="F459" s="9"/>
      <c r="G459" s="191">
        <f>Input!J28</f>
        <v>5.1286823682198373</v>
      </c>
      <c r="H459" s="109">
        <f t="shared" si="7"/>
        <v>6.6275412063747812</v>
      </c>
      <c r="I459" s="109">
        <f t="shared" si="8"/>
        <v>9.5773602385844807</v>
      </c>
      <c r="J459" s="109">
        <f t="shared" si="8"/>
        <v>10.814724124621883</v>
      </c>
      <c r="K459" s="109">
        <f t="shared" si="8"/>
        <v>12.165061618264618</v>
      </c>
      <c r="L459" s="109">
        <f t="shared" si="8"/>
        <v>12.453991583454998</v>
      </c>
      <c r="M459" s="109">
        <f t="shared" si="8"/>
        <v>4.3851471806511029</v>
      </c>
      <c r="N459" s="109">
        <f>IF(Input!M$173&gt;0, M459+M491+M523, 0)</f>
        <v>0</v>
      </c>
      <c r="O459" s="109">
        <f>IF(Input!N$173&gt;0, N459+N491+N523, 0)</f>
        <v>0</v>
      </c>
      <c r="P459" s="109">
        <f>IF(Input!O$173&gt;0, O459+O491+O523, 0)</f>
        <v>0</v>
      </c>
      <c r="Q459" s="109">
        <f>IF(Input!P$173&gt;0, P459+P491+P523, 0)</f>
        <v>0</v>
      </c>
      <c r="R459" s="109">
        <f>IF(Input!Q$173&gt;0, Q459+Q491+Q523, 0)</f>
        <v>0</v>
      </c>
      <c r="S459" s="99"/>
      <c r="T459" s="99"/>
      <c r="U459" s="99"/>
      <c r="V459" s="99"/>
      <c r="W459" s="99"/>
      <c r="X459" s="99"/>
      <c r="Y459" s="99"/>
      <c r="Z459" s="99"/>
      <c r="AA459" s="99"/>
      <c r="AB459" s="226"/>
      <c r="AC459" s="226"/>
      <c r="AD459" s="226"/>
      <c r="AE459" s="226"/>
      <c r="AF459" s="226"/>
      <c r="AG459" s="226"/>
      <c r="AH459" s="226"/>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99"/>
      <c r="BE459" s="99"/>
      <c r="BF459" s="99"/>
      <c r="BG459" s="99"/>
      <c r="BH459" s="99"/>
      <c r="BI459" s="99"/>
      <c r="BJ459" s="99"/>
      <c r="BK459" s="11"/>
      <c r="BL459" s="11"/>
    </row>
    <row r="460" spans="1:64" ht="4.5" customHeight="1" outlineLevel="1">
      <c r="A460" s="9"/>
      <c r="B460" s="9"/>
      <c r="C460" s="44"/>
      <c r="D460" s="128" t="str">
        <f>Asset23</f>
        <v>Other non system assets</v>
      </c>
      <c r="E460" s="9"/>
      <c r="F460" s="9"/>
      <c r="G460" s="191">
        <f>Input!J29</f>
        <v>11.717872165013027</v>
      </c>
      <c r="H460" s="109">
        <f t="shared" si="7"/>
        <v>15.142423540573422</v>
      </c>
      <c r="I460" s="109">
        <f t="shared" si="8"/>
        <v>14.289086510173304</v>
      </c>
      <c r="J460" s="109">
        <f t="shared" si="8"/>
        <v>13.444384367462479</v>
      </c>
      <c r="K460" s="109">
        <f t="shared" si="8"/>
        <v>12.45364989803012</v>
      </c>
      <c r="L460" s="109">
        <f t="shared" si="8"/>
        <v>11.37652790533234</v>
      </c>
      <c r="M460" s="109">
        <f t="shared" si="8"/>
        <v>10.236113176834225</v>
      </c>
      <c r="N460" s="109">
        <f>IF(Input!M$173&gt;0, M460+M492+M524, 0)</f>
        <v>0</v>
      </c>
      <c r="O460" s="109">
        <f>IF(Input!N$173&gt;0, N460+N492+N524, 0)</f>
        <v>0</v>
      </c>
      <c r="P460" s="109">
        <f>IF(Input!O$173&gt;0, O460+O492+O524, 0)</f>
        <v>0</v>
      </c>
      <c r="Q460" s="109">
        <f>IF(Input!P$173&gt;0, P460+P492+P524, 0)</f>
        <v>0</v>
      </c>
      <c r="R460" s="109">
        <f>IF(Input!Q$173&gt;0, Q460+Q492+Q524, 0)</f>
        <v>0</v>
      </c>
      <c r="S460" s="99"/>
      <c r="T460" s="99"/>
      <c r="U460" s="99"/>
      <c r="V460" s="99"/>
      <c r="W460" s="99"/>
      <c r="X460" s="99"/>
      <c r="Y460" s="99"/>
      <c r="Z460" s="99"/>
      <c r="AA460" s="99"/>
      <c r="AB460" s="226"/>
      <c r="AC460" s="226"/>
      <c r="AD460" s="226"/>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99"/>
      <c r="BE460" s="99"/>
      <c r="BF460" s="99"/>
      <c r="BG460" s="99"/>
      <c r="BH460" s="99"/>
      <c r="BI460" s="99"/>
      <c r="BJ460" s="99"/>
      <c r="BK460" s="11"/>
      <c r="BL460" s="11"/>
    </row>
    <row r="461" spans="1:64" ht="4.5" customHeight="1" outlineLevel="1">
      <c r="A461" s="9"/>
      <c r="B461" s="9"/>
      <c r="C461" s="44"/>
      <c r="D461" s="128" t="str">
        <f>Asset24</f>
        <v>Equity raising costs</v>
      </c>
      <c r="E461" s="9"/>
      <c r="F461" s="9"/>
      <c r="G461" s="191">
        <f>Input!J30</f>
        <v>0</v>
      </c>
      <c r="H461" s="109">
        <f t="shared" si="7"/>
        <v>0</v>
      </c>
      <c r="I461" s="109">
        <f t="shared" si="8"/>
        <v>6.5958312322788384</v>
      </c>
      <c r="J461" s="109">
        <f t="shared" si="8"/>
        <v>6.6673197884716187</v>
      </c>
      <c r="K461" s="109">
        <f t="shared" si="8"/>
        <v>6.6225235445455839</v>
      </c>
      <c r="L461" s="109">
        <f t="shared" si="8"/>
        <v>6.6324386120835648</v>
      </c>
      <c r="M461" s="109">
        <f t="shared" si="8"/>
        <v>6.6387025614444912</v>
      </c>
      <c r="N461" s="109">
        <f>IF(Input!M$173&gt;0, M461+M493+M525, 0)</f>
        <v>0</v>
      </c>
      <c r="O461" s="109">
        <f>IF(Input!N$173&gt;0, N461+N493+N525, 0)</f>
        <v>0</v>
      </c>
      <c r="P461" s="109">
        <f>IF(Input!O$173&gt;0, O461+O493+O525, 0)</f>
        <v>0</v>
      </c>
      <c r="Q461" s="109">
        <f>IF(Input!P$173&gt;0, P461+P493+P525, 0)</f>
        <v>0</v>
      </c>
      <c r="R461" s="109">
        <f>IF(Input!Q$173&gt;0, Q461+Q493+Q525, 0)</f>
        <v>0</v>
      </c>
      <c r="S461" s="99"/>
      <c r="T461" s="99"/>
      <c r="U461" s="99"/>
      <c r="V461" s="99"/>
      <c r="W461" s="99"/>
      <c r="X461" s="99"/>
      <c r="Y461" s="99"/>
      <c r="Z461" s="99"/>
      <c r="AA461" s="99"/>
      <c r="AB461" s="226"/>
      <c r="AC461" s="226"/>
      <c r="AD461" s="226"/>
      <c r="AE461" s="226"/>
      <c r="AF461" s="226"/>
      <c r="AG461" s="226"/>
      <c r="AH461" s="226"/>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99"/>
      <c r="BE461" s="99"/>
      <c r="BF461" s="99"/>
      <c r="BG461" s="99"/>
      <c r="BH461" s="99"/>
      <c r="BI461" s="99"/>
      <c r="BJ461" s="99"/>
      <c r="BK461" s="11"/>
      <c r="BL461" s="11"/>
    </row>
    <row r="462" spans="1:64" ht="4.5" customHeight="1" outlineLevel="1">
      <c r="A462" s="9"/>
      <c r="B462" s="9"/>
      <c r="C462" s="44"/>
      <c r="D462" s="128">
        <f>Asset25</f>
        <v>0</v>
      </c>
      <c r="E462" s="9"/>
      <c r="F462" s="9"/>
      <c r="G462" s="191">
        <f>Input!J31</f>
        <v>0</v>
      </c>
      <c r="H462" s="109">
        <f t="shared" si="7"/>
        <v>0</v>
      </c>
      <c r="I462" s="109">
        <f t="shared" si="8"/>
        <v>0</v>
      </c>
      <c r="J462" s="109">
        <f t="shared" si="8"/>
        <v>0</v>
      </c>
      <c r="K462" s="109">
        <f t="shared" si="8"/>
        <v>0</v>
      </c>
      <c r="L462" s="109">
        <f t="shared" si="8"/>
        <v>0</v>
      </c>
      <c r="M462" s="109">
        <f t="shared" si="8"/>
        <v>0</v>
      </c>
      <c r="N462" s="109">
        <f>IF(Input!M$173&gt;0, M462+M494+M526, 0)</f>
        <v>0</v>
      </c>
      <c r="O462" s="109">
        <f>IF(Input!N$173&gt;0, N462+N494+N526, 0)</f>
        <v>0</v>
      </c>
      <c r="P462" s="109">
        <f>IF(Input!O$173&gt;0, O462+O494+O526, 0)</f>
        <v>0</v>
      </c>
      <c r="Q462" s="109">
        <f>IF(Input!P$173&gt;0, P462+P494+P526, 0)</f>
        <v>0</v>
      </c>
      <c r="R462" s="109">
        <f>IF(Input!Q$173&gt;0, Q462+Q494+Q526, 0)</f>
        <v>0</v>
      </c>
      <c r="S462" s="99"/>
      <c r="T462" s="99"/>
      <c r="U462" s="99"/>
      <c r="V462" s="99"/>
      <c r="W462" s="99"/>
      <c r="X462" s="99"/>
      <c r="Y462" s="99"/>
      <c r="Z462" s="99"/>
      <c r="AA462" s="99"/>
      <c r="AB462" s="226"/>
      <c r="AC462" s="226"/>
      <c r="AD462" s="226"/>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c r="BA462" s="226"/>
      <c r="BB462" s="226"/>
      <c r="BC462" s="226"/>
      <c r="BD462" s="99"/>
      <c r="BE462" s="99"/>
      <c r="BF462" s="99"/>
      <c r="BG462" s="99"/>
      <c r="BH462" s="99"/>
      <c r="BI462" s="99"/>
      <c r="BJ462" s="99"/>
      <c r="BK462" s="11"/>
      <c r="BL462" s="11"/>
    </row>
    <row r="463" spans="1:64" ht="4.5" customHeight="1" outlineLevel="1">
      <c r="A463" s="9"/>
      <c r="B463" s="9"/>
      <c r="C463" s="44"/>
      <c r="D463" s="128">
        <f>Asset26</f>
        <v>0</v>
      </c>
      <c r="E463" s="9"/>
      <c r="F463" s="9"/>
      <c r="G463" s="191">
        <f>Input!J32</f>
        <v>0</v>
      </c>
      <c r="H463" s="109">
        <f t="shared" si="7"/>
        <v>0</v>
      </c>
      <c r="I463" s="109">
        <f t="shared" si="8"/>
        <v>0</v>
      </c>
      <c r="J463" s="109">
        <f t="shared" si="8"/>
        <v>0</v>
      </c>
      <c r="K463" s="109">
        <f t="shared" si="8"/>
        <v>0</v>
      </c>
      <c r="L463" s="109">
        <f t="shared" si="8"/>
        <v>0</v>
      </c>
      <c r="M463" s="109">
        <f t="shared" si="8"/>
        <v>0</v>
      </c>
      <c r="N463" s="109">
        <f>IF(Input!M$173&gt;0, M463+M495+M527, 0)</f>
        <v>0</v>
      </c>
      <c r="O463" s="109">
        <f>IF(Input!N$173&gt;0, N463+N495+N527, 0)</f>
        <v>0</v>
      </c>
      <c r="P463" s="109">
        <f>IF(Input!O$173&gt;0, O463+O495+O527, 0)</f>
        <v>0</v>
      </c>
      <c r="Q463" s="109">
        <f>IF(Input!P$173&gt;0, P463+P495+P527, 0)</f>
        <v>0</v>
      </c>
      <c r="R463" s="109">
        <f>IF(Input!Q$173&gt;0, Q463+Q495+Q527, 0)</f>
        <v>0</v>
      </c>
      <c r="S463" s="99"/>
      <c r="T463" s="99"/>
      <c r="U463" s="99"/>
      <c r="V463" s="99"/>
      <c r="W463" s="99"/>
      <c r="X463" s="99"/>
      <c r="Y463" s="99"/>
      <c r="Z463" s="99"/>
      <c r="AA463" s="99"/>
      <c r="AB463" s="226"/>
      <c r="AC463" s="226"/>
      <c r="AD463" s="226"/>
      <c r="AE463" s="226"/>
      <c r="AF463" s="226"/>
      <c r="AG463" s="226"/>
      <c r="AH463" s="226"/>
      <c r="AI463" s="226"/>
      <c r="AJ463" s="226"/>
      <c r="AK463" s="226"/>
      <c r="AL463" s="226"/>
      <c r="AM463" s="226"/>
      <c r="AN463" s="226"/>
      <c r="AO463" s="226"/>
      <c r="AP463" s="226"/>
      <c r="AQ463" s="226"/>
      <c r="AR463" s="226"/>
      <c r="AS463" s="226"/>
      <c r="AT463" s="226"/>
      <c r="AU463" s="226"/>
      <c r="AV463" s="226"/>
      <c r="AW463" s="226"/>
      <c r="AX463" s="226"/>
      <c r="AY463" s="226"/>
      <c r="AZ463" s="226"/>
      <c r="BA463" s="226"/>
      <c r="BB463" s="226"/>
      <c r="BC463" s="226"/>
      <c r="BD463" s="99"/>
      <c r="BE463" s="99"/>
      <c r="BF463" s="99"/>
      <c r="BG463" s="99"/>
      <c r="BH463" s="99"/>
      <c r="BI463" s="99"/>
      <c r="BJ463" s="99"/>
      <c r="BK463" s="11"/>
      <c r="BL463" s="11"/>
    </row>
    <row r="464" spans="1:64" ht="4.5" customHeight="1" outlineLevel="1">
      <c r="A464" s="9"/>
      <c r="B464" s="9"/>
      <c r="C464" s="44"/>
      <c r="D464" s="128">
        <f>Asset27</f>
        <v>0</v>
      </c>
      <c r="E464" s="9"/>
      <c r="F464" s="9"/>
      <c r="G464" s="191">
        <f>Input!J33</f>
        <v>0</v>
      </c>
      <c r="H464" s="109">
        <f t="shared" si="7"/>
        <v>0</v>
      </c>
      <c r="I464" s="109">
        <f t="shared" si="8"/>
        <v>0</v>
      </c>
      <c r="J464" s="109">
        <f t="shared" si="8"/>
        <v>0</v>
      </c>
      <c r="K464" s="109">
        <f t="shared" si="8"/>
        <v>0</v>
      </c>
      <c r="L464" s="109">
        <f t="shared" si="8"/>
        <v>0</v>
      </c>
      <c r="M464" s="109">
        <f t="shared" si="8"/>
        <v>0</v>
      </c>
      <c r="N464" s="109">
        <f>IF(Input!M$173&gt;0, M464+M496+M528, 0)</f>
        <v>0</v>
      </c>
      <c r="O464" s="109">
        <f>IF(Input!N$173&gt;0, N464+N496+N528, 0)</f>
        <v>0</v>
      </c>
      <c r="P464" s="109">
        <f>IF(Input!O$173&gt;0, O464+O496+O528, 0)</f>
        <v>0</v>
      </c>
      <c r="Q464" s="109">
        <f>IF(Input!P$173&gt;0, P464+P496+P528, 0)</f>
        <v>0</v>
      </c>
      <c r="R464" s="109">
        <f>IF(Input!Q$173&gt;0, Q464+Q496+Q528, 0)</f>
        <v>0</v>
      </c>
      <c r="S464" s="99"/>
      <c r="T464" s="99"/>
      <c r="U464" s="99"/>
      <c r="V464" s="99"/>
      <c r="W464" s="99"/>
      <c r="X464" s="99"/>
      <c r="Y464" s="99"/>
      <c r="Z464" s="99"/>
      <c r="AA464" s="99"/>
      <c r="AB464" s="226"/>
      <c r="AC464" s="226"/>
      <c r="AD464" s="226"/>
      <c r="AE464" s="226"/>
      <c r="AF464" s="226"/>
      <c r="AG464" s="226"/>
      <c r="AH464" s="226"/>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99"/>
      <c r="BE464" s="99"/>
      <c r="BF464" s="99"/>
      <c r="BG464" s="99"/>
      <c r="BH464" s="99"/>
      <c r="BI464" s="99"/>
      <c r="BJ464" s="99"/>
      <c r="BK464" s="11"/>
      <c r="BL464" s="11"/>
    </row>
    <row r="465" spans="1:64" ht="4.5" customHeight="1" outlineLevel="1">
      <c r="A465" s="9"/>
      <c r="B465" s="9"/>
      <c r="C465" s="44"/>
      <c r="D465" s="128">
        <f>Asset28</f>
        <v>0</v>
      </c>
      <c r="E465" s="9"/>
      <c r="F465" s="9"/>
      <c r="G465" s="191">
        <f>Input!J34</f>
        <v>0</v>
      </c>
      <c r="H465" s="109">
        <f t="shared" si="7"/>
        <v>0</v>
      </c>
      <c r="I465" s="109">
        <f t="shared" si="8"/>
        <v>0</v>
      </c>
      <c r="J465" s="109">
        <f t="shared" si="8"/>
        <v>0</v>
      </c>
      <c r="K465" s="109">
        <f t="shared" si="8"/>
        <v>0</v>
      </c>
      <c r="L465" s="109">
        <f t="shared" si="8"/>
        <v>0</v>
      </c>
      <c r="M465" s="109">
        <f t="shared" si="8"/>
        <v>0</v>
      </c>
      <c r="N465" s="109">
        <f>IF(Input!M$173&gt;0, M465+M497+M529, 0)</f>
        <v>0</v>
      </c>
      <c r="O465" s="109">
        <f>IF(Input!N$173&gt;0, N465+N497+N529, 0)</f>
        <v>0</v>
      </c>
      <c r="P465" s="109">
        <f>IF(Input!O$173&gt;0, O465+O497+O529, 0)</f>
        <v>0</v>
      </c>
      <c r="Q465" s="109">
        <f>IF(Input!P$173&gt;0, P465+P497+P529, 0)</f>
        <v>0</v>
      </c>
      <c r="R465" s="109">
        <f>IF(Input!Q$173&gt;0, Q465+Q497+Q529, 0)</f>
        <v>0</v>
      </c>
      <c r="S465" s="99"/>
      <c r="T465" s="99"/>
      <c r="U465" s="99"/>
      <c r="V465" s="99"/>
      <c r="W465" s="99"/>
      <c r="X465" s="99"/>
      <c r="Y465" s="99"/>
      <c r="Z465" s="99"/>
      <c r="AA465" s="99"/>
      <c r="AB465" s="226"/>
      <c r="AC465" s="226"/>
      <c r="AD465" s="226"/>
      <c r="AE465" s="226"/>
      <c r="AF465" s="226"/>
      <c r="AG465" s="226"/>
      <c r="AH465" s="226"/>
      <c r="AI465" s="226"/>
      <c r="AJ465" s="226"/>
      <c r="AK465" s="226"/>
      <c r="AL465" s="226"/>
      <c r="AM465" s="226"/>
      <c r="AN465" s="226"/>
      <c r="AO465" s="226"/>
      <c r="AP465" s="226"/>
      <c r="AQ465" s="226"/>
      <c r="AR465" s="226"/>
      <c r="AS465" s="226"/>
      <c r="AT465" s="226"/>
      <c r="AU465" s="226"/>
      <c r="AV465" s="226"/>
      <c r="AW465" s="226"/>
      <c r="AX465" s="226"/>
      <c r="AY465" s="226"/>
      <c r="AZ465" s="226"/>
      <c r="BA465" s="226"/>
      <c r="BB465" s="226"/>
      <c r="BC465" s="226"/>
      <c r="BD465" s="99"/>
      <c r="BE465" s="99"/>
      <c r="BF465" s="99"/>
      <c r="BG465" s="99"/>
      <c r="BH465" s="99"/>
      <c r="BI465" s="99"/>
      <c r="BJ465" s="99"/>
      <c r="BK465" s="11"/>
      <c r="BL465" s="11"/>
    </row>
    <row r="466" spans="1:64" ht="4.5" customHeight="1" outlineLevel="1">
      <c r="A466" s="9"/>
      <c r="B466" s="9"/>
      <c r="C466" s="44"/>
      <c r="D466" s="128">
        <f>Asset29</f>
        <v>0</v>
      </c>
      <c r="E466" s="9"/>
      <c r="F466" s="9"/>
      <c r="G466" s="191">
        <f>Input!J35</f>
        <v>0</v>
      </c>
      <c r="H466" s="109">
        <f t="shared" si="7"/>
        <v>0</v>
      </c>
      <c r="I466" s="109">
        <f t="shared" ref="I466:M467" si="9">H466+H498+H530</f>
        <v>0</v>
      </c>
      <c r="J466" s="109">
        <f t="shared" si="9"/>
        <v>0</v>
      </c>
      <c r="K466" s="109">
        <f t="shared" si="9"/>
        <v>0</v>
      </c>
      <c r="L466" s="109">
        <f t="shared" si="9"/>
        <v>0</v>
      </c>
      <c r="M466" s="109">
        <f t="shared" si="9"/>
        <v>0</v>
      </c>
      <c r="N466" s="109">
        <f>IF(Input!M$173&gt;0, M466+M498+M530, 0)</f>
        <v>0</v>
      </c>
      <c r="O466" s="109">
        <f>IF(Input!N$173&gt;0, N466+N498+N530, 0)</f>
        <v>0</v>
      </c>
      <c r="P466" s="109">
        <f>IF(Input!O$173&gt;0, O466+O498+O530, 0)</f>
        <v>0</v>
      </c>
      <c r="Q466" s="109">
        <f>IF(Input!P$173&gt;0, P466+P498+P530, 0)</f>
        <v>0</v>
      </c>
      <c r="R466" s="109">
        <f>IF(Input!Q$173&gt;0, Q466+Q498+Q530, 0)</f>
        <v>0</v>
      </c>
      <c r="S466" s="99"/>
      <c r="T466" s="99"/>
      <c r="U466" s="99"/>
      <c r="V466" s="99"/>
      <c r="W466" s="99"/>
      <c r="X466" s="99"/>
      <c r="Y466" s="99"/>
      <c r="Z466" s="99"/>
      <c r="AA466" s="99"/>
      <c r="AB466" s="226"/>
      <c r="AC466" s="226"/>
      <c r="AD466" s="226"/>
      <c r="AE466" s="226"/>
      <c r="AF466" s="226"/>
      <c r="AG466" s="226"/>
      <c r="AH466" s="226"/>
      <c r="AI466" s="226"/>
      <c r="AJ466" s="226"/>
      <c r="AK466" s="226"/>
      <c r="AL466" s="226"/>
      <c r="AM466" s="226"/>
      <c r="AN466" s="226"/>
      <c r="AO466" s="226"/>
      <c r="AP466" s="226"/>
      <c r="AQ466" s="226"/>
      <c r="AR466" s="226"/>
      <c r="AS466" s="226"/>
      <c r="AT466" s="226"/>
      <c r="AU466" s="226"/>
      <c r="AV466" s="226"/>
      <c r="AW466" s="226"/>
      <c r="AX466" s="226"/>
      <c r="AY466" s="226"/>
      <c r="AZ466" s="226"/>
      <c r="BA466" s="226"/>
      <c r="BB466" s="226"/>
      <c r="BC466" s="226"/>
      <c r="BD466" s="99"/>
      <c r="BE466" s="99"/>
      <c r="BF466" s="99"/>
      <c r="BG466" s="99"/>
      <c r="BH466" s="99"/>
      <c r="BI466" s="99"/>
      <c r="BJ466" s="99"/>
      <c r="BK466" s="11"/>
      <c r="BL466" s="11"/>
    </row>
    <row r="467" spans="1:64" ht="4.5" customHeight="1" outlineLevel="1">
      <c r="A467" s="9"/>
      <c r="B467" s="9"/>
      <c r="C467" s="44"/>
      <c r="D467" s="128">
        <f>Asset30</f>
        <v>0</v>
      </c>
      <c r="E467" s="9"/>
      <c r="F467" s="9"/>
      <c r="G467" s="191">
        <f>Input!J36</f>
        <v>0</v>
      </c>
      <c r="H467" s="109">
        <f t="shared" si="7"/>
        <v>0</v>
      </c>
      <c r="I467" s="109">
        <f t="shared" si="9"/>
        <v>0</v>
      </c>
      <c r="J467" s="109">
        <f t="shared" si="9"/>
        <v>0</v>
      </c>
      <c r="K467" s="109">
        <f t="shared" si="9"/>
        <v>0</v>
      </c>
      <c r="L467" s="109">
        <f t="shared" si="9"/>
        <v>0</v>
      </c>
      <c r="M467" s="109">
        <f t="shared" si="9"/>
        <v>0</v>
      </c>
      <c r="N467" s="109">
        <f>IF(Input!M$173&gt;0, M467+M499+M531, 0)</f>
        <v>0</v>
      </c>
      <c r="O467" s="109">
        <f>IF(Input!N$173&gt;0, N467+N499+N531, 0)</f>
        <v>0</v>
      </c>
      <c r="P467" s="109">
        <f>IF(Input!O$173&gt;0, O467+O499+O531, 0)</f>
        <v>0</v>
      </c>
      <c r="Q467" s="109">
        <f>IF(Input!P$173&gt;0, P467+P499+P531, 0)</f>
        <v>0</v>
      </c>
      <c r="R467" s="109">
        <f>IF(Input!Q$173&gt;0, Q467+Q499+Q531, 0)</f>
        <v>0</v>
      </c>
      <c r="S467" s="99"/>
      <c r="T467" s="99"/>
      <c r="U467" s="99"/>
      <c r="V467" s="99"/>
      <c r="W467" s="99"/>
      <c r="X467" s="99"/>
      <c r="Y467" s="99"/>
      <c r="Z467" s="99"/>
      <c r="AA467" s="99"/>
      <c r="AB467" s="226"/>
      <c r="AC467" s="226"/>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99"/>
      <c r="BE467" s="99"/>
      <c r="BF467" s="99"/>
      <c r="BG467" s="99"/>
      <c r="BH467" s="99"/>
      <c r="BI467" s="99"/>
      <c r="BJ467" s="99"/>
      <c r="BK467" s="11"/>
      <c r="BL467" s="11"/>
    </row>
    <row r="468" spans="1:64">
      <c r="A468" s="9"/>
      <c r="B468" s="9"/>
      <c r="C468" s="44"/>
      <c r="D468" s="112"/>
      <c r="E468" s="9"/>
      <c r="F468" s="9"/>
      <c r="G468" s="199"/>
      <c r="H468" s="36"/>
      <c r="I468" s="36"/>
      <c r="J468" s="36"/>
      <c r="K468" s="36"/>
      <c r="L468" s="36"/>
      <c r="M468" s="36"/>
      <c r="N468" s="28"/>
      <c r="O468" s="28"/>
      <c r="P468" s="28"/>
      <c r="Q468" s="28"/>
      <c r="R468" s="28"/>
      <c r="S468" s="99"/>
      <c r="T468" s="99"/>
      <c r="U468" s="99"/>
      <c r="V468" s="99"/>
      <c r="W468" s="99"/>
      <c r="X468" s="99"/>
      <c r="Y468" s="99"/>
      <c r="Z468" s="99"/>
      <c r="AA468" s="99"/>
      <c r="AB468" s="226"/>
      <c r="AC468" s="226"/>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26"/>
      <c r="BD468" s="99"/>
      <c r="BE468" s="99"/>
      <c r="BF468" s="99"/>
      <c r="BG468" s="99"/>
      <c r="BH468" s="99"/>
      <c r="BI468" s="99"/>
      <c r="BJ468" s="99"/>
      <c r="BK468" s="11"/>
      <c r="BL468" s="11"/>
    </row>
    <row r="469" spans="1:64">
      <c r="A469" s="9"/>
      <c r="B469" s="9"/>
      <c r="C469" s="44" t="s">
        <v>36</v>
      </c>
      <c r="D469" s="9"/>
      <c r="E469" s="9"/>
      <c r="F469" s="9"/>
      <c r="G469" s="192">
        <f>SUM(G470:G499)</f>
        <v>167.51856958615218</v>
      </c>
      <c r="H469" s="36">
        <f>SUM(H470:H499)</f>
        <v>235.45842339818867</v>
      </c>
      <c r="I469" s="36">
        <f t="shared" ref="I469:Q469" si="10">SUM(I470:I499)</f>
        <v>276.14025449076161</v>
      </c>
      <c r="J469" s="36">
        <f t="shared" si="10"/>
        <v>340.31838019734585</v>
      </c>
      <c r="K469" s="36">
        <f t="shared" si="10"/>
        <v>211.94624032765554</v>
      </c>
      <c r="L469" s="36">
        <f t="shared" si="10"/>
        <v>149.95826966700233</v>
      </c>
      <c r="M469" s="36">
        <f t="shared" si="10"/>
        <v>0</v>
      </c>
      <c r="N469" s="36">
        <f t="shared" si="10"/>
        <v>0</v>
      </c>
      <c r="O469" s="36">
        <f t="shared" si="10"/>
        <v>0</v>
      </c>
      <c r="P469" s="36">
        <f t="shared" si="10"/>
        <v>0</v>
      </c>
      <c r="Q469" s="36">
        <f t="shared" si="10"/>
        <v>0</v>
      </c>
      <c r="R469" s="28"/>
      <c r="S469" s="99"/>
      <c r="T469" s="99"/>
      <c r="U469" s="99"/>
      <c r="V469" s="99"/>
      <c r="W469" s="99"/>
      <c r="X469" s="99"/>
      <c r="Y469" s="99"/>
      <c r="Z469" s="99"/>
      <c r="AA469" s="99"/>
      <c r="AB469" s="226"/>
      <c r="AC469" s="226"/>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26"/>
      <c r="BD469" s="99"/>
      <c r="BE469" s="99"/>
      <c r="BF469" s="99"/>
      <c r="BG469" s="99"/>
      <c r="BH469" s="99"/>
      <c r="BI469" s="99"/>
      <c r="BJ469" s="99"/>
      <c r="BK469" s="11"/>
      <c r="BL469" s="11"/>
    </row>
    <row r="470" spans="1:64" ht="12.75" hidden="1" customHeight="1" outlineLevel="1">
      <c r="A470" s="9"/>
      <c r="B470" s="9"/>
      <c r="C470" s="44"/>
      <c r="D470" s="128" t="str">
        <f>Asset1</f>
        <v>Transmission &amp; Zone land &amp; easements</v>
      </c>
      <c r="E470" s="9"/>
      <c r="F470" s="9"/>
      <c r="G470" s="200">
        <f>'Adjustment for previous period'!G366</f>
        <v>52.005735832400816</v>
      </c>
      <c r="H470" s="109">
        <f t="shared" ref="H470:Q470" si="11">H12*H$7</f>
        <v>0</v>
      </c>
      <c r="I470" s="109">
        <f t="shared" si="11"/>
        <v>14.581894311836512</v>
      </c>
      <c r="J470" s="109">
        <f t="shared" si="11"/>
        <v>2.8875506369343902</v>
      </c>
      <c r="K470" s="109">
        <f t="shared" si="11"/>
        <v>1.9026748807672396</v>
      </c>
      <c r="L470" s="109">
        <f t="shared" si="11"/>
        <v>1.4758561316882342</v>
      </c>
      <c r="M470" s="109">
        <f t="shared" si="11"/>
        <v>0</v>
      </c>
      <c r="N470" s="109">
        <f t="shared" si="11"/>
        <v>0</v>
      </c>
      <c r="O470" s="109">
        <f t="shared" si="11"/>
        <v>0</v>
      </c>
      <c r="P470" s="109">
        <f t="shared" si="11"/>
        <v>0</v>
      </c>
      <c r="Q470" s="109">
        <f t="shared" si="11"/>
        <v>0</v>
      </c>
      <c r="R470" s="28"/>
      <c r="S470" s="99"/>
      <c r="T470" s="99"/>
      <c r="U470" s="99"/>
      <c r="V470" s="99"/>
      <c r="W470" s="99"/>
      <c r="X470" s="99"/>
      <c r="Y470" s="99"/>
      <c r="Z470" s="99"/>
      <c r="AA470" s="99"/>
      <c r="AB470" s="226"/>
      <c r="AC470" s="226"/>
      <c r="AD470" s="226"/>
      <c r="AE470" s="226"/>
      <c r="AF470" s="226"/>
      <c r="AG470" s="226"/>
      <c r="AH470" s="226"/>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99"/>
      <c r="BE470" s="99"/>
      <c r="BF470" s="99"/>
      <c r="BG470" s="99"/>
      <c r="BH470" s="99"/>
      <c r="BI470" s="99"/>
      <c r="BJ470" s="99"/>
      <c r="BK470" s="11"/>
      <c r="BL470" s="11"/>
    </row>
    <row r="471" spans="1:64" ht="12.75" hidden="1" customHeight="1" outlineLevel="1">
      <c r="A471" s="9"/>
      <c r="B471" s="9"/>
      <c r="C471" s="44"/>
      <c r="D471" s="128" t="str">
        <f>Asset2</f>
        <v>Transmission buildings 132/66kV</v>
      </c>
      <c r="E471" s="9"/>
      <c r="F471" s="9"/>
      <c r="G471" s="194">
        <f>'Adjustment for previous period'!G367</f>
        <v>14.828944755423525</v>
      </c>
      <c r="H471" s="109">
        <f t="shared" ref="H471:L489" si="12">H13*H$7</f>
        <v>19.466626830897496</v>
      </c>
      <c r="I471" s="109">
        <f t="shared" si="12"/>
        <v>4.7532722006925594</v>
      </c>
      <c r="J471" s="109">
        <f t="shared" si="12"/>
        <v>3.1775998406872499</v>
      </c>
      <c r="K471" s="109">
        <f t="shared" si="12"/>
        <v>6.5434710587753289</v>
      </c>
      <c r="L471" s="109">
        <f t="shared" si="12"/>
        <v>5.0302731008481372</v>
      </c>
      <c r="M471" s="109">
        <f t="shared" ref="M471:Q480" si="13">M13*M$7</f>
        <v>0</v>
      </c>
      <c r="N471" s="109">
        <f t="shared" si="13"/>
        <v>0</v>
      </c>
      <c r="O471" s="109">
        <f t="shared" si="13"/>
        <v>0</v>
      </c>
      <c r="P471" s="109">
        <f t="shared" si="13"/>
        <v>0</v>
      </c>
      <c r="Q471" s="109">
        <f t="shared" si="13"/>
        <v>0</v>
      </c>
      <c r="R471" s="28"/>
      <c r="S471" s="99"/>
      <c r="T471" s="99"/>
      <c r="U471" s="99"/>
      <c r="V471" s="99"/>
      <c r="W471" s="99"/>
      <c r="X471" s="99"/>
      <c r="Y471" s="99"/>
      <c r="Z471" s="99"/>
      <c r="AA471" s="99"/>
      <c r="AB471" s="226"/>
      <c r="AC471" s="226"/>
      <c r="AD471" s="226"/>
      <c r="AE471" s="226"/>
      <c r="AF471" s="226"/>
      <c r="AG471" s="226"/>
      <c r="AH471" s="226"/>
      <c r="AI471" s="226"/>
      <c r="AJ471" s="226"/>
      <c r="AK471" s="226"/>
      <c r="AL471" s="226"/>
      <c r="AM471" s="226"/>
      <c r="AN471" s="226"/>
      <c r="AO471" s="226"/>
      <c r="AP471" s="226"/>
      <c r="AQ471" s="226"/>
      <c r="AR471" s="226"/>
      <c r="AS471" s="226"/>
      <c r="AT471" s="226"/>
      <c r="AU471" s="226"/>
      <c r="AV471" s="226"/>
      <c r="AW471" s="226"/>
      <c r="AX471" s="226"/>
      <c r="AY471" s="226"/>
      <c r="AZ471" s="226"/>
      <c r="BA471" s="226"/>
      <c r="BB471" s="226"/>
      <c r="BC471" s="226"/>
      <c r="BD471" s="99"/>
      <c r="BE471" s="99"/>
      <c r="BF471" s="99"/>
      <c r="BG471" s="99"/>
      <c r="BH471" s="99"/>
      <c r="BI471" s="99"/>
      <c r="BJ471" s="99"/>
      <c r="BK471" s="11"/>
      <c r="BL471" s="11"/>
    </row>
    <row r="472" spans="1:64" ht="12.75" hidden="1" customHeight="1" outlineLevel="1">
      <c r="A472" s="9"/>
      <c r="B472" s="9"/>
      <c r="C472" s="44"/>
      <c r="D472" s="128" t="str">
        <f>Asset3</f>
        <v>Zone buildings 132/66kV</v>
      </c>
      <c r="E472" s="9"/>
      <c r="F472" s="9"/>
      <c r="G472" s="194">
        <f>'Adjustment for previous period'!G368</f>
        <v>0</v>
      </c>
      <c r="H472" s="109">
        <f t="shared" si="12"/>
        <v>0.41904595147273382</v>
      </c>
      <c r="I472" s="109">
        <f t="shared" si="12"/>
        <v>6.8421964364572672</v>
      </c>
      <c r="J472" s="109">
        <f t="shared" si="12"/>
        <v>4.9935747741995424</v>
      </c>
      <c r="K472" s="109">
        <f t="shared" si="12"/>
        <v>34.649276827752885</v>
      </c>
      <c r="L472" s="109">
        <f t="shared" si="12"/>
        <v>27.20500054652878</v>
      </c>
      <c r="M472" s="109">
        <f t="shared" si="13"/>
        <v>0</v>
      </c>
      <c r="N472" s="109">
        <f t="shared" si="13"/>
        <v>0</v>
      </c>
      <c r="O472" s="109">
        <f t="shared" si="13"/>
        <v>0</v>
      </c>
      <c r="P472" s="109">
        <f t="shared" si="13"/>
        <v>0</v>
      </c>
      <c r="Q472" s="109">
        <f t="shared" si="13"/>
        <v>0</v>
      </c>
      <c r="R472" s="28"/>
      <c r="S472" s="99"/>
      <c r="T472" s="99"/>
      <c r="U472" s="99"/>
      <c r="V472" s="99"/>
      <c r="W472" s="99"/>
      <c r="X472" s="99"/>
      <c r="Y472" s="99"/>
      <c r="Z472" s="99"/>
      <c r="AA472" s="99"/>
      <c r="AB472" s="226"/>
      <c r="AC472" s="226"/>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99"/>
      <c r="BE472" s="99"/>
      <c r="BF472" s="99"/>
      <c r="BG472" s="99"/>
      <c r="BH472" s="99"/>
      <c r="BI472" s="99"/>
      <c r="BJ472" s="99"/>
      <c r="BK472" s="11"/>
      <c r="BL472" s="11"/>
    </row>
    <row r="473" spans="1:64" ht="12.75" hidden="1" customHeight="1" outlineLevel="1">
      <c r="A473" s="9"/>
      <c r="B473" s="9"/>
      <c r="C473" s="44"/>
      <c r="D473" s="128" t="str">
        <f>Asset4</f>
        <v>Transmission transformers 132/66kV</v>
      </c>
      <c r="E473" s="9"/>
      <c r="F473" s="9"/>
      <c r="G473" s="194">
        <f>'Adjustment for previous period'!G369</f>
        <v>2.6107297104618885</v>
      </c>
      <c r="H473" s="109">
        <f t="shared" si="12"/>
        <v>3.3750126626253012</v>
      </c>
      <c r="I473" s="109">
        <f t="shared" si="12"/>
        <v>1.2131656557035857</v>
      </c>
      <c r="J473" s="109">
        <f t="shared" si="12"/>
        <v>2.6927738181072285</v>
      </c>
      <c r="K473" s="109">
        <f t="shared" si="12"/>
        <v>6.1727273122276163</v>
      </c>
      <c r="L473" s="109">
        <f t="shared" si="12"/>
        <v>5.1805675079984015</v>
      </c>
      <c r="M473" s="109">
        <f t="shared" si="13"/>
        <v>0</v>
      </c>
      <c r="N473" s="109">
        <f t="shared" si="13"/>
        <v>0</v>
      </c>
      <c r="O473" s="109">
        <f t="shared" si="13"/>
        <v>0</v>
      </c>
      <c r="P473" s="109">
        <f t="shared" si="13"/>
        <v>0</v>
      </c>
      <c r="Q473" s="109">
        <f t="shared" si="13"/>
        <v>0</v>
      </c>
      <c r="R473" s="28"/>
      <c r="S473" s="99"/>
      <c r="T473" s="99"/>
      <c r="U473" s="99"/>
      <c r="V473" s="99"/>
      <c r="W473" s="99"/>
      <c r="X473" s="99"/>
      <c r="Y473" s="99"/>
      <c r="Z473" s="99"/>
      <c r="AA473" s="99"/>
      <c r="AB473" s="226"/>
      <c r="AC473" s="226"/>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99"/>
      <c r="BE473" s="99"/>
      <c r="BF473" s="99"/>
      <c r="BG473" s="99"/>
      <c r="BH473" s="99"/>
      <c r="BI473" s="99"/>
      <c r="BJ473" s="99"/>
      <c r="BK473" s="11"/>
      <c r="BL473" s="11"/>
    </row>
    <row r="474" spans="1:64" ht="12.75" hidden="1" customHeight="1" outlineLevel="1">
      <c r="A474" s="9"/>
      <c r="B474" s="9"/>
      <c r="C474" s="44"/>
      <c r="D474" s="128" t="str">
        <f>Asset5</f>
        <v>Zone transformers 132/66kV</v>
      </c>
      <c r="E474" s="9"/>
      <c r="F474" s="9"/>
      <c r="G474" s="194">
        <f>'Adjustment for previous period'!G370</f>
        <v>0.41771675367390215</v>
      </c>
      <c r="H474" s="109">
        <f t="shared" si="12"/>
        <v>3.140392558570865</v>
      </c>
      <c r="I474" s="109">
        <f t="shared" si="12"/>
        <v>3.0586945783176325</v>
      </c>
      <c r="J474" s="109">
        <f t="shared" si="12"/>
        <v>3.1246585466530483</v>
      </c>
      <c r="K474" s="109">
        <f t="shared" si="12"/>
        <v>0</v>
      </c>
      <c r="L474" s="109">
        <f t="shared" si="12"/>
        <v>0</v>
      </c>
      <c r="M474" s="109">
        <f t="shared" si="13"/>
        <v>0</v>
      </c>
      <c r="N474" s="109">
        <f t="shared" si="13"/>
        <v>0</v>
      </c>
      <c r="O474" s="109">
        <f t="shared" si="13"/>
        <v>0</v>
      </c>
      <c r="P474" s="109">
        <f t="shared" si="13"/>
        <v>0</v>
      </c>
      <c r="Q474" s="109">
        <f t="shared" si="13"/>
        <v>0</v>
      </c>
      <c r="R474" s="28"/>
      <c r="S474" s="99"/>
      <c r="T474" s="99"/>
      <c r="U474" s="99"/>
      <c r="V474" s="99"/>
      <c r="W474" s="99"/>
      <c r="X474" s="99"/>
      <c r="Y474" s="99"/>
      <c r="Z474" s="99"/>
      <c r="AA474" s="99"/>
      <c r="AB474" s="226"/>
      <c r="AC474" s="226"/>
      <c r="AD474" s="226"/>
      <c r="AE474" s="226"/>
      <c r="AF474" s="226"/>
      <c r="AG474" s="226"/>
      <c r="AH474" s="226"/>
      <c r="AI474" s="226"/>
      <c r="AJ474" s="226"/>
      <c r="AK474" s="226"/>
      <c r="AL474" s="226"/>
      <c r="AM474" s="226"/>
      <c r="AN474" s="226"/>
      <c r="AO474" s="226"/>
      <c r="AP474" s="226"/>
      <c r="AQ474" s="226"/>
      <c r="AR474" s="226"/>
      <c r="AS474" s="226"/>
      <c r="AT474" s="226"/>
      <c r="AU474" s="226"/>
      <c r="AV474" s="226"/>
      <c r="AW474" s="226"/>
      <c r="AX474" s="226"/>
      <c r="AY474" s="226"/>
      <c r="AZ474" s="226"/>
      <c r="BA474" s="226"/>
      <c r="BB474" s="226"/>
      <c r="BC474" s="226"/>
      <c r="BD474" s="99"/>
      <c r="BE474" s="99"/>
      <c r="BF474" s="99"/>
      <c r="BG474" s="99"/>
      <c r="BH474" s="99"/>
      <c r="BI474" s="99"/>
      <c r="BJ474" s="99"/>
      <c r="BK474" s="11"/>
      <c r="BL474" s="11"/>
    </row>
    <row r="475" spans="1:64" ht="12.75" hidden="1" customHeight="1" outlineLevel="1">
      <c r="A475" s="9"/>
      <c r="B475" s="9"/>
      <c r="C475" s="44"/>
      <c r="D475" s="128" t="str">
        <f>Asset6</f>
        <v>Transmission substation equip 132/66kV</v>
      </c>
      <c r="E475" s="9"/>
      <c r="F475" s="9"/>
      <c r="G475" s="194">
        <f>'Adjustment for previous period'!G371</f>
        <v>13.784652871238768</v>
      </c>
      <c r="H475" s="109">
        <f t="shared" si="12"/>
        <v>26.123627987226122</v>
      </c>
      <c r="I475" s="109">
        <f t="shared" si="12"/>
        <v>20.985348635127764</v>
      </c>
      <c r="J475" s="109">
        <f t="shared" si="12"/>
        <v>28.361633061115928</v>
      </c>
      <c r="K475" s="109">
        <f t="shared" si="12"/>
        <v>19.251828942794141</v>
      </c>
      <c r="L475" s="109">
        <f t="shared" si="12"/>
        <v>14.799783846097094</v>
      </c>
      <c r="M475" s="109">
        <f t="shared" si="13"/>
        <v>0</v>
      </c>
      <c r="N475" s="109">
        <f t="shared" si="13"/>
        <v>0</v>
      </c>
      <c r="O475" s="109">
        <f t="shared" si="13"/>
        <v>0</v>
      </c>
      <c r="P475" s="109">
        <f t="shared" si="13"/>
        <v>0</v>
      </c>
      <c r="Q475" s="109">
        <f t="shared" si="13"/>
        <v>0</v>
      </c>
      <c r="R475" s="28"/>
      <c r="S475" s="99"/>
      <c r="T475" s="99"/>
      <c r="U475" s="99"/>
      <c r="V475" s="99"/>
      <c r="W475" s="99"/>
      <c r="X475" s="99"/>
      <c r="Y475" s="99"/>
      <c r="Z475" s="99"/>
      <c r="AA475" s="99"/>
      <c r="AB475" s="226"/>
      <c r="AC475" s="226"/>
      <c r="AD475" s="226"/>
      <c r="AE475" s="226"/>
      <c r="AF475" s="226"/>
      <c r="AG475" s="226"/>
      <c r="AH475" s="226"/>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26"/>
      <c r="BD475" s="99"/>
      <c r="BE475" s="99"/>
      <c r="BF475" s="99"/>
      <c r="BG475" s="99"/>
      <c r="BH475" s="99"/>
      <c r="BI475" s="99"/>
      <c r="BJ475" s="99"/>
      <c r="BK475" s="11"/>
      <c r="BL475" s="11"/>
    </row>
    <row r="476" spans="1:64" ht="12.75" hidden="1" customHeight="1" outlineLevel="1">
      <c r="A476" s="9"/>
      <c r="B476" s="9"/>
      <c r="C476" s="44"/>
      <c r="D476" s="128" t="str">
        <f>Asset7</f>
        <v>Zone substation equip 132/66kV</v>
      </c>
      <c r="E476" s="9"/>
      <c r="F476" s="9"/>
      <c r="G476" s="194">
        <f>'Adjustment for previous period'!G372</f>
        <v>7.4144723777117623</v>
      </c>
      <c r="H476" s="109">
        <f t="shared" si="12"/>
        <v>37.239203195086496</v>
      </c>
      <c r="I476" s="109">
        <f t="shared" si="12"/>
        <v>89.002900557289323</v>
      </c>
      <c r="J476" s="109">
        <f t="shared" si="12"/>
        <v>84.735198347100649</v>
      </c>
      <c r="K476" s="109">
        <f t="shared" si="12"/>
        <v>34.729670770943784</v>
      </c>
      <c r="L476" s="109">
        <f t="shared" si="12"/>
        <v>26.698326791879619</v>
      </c>
      <c r="M476" s="109">
        <f t="shared" si="13"/>
        <v>0</v>
      </c>
      <c r="N476" s="109">
        <f t="shared" si="13"/>
        <v>0</v>
      </c>
      <c r="O476" s="109">
        <f t="shared" si="13"/>
        <v>0</v>
      </c>
      <c r="P476" s="109">
        <f t="shared" si="13"/>
        <v>0</v>
      </c>
      <c r="Q476" s="109">
        <f t="shared" si="13"/>
        <v>0</v>
      </c>
      <c r="R476" s="28"/>
      <c r="S476" s="99"/>
      <c r="T476" s="99"/>
      <c r="U476" s="99"/>
      <c r="V476" s="99"/>
      <c r="W476" s="99"/>
      <c r="X476" s="99"/>
      <c r="Y476" s="99"/>
      <c r="Z476" s="99"/>
      <c r="AA476" s="99"/>
      <c r="AB476" s="226"/>
      <c r="AC476" s="226"/>
      <c r="AD476" s="226"/>
      <c r="AE476" s="226"/>
      <c r="AF476" s="226"/>
      <c r="AG476" s="226"/>
      <c r="AH476" s="226"/>
      <c r="AI476" s="226"/>
      <c r="AJ476" s="226"/>
      <c r="AK476" s="226"/>
      <c r="AL476" s="226"/>
      <c r="AM476" s="226"/>
      <c r="AN476" s="226"/>
      <c r="AO476" s="226"/>
      <c r="AP476" s="226"/>
      <c r="AQ476" s="226"/>
      <c r="AR476" s="226"/>
      <c r="AS476" s="226"/>
      <c r="AT476" s="226"/>
      <c r="AU476" s="226"/>
      <c r="AV476" s="226"/>
      <c r="AW476" s="226"/>
      <c r="AX476" s="226"/>
      <c r="AY476" s="226"/>
      <c r="AZ476" s="226"/>
      <c r="BA476" s="226"/>
      <c r="BB476" s="226"/>
      <c r="BC476" s="226"/>
      <c r="BD476" s="99"/>
      <c r="BE476" s="99"/>
      <c r="BF476" s="99"/>
      <c r="BG476" s="99"/>
      <c r="BH476" s="99"/>
      <c r="BI476" s="99"/>
      <c r="BJ476" s="99"/>
      <c r="BK476" s="11"/>
      <c r="BL476" s="11"/>
    </row>
    <row r="477" spans="1:64" ht="12.75" hidden="1" customHeight="1" outlineLevel="1">
      <c r="A477" s="9"/>
      <c r="B477" s="9"/>
      <c r="C477" s="44"/>
      <c r="D477" s="128" t="str">
        <f>Asset8</f>
        <v>Transmission &amp; Zone emergency spares</v>
      </c>
      <c r="E477" s="9"/>
      <c r="F477" s="9"/>
      <c r="G477" s="194">
        <f>'Adjustment for previous period'!G373</f>
        <v>0</v>
      </c>
      <c r="H477" s="109">
        <f t="shared" si="12"/>
        <v>0</v>
      </c>
      <c r="I477" s="109">
        <f t="shared" si="12"/>
        <v>0</v>
      </c>
      <c r="J477" s="109">
        <f t="shared" si="12"/>
        <v>0</v>
      </c>
      <c r="K477" s="109">
        <f t="shared" si="12"/>
        <v>0</v>
      </c>
      <c r="L477" s="109">
        <f t="shared" si="12"/>
        <v>0</v>
      </c>
      <c r="M477" s="109">
        <f t="shared" si="13"/>
        <v>0</v>
      </c>
      <c r="N477" s="109">
        <f t="shared" si="13"/>
        <v>0</v>
      </c>
      <c r="O477" s="109">
        <f t="shared" si="13"/>
        <v>0</v>
      </c>
      <c r="P477" s="109">
        <f t="shared" si="13"/>
        <v>0</v>
      </c>
      <c r="Q477" s="109">
        <f t="shared" si="13"/>
        <v>0</v>
      </c>
      <c r="R477" s="28"/>
      <c r="S477" s="99"/>
      <c r="T477" s="99"/>
      <c r="U477" s="99"/>
      <c r="V477" s="99"/>
      <c r="W477" s="99"/>
      <c r="X477" s="99"/>
      <c r="Y477" s="99"/>
      <c r="Z477" s="99"/>
      <c r="AA477" s="99"/>
      <c r="AB477" s="226"/>
      <c r="AC477" s="226"/>
      <c r="AD477" s="226"/>
      <c r="AE477" s="226"/>
      <c r="AF477" s="226"/>
      <c r="AG477" s="226"/>
      <c r="AH477" s="226"/>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99"/>
      <c r="BE477" s="99"/>
      <c r="BF477" s="99"/>
      <c r="BG477" s="99"/>
      <c r="BH477" s="99"/>
      <c r="BI477" s="99"/>
      <c r="BJ477" s="99"/>
      <c r="BK477" s="11"/>
      <c r="BL477" s="11"/>
    </row>
    <row r="478" spans="1:64" ht="12.75" hidden="1" customHeight="1" outlineLevel="1">
      <c r="A478" s="9"/>
      <c r="B478" s="9"/>
      <c r="C478" s="44"/>
      <c r="D478" s="128" t="str">
        <f>Asset9</f>
        <v>Ancillary substation equipment (tx)</v>
      </c>
      <c r="E478" s="9"/>
      <c r="F478" s="9"/>
      <c r="G478" s="194">
        <f>'Adjustment for previous period'!G374</f>
        <v>0</v>
      </c>
      <c r="H478" s="109">
        <f t="shared" si="12"/>
        <v>1.1808068968042551</v>
      </c>
      <c r="I478" s="109">
        <f t="shared" si="12"/>
        <v>3.2684869187726657</v>
      </c>
      <c r="J478" s="109">
        <f t="shared" si="12"/>
        <v>6.8390540756478106</v>
      </c>
      <c r="K478" s="109">
        <f t="shared" si="12"/>
        <v>22.851848922512346</v>
      </c>
      <c r="L478" s="109">
        <f t="shared" si="12"/>
        <v>17.567288050491278</v>
      </c>
      <c r="M478" s="109">
        <f t="shared" si="13"/>
        <v>0</v>
      </c>
      <c r="N478" s="109">
        <f t="shared" si="13"/>
        <v>0</v>
      </c>
      <c r="O478" s="109">
        <f t="shared" si="13"/>
        <v>0</v>
      </c>
      <c r="P478" s="109">
        <f t="shared" si="13"/>
        <v>0</v>
      </c>
      <c r="Q478" s="109">
        <f t="shared" si="13"/>
        <v>0</v>
      </c>
      <c r="R478" s="28"/>
      <c r="S478" s="99"/>
      <c r="T478" s="99"/>
      <c r="U478" s="99"/>
      <c r="V478" s="99"/>
      <c r="W478" s="99"/>
      <c r="X478" s="99"/>
      <c r="Y478" s="99"/>
      <c r="Z478" s="99"/>
      <c r="AA478" s="99"/>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99"/>
      <c r="BE478" s="99"/>
      <c r="BF478" s="99"/>
      <c r="BG478" s="99"/>
      <c r="BH478" s="99"/>
      <c r="BI478" s="99"/>
      <c r="BJ478" s="99"/>
      <c r="BK478" s="11"/>
      <c r="BL478" s="11"/>
    </row>
    <row r="479" spans="1:64" ht="12.75" hidden="1" customHeight="1" outlineLevel="1">
      <c r="A479" s="9"/>
      <c r="B479" s="9"/>
      <c r="C479" s="44"/>
      <c r="D479" s="128" t="str">
        <f>Asset10</f>
        <v>132kV tower lines</v>
      </c>
      <c r="E479" s="9"/>
      <c r="F479" s="9"/>
      <c r="G479" s="194">
        <f>'Adjustment for previous period'!G375</f>
        <v>0</v>
      </c>
      <c r="H479" s="109">
        <f t="shared" si="12"/>
        <v>4.3680662047384082</v>
      </c>
      <c r="I479" s="109">
        <f t="shared" si="12"/>
        <v>9.1394216504758603</v>
      </c>
      <c r="J479" s="109">
        <f t="shared" si="12"/>
        <v>6.135419742909014</v>
      </c>
      <c r="K479" s="109">
        <f t="shared" si="12"/>
        <v>-0.84990449301382998</v>
      </c>
      <c r="L479" s="109">
        <f t="shared" si="12"/>
        <v>0.39762151419607933</v>
      </c>
      <c r="M479" s="109">
        <f t="shared" si="13"/>
        <v>0</v>
      </c>
      <c r="N479" s="109">
        <f t="shared" si="13"/>
        <v>0</v>
      </c>
      <c r="O479" s="109">
        <f t="shared" si="13"/>
        <v>0</v>
      </c>
      <c r="P479" s="109">
        <f t="shared" si="13"/>
        <v>0</v>
      </c>
      <c r="Q479" s="109">
        <f t="shared" si="13"/>
        <v>0</v>
      </c>
      <c r="R479" s="28"/>
      <c r="S479" s="99"/>
      <c r="T479" s="99"/>
      <c r="U479" s="99"/>
      <c r="V479" s="99"/>
      <c r="W479" s="99"/>
      <c r="X479" s="99"/>
      <c r="Y479" s="99"/>
      <c r="Z479" s="99"/>
      <c r="AA479" s="99"/>
      <c r="AB479" s="226"/>
      <c r="AC479" s="226"/>
      <c r="AD479" s="226"/>
      <c r="AE479" s="226"/>
      <c r="AF479" s="226"/>
      <c r="AG479" s="226"/>
      <c r="AH479" s="226"/>
      <c r="AI479" s="226"/>
      <c r="AJ479" s="226"/>
      <c r="AK479" s="226"/>
      <c r="AL479" s="226"/>
      <c r="AM479" s="226"/>
      <c r="AN479" s="226"/>
      <c r="AO479" s="226"/>
      <c r="AP479" s="226"/>
      <c r="AQ479" s="226"/>
      <c r="AR479" s="226"/>
      <c r="AS479" s="226"/>
      <c r="AT479" s="226"/>
      <c r="AU479" s="226"/>
      <c r="AV479" s="226"/>
      <c r="AW479" s="226"/>
      <c r="AX479" s="226"/>
      <c r="AY479" s="226"/>
      <c r="AZ479" s="226"/>
      <c r="BA479" s="226"/>
      <c r="BB479" s="226"/>
      <c r="BC479" s="226"/>
      <c r="BD479" s="99"/>
      <c r="BE479" s="99"/>
      <c r="BF479" s="99"/>
      <c r="BG479" s="99"/>
      <c r="BH479" s="99"/>
      <c r="BI479" s="99"/>
      <c r="BJ479" s="99"/>
      <c r="BK479" s="11"/>
      <c r="BL479" s="11"/>
    </row>
    <row r="480" spans="1:64" ht="12.75" hidden="1" customHeight="1" outlineLevel="1">
      <c r="A480" s="9"/>
      <c r="B480" s="9"/>
      <c r="C480" s="44"/>
      <c r="D480" s="128" t="str">
        <f>Asset11</f>
        <v>132kV concrete &amp; steel pole lines</v>
      </c>
      <c r="E480" s="9"/>
      <c r="F480" s="9"/>
      <c r="G480" s="194">
        <f>'Adjustment for previous period'!G376</f>
        <v>0.52214594209237764</v>
      </c>
      <c r="H480" s="109">
        <f t="shared" si="12"/>
        <v>14.825445577206798</v>
      </c>
      <c r="I480" s="109">
        <f t="shared" si="12"/>
        <v>4.1163987104316924</v>
      </c>
      <c r="J480" s="109">
        <f t="shared" si="12"/>
        <v>0.82191110667688783</v>
      </c>
      <c r="K480" s="109">
        <f t="shared" si="12"/>
        <v>-2.2009383904034312</v>
      </c>
      <c r="L480" s="109">
        <f t="shared" si="12"/>
        <v>-0.25541369629122451</v>
      </c>
      <c r="M480" s="109">
        <f t="shared" si="13"/>
        <v>0</v>
      </c>
      <c r="N480" s="109">
        <f t="shared" si="13"/>
        <v>0</v>
      </c>
      <c r="O480" s="109">
        <f t="shared" si="13"/>
        <v>0</v>
      </c>
      <c r="P480" s="109">
        <f t="shared" si="13"/>
        <v>0</v>
      </c>
      <c r="Q480" s="109">
        <f t="shared" si="13"/>
        <v>0</v>
      </c>
      <c r="R480" s="28"/>
      <c r="S480" s="99"/>
      <c r="T480" s="99"/>
      <c r="U480" s="99"/>
      <c r="V480" s="99"/>
      <c r="W480" s="99"/>
      <c r="X480" s="99"/>
      <c r="Y480" s="99"/>
      <c r="Z480" s="99"/>
      <c r="AA480" s="99"/>
      <c r="AB480" s="226"/>
      <c r="AC480" s="226"/>
      <c r="AD480" s="226"/>
      <c r="AE480" s="226"/>
      <c r="AF480" s="226"/>
      <c r="AG480" s="226"/>
      <c r="AH480" s="226"/>
      <c r="AI480" s="226"/>
      <c r="AJ480" s="226"/>
      <c r="AK480" s="226"/>
      <c r="AL480" s="226"/>
      <c r="AM480" s="226"/>
      <c r="AN480" s="226"/>
      <c r="AO480" s="226"/>
      <c r="AP480" s="226"/>
      <c r="AQ480" s="226"/>
      <c r="AR480" s="226"/>
      <c r="AS480" s="226"/>
      <c r="AT480" s="226"/>
      <c r="AU480" s="226"/>
      <c r="AV480" s="226"/>
      <c r="AW480" s="226"/>
      <c r="AX480" s="226"/>
      <c r="AY480" s="226"/>
      <c r="AZ480" s="226"/>
      <c r="BA480" s="226"/>
      <c r="BB480" s="226"/>
      <c r="BC480" s="226"/>
      <c r="BD480" s="99"/>
      <c r="BE480" s="99"/>
      <c r="BF480" s="99"/>
      <c r="BG480" s="99"/>
      <c r="BH480" s="99"/>
      <c r="BI480" s="99"/>
      <c r="BJ480" s="99"/>
      <c r="BK480" s="11"/>
      <c r="BL480" s="11"/>
    </row>
    <row r="481" spans="1:64" ht="12.75" hidden="1" customHeight="1" outlineLevel="1">
      <c r="A481" s="9"/>
      <c r="B481" s="9"/>
      <c r="C481" s="44"/>
      <c r="D481" s="128" t="str">
        <f>Asset12</f>
        <v>132kV wood pole lines</v>
      </c>
      <c r="E481" s="9"/>
      <c r="F481" s="9"/>
      <c r="G481" s="194">
        <f>'Adjustment for previous period'!G377</f>
        <v>0.41771675367390215</v>
      </c>
      <c r="H481" s="109">
        <f t="shared" si="12"/>
        <v>10.555995220378637</v>
      </c>
      <c r="I481" s="109">
        <f t="shared" si="12"/>
        <v>0.4428260115426203</v>
      </c>
      <c r="J481" s="109">
        <f t="shared" si="12"/>
        <v>0.36714151168090975</v>
      </c>
      <c r="K481" s="109">
        <f t="shared" si="12"/>
        <v>0.61428986285072562</v>
      </c>
      <c r="L481" s="109">
        <f t="shared" si="12"/>
        <v>0.472233428629243</v>
      </c>
      <c r="M481" s="109">
        <f t="shared" ref="M481:Q489" si="14">M23*M$7</f>
        <v>0</v>
      </c>
      <c r="N481" s="109">
        <f t="shared" si="14"/>
        <v>0</v>
      </c>
      <c r="O481" s="109">
        <f t="shared" si="14"/>
        <v>0</v>
      </c>
      <c r="P481" s="109">
        <f t="shared" si="14"/>
        <v>0</v>
      </c>
      <c r="Q481" s="109">
        <f t="shared" si="14"/>
        <v>0</v>
      </c>
      <c r="R481" s="28"/>
      <c r="S481" s="99"/>
      <c r="T481" s="99"/>
      <c r="U481" s="99"/>
      <c r="V481" s="99"/>
      <c r="W481" s="99"/>
      <c r="X481" s="99"/>
      <c r="Y481" s="99"/>
      <c r="Z481" s="99"/>
      <c r="AA481" s="99"/>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6"/>
      <c r="AY481" s="226"/>
      <c r="AZ481" s="226"/>
      <c r="BA481" s="226"/>
      <c r="BB481" s="226"/>
      <c r="BC481" s="226"/>
      <c r="BD481" s="99"/>
      <c r="BE481" s="99"/>
      <c r="BF481" s="99"/>
      <c r="BG481" s="99"/>
      <c r="BH481" s="99"/>
      <c r="BI481" s="99"/>
      <c r="BJ481" s="99"/>
      <c r="BK481" s="11"/>
      <c r="BL481" s="11"/>
    </row>
    <row r="482" spans="1:64" ht="12.75" hidden="1" customHeight="1" outlineLevel="1">
      <c r="A482" s="9"/>
      <c r="B482" s="9"/>
      <c r="C482" s="44"/>
      <c r="D482" s="128" t="str">
        <f>Asset13</f>
        <v>132kV feeders underground</v>
      </c>
      <c r="E482" s="9"/>
      <c r="F482" s="9"/>
      <c r="G482" s="194">
        <f>'Adjustment for previous period'!G378</f>
        <v>51.379160701889965</v>
      </c>
      <c r="H482" s="109">
        <f t="shared" si="12"/>
        <v>79.785767335885836</v>
      </c>
      <c r="I482" s="109">
        <f t="shared" si="12"/>
        <v>90.835492426445143</v>
      </c>
      <c r="J482" s="109">
        <f t="shared" si="12"/>
        <v>169.9205727880904</v>
      </c>
      <c r="K482" s="109">
        <f t="shared" si="12"/>
        <v>73.988253420323858</v>
      </c>
      <c r="L482" s="109">
        <f t="shared" si="12"/>
        <v>56.878240557030502</v>
      </c>
      <c r="M482" s="109">
        <f t="shared" si="14"/>
        <v>0</v>
      </c>
      <c r="N482" s="109">
        <f t="shared" si="14"/>
        <v>0</v>
      </c>
      <c r="O482" s="109">
        <f t="shared" si="14"/>
        <v>0</v>
      </c>
      <c r="P482" s="109">
        <f t="shared" si="14"/>
        <v>0</v>
      </c>
      <c r="Q482" s="109">
        <f t="shared" si="14"/>
        <v>0</v>
      </c>
      <c r="R482" s="28"/>
      <c r="S482" s="99"/>
      <c r="T482" s="99"/>
      <c r="U482" s="99"/>
      <c r="V482" s="99"/>
      <c r="W482" s="99"/>
      <c r="X482" s="99"/>
      <c r="Y482" s="99"/>
      <c r="Z482" s="99"/>
      <c r="AA482" s="99"/>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6"/>
      <c r="AY482" s="226"/>
      <c r="AZ482" s="226"/>
      <c r="BA482" s="226"/>
      <c r="BB482" s="226"/>
      <c r="BC482" s="226"/>
      <c r="BD482" s="99"/>
      <c r="BE482" s="99"/>
      <c r="BF482" s="99"/>
      <c r="BG482" s="99"/>
      <c r="BH482" s="99"/>
      <c r="BI482" s="99"/>
      <c r="BJ482" s="99"/>
      <c r="BK482" s="11"/>
      <c r="BL482" s="11"/>
    </row>
    <row r="483" spans="1:64" ht="12.75" hidden="1" customHeight="1" outlineLevel="1">
      <c r="A483" s="9"/>
      <c r="B483" s="9"/>
      <c r="C483" s="44"/>
      <c r="D483" s="128" t="str">
        <f>Asset14</f>
        <v>Cable tunnel (tx)</v>
      </c>
      <c r="E483" s="9"/>
      <c r="F483" s="9"/>
      <c r="G483" s="194">
        <f>'Adjustment for previous period'!G379</f>
        <v>0</v>
      </c>
      <c r="H483" s="109">
        <f t="shared" si="12"/>
        <v>0</v>
      </c>
      <c r="I483" s="109">
        <f t="shared" si="12"/>
        <v>0</v>
      </c>
      <c r="J483" s="109">
        <f t="shared" si="12"/>
        <v>0.52927837766992347</v>
      </c>
      <c r="K483" s="109">
        <f t="shared" si="12"/>
        <v>0.18067425858449906</v>
      </c>
      <c r="L483" s="109">
        <f t="shared" si="12"/>
        <v>0.13889277644996328</v>
      </c>
      <c r="M483" s="109">
        <f t="shared" si="14"/>
        <v>0</v>
      </c>
      <c r="N483" s="109">
        <f t="shared" si="14"/>
        <v>0</v>
      </c>
      <c r="O483" s="109">
        <f t="shared" si="14"/>
        <v>0</v>
      </c>
      <c r="P483" s="109">
        <f t="shared" si="14"/>
        <v>0</v>
      </c>
      <c r="Q483" s="109">
        <f t="shared" si="14"/>
        <v>0</v>
      </c>
      <c r="R483" s="28"/>
      <c r="S483" s="99"/>
      <c r="T483" s="99"/>
      <c r="U483" s="99"/>
      <c r="V483" s="99"/>
      <c r="W483" s="99"/>
      <c r="X483" s="99"/>
      <c r="Y483" s="99"/>
      <c r="Z483" s="99"/>
      <c r="AA483" s="99"/>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26"/>
      <c r="AY483" s="226"/>
      <c r="AZ483" s="226"/>
      <c r="BA483" s="226"/>
      <c r="BB483" s="226"/>
      <c r="BC483" s="226"/>
      <c r="BD483" s="99"/>
      <c r="BE483" s="99"/>
      <c r="BF483" s="99"/>
      <c r="BG483" s="99"/>
      <c r="BH483" s="99"/>
      <c r="BI483" s="99"/>
      <c r="BJ483" s="99"/>
      <c r="BK483" s="11"/>
      <c r="BL483" s="11"/>
    </row>
    <row r="484" spans="1:64" ht="12.75" hidden="1" customHeight="1" outlineLevel="1">
      <c r="A484" s="9"/>
      <c r="B484" s="9"/>
      <c r="C484" s="44"/>
      <c r="D484" s="128" t="str">
        <f>Asset15</f>
        <v>Network control &amp; com systems</v>
      </c>
      <c r="E484" s="9"/>
      <c r="F484" s="9"/>
      <c r="G484" s="194">
        <f>'Adjustment for previous period'!G380</f>
        <v>0.20885837683695108</v>
      </c>
      <c r="H484" s="109">
        <f t="shared" si="12"/>
        <v>1.5706895504677505</v>
      </c>
      <c r="I484" s="109">
        <f t="shared" si="12"/>
        <v>0</v>
      </c>
      <c r="J484" s="109">
        <f t="shared" si="12"/>
        <v>2.5826228848542351E-2</v>
      </c>
      <c r="K484" s="109">
        <f t="shared" si="12"/>
        <v>0</v>
      </c>
      <c r="L484" s="109">
        <f t="shared" si="12"/>
        <v>0</v>
      </c>
      <c r="M484" s="109">
        <f t="shared" si="14"/>
        <v>0</v>
      </c>
      <c r="N484" s="109">
        <f t="shared" si="14"/>
        <v>0</v>
      </c>
      <c r="O484" s="109">
        <f t="shared" si="14"/>
        <v>0</v>
      </c>
      <c r="P484" s="109">
        <f t="shared" si="14"/>
        <v>0</v>
      </c>
      <c r="Q484" s="109">
        <f t="shared" si="14"/>
        <v>0</v>
      </c>
      <c r="R484" s="28"/>
      <c r="S484" s="99"/>
      <c r="T484" s="99"/>
      <c r="U484" s="99"/>
      <c r="V484" s="99"/>
      <c r="W484" s="99"/>
      <c r="X484" s="99"/>
      <c r="Y484" s="99"/>
      <c r="Z484" s="99"/>
      <c r="AA484" s="99"/>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6"/>
      <c r="AY484" s="226"/>
      <c r="AZ484" s="226"/>
      <c r="BA484" s="226"/>
      <c r="BB484" s="226"/>
      <c r="BC484" s="226"/>
      <c r="BD484" s="99"/>
      <c r="BE484" s="99"/>
      <c r="BF484" s="99"/>
      <c r="BG484" s="99"/>
      <c r="BH484" s="99"/>
      <c r="BI484" s="99"/>
      <c r="BJ484" s="99"/>
      <c r="BK484" s="11"/>
      <c r="BL484" s="11"/>
    </row>
    <row r="485" spans="1:64" ht="12.75" hidden="1" customHeight="1" outlineLevel="1">
      <c r="A485" s="9"/>
      <c r="B485" s="9"/>
      <c r="C485" s="44"/>
      <c r="D485" s="128" t="str">
        <f>Asset16</f>
        <v>Communications (digital) - tx</v>
      </c>
      <c r="E485" s="9"/>
      <c r="F485" s="9"/>
      <c r="G485" s="194">
        <f>'Adjustment for previous period'!G381</f>
        <v>0</v>
      </c>
      <c r="H485" s="109">
        <f t="shared" si="12"/>
        <v>0</v>
      </c>
      <c r="I485" s="109">
        <f t="shared" si="12"/>
        <v>0.34087493634308763</v>
      </c>
      <c r="J485" s="109">
        <f t="shared" si="12"/>
        <v>0.50613138693341642</v>
      </c>
      <c r="K485" s="109">
        <f t="shared" si="12"/>
        <v>0.18231589963237305</v>
      </c>
      <c r="L485" s="109">
        <f t="shared" si="12"/>
        <v>0.14015478291873099</v>
      </c>
      <c r="M485" s="109">
        <f t="shared" si="14"/>
        <v>0</v>
      </c>
      <c r="N485" s="109">
        <f t="shared" si="14"/>
        <v>0</v>
      </c>
      <c r="O485" s="109">
        <f t="shared" si="14"/>
        <v>0</v>
      </c>
      <c r="P485" s="109">
        <f t="shared" si="14"/>
        <v>0</v>
      </c>
      <c r="Q485" s="109">
        <f t="shared" si="14"/>
        <v>0</v>
      </c>
      <c r="R485" s="28"/>
      <c r="S485" s="99"/>
      <c r="T485" s="99"/>
      <c r="U485" s="99"/>
      <c r="V485" s="99"/>
      <c r="W485" s="99"/>
      <c r="X485" s="99"/>
      <c r="Y485" s="99"/>
      <c r="Z485" s="99"/>
      <c r="AA485" s="99"/>
      <c r="AB485" s="226"/>
      <c r="AC485" s="226"/>
      <c r="AD485" s="226"/>
      <c r="AE485" s="226"/>
      <c r="AF485" s="226"/>
      <c r="AG485" s="226"/>
      <c r="AH485" s="226"/>
      <c r="AI485" s="226"/>
      <c r="AJ485" s="226"/>
      <c r="AK485" s="226"/>
      <c r="AL485" s="226"/>
      <c r="AM485" s="226"/>
      <c r="AN485" s="226"/>
      <c r="AO485" s="226"/>
      <c r="AP485" s="226"/>
      <c r="AQ485" s="226"/>
      <c r="AR485" s="226"/>
      <c r="AS485" s="226"/>
      <c r="AT485" s="226"/>
      <c r="AU485" s="226"/>
      <c r="AV485" s="226"/>
      <c r="AW485" s="226"/>
      <c r="AX485" s="226"/>
      <c r="AY485" s="226"/>
      <c r="AZ485" s="226"/>
      <c r="BA485" s="226"/>
      <c r="BB485" s="226"/>
      <c r="BC485" s="226"/>
      <c r="BD485" s="99"/>
      <c r="BE485" s="99"/>
      <c r="BF485" s="99"/>
      <c r="BG485" s="99"/>
      <c r="BH485" s="99"/>
      <c r="BI485" s="99"/>
      <c r="BJ485" s="99"/>
      <c r="BK485" s="11"/>
      <c r="BL485" s="11"/>
    </row>
    <row r="486" spans="1:64" ht="12.75" hidden="1" customHeight="1" outlineLevel="1">
      <c r="A486" s="9"/>
      <c r="B486" s="9"/>
      <c r="C486" s="44"/>
      <c r="D486" s="128" t="str">
        <f>Asset17</f>
        <v>System IT (tx)</v>
      </c>
      <c r="E486" s="9"/>
      <c r="F486" s="9"/>
      <c r="G486" s="194">
        <f>'Adjustment for previous period'!G382</f>
        <v>0</v>
      </c>
      <c r="H486" s="109">
        <f t="shared" si="12"/>
        <v>3.7335598667508916</v>
      </c>
      <c r="I486" s="109">
        <f t="shared" si="12"/>
        <v>8.4493745545810341</v>
      </c>
      <c r="J486" s="109">
        <f t="shared" si="12"/>
        <v>9.7938417508823257</v>
      </c>
      <c r="K486" s="109">
        <f t="shared" si="12"/>
        <v>5.216298940151737</v>
      </c>
      <c r="L486" s="109">
        <f t="shared" si="12"/>
        <v>4.0100136470289343</v>
      </c>
      <c r="M486" s="109">
        <f t="shared" si="14"/>
        <v>0</v>
      </c>
      <c r="N486" s="109">
        <f t="shared" si="14"/>
        <v>0</v>
      </c>
      <c r="O486" s="109">
        <f t="shared" si="14"/>
        <v>0</v>
      </c>
      <c r="P486" s="109">
        <f t="shared" si="14"/>
        <v>0</v>
      </c>
      <c r="Q486" s="109">
        <f t="shared" si="14"/>
        <v>0</v>
      </c>
      <c r="R486" s="28"/>
      <c r="S486" s="99"/>
      <c r="T486" s="99"/>
      <c r="U486" s="99"/>
      <c r="V486" s="99"/>
      <c r="W486" s="99"/>
      <c r="X486" s="99"/>
      <c r="Y486" s="99"/>
      <c r="Z486" s="99"/>
      <c r="AA486" s="99"/>
      <c r="AB486" s="226"/>
      <c r="AC486" s="226"/>
      <c r="AD486" s="226"/>
      <c r="AE486" s="226"/>
      <c r="AF486" s="226"/>
      <c r="AG486" s="226"/>
      <c r="AH486" s="226"/>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26"/>
      <c r="BD486" s="99"/>
      <c r="BE486" s="99"/>
      <c r="BF486" s="99"/>
      <c r="BG486" s="99"/>
      <c r="BH486" s="99"/>
      <c r="BI486" s="99"/>
      <c r="BJ486" s="99"/>
      <c r="BK486" s="11"/>
      <c r="BL486" s="11"/>
    </row>
    <row r="487" spans="1:64" ht="12.75" hidden="1" customHeight="1" outlineLevel="1">
      <c r="A487" s="9"/>
      <c r="B487" s="9"/>
      <c r="C487" s="44"/>
      <c r="D487" s="128" t="str">
        <f>Asset18</f>
        <v>IT systems</v>
      </c>
      <c r="E487" s="9"/>
      <c r="F487" s="9"/>
      <c r="G487" s="194">
        <f>'Adjustment for previous period'!G383</f>
        <v>5.4886479583516072</v>
      </c>
      <c r="H487" s="109">
        <f t="shared" si="12"/>
        <v>6.5637603260522113</v>
      </c>
      <c r="I487" s="109">
        <f t="shared" si="12"/>
        <v>7.4186909578910285</v>
      </c>
      <c r="J487" s="109">
        <f t="shared" si="12"/>
        <v>4.7445002308192068</v>
      </c>
      <c r="K487" s="109">
        <f t="shared" si="12"/>
        <v>3.6748656105731952</v>
      </c>
      <c r="L487" s="109">
        <f t="shared" si="12"/>
        <v>2.8300487911737973</v>
      </c>
      <c r="M487" s="109">
        <f t="shared" si="14"/>
        <v>0</v>
      </c>
      <c r="N487" s="109">
        <f t="shared" si="14"/>
        <v>0</v>
      </c>
      <c r="O487" s="109">
        <f t="shared" si="14"/>
        <v>0</v>
      </c>
      <c r="P487" s="109">
        <f t="shared" si="14"/>
        <v>0</v>
      </c>
      <c r="Q487" s="109">
        <f t="shared" si="14"/>
        <v>0</v>
      </c>
      <c r="R487" s="28"/>
      <c r="S487" s="99"/>
      <c r="T487" s="99"/>
      <c r="U487" s="99"/>
      <c r="V487" s="99"/>
      <c r="W487" s="99"/>
      <c r="X487" s="99"/>
      <c r="Y487" s="99"/>
      <c r="Z487" s="99"/>
      <c r="AA487" s="99"/>
      <c r="AB487" s="226"/>
      <c r="AC487" s="226"/>
      <c r="AD487" s="226"/>
      <c r="AE487" s="226"/>
      <c r="AF487" s="226"/>
      <c r="AG487" s="226"/>
      <c r="AH487" s="226"/>
      <c r="AI487" s="226"/>
      <c r="AJ487" s="226"/>
      <c r="AK487" s="226"/>
      <c r="AL487" s="226"/>
      <c r="AM487" s="226"/>
      <c r="AN487" s="226"/>
      <c r="AO487" s="226"/>
      <c r="AP487" s="226"/>
      <c r="AQ487" s="226"/>
      <c r="AR487" s="226"/>
      <c r="AS487" s="226"/>
      <c r="AT487" s="226"/>
      <c r="AU487" s="226"/>
      <c r="AV487" s="226"/>
      <c r="AW487" s="226"/>
      <c r="AX487" s="226"/>
      <c r="AY487" s="226"/>
      <c r="AZ487" s="226"/>
      <c r="BA487" s="226"/>
      <c r="BB487" s="226"/>
      <c r="BC487" s="226"/>
      <c r="BD487" s="99"/>
      <c r="BE487" s="99"/>
      <c r="BF487" s="99"/>
      <c r="BG487" s="99"/>
      <c r="BH487" s="99"/>
      <c r="BI487" s="99"/>
      <c r="BJ487" s="99"/>
      <c r="BK487" s="11"/>
      <c r="BL487" s="11"/>
    </row>
    <row r="488" spans="1:64" ht="12.75" hidden="1" customHeight="1" outlineLevel="1">
      <c r="A488" s="9"/>
      <c r="B488" s="9"/>
      <c r="C488" s="44"/>
      <c r="D488" s="128" t="str">
        <f>Asset19</f>
        <v>Furniture, fittings, plant and equipment</v>
      </c>
      <c r="E488" s="9"/>
      <c r="F488" s="9"/>
      <c r="G488" s="194">
        <f>'Adjustment for previous period'!G384</f>
        <v>1.2936175040192597</v>
      </c>
      <c r="H488" s="109">
        <f t="shared" si="12"/>
        <v>1.0469294450838382</v>
      </c>
      <c r="I488" s="109">
        <f t="shared" si="12"/>
        <v>0.95593953016768651</v>
      </c>
      <c r="J488" s="109">
        <f t="shared" si="12"/>
        <v>1.000935165928508</v>
      </c>
      <c r="K488" s="109">
        <f t="shared" si="12"/>
        <v>0.6155936080452904</v>
      </c>
      <c r="L488" s="109">
        <f t="shared" si="12"/>
        <v>0.47894081364985774</v>
      </c>
      <c r="M488" s="109">
        <f t="shared" si="14"/>
        <v>0</v>
      </c>
      <c r="N488" s="109">
        <f t="shared" si="14"/>
        <v>0</v>
      </c>
      <c r="O488" s="109">
        <f t="shared" si="14"/>
        <v>0</v>
      </c>
      <c r="P488" s="109">
        <f t="shared" si="14"/>
        <v>0</v>
      </c>
      <c r="Q488" s="109">
        <f t="shared" si="14"/>
        <v>0</v>
      </c>
      <c r="R488" s="28"/>
      <c r="S488" s="99"/>
      <c r="T488" s="99"/>
      <c r="U488" s="99"/>
      <c r="V488" s="99"/>
      <c r="W488" s="99"/>
      <c r="X488" s="99"/>
      <c r="Y488" s="99"/>
      <c r="Z488" s="99"/>
      <c r="AA488" s="99"/>
      <c r="AB488" s="226"/>
      <c r="AC488" s="226"/>
      <c r="AD488" s="226"/>
      <c r="AE488" s="226"/>
      <c r="AF488" s="226"/>
      <c r="AG488" s="226"/>
      <c r="AH488" s="226"/>
      <c r="AI488" s="226"/>
      <c r="AJ488" s="226"/>
      <c r="AK488" s="226"/>
      <c r="AL488" s="226"/>
      <c r="AM488" s="226"/>
      <c r="AN488" s="226"/>
      <c r="AO488" s="226"/>
      <c r="AP488" s="226"/>
      <c r="AQ488" s="226"/>
      <c r="AR488" s="226"/>
      <c r="AS488" s="226"/>
      <c r="AT488" s="226"/>
      <c r="AU488" s="226"/>
      <c r="AV488" s="226"/>
      <c r="AW488" s="226"/>
      <c r="AX488" s="226"/>
      <c r="AY488" s="226"/>
      <c r="AZ488" s="226"/>
      <c r="BA488" s="226"/>
      <c r="BB488" s="226"/>
      <c r="BC488" s="226"/>
      <c r="BD488" s="99"/>
      <c r="BE488" s="99"/>
      <c r="BF488" s="99"/>
      <c r="BG488" s="99"/>
      <c r="BH488" s="99"/>
      <c r="BI488" s="99"/>
      <c r="BJ488" s="99"/>
      <c r="BK488" s="11"/>
      <c r="BL488" s="11"/>
    </row>
    <row r="489" spans="1:64" ht="12.75" hidden="1" customHeight="1" outlineLevel="1">
      <c r="A489" s="9"/>
      <c r="B489" s="9"/>
      <c r="C489" s="44"/>
      <c r="D489" s="128" t="str">
        <f>Asset20</f>
        <v>Motor vehicles</v>
      </c>
      <c r="E489" s="9"/>
      <c r="F489" s="9"/>
      <c r="G489" s="194">
        <f>'Adjustment for previous period'!G385</f>
        <v>4.2215721726244322</v>
      </c>
      <c r="H489" s="109">
        <f t="shared" si="12"/>
        <v>3.4125387533649629</v>
      </c>
      <c r="I489" s="109">
        <f t="shared" si="12"/>
        <v>3.6684945569472336</v>
      </c>
      <c r="J489" s="109">
        <f t="shared" si="12"/>
        <v>3.9782946507132393</v>
      </c>
      <c r="K489" s="109">
        <f t="shared" si="12"/>
        <v>1.7772175284251734</v>
      </c>
      <c r="L489" s="109">
        <f t="shared" si="12"/>
        <v>1.6084970274975294</v>
      </c>
      <c r="M489" s="109">
        <f t="shared" si="14"/>
        <v>0</v>
      </c>
      <c r="N489" s="109">
        <f t="shared" si="14"/>
        <v>0</v>
      </c>
      <c r="O489" s="109">
        <f t="shared" si="14"/>
        <v>0</v>
      </c>
      <c r="P489" s="109">
        <f t="shared" si="14"/>
        <v>0</v>
      </c>
      <c r="Q489" s="109">
        <f t="shared" si="14"/>
        <v>0</v>
      </c>
      <c r="R489" s="28"/>
      <c r="S489" s="99"/>
      <c r="T489" s="99"/>
      <c r="U489" s="99"/>
      <c r="V489" s="99"/>
      <c r="W489" s="99"/>
      <c r="X489" s="99"/>
      <c r="Y489" s="99"/>
      <c r="Z489" s="99"/>
      <c r="AA489" s="99"/>
      <c r="AB489" s="226"/>
      <c r="AC489" s="226"/>
      <c r="AD489" s="226"/>
      <c r="AE489" s="226"/>
      <c r="AF489" s="226"/>
      <c r="AG489" s="226"/>
      <c r="AH489" s="226"/>
      <c r="AI489" s="226"/>
      <c r="AJ489" s="226"/>
      <c r="AK489" s="226"/>
      <c r="AL489" s="226"/>
      <c r="AM489" s="226"/>
      <c r="AN489" s="226"/>
      <c r="AO489" s="226"/>
      <c r="AP489" s="226"/>
      <c r="AQ489" s="226"/>
      <c r="AR489" s="226"/>
      <c r="AS489" s="226"/>
      <c r="AT489" s="226"/>
      <c r="AU489" s="226"/>
      <c r="AV489" s="226"/>
      <c r="AW489" s="226"/>
      <c r="AX489" s="226"/>
      <c r="AY489" s="226"/>
      <c r="AZ489" s="226"/>
      <c r="BA489" s="226"/>
      <c r="BB489" s="226"/>
      <c r="BC489" s="226"/>
      <c r="BD489" s="99"/>
      <c r="BE489" s="99"/>
      <c r="BF489" s="99"/>
      <c r="BG489" s="99"/>
      <c r="BH489" s="99"/>
      <c r="BI489" s="99"/>
      <c r="BJ489" s="99"/>
      <c r="BK489" s="11"/>
      <c r="BL489" s="11"/>
    </row>
    <row r="490" spans="1:64" ht="4.5" hidden="1" customHeight="1" outlineLevel="1">
      <c r="A490" s="9"/>
      <c r="B490" s="9"/>
      <c r="C490" s="44"/>
      <c r="D490" s="128" t="str">
        <f>Asset21</f>
        <v>Buildings</v>
      </c>
      <c r="E490" s="9"/>
      <c r="F490" s="9"/>
      <c r="G490" s="194">
        <f>'Adjustment for previous period'!G386</f>
        <v>5.7630118543162778</v>
      </c>
      <c r="H490" s="109">
        <f t="shared" ref="H490:Q490" si="15">H32*H$7</f>
        <v>9.2967139034016117</v>
      </c>
      <c r="I490" s="109">
        <f t="shared" si="15"/>
        <v>6.1417295257472437</v>
      </c>
      <c r="J490" s="109">
        <f t="shared" si="15"/>
        <v>4.3452926739305946</v>
      </c>
      <c r="K490" s="109">
        <f t="shared" si="15"/>
        <v>2.6499436102391201</v>
      </c>
      <c r="L490" s="109">
        <f t="shared" si="15"/>
        <v>-6.3282953326208213</v>
      </c>
      <c r="M490" s="109">
        <f t="shared" si="15"/>
        <v>0</v>
      </c>
      <c r="N490" s="109">
        <f t="shared" si="15"/>
        <v>0</v>
      </c>
      <c r="O490" s="109">
        <f t="shared" si="15"/>
        <v>0</v>
      </c>
      <c r="P490" s="109">
        <f t="shared" si="15"/>
        <v>0</v>
      </c>
      <c r="Q490" s="109">
        <f t="shared" si="15"/>
        <v>0</v>
      </c>
      <c r="R490" s="28"/>
      <c r="S490" s="99"/>
      <c r="T490" s="99"/>
      <c r="U490" s="99"/>
      <c r="V490" s="99"/>
      <c r="W490" s="99"/>
      <c r="X490" s="99"/>
      <c r="Y490" s="99"/>
      <c r="Z490" s="99"/>
      <c r="AA490" s="99"/>
      <c r="AB490" s="226"/>
      <c r="AC490" s="226"/>
      <c r="AD490" s="226"/>
      <c r="AE490" s="226"/>
      <c r="AF490" s="226"/>
      <c r="AG490" s="226"/>
      <c r="AH490" s="226"/>
      <c r="AI490" s="226"/>
      <c r="AJ490" s="226"/>
      <c r="AK490" s="226"/>
      <c r="AL490" s="226"/>
      <c r="AM490" s="226"/>
      <c r="AN490" s="226"/>
      <c r="AO490" s="226"/>
      <c r="AP490" s="226"/>
      <c r="AQ490" s="226"/>
      <c r="AR490" s="226"/>
      <c r="AS490" s="226"/>
      <c r="AT490" s="226"/>
      <c r="AU490" s="226"/>
      <c r="AV490" s="226"/>
      <c r="AW490" s="226"/>
      <c r="AX490" s="226"/>
      <c r="AY490" s="226"/>
      <c r="AZ490" s="226"/>
      <c r="BA490" s="226"/>
      <c r="BB490" s="226"/>
      <c r="BC490" s="226"/>
      <c r="BD490" s="99"/>
      <c r="BE490" s="99"/>
      <c r="BF490" s="99"/>
      <c r="BG490" s="99"/>
      <c r="BH490" s="99"/>
      <c r="BI490" s="99"/>
      <c r="BJ490" s="99"/>
      <c r="BK490" s="11"/>
      <c r="BL490" s="11"/>
    </row>
    <row r="491" spans="1:64" ht="4.5" hidden="1" customHeight="1" outlineLevel="1">
      <c r="A491" s="9"/>
      <c r="B491" s="9"/>
      <c r="C491" s="44"/>
      <c r="D491" s="128" t="str">
        <f>Asset22</f>
        <v>Land (non-system)</v>
      </c>
      <c r="E491" s="9"/>
      <c r="F491" s="9"/>
      <c r="G491" s="194">
        <f>'Adjustment for previous period'!G387</f>
        <v>2.1802380946309641</v>
      </c>
      <c r="H491" s="109">
        <f t="shared" ref="H491:Q491" si="16">H33*H$7</f>
        <v>2.7584098998956277</v>
      </c>
      <c r="I491" s="109">
        <f t="shared" si="16"/>
        <v>0.91811854475125365</v>
      </c>
      <c r="J491" s="109">
        <f t="shared" si="16"/>
        <v>1.1743094305766599</v>
      </c>
      <c r="K491" s="109">
        <f t="shared" si="16"/>
        <v>-1.5501006237662752E-2</v>
      </c>
      <c r="L491" s="109">
        <f t="shared" si="16"/>
        <v>-8.3805058538413082</v>
      </c>
      <c r="M491" s="109">
        <f t="shared" si="16"/>
        <v>0</v>
      </c>
      <c r="N491" s="109">
        <f t="shared" si="16"/>
        <v>0</v>
      </c>
      <c r="O491" s="109">
        <f t="shared" si="16"/>
        <v>0</v>
      </c>
      <c r="P491" s="109">
        <f t="shared" si="16"/>
        <v>0</v>
      </c>
      <c r="Q491" s="109">
        <f t="shared" si="16"/>
        <v>0</v>
      </c>
      <c r="R491" s="28"/>
      <c r="S491" s="99"/>
      <c r="T491" s="99"/>
      <c r="U491" s="99"/>
      <c r="V491" s="99"/>
      <c r="W491" s="99"/>
      <c r="X491" s="99"/>
      <c r="Y491" s="99"/>
      <c r="Z491" s="99"/>
      <c r="AA491" s="99"/>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99"/>
      <c r="BE491" s="99"/>
      <c r="BF491" s="99"/>
      <c r="BG491" s="99"/>
      <c r="BH491" s="99"/>
      <c r="BI491" s="99"/>
      <c r="BJ491" s="99"/>
      <c r="BK491" s="11"/>
      <c r="BL491" s="11"/>
    </row>
    <row r="492" spans="1:64" ht="4.5" hidden="1" customHeight="1" outlineLevel="1">
      <c r="A492" s="9"/>
      <c r="B492" s="9"/>
      <c r="C492" s="44"/>
      <c r="D492" s="128" t="str">
        <f>Asset23</f>
        <v>Other non system assets</v>
      </c>
      <c r="E492" s="9"/>
      <c r="F492" s="9"/>
      <c r="G492" s="194">
        <f>'Adjustment for previous period'!G388</f>
        <v>4.9813479268057739</v>
      </c>
      <c r="H492" s="109">
        <f t="shared" ref="H492:Q492" si="17">H34*H$7</f>
        <v>0</v>
      </c>
      <c r="I492" s="109">
        <f t="shared" si="17"/>
        <v>6.9337912403780863E-3</v>
      </c>
      <c r="J492" s="109">
        <f t="shared" si="17"/>
        <v>0.16288205124032237</v>
      </c>
      <c r="K492" s="109">
        <f t="shared" si="17"/>
        <v>1.1632762711102213E-2</v>
      </c>
      <c r="L492" s="109">
        <f t="shared" si="17"/>
        <v>1.0745235649530194E-2</v>
      </c>
      <c r="M492" s="109">
        <f t="shared" si="17"/>
        <v>0</v>
      </c>
      <c r="N492" s="109">
        <f t="shared" si="17"/>
        <v>0</v>
      </c>
      <c r="O492" s="109">
        <f t="shared" si="17"/>
        <v>0</v>
      </c>
      <c r="P492" s="109">
        <f t="shared" si="17"/>
        <v>0</v>
      </c>
      <c r="Q492" s="109">
        <f t="shared" si="17"/>
        <v>0</v>
      </c>
      <c r="R492" s="28"/>
      <c r="S492" s="99"/>
      <c r="T492" s="99"/>
      <c r="U492" s="99"/>
      <c r="V492" s="99"/>
      <c r="W492" s="99"/>
      <c r="X492" s="99"/>
      <c r="Y492" s="99"/>
      <c r="Z492" s="99"/>
      <c r="AA492" s="99"/>
      <c r="AB492" s="226"/>
      <c r="AC492" s="226"/>
      <c r="AD492" s="226"/>
      <c r="AE492" s="226"/>
      <c r="AF492" s="226"/>
      <c r="AG492" s="226"/>
      <c r="AH492" s="226"/>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99"/>
      <c r="BE492" s="99"/>
      <c r="BF492" s="99"/>
      <c r="BG492" s="99"/>
      <c r="BH492" s="99"/>
      <c r="BI492" s="99"/>
      <c r="BJ492" s="99"/>
      <c r="BK492" s="11"/>
      <c r="BL492" s="11"/>
    </row>
    <row r="493" spans="1:64" ht="4.5" hidden="1" customHeight="1" outlineLevel="1">
      <c r="A493" s="9"/>
      <c r="B493" s="9"/>
      <c r="C493" s="44"/>
      <c r="D493" s="128" t="str">
        <f>Asset24</f>
        <v>Equity raising costs</v>
      </c>
      <c r="E493" s="9"/>
      <c r="F493" s="9"/>
      <c r="G493" s="194">
        <f>'Adjustment for previous period'!G389</f>
        <v>0</v>
      </c>
      <c r="H493" s="109">
        <f t="shared" ref="H493:Q493" si="18">H35*H$7</f>
        <v>6.5958312322788384</v>
      </c>
      <c r="I493" s="109">
        <f t="shared" si="18"/>
        <v>0</v>
      </c>
      <c r="J493" s="109">
        <f t="shared" si="18"/>
        <v>0</v>
      </c>
      <c r="K493" s="109">
        <f t="shared" si="18"/>
        <v>0</v>
      </c>
      <c r="L493" s="109">
        <f t="shared" si="18"/>
        <v>0</v>
      </c>
      <c r="M493" s="109">
        <f t="shared" si="18"/>
        <v>0</v>
      </c>
      <c r="N493" s="109">
        <f t="shared" si="18"/>
        <v>0</v>
      </c>
      <c r="O493" s="109">
        <f t="shared" si="18"/>
        <v>0</v>
      </c>
      <c r="P493" s="109">
        <f t="shared" si="18"/>
        <v>0</v>
      </c>
      <c r="Q493" s="109">
        <f t="shared" si="18"/>
        <v>0</v>
      </c>
      <c r="R493" s="28"/>
      <c r="S493" s="99"/>
      <c r="T493" s="99"/>
      <c r="U493" s="99"/>
      <c r="V493" s="99"/>
      <c r="W493" s="99"/>
      <c r="X493" s="99"/>
      <c r="Y493" s="99"/>
      <c r="Z493" s="99"/>
      <c r="AA493" s="99"/>
      <c r="AB493" s="226"/>
      <c r="AC493" s="226"/>
      <c r="AD493" s="226"/>
      <c r="AE493" s="226"/>
      <c r="AF493" s="226"/>
      <c r="AG493" s="226"/>
      <c r="AH493" s="226"/>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99"/>
      <c r="BE493" s="99"/>
      <c r="BF493" s="99"/>
      <c r="BG493" s="99"/>
      <c r="BH493" s="99"/>
      <c r="BI493" s="99"/>
      <c r="BJ493" s="99"/>
      <c r="BK493" s="11"/>
      <c r="BL493" s="11"/>
    </row>
    <row r="494" spans="1:64" ht="4.5" hidden="1" customHeight="1" outlineLevel="1">
      <c r="A494" s="9"/>
      <c r="B494" s="9"/>
      <c r="C494" s="44"/>
      <c r="D494" s="128">
        <f>Asset25</f>
        <v>0</v>
      </c>
      <c r="E494" s="9"/>
      <c r="F494" s="9"/>
      <c r="G494" s="194">
        <f>'Adjustment for previous period'!G390</f>
        <v>0</v>
      </c>
      <c r="H494" s="109">
        <f t="shared" ref="H494:Q494" si="19">H36*H$7</f>
        <v>0</v>
      </c>
      <c r="I494" s="109">
        <f t="shared" si="19"/>
        <v>0</v>
      </c>
      <c r="J494" s="109">
        <f t="shared" si="19"/>
        <v>0</v>
      </c>
      <c r="K494" s="109">
        <f t="shared" si="19"/>
        <v>0</v>
      </c>
      <c r="L494" s="109">
        <f t="shared" si="19"/>
        <v>0</v>
      </c>
      <c r="M494" s="109">
        <f t="shared" si="19"/>
        <v>0</v>
      </c>
      <c r="N494" s="109">
        <f t="shared" si="19"/>
        <v>0</v>
      </c>
      <c r="O494" s="109">
        <f t="shared" si="19"/>
        <v>0</v>
      </c>
      <c r="P494" s="109">
        <f t="shared" si="19"/>
        <v>0</v>
      </c>
      <c r="Q494" s="109">
        <f t="shared" si="19"/>
        <v>0</v>
      </c>
      <c r="R494" s="28"/>
      <c r="S494" s="99"/>
      <c r="T494" s="99"/>
      <c r="U494" s="99"/>
      <c r="V494" s="99"/>
      <c r="W494" s="99"/>
      <c r="X494" s="99"/>
      <c r="Y494" s="99"/>
      <c r="Z494" s="99"/>
      <c r="AA494" s="99"/>
      <c r="AB494" s="226"/>
      <c r="AC494" s="226"/>
      <c r="AD494" s="226"/>
      <c r="AE494" s="226"/>
      <c r="AF494" s="226"/>
      <c r="AG494" s="226"/>
      <c r="AH494" s="226"/>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99"/>
      <c r="BE494" s="99"/>
      <c r="BF494" s="99"/>
      <c r="BG494" s="99"/>
      <c r="BH494" s="99"/>
      <c r="BI494" s="99"/>
      <c r="BJ494" s="99"/>
      <c r="BK494" s="11"/>
      <c r="BL494" s="11"/>
    </row>
    <row r="495" spans="1:64" ht="4.5" hidden="1" customHeight="1" outlineLevel="1">
      <c r="A495" s="9"/>
      <c r="B495" s="9"/>
      <c r="C495" s="44"/>
      <c r="D495" s="128">
        <f>Asset26</f>
        <v>0</v>
      </c>
      <c r="E495" s="9"/>
      <c r="F495" s="9"/>
      <c r="G495" s="194">
        <f>'Adjustment for previous period'!G391</f>
        <v>0</v>
      </c>
      <c r="H495" s="109">
        <f t="shared" ref="H495:Q495" si="20">H37*H$7</f>
        <v>0</v>
      </c>
      <c r="I495" s="109">
        <f t="shared" si="20"/>
        <v>0</v>
      </c>
      <c r="J495" s="109">
        <f t="shared" si="20"/>
        <v>0</v>
      </c>
      <c r="K495" s="109">
        <f t="shared" si="20"/>
        <v>0</v>
      </c>
      <c r="L495" s="109">
        <f t="shared" si="20"/>
        <v>0</v>
      </c>
      <c r="M495" s="109">
        <f t="shared" si="20"/>
        <v>0</v>
      </c>
      <c r="N495" s="109">
        <f t="shared" si="20"/>
        <v>0</v>
      </c>
      <c r="O495" s="109">
        <f t="shared" si="20"/>
        <v>0</v>
      </c>
      <c r="P495" s="109">
        <f t="shared" si="20"/>
        <v>0</v>
      </c>
      <c r="Q495" s="109">
        <f t="shared" si="20"/>
        <v>0</v>
      </c>
      <c r="R495" s="28"/>
      <c r="S495" s="99"/>
      <c r="T495" s="99"/>
      <c r="U495" s="99"/>
      <c r="V495" s="99"/>
      <c r="W495" s="99"/>
      <c r="X495" s="99"/>
      <c r="Y495" s="99"/>
      <c r="Z495" s="99"/>
      <c r="AA495" s="99"/>
      <c r="AB495" s="226"/>
      <c r="AC495" s="226"/>
      <c r="AD495" s="226"/>
      <c r="AE495" s="226"/>
      <c r="AF495" s="226"/>
      <c r="AG495" s="226"/>
      <c r="AH495" s="226"/>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99"/>
      <c r="BE495" s="99"/>
      <c r="BF495" s="99"/>
      <c r="BG495" s="99"/>
      <c r="BH495" s="99"/>
      <c r="BI495" s="99"/>
      <c r="BJ495" s="99"/>
      <c r="BK495" s="11"/>
      <c r="BL495" s="11"/>
    </row>
    <row r="496" spans="1:64" ht="4.5" hidden="1" customHeight="1" outlineLevel="1">
      <c r="A496" s="9"/>
      <c r="B496" s="9"/>
      <c r="C496" s="44"/>
      <c r="D496" s="128">
        <f>Asset27</f>
        <v>0</v>
      </c>
      <c r="E496" s="9"/>
      <c r="F496" s="9"/>
      <c r="G496" s="194">
        <f>'Adjustment for previous period'!G392</f>
        <v>0</v>
      </c>
      <c r="H496" s="109">
        <f t="shared" ref="H496:Q496" si="21">H38*H$7</f>
        <v>0</v>
      </c>
      <c r="I496" s="109">
        <f t="shared" si="21"/>
        <v>0</v>
      </c>
      <c r="J496" s="109">
        <f t="shared" si="21"/>
        <v>0</v>
      </c>
      <c r="K496" s="109">
        <f t="shared" si="21"/>
        <v>0</v>
      </c>
      <c r="L496" s="109">
        <f t="shared" si="21"/>
        <v>0</v>
      </c>
      <c r="M496" s="109">
        <f t="shared" si="21"/>
        <v>0</v>
      </c>
      <c r="N496" s="109">
        <f t="shared" si="21"/>
        <v>0</v>
      </c>
      <c r="O496" s="109">
        <f t="shared" si="21"/>
        <v>0</v>
      </c>
      <c r="P496" s="109">
        <f t="shared" si="21"/>
        <v>0</v>
      </c>
      <c r="Q496" s="109">
        <f t="shared" si="21"/>
        <v>0</v>
      </c>
      <c r="R496" s="28"/>
      <c r="S496" s="99"/>
      <c r="T496" s="99"/>
      <c r="U496" s="99"/>
      <c r="V496" s="99"/>
      <c r="W496" s="99"/>
      <c r="X496" s="99"/>
      <c r="Y496" s="99"/>
      <c r="Z496" s="99"/>
      <c r="AA496" s="99"/>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99"/>
      <c r="BE496" s="99"/>
      <c r="BF496" s="99"/>
      <c r="BG496" s="99"/>
      <c r="BH496" s="99"/>
      <c r="BI496" s="99"/>
      <c r="BJ496" s="99"/>
      <c r="BK496" s="11"/>
      <c r="BL496" s="11"/>
    </row>
    <row r="497" spans="1:64" ht="4.5" hidden="1" customHeight="1" outlineLevel="1">
      <c r="A497" s="9"/>
      <c r="B497" s="9"/>
      <c r="C497" s="44"/>
      <c r="D497" s="128">
        <f>Asset28</f>
        <v>0</v>
      </c>
      <c r="E497" s="9"/>
      <c r="F497" s="9"/>
      <c r="G497" s="194">
        <f>'Adjustment for previous period'!G393</f>
        <v>0</v>
      </c>
      <c r="H497" s="109">
        <f t="shared" ref="H497:Q497" si="22">H39*H$7</f>
        <v>0</v>
      </c>
      <c r="I497" s="109">
        <f t="shared" si="22"/>
        <v>0</v>
      </c>
      <c r="J497" s="109">
        <f t="shared" si="22"/>
        <v>0</v>
      </c>
      <c r="K497" s="109">
        <f t="shared" si="22"/>
        <v>0</v>
      </c>
      <c r="L497" s="109">
        <f t="shared" si="22"/>
        <v>0</v>
      </c>
      <c r="M497" s="109">
        <f t="shared" si="22"/>
        <v>0</v>
      </c>
      <c r="N497" s="109">
        <f t="shared" si="22"/>
        <v>0</v>
      </c>
      <c r="O497" s="109">
        <f t="shared" si="22"/>
        <v>0</v>
      </c>
      <c r="P497" s="109">
        <f t="shared" si="22"/>
        <v>0</v>
      </c>
      <c r="Q497" s="109">
        <f t="shared" si="22"/>
        <v>0</v>
      </c>
      <c r="R497" s="28"/>
      <c r="S497" s="99"/>
      <c r="T497" s="99"/>
      <c r="U497" s="99"/>
      <c r="V497" s="99"/>
      <c r="W497" s="99"/>
      <c r="X497" s="99"/>
      <c r="Y497" s="99"/>
      <c r="Z497" s="99"/>
      <c r="AA497" s="99"/>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99"/>
      <c r="BE497" s="99"/>
      <c r="BF497" s="99"/>
      <c r="BG497" s="99"/>
      <c r="BH497" s="99"/>
      <c r="BI497" s="99"/>
      <c r="BJ497" s="99"/>
      <c r="BK497" s="11"/>
      <c r="BL497" s="11"/>
    </row>
    <row r="498" spans="1:64" ht="4.5" hidden="1" customHeight="1" outlineLevel="1">
      <c r="A498" s="9"/>
      <c r="B498" s="9"/>
      <c r="C498" s="44"/>
      <c r="D498" s="128">
        <f>Asset29</f>
        <v>0</v>
      </c>
      <c r="E498" s="9"/>
      <c r="F498" s="9"/>
      <c r="G498" s="194">
        <f>'Adjustment for previous period'!G394</f>
        <v>0</v>
      </c>
      <c r="H498" s="109">
        <f t="shared" ref="H498:Q499" si="23">H40*H$7</f>
        <v>0</v>
      </c>
      <c r="I498" s="109">
        <f t="shared" si="23"/>
        <v>0</v>
      </c>
      <c r="J498" s="109">
        <f t="shared" si="23"/>
        <v>0</v>
      </c>
      <c r="K498" s="109">
        <f t="shared" si="23"/>
        <v>0</v>
      </c>
      <c r="L498" s="109">
        <f t="shared" si="23"/>
        <v>0</v>
      </c>
      <c r="M498" s="109">
        <f t="shared" si="23"/>
        <v>0</v>
      </c>
      <c r="N498" s="109">
        <f t="shared" si="23"/>
        <v>0</v>
      </c>
      <c r="O498" s="109">
        <f t="shared" si="23"/>
        <v>0</v>
      </c>
      <c r="P498" s="109">
        <f t="shared" si="23"/>
        <v>0</v>
      </c>
      <c r="Q498" s="109">
        <f t="shared" si="23"/>
        <v>0</v>
      </c>
      <c r="R498" s="28"/>
      <c r="S498" s="99"/>
      <c r="T498" s="99"/>
      <c r="U498" s="99"/>
      <c r="V498" s="99"/>
      <c r="W498" s="99"/>
      <c r="X498" s="99"/>
      <c r="Y498" s="99"/>
      <c r="Z498" s="99"/>
      <c r="AA498" s="99"/>
      <c r="AB498" s="226"/>
      <c r="AC498" s="226"/>
      <c r="AD498" s="226"/>
      <c r="AE498" s="226"/>
      <c r="AF498" s="226"/>
      <c r="AG498" s="226"/>
      <c r="AH498" s="226"/>
      <c r="AI498" s="226"/>
      <c r="AJ498" s="226"/>
      <c r="AK498" s="226"/>
      <c r="AL498" s="226"/>
      <c r="AM498" s="226"/>
      <c r="AN498" s="226"/>
      <c r="AO498" s="226"/>
      <c r="AP498" s="226"/>
      <c r="AQ498" s="226"/>
      <c r="AR498" s="226"/>
      <c r="AS498" s="226"/>
      <c r="AT498" s="226"/>
      <c r="AU498" s="226"/>
      <c r="AV498" s="226"/>
      <c r="AW498" s="226"/>
      <c r="AX498" s="226"/>
      <c r="AY498" s="226"/>
      <c r="AZ498" s="226"/>
      <c r="BA498" s="226"/>
      <c r="BB498" s="226"/>
      <c r="BC498" s="226"/>
      <c r="BD498" s="99"/>
      <c r="BE498" s="99"/>
      <c r="BF498" s="99"/>
      <c r="BG498" s="99"/>
      <c r="BH498" s="99"/>
      <c r="BI498" s="99"/>
      <c r="BJ498" s="99"/>
      <c r="BK498" s="11"/>
      <c r="BL498" s="11"/>
    </row>
    <row r="499" spans="1:64" ht="4.5" hidden="1" customHeight="1" outlineLevel="1">
      <c r="A499" s="9"/>
      <c r="B499" s="9"/>
      <c r="C499" s="44"/>
      <c r="D499" s="128">
        <f>Asset30</f>
        <v>0</v>
      </c>
      <c r="E499" s="9"/>
      <c r="F499" s="9"/>
      <c r="G499" s="194">
        <f>'Adjustment for previous period'!G395</f>
        <v>0</v>
      </c>
      <c r="H499" s="109">
        <f t="shared" si="23"/>
        <v>0</v>
      </c>
      <c r="I499" s="109">
        <f t="shared" si="23"/>
        <v>0</v>
      </c>
      <c r="J499" s="109">
        <f t="shared" si="23"/>
        <v>0</v>
      </c>
      <c r="K499" s="109">
        <f t="shared" si="23"/>
        <v>0</v>
      </c>
      <c r="L499" s="109">
        <f t="shared" si="23"/>
        <v>0</v>
      </c>
      <c r="M499" s="109">
        <f t="shared" si="23"/>
        <v>0</v>
      </c>
      <c r="N499" s="109">
        <f t="shared" si="23"/>
        <v>0</v>
      </c>
      <c r="O499" s="109">
        <f t="shared" si="23"/>
        <v>0</v>
      </c>
      <c r="P499" s="109">
        <f t="shared" si="23"/>
        <v>0</v>
      </c>
      <c r="Q499" s="109">
        <f t="shared" si="23"/>
        <v>0</v>
      </c>
      <c r="R499" s="28"/>
      <c r="S499" s="99"/>
      <c r="T499" s="99"/>
      <c r="U499" s="99"/>
      <c r="V499" s="99"/>
      <c r="W499" s="99"/>
      <c r="X499" s="99"/>
      <c r="Y499" s="99"/>
      <c r="Z499" s="99"/>
      <c r="AA499" s="99"/>
      <c r="AB499" s="226"/>
      <c r="AC499" s="226"/>
      <c r="AD499" s="226"/>
      <c r="AE499" s="226"/>
      <c r="AF499" s="226"/>
      <c r="AG499" s="226"/>
      <c r="AH499" s="226"/>
      <c r="AI499" s="226"/>
      <c r="AJ499" s="226"/>
      <c r="AK499" s="226"/>
      <c r="AL499" s="226"/>
      <c r="AM499" s="226"/>
      <c r="AN499" s="226"/>
      <c r="AO499" s="226"/>
      <c r="AP499" s="226"/>
      <c r="AQ499" s="226"/>
      <c r="AR499" s="226"/>
      <c r="AS499" s="226"/>
      <c r="AT499" s="226"/>
      <c r="AU499" s="226"/>
      <c r="AV499" s="226"/>
      <c r="AW499" s="226"/>
      <c r="AX499" s="226"/>
      <c r="AY499" s="226"/>
      <c r="AZ499" s="226"/>
      <c r="BA499" s="226"/>
      <c r="BB499" s="226"/>
      <c r="BC499" s="226"/>
      <c r="BD499" s="99"/>
      <c r="BE499" s="99"/>
      <c r="BF499" s="99"/>
      <c r="BG499" s="99"/>
      <c r="BH499" s="99"/>
      <c r="BI499" s="99"/>
      <c r="BJ499" s="99"/>
      <c r="BK499" s="11"/>
      <c r="BL499" s="11"/>
    </row>
    <row r="500" spans="1:64" collapsed="1">
      <c r="A500" s="9"/>
      <c r="B500" s="9"/>
      <c r="C500" s="44"/>
      <c r="D500" s="112"/>
      <c r="E500" s="9"/>
      <c r="F500" s="9"/>
      <c r="G500" s="199"/>
      <c r="H500" s="36"/>
      <c r="I500" s="36"/>
      <c r="J500" s="36"/>
      <c r="K500" s="36"/>
      <c r="L500" s="36"/>
      <c r="M500" s="36"/>
      <c r="N500" s="28"/>
      <c r="O500" s="28"/>
      <c r="P500" s="28"/>
      <c r="Q500" s="28"/>
      <c r="R500" s="28"/>
      <c r="S500" s="99"/>
      <c r="T500" s="99"/>
      <c r="U500" s="99"/>
      <c r="V500" s="99"/>
      <c r="W500" s="99"/>
      <c r="X500" s="99"/>
      <c r="Y500" s="99"/>
      <c r="Z500" s="99"/>
      <c r="AA500" s="99"/>
      <c r="AB500" s="226"/>
      <c r="AC500" s="226"/>
      <c r="AD500" s="226"/>
      <c r="AE500" s="226"/>
      <c r="AF500" s="226"/>
      <c r="AG500" s="226"/>
      <c r="AH500" s="226"/>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99"/>
      <c r="BE500" s="99"/>
      <c r="BF500" s="99"/>
      <c r="BG500" s="99"/>
      <c r="BH500" s="99"/>
      <c r="BI500" s="99"/>
      <c r="BJ500" s="99"/>
      <c r="BK500" s="11"/>
      <c r="BL500" s="11"/>
    </row>
    <row r="501" spans="1:64">
      <c r="A501" s="9"/>
      <c r="B501" s="9"/>
      <c r="C501" s="224" t="s">
        <v>74</v>
      </c>
      <c r="D501" s="219"/>
      <c r="E501" s="9"/>
      <c r="F501" s="9"/>
      <c r="G501" s="192">
        <f>SUM(G502:G531)</f>
        <v>-16.015302228752656</v>
      </c>
      <c r="H501" s="36">
        <f>SUM(H502:H531)</f>
        <v>0.24532433160384171</v>
      </c>
      <c r="I501" s="36">
        <f t="shared" ref="I501:Q501" si="24">SUM(I502:I531)</f>
        <v>4.6459015084358617</v>
      </c>
      <c r="J501" s="36">
        <f t="shared" si="24"/>
        <v>-22.385093851242118</v>
      </c>
      <c r="K501" s="36">
        <f t="shared" si="24"/>
        <v>-11.953321997489869</v>
      </c>
      <c r="L501" s="36">
        <f t="shared" si="24"/>
        <v>-11.653809969317232</v>
      </c>
      <c r="M501" s="36">
        <f t="shared" si="24"/>
        <v>0</v>
      </c>
      <c r="N501" s="36">
        <f t="shared" si="24"/>
        <v>0</v>
      </c>
      <c r="O501" s="36">
        <f t="shared" si="24"/>
        <v>0</v>
      </c>
      <c r="P501" s="36">
        <f t="shared" si="24"/>
        <v>0</v>
      </c>
      <c r="Q501" s="36">
        <f t="shared" si="24"/>
        <v>0</v>
      </c>
      <c r="R501" s="28"/>
      <c r="S501" s="99"/>
      <c r="T501" s="99"/>
      <c r="U501" s="99"/>
      <c r="V501" s="99"/>
      <c r="W501" s="99"/>
      <c r="X501" s="99"/>
      <c r="Y501" s="99"/>
      <c r="Z501" s="99"/>
      <c r="AA501" s="99"/>
      <c r="AB501" s="226"/>
      <c r="AC501" s="226"/>
      <c r="AD501" s="226"/>
      <c r="AE501" s="226"/>
      <c r="AF501" s="226"/>
      <c r="AG501" s="226"/>
      <c r="AH501" s="226"/>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99"/>
      <c r="BE501" s="99"/>
      <c r="BF501" s="99"/>
      <c r="BG501" s="99"/>
      <c r="BH501" s="99"/>
      <c r="BI501" s="99"/>
      <c r="BJ501" s="99"/>
      <c r="BK501" s="11"/>
      <c r="BL501" s="11"/>
    </row>
    <row r="502" spans="1:64" ht="12.75" hidden="1" customHeight="1" outlineLevel="1">
      <c r="A502" s="9"/>
      <c r="B502" s="9"/>
      <c r="C502" s="44"/>
      <c r="D502" s="128" t="str">
        <f>Asset1</f>
        <v>Transmission &amp; Zone land &amp; easements</v>
      </c>
      <c r="E502" s="9"/>
      <c r="F502" s="9"/>
      <c r="G502" s="194">
        <f>'Adjustment for previous period'!G398</f>
        <v>5.4672861733410851</v>
      </c>
      <c r="H502" s="109">
        <f>H632+H666</f>
        <v>9.5928099389138843</v>
      </c>
      <c r="I502" s="109">
        <f t="shared" ref="I502:Q502" si="25">I632+I666</f>
        <v>11.391461802460212</v>
      </c>
      <c r="J502" s="109">
        <f t="shared" si="25"/>
        <v>5.9852241739671621</v>
      </c>
      <c r="K502" s="109">
        <f t="shared" si="25"/>
        <v>9.4241737987739143</v>
      </c>
      <c r="L502" s="109">
        <f t="shared" si="25"/>
        <v>9.707628470434102</v>
      </c>
      <c r="M502" s="109">
        <f t="shared" si="25"/>
        <v>0</v>
      </c>
      <c r="N502" s="109">
        <f t="shared" si="25"/>
        <v>0</v>
      </c>
      <c r="O502" s="109">
        <f t="shared" si="25"/>
        <v>0</v>
      </c>
      <c r="P502" s="109">
        <f t="shared" si="25"/>
        <v>0</v>
      </c>
      <c r="Q502" s="109">
        <f t="shared" si="25"/>
        <v>0</v>
      </c>
      <c r="R502" s="28"/>
      <c r="S502" s="99"/>
      <c r="T502" s="99"/>
      <c r="U502" s="99"/>
      <c r="V502" s="99"/>
      <c r="W502" s="99"/>
      <c r="X502" s="99"/>
      <c r="Y502" s="99"/>
      <c r="Z502" s="99"/>
      <c r="AA502" s="99"/>
      <c r="AB502" s="226"/>
      <c r="AC502" s="226"/>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26"/>
      <c r="BD502" s="99"/>
      <c r="BE502" s="99"/>
      <c r="BF502" s="99"/>
      <c r="BG502" s="99"/>
      <c r="BH502" s="99"/>
      <c r="BI502" s="99"/>
      <c r="BJ502" s="99"/>
      <c r="BK502" s="11"/>
      <c r="BL502" s="11"/>
    </row>
    <row r="503" spans="1:64" ht="12.75" hidden="1" customHeight="1" outlineLevel="1">
      <c r="A503" s="9"/>
      <c r="B503" s="9"/>
      <c r="C503" s="44"/>
      <c r="D503" s="128" t="str">
        <f>Asset2</f>
        <v>Transmission buildings 132/66kV</v>
      </c>
      <c r="E503" s="9"/>
      <c r="F503" s="9"/>
      <c r="G503" s="194">
        <f>'Adjustment for previous period'!G399</f>
        <v>-0.30509501915637138</v>
      </c>
      <c r="H503" s="109">
        <f t="shared" ref="H503:Q531" si="26">H633+H667</f>
        <v>0.14091288207624597</v>
      </c>
      <c r="I503" s="109">
        <f t="shared" si="26"/>
        <v>0.60860547547234045</v>
      </c>
      <c r="J503" s="109">
        <f t="shared" si="26"/>
        <v>-0.44420043706036938</v>
      </c>
      <c r="K503" s="109">
        <f t="shared" si="26"/>
        <v>0.11224325464620044</v>
      </c>
      <c r="L503" s="109">
        <f t="shared" si="26"/>
        <v>0.12757821599269326</v>
      </c>
      <c r="M503" s="109">
        <f t="shared" si="26"/>
        <v>0</v>
      </c>
      <c r="N503" s="109">
        <f t="shared" si="26"/>
        <v>0</v>
      </c>
      <c r="O503" s="109">
        <f t="shared" si="26"/>
        <v>0</v>
      </c>
      <c r="P503" s="109">
        <f t="shared" si="26"/>
        <v>0</v>
      </c>
      <c r="Q503" s="109">
        <f t="shared" si="26"/>
        <v>0</v>
      </c>
      <c r="R503" s="28"/>
      <c r="S503" s="99"/>
      <c r="T503" s="99"/>
      <c r="U503" s="99"/>
      <c r="V503" s="99"/>
      <c r="W503" s="99"/>
      <c r="X503" s="99"/>
      <c r="Y503" s="99"/>
      <c r="Z503" s="99"/>
      <c r="AA503" s="99"/>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99"/>
      <c r="BE503" s="99"/>
      <c r="BF503" s="99"/>
      <c r="BG503" s="99"/>
      <c r="BH503" s="99"/>
      <c r="BI503" s="99"/>
      <c r="BJ503" s="99"/>
      <c r="BK503" s="11"/>
      <c r="BL503" s="11"/>
    </row>
    <row r="504" spans="1:64" ht="12.75" hidden="1" customHeight="1" outlineLevel="1">
      <c r="A504" s="9"/>
      <c r="B504" s="9"/>
      <c r="C504" s="44"/>
      <c r="D504" s="128" t="str">
        <f>Asset3</f>
        <v>Zone buildings 132/66kV</v>
      </c>
      <c r="E504" s="9"/>
      <c r="F504" s="9"/>
      <c r="G504" s="194">
        <f>'Adjustment for previous period'!G400</f>
        <v>0.1613304727981788</v>
      </c>
      <c r="H504" s="109">
        <f t="shared" si="26"/>
        <v>0.37968425757467683</v>
      </c>
      <c r="I504" s="109">
        <f t="shared" si="26"/>
        <v>0.61925001972469973</v>
      </c>
      <c r="J504" s="109">
        <f t="shared" si="26"/>
        <v>-0.42120666961676823</v>
      </c>
      <c r="K504" s="109">
        <f t="shared" si="26"/>
        <v>0.16224196234668908</v>
      </c>
      <c r="L504" s="109">
        <f t="shared" si="26"/>
        <v>0.4012843313867922</v>
      </c>
      <c r="M504" s="109">
        <f t="shared" si="26"/>
        <v>0</v>
      </c>
      <c r="N504" s="109">
        <f t="shared" si="26"/>
        <v>0</v>
      </c>
      <c r="O504" s="109">
        <f t="shared" si="26"/>
        <v>0</v>
      </c>
      <c r="P504" s="109">
        <f t="shared" si="26"/>
        <v>0</v>
      </c>
      <c r="Q504" s="109">
        <f t="shared" si="26"/>
        <v>0</v>
      </c>
      <c r="R504" s="28"/>
      <c r="S504" s="99"/>
      <c r="T504" s="99"/>
      <c r="U504" s="99"/>
      <c r="V504" s="99"/>
      <c r="W504" s="99"/>
      <c r="X504" s="99"/>
      <c r="Y504" s="99"/>
      <c r="Z504" s="99"/>
      <c r="AA504" s="99"/>
      <c r="AB504" s="226"/>
      <c r="AC504" s="226"/>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99"/>
      <c r="BE504" s="99"/>
      <c r="BF504" s="99"/>
      <c r="BG504" s="99"/>
      <c r="BH504" s="99"/>
      <c r="BI504" s="99"/>
      <c r="BJ504" s="99"/>
      <c r="BK504" s="11"/>
      <c r="BL504" s="11"/>
    </row>
    <row r="505" spans="1:64" ht="12.75" hidden="1" customHeight="1" outlineLevel="1">
      <c r="A505" s="9"/>
      <c r="B505" s="9"/>
      <c r="C505" s="44"/>
      <c r="D505" s="128" t="str">
        <f>Asset4</f>
        <v>Transmission transformers 132/66kV</v>
      </c>
      <c r="E505" s="9"/>
      <c r="F505" s="9"/>
      <c r="G505" s="194">
        <f>'Adjustment for previous period'!G401</f>
        <v>-0.478556443670617</v>
      </c>
      <c r="H505" s="109">
        <f t="shared" si="26"/>
        <v>-2.4292682703409896E-2</v>
      </c>
      <c r="I505" s="109">
        <f t="shared" si="26"/>
        <v>9.9518254915361593E-2</v>
      </c>
      <c r="J505" s="109">
        <f t="shared" si="26"/>
        <v>-0.37482972286756522</v>
      </c>
      <c r="K505" s="109">
        <f t="shared" si="26"/>
        <v>-0.14520580450784171</v>
      </c>
      <c r="L505" s="109">
        <f t="shared" si="26"/>
        <v>-0.14315602921130122</v>
      </c>
      <c r="M505" s="109">
        <f t="shared" si="26"/>
        <v>0</v>
      </c>
      <c r="N505" s="109">
        <f t="shared" si="26"/>
        <v>0</v>
      </c>
      <c r="O505" s="109">
        <f t="shared" si="26"/>
        <v>0</v>
      </c>
      <c r="P505" s="109">
        <f t="shared" si="26"/>
        <v>0</v>
      </c>
      <c r="Q505" s="109">
        <f t="shared" si="26"/>
        <v>0</v>
      </c>
      <c r="R505" s="28"/>
      <c r="S505" s="99"/>
      <c r="T505" s="99"/>
      <c r="U505" s="99"/>
      <c r="V505" s="99"/>
      <c r="W505" s="99"/>
      <c r="X505" s="99"/>
      <c r="Y505" s="99"/>
      <c r="Z505" s="99"/>
      <c r="AA505" s="99"/>
      <c r="AB505" s="226"/>
      <c r="AC505" s="226"/>
      <c r="AD505" s="226"/>
      <c r="AE505" s="226"/>
      <c r="AF505" s="226"/>
      <c r="AG505" s="226"/>
      <c r="AH505" s="226"/>
      <c r="AI505" s="226"/>
      <c r="AJ505" s="226"/>
      <c r="AK505" s="226"/>
      <c r="AL505" s="226"/>
      <c r="AM505" s="226"/>
      <c r="AN505" s="226"/>
      <c r="AO505" s="226"/>
      <c r="AP505" s="226"/>
      <c r="AQ505" s="226"/>
      <c r="AR505" s="226"/>
      <c r="AS505" s="226"/>
      <c r="AT505" s="226"/>
      <c r="AU505" s="226"/>
      <c r="AV505" s="226"/>
      <c r="AW505" s="226"/>
      <c r="AX505" s="226"/>
      <c r="AY505" s="226"/>
      <c r="AZ505" s="226"/>
      <c r="BA505" s="226"/>
      <c r="BB505" s="226"/>
      <c r="BC505" s="226"/>
      <c r="BD505" s="99"/>
      <c r="BE505" s="99"/>
      <c r="BF505" s="99"/>
      <c r="BG505" s="99"/>
      <c r="BH505" s="99"/>
      <c r="BI505" s="99"/>
      <c r="BJ505" s="99"/>
      <c r="BK505" s="11"/>
      <c r="BL505" s="11"/>
    </row>
    <row r="506" spans="1:64" ht="12.75" hidden="1" customHeight="1" outlineLevel="1">
      <c r="A506" s="9"/>
      <c r="B506" s="9"/>
      <c r="C506" s="44"/>
      <c r="D506" s="128" t="str">
        <f>Asset5</f>
        <v>Zone transformers 132/66kV</v>
      </c>
      <c r="E506" s="9"/>
      <c r="F506" s="9"/>
      <c r="G506" s="194">
        <f>'Adjustment for previous period'!G402</f>
        <v>-0.13603890748107211</v>
      </c>
      <c r="H506" s="109">
        <f t="shared" si="26"/>
        <v>-4.6437386104790312E-2</v>
      </c>
      <c r="I506" s="109">
        <f t="shared" si="26"/>
        <v>6.5672685331379155E-2</v>
      </c>
      <c r="J506" s="109">
        <f t="shared" si="26"/>
        <v>-0.37698549823579014</v>
      </c>
      <c r="K506" s="109">
        <f t="shared" si="26"/>
        <v>-0.14941641194633382</v>
      </c>
      <c r="L506" s="109">
        <f t="shared" si="26"/>
        <v>-0.17548020577373113</v>
      </c>
      <c r="M506" s="109">
        <f t="shared" si="26"/>
        <v>0</v>
      </c>
      <c r="N506" s="109">
        <f t="shared" si="26"/>
        <v>0</v>
      </c>
      <c r="O506" s="109">
        <f t="shared" si="26"/>
        <v>0</v>
      </c>
      <c r="P506" s="109">
        <f t="shared" si="26"/>
        <v>0</v>
      </c>
      <c r="Q506" s="109">
        <f t="shared" si="26"/>
        <v>0</v>
      </c>
      <c r="R506" s="28"/>
      <c r="S506" s="99"/>
      <c r="T506" s="99"/>
      <c r="U506" s="99"/>
      <c r="V506" s="99"/>
      <c r="W506" s="99"/>
      <c r="X506" s="99"/>
      <c r="Y506" s="99"/>
      <c r="Z506" s="99"/>
      <c r="AA506" s="99"/>
      <c r="AB506" s="226"/>
      <c r="AC506" s="226"/>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99"/>
      <c r="BE506" s="99"/>
      <c r="BF506" s="99"/>
      <c r="BG506" s="99"/>
      <c r="BH506" s="99"/>
      <c r="BI506" s="99"/>
      <c r="BJ506" s="99"/>
      <c r="BK506" s="11"/>
      <c r="BL506" s="11"/>
    </row>
    <row r="507" spans="1:64" ht="12.75" hidden="1" customHeight="1" outlineLevel="1">
      <c r="A507" s="9"/>
      <c r="B507" s="9"/>
      <c r="C507" s="44"/>
      <c r="D507" s="128" t="str">
        <f>Asset6</f>
        <v>Transmission substation equip 132/66kV</v>
      </c>
      <c r="E507" s="9"/>
      <c r="F507" s="9"/>
      <c r="G507" s="194">
        <f>'Adjustment for previous period'!G403</f>
        <v>-2.3823654530317628</v>
      </c>
      <c r="H507" s="109">
        <f t="shared" si="26"/>
        <v>-0.69865814771904766</v>
      </c>
      <c r="I507" s="109">
        <f t="shared" si="26"/>
        <v>-0.10972335702749891</v>
      </c>
      <c r="J507" s="109">
        <f t="shared" si="26"/>
        <v>-2.5194496790304006</v>
      </c>
      <c r="K507" s="109">
        <f t="shared" si="26"/>
        <v>-1.3200217035174902</v>
      </c>
      <c r="L507" s="109">
        <f t="shared" si="26"/>
        <v>-1.4501333144067114</v>
      </c>
      <c r="M507" s="109">
        <f t="shared" si="26"/>
        <v>0</v>
      </c>
      <c r="N507" s="109">
        <f t="shared" si="26"/>
        <v>0</v>
      </c>
      <c r="O507" s="109">
        <f t="shared" si="26"/>
        <v>0</v>
      </c>
      <c r="P507" s="109">
        <f t="shared" si="26"/>
        <v>0</v>
      </c>
      <c r="Q507" s="109">
        <f t="shared" si="26"/>
        <v>0</v>
      </c>
      <c r="R507" s="28"/>
      <c r="S507" s="99"/>
      <c r="T507" s="99"/>
      <c r="U507" s="99"/>
      <c r="V507" s="99"/>
      <c r="W507" s="99"/>
      <c r="X507" s="99"/>
      <c r="Y507" s="99"/>
      <c r="Z507" s="99"/>
      <c r="AA507" s="99"/>
      <c r="AB507" s="226"/>
      <c r="AC507" s="226"/>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99"/>
      <c r="BE507" s="99"/>
      <c r="BF507" s="99"/>
      <c r="BG507" s="99"/>
      <c r="BH507" s="99"/>
      <c r="BI507" s="99"/>
      <c r="BJ507" s="99"/>
      <c r="BK507" s="11"/>
      <c r="BL507" s="11"/>
    </row>
    <row r="508" spans="1:64" ht="12.75" hidden="1" customHeight="1" outlineLevel="1">
      <c r="A508" s="9"/>
      <c r="B508" s="9"/>
      <c r="C508" s="44"/>
      <c r="D508" s="128" t="str">
        <f>Asset7</f>
        <v>Zone substation equip 132/66kV</v>
      </c>
      <c r="E508" s="9"/>
      <c r="F508" s="9"/>
      <c r="G508" s="194">
        <f>'Adjustment for previous period'!G404</f>
        <v>-1.0028035229233665</v>
      </c>
      <c r="H508" s="109">
        <f t="shared" si="26"/>
        <v>-0.44238404385123831</v>
      </c>
      <c r="I508" s="109">
        <f t="shared" si="26"/>
        <v>0.35256920265819858</v>
      </c>
      <c r="J508" s="109">
        <f t="shared" si="26"/>
        <v>-3.0656637155984572</v>
      </c>
      <c r="K508" s="109">
        <f t="shared" si="26"/>
        <v>-0.90097139964021444</v>
      </c>
      <c r="L508" s="109">
        <f t="shared" si="26"/>
        <v>-1.0730609201307999</v>
      </c>
      <c r="M508" s="109">
        <f t="shared" si="26"/>
        <v>0</v>
      </c>
      <c r="N508" s="109">
        <f t="shared" si="26"/>
        <v>0</v>
      </c>
      <c r="O508" s="109">
        <f t="shared" si="26"/>
        <v>0</v>
      </c>
      <c r="P508" s="109">
        <f t="shared" si="26"/>
        <v>0</v>
      </c>
      <c r="Q508" s="109">
        <f t="shared" si="26"/>
        <v>0</v>
      </c>
      <c r="R508" s="28"/>
      <c r="S508" s="99"/>
      <c r="T508" s="99"/>
      <c r="U508" s="99"/>
      <c r="V508" s="99"/>
      <c r="W508" s="99"/>
      <c r="X508" s="99"/>
      <c r="Y508" s="99"/>
      <c r="Z508" s="99"/>
      <c r="AA508" s="99"/>
      <c r="AB508" s="226"/>
      <c r="AC508" s="226"/>
      <c r="AD508" s="226"/>
      <c r="AE508" s="226"/>
      <c r="AF508" s="226"/>
      <c r="AG508" s="226"/>
      <c r="AH508" s="226"/>
      <c r="AI508" s="226"/>
      <c r="AJ508" s="226"/>
      <c r="AK508" s="226"/>
      <c r="AL508" s="226"/>
      <c r="AM508" s="226"/>
      <c r="AN508" s="226"/>
      <c r="AO508" s="226"/>
      <c r="AP508" s="226"/>
      <c r="AQ508" s="226"/>
      <c r="AR508" s="226"/>
      <c r="AS508" s="226"/>
      <c r="AT508" s="226"/>
      <c r="AU508" s="226"/>
      <c r="AV508" s="226"/>
      <c r="AW508" s="226"/>
      <c r="AX508" s="226"/>
      <c r="AY508" s="226"/>
      <c r="AZ508" s="226"/>
      <c r="BA508" s="226"/>
      <c r="BB508" s="226"/>
      <c r="BC508" s="226"/>
      <c r="BD508" s="99"/>
      <c r="BE508" s="99"/>
      <c r="BF508" s="99"/>
      <c r="BG508" s="99"/>
      <c r="BH508" s="99"/>
      <c r="BI508" s="99"/>
      <c r="BJ508" s="99"/>
      <c r="BK508" s="11"/>
      <c r="BL508" s="11"/>
    </row>
    <row r="509" spans="1:64" ht="12.75" hidden="1" customHeight="1" outlineLevel="1">
      <c r="A509" s="9"/>
      <c r="B509" s="9"/>
      <c r="C509" s="44"/>
      <c r="D509" s="128" t="str">
        <f>Asset8</f>
        <v>Transmission &amp; Zone emergency spares</v>
      </c>
      <c r="E509" s="9"/>
      <c r="F509" s="9"/>
      <c r="G509" s="194">
        <f>'Adjustment for previous period'!G405</f>
        <v>-3.9937125400649198E-4</v>
      </c>
      <c r="H509" s="109">
        <f t="shared" si="26"/>
        <v>6.9078655064973918E-3</v>
      </c>
      <c r="I509" s="109">
        <f t="shared" si="26"/>
        <v>1.4994658006894972E-2</v>
      </c>
      <c r="J509" s="109">
        <f t="shared" si="26"/>
        <v>-2.2832758605683033E-2</v>
      </c>
      <c r="K509" s="109">
        <f t="shared" si="26"/>
        <v>-5.6377933270894964E-3</v>
      </c>
      <c r="L509" s="109">
        <f t="shared" si="26"/>
        <v>-7.2446302657187961E-3</v>
      </c>
      <c r="M509" s="109">
        <f t="shared" si="26"/>
        <v>0</v>
      </c>
      <c r="N509" s="109">
        <f t="shared" si="26"/>
        <v>0</v>
      </c>
      <c r="O509" s="109">
        <f t="shared" si="26"/>
        <v>0</v>
      </c>
      <c r="P509" s="109">
        <f t="shared" si="26"/>
        <v>0</v>
      </c>
      <c r="Q509" s="109">
        <f t="shared" si="26"/>
        <v>0</v>
      </c>
      <c r="R509" s="28"/>
      <c r="S509" s="99"/>
      <c r="T509" s="99"/>
      <c r="U509" s="99"/>
      <c r="V509" s="99"/>
      <c r="W509" s="99"/>
      <c r="X509" s="99"/>
      <c r="Y509" s="99"/>
      <c r="Z509" s="99"/>
      <c r="AA509" s="99"/>
      <c r="AB509" s="226"/>
      <c r="AC509" s="226"/>
      <c r="AD509" s="226"/>
      <c r="AE509" s="226"/>
      <c r="AF509" s="226"/>
      <c r="AG509" s="226"/>
      <c r="AH509" s="226"/>
      <c r="AI509" s="226"/>
      <c r="AJ509" s="226"/>
      <c r="AK509" s="226"/>
      <c r="AL509" s="226"/>
      <c r="AM509" s="226"/>
      <c r="AN509" s="226"/>
      <c r="AO509" s="226"/>
      <c r="AP509" s="226"/>
      <c r="AQ509" s="226"/>
      <c r="AR509" s="226"/>
      <c r="AS509" s="226"/>
      <c r="AT509" s="226"/>
      <c r="AU509" s="226"/>
      <c r="AV509" s="226"/>
      <c r="AW509" s="226"/>
      <c r="AX509" s="226"/>
      <c r="AY509" s="226"/>
      <c r="AZ509" s="226"/>
      <c r="BA509" s="226"/>
      <c r="BB509" s="226"/>
      <c r="BC509" s="226"/>
      <c r="BD509" s="99"/>
      <c r="BE509" s="99"/>
      <c r="BF509" s="99"/>
      <c r="BG509" s="99"/>
      <c r="BH509" s="99"/>
      <c r="BI509" s="99"/>
      <c r="BJ509" s="99"/>
      <c r="BK509" s="11"/>
      <c r="BL509" s="11"/>
    </row>
    <row r="510" spans="1:64" ht="12.75" hidden="1" customHeight="1" outlineLevel="1">
      <c r="A510" s="9"/>
      <c r="B510" s="9"/>
      <c r="C510" s="44"/>
      <c r="D510" s="128" t="str">
        <f>Asset9</f>
        <v>Ancillary substation equipment (tx)</v>
      </c>
      <c r="E510" s="9"/>
      <c r="F510" s="9"/>
      <c r="G510" s="194">
        <f>'Adjustment for previous period'!G406</f>
        <v>0</v>
      </c>
      <c r="H510" s="109">
        <f t="shared" si="26"/>
        <v>0</v>
      </c>
      <c r="I510" s="109">
        <f t="shared" si="26"/>
        <v>-4.1633744977574959E-2</v>
      </c>
      <c r="J510" s="109">
        <f t="shared" si="26"/>
        <v>-0.2371140280572544</v>
      </c>
      <c r="K510" s="109">
        <f t="shared" si="26"/>
        <v>-0.50172593772969298</v>
      </c>
      <c r="L510" s="109">
        <f t="shared" si="26"/>
        <v>-1.5234451718595057</v>
      </c>
      <c r="M510" s="109">
        <f t="shared" si="26"/>
        <v>0</v>
      </c>
      <c r="N510" s="109">
        <f t="shared" si="26"/>
        <v>0</v>
      </c>
      <c r="O510" s="109">
        <f t="shared" si="26"/>
        <v>0</v>
      </c>
      <c r="P510" s="109">
        <f t="shared" si="26"/>
        <v>0</v>
      </c>
      <c r="Q510" s="109">
        <f t="shared" si="26"/>
        <v>0</v>
      </c>
      <c r="R510" s="28"/>
      <c r="S510" s="99"/>
      <c r="T510" s="99"/>
      <c r="U510" s="99"/>
      <c r="V510" s="99"/>
      <c r="W510" s="99"/>
      <c r="X510" s="99"/>
      <c r="Y510" s="99"/>
      <c r="Z510" s="99"/>
      <c r="AA510" s="99"/>
      <c r="AB510" s="226"/>
      <c r="AC510" s="226"/>
      <c r="AD510" s="226"/>
      <c r="AE510" s="226"/>
      <c r="AF510" s="226"/>
      <c r="AG510" s="226"/>
      <c r="AH510" s="226"/>
      <c r="AI510" s="226"/>
      <c r="AJ510" s="226"/>
      <c r="AK510" s="226"/>
      <c r="AL510" s="226"/>
      <c r="AM510" s="226"/>
      <c r="AN510" s="226"/>
      <c r="AO510" s="226"/>
      <c r="AP510" s="226"/>
      <c r="AQ510" s="226"/>
      <c r="AR510" s="226"/>
      <c r="AS510" s="226"/>
      <c r="AT510" s="226"/>
      <c r="AU510" s="226"/>
      <c r="AV510" s="226"/>
      <c r="AW510" s="226"/>
      <c r="AX510" s="226"/>
      <c r="AY510" s="226"/>
      <c r="AZ510" s="226"/>
      <c r="BA510" s="226"/>
      <c r="BB510" s="226"/>
      <c r="BC510" s="226"/>
      <c r="BD510" s="99"/>
      <c r="BE510" s="99"/>
      <c r="BF510" s="99"/>
      <c r="BG510" s="99"/>
      <c r="BH510" s="99"/>
      <c r="BI510" s="99"/>
      <c r="BJ510" s="99"/>
      <c r="BK510" s="11"/>
      <c r="BL510" s="11"/>
    </row>
    <row r="511" spans="1:64" ht="12.75" hidden="1" customHeight="1" outlineLevel="1">
      <c r="A511" s="9"/>
      <c r="B511" s="9"/>
      <c r="C511" s="44"/>
      <c r="D511" s="128" t="str">
        <f>Asset10</f>
        <v>132kV tower lines</v>
      </c>
      <c r="E511" s="9"/>
      <c r="F511" s="9"/>
      <c r="G511" s="194">
        <f>'Adjustment for previous period'!G407</f>
        <v>-0.38198469324474921</v>
      </c>
      <c r="H511" s="109">
        <f t="shared" si="26"/>
        <v>-0.21615293871203023</v>
      </c>
      <c r="I511" s="109">
        <f t="shared" si="26"/>
        <v>-0.10179028724999917</v>
      </c>
      <c r="J511" s="109">
        <f t="shared" si="26"/>
        <v>-0.47767036839256855</v>
      </c>
      <c r="K511" s="109">
        <f t="shared" si="26"/>
        <v>-0.20198827919329787</v>
      </c>
      <c r="L511" s="109">
        <f t="shared" si="26"/>
        <v>-0.24053498099860771</v>
      </c>
      <c r="M511" s="109">
        <f t="shared" si="26"/>
        <v>0</v>
      </c>
      <c r="N511" s="109">
        <f t="shared" si="26"/>
        <v>0</v>
      </c>
      <c r="O511" s="109">
        <f t="shared" si="26"/>
        <v>0</v>
      </c>
      <c r="P511" s="109">
        <f t="shared" si="26"/>
        <v>0</v>
      </c>
      <c r="Q511" s="109">
        <f t="shared" si="26"/>
        <v>0</v>
      </c>
      <c r="R511" s="28"/>
      <c r="S511" s="99"/>
      <c r="T511" s="99"/>
      <c r="U511" s="99"/>
      <c r="V511" s="99"/>
      <c r="W511" s="99"/>
      <c r="X511" s="99"/>
      <c r="Y511" s="99"/>
      <c r="Z511" s="99"/>
      <c r="AA511" s="99"/>
      <c r="AB511" s="226"/>
      <c r="AC511" s="226"/>
      <c r="AD511" s="226"/>
      <c r="AE511" s="226"/>
      <c r="AF511" s="226"/>
      <c r="AG511" s="226"/>
      <c r="AH511" s="226"/>
      <c r="AI511" s="226"/>
      <c r="AJ511" s="226"/>
      <c r="AK511" s="226"/>
      <c r="AL511" s="226"/>
      <c r="AM511" s="226"/>
      <c r="AN511" s="226"/>
      <c r="AO511" s="226"/>
      <c r="AP511" s="226"/>
      <c r="AQ511" s="226"/>
      <c r="AR511" s="226"/>
      <c r="AS511" s="226"/>
      <c r="AT511" s="226"/>
      <c r="AU511" s="226"/>
      <c r="AV511" s="226"/>
      <c r="AW511" s="226"/>
      <c r="AX511" s="226"/>
      <c r="AY511" s="226"/>
      <c r="AZ511" s="226"/>
      <c r="BA511" s="226"/>
      <c r="BB511" s="226"/>
      <c r="BC511" s="226"/>
      <c r="BD511" s="99"/>
      <c r="BE511" s="99"/>
      <c r="BF511" s="99"/>
      <c r="BG511" s="99"/>
      <c r="BH511" s="99"/>
      <c r="BI511" s="99"/>
      <c r="BJ511" s="99"/>
      <c r="BK511" s="11"/>
      <c r="BL511" s="11"/>
    </row>
    <row r="512" spans="1:64" ht="12.75" hidden="1" customHeight="1" outlineLevel="1">
      <c r="A512" s="9"/>
      <c r="B512" s="9"/>
      <c r="C512" s="44"/>
      <c r="D512" s="128" t="str">
        <f>Asset11</f>
        <v>132kV concrete &amp; steel pole lines</v>
      </c>
      <c r="E512" s="9"/>
      <c r="F512" s="9"/>
      <c r="G512" s="194">
        <f>'Adjustment for previous period'!G408</f>
        <v>7.7769921878411419E-3</v>
      </c>
      <c r="H512" s="109">
        <f t="shared" si="26"/>
        <v>5.8949704704576111E-2</v>
      </c>
      <c r="I512" s="109">
        <f t="shared" si="26"/>
        <v>0.31925676301796735</v>
      </c>
      <c r="J512" s="109">
        <f t="shared" si="26"/>
        <v>-0.14547545256472388</v>
      </c>
      <c r="K512" s="109">
        <f t="shared" si="26"/>
        <v>0.11110144293416202</v>
      </c>
      <c r="L512" s="109">
        <f t="shared" si="26"/>
        <v>8.3191364302956816E-2</v>
      </c>
      <c r="M512" s="109">
        <f t="shared" si="26"/>
        <v>0</v>
      </c>
      <c r="N512" s="109">
        <f t="shared" si="26"/>
        <v>0</v>
      </c>
      <c r="O512" s="109">
        <f t="shared" si="26"/>
        <v>0</v>
      </c>
      <c r="P512" s="109">
        <f t="shared" si="26"/>
        <v>0</v>
      </c>
      <c r="Q512" s="109">
        <f t="shared" si="26"/>
        <v>0</v>
      </c>
      <c r="R512" s="28"/>
      <c r="S512" s="99"/>
      <c r="T512" s="99"/>
      <c r="U512" s="99"/>
      <c r="V512" s="99"/>
      <c r="W512" s="99"/>
      <c r="X512" s="99"/>
      <c r="Y512" s="99"/>
      <c r="Z512" s="99"/>
      <c r="AA512" s="99"/>
      <c r="AB512" s="226"/>
      <c r="AC512" s="226"/>
      <c r="AD512" s="226"/>
      <c r="AE512" s="226"/>
      <c r="AF512" s="226"/>
      <c r="AG512" s="226"/>
      <c r="AH512" s="226"/>
      <c r="AI512" s="226"/>
      <c r="AJ512" s="226"/>
      <c r="AK512" s="226"/>
      <c r="AL512" s="226"/>
      <c r="AM512" s="226"/>
      <c r="AN512" s="226"/>
      <c r="AO512" s="226"/>
      <c r="AP512" s="226"/>
      <c r="AQ512" s="226"/>
      <c r="AR512" s="226"/>
      <c r="AS512" s="226"/>
      <c r="AT512" s="226"/>
      <c r="AU512" s="226"/>
      <c r="AV512" s="226"/>
      <c r="AW512" s="226"/>
      <c r="AX512" s="226"/>
      <c r="AY512" s="226"/>
      <c r="AZ512" s="226"/>
      <c r="BA512" s="226"/>
      <c r="BB512" s="226"/>
      <c r="BC512" s="226"/>
      <c r="BD512" s="99"/>
      <c r="BE512" s="99"/>
      <c r="BF512" s="99"/>
      <c r="BG512" s="99"/>
      <c r="BH512" s="99"/>
      <c r="BI512" s="99"/>
      <c r="BJ512" s="99"/>
      <c r="BK512" s="11"/>
      <c r="BL512" s="11"/>
    </row>
    <row r="513" spans="1:64" ht="12.75" hidden="1" customHeight="1" outlineLevel="1">
      <c r="A513" s="9"/>
      <c r="B513" s="9"/>
      <c r="C513" s="44"/>
      <c r="D513" s="128" t="str">
        <f>Asset12</f>
        <v>132kV wood pole lines</v>
      </c>
      <c r="E513" s="9"/>
      <c r="F513" s="9"/>
      <c r="G513" s="194">
        <f>'Adjustment for previous period'!G409</f>
        <v>-0.80312515595831624</v>
      </c>
      <c r="H513" s="109">
        <f t="shared" si="26"/>
        <v>-0.15558806549724147</v>
      </c>
      <c r="I513" s="109">
        <f t="shared" si="26"/>
        <v>3.072059521865933E-2</v>
      </c>
      <c r="J513" s="109">
        <f t="shared" si="26"/>
        <v>-0.58883379977775507</v>
      </c>
      <c r="K513" s="109">
        <f t="shared" si="26"/>
        <v>-0.31961137369115722</v>
      </c>
      <c r="L513" s="109">
        <f t="shared" si="26"/>
        <v>-0.35569239268298658</v>
      </c>
      <c r="M513" s="109">
        <f t="shared" si="26"/>
        <v>0</v>
      </c>
      <c r="N513" s="109">
        <f t="shared" si="26"/>
        <v>0</v>
      </c>
      <c r="O513" s="109">
        <f t="shared" si="26"/>
        <v>0</v>
      </c>
      <c r="P513" s="109">
        <f t="shared" si="26"/>
        <v>0</v>
      </c>
      <c r="Q513" s="109">
        <f t="shared" si="26"/>
        <v>0</v>
      </c>
      <c r="R513" s="28"/>
      <c r="S513" s="99"/>
      <c r="T513" s="99"/>
      <c r="U513" s="99"/>
      <c r="V513" s="99"/>
      <c r="W513" s="99"/>
      <c r="X513" s="99"/>
      <c r="Y513" s="99"/>
      <c r="Z513" s="99"/>
      <c r="AA513" s="99"/>
      <c r="AB513" s="226"/>
      <c r="AC513" s="226"/>
      <c r="AD513" s="226"/>
      <c r="AE513" s="226"/>
      <c r="AF513" s="226"/>
      <c r="AG513" s="226"/>
      <c r="AH513" s="226"/>
      <c r="AI513" s="226"/>
      <c r="AJ513" s="226"/>
      <c r="AK513" s="226"/>
      <c r="AL513" s="226"/>
      <c r="AM513" s="226"/>
      <c r="AN513" s="226"/>
      <c r="AO513" s="226"/>
      <c r="AP513" s="226"/>
      <c r="AQ513" s="226"/>
      <c r="AR513" s="226"/>
      <c r="AS513" s="226"/>
      <c r="AT513" s="226"/>
      <c r="AU513" s="226"/>
      <c r="AV513" s="226"/>
      <c r="AW513" s="226"/>
      <c r="AX513" s="226"/>
      <c r="AY513" s="226"/>
      <c r="AZ513" s="226"/>
      <c r="BA513" s="226"/>
      <c r="BB513" s="226"/>
      <c r="BC513" s="226"/>
      <c r="BD513" s="99"/>
      <c r="BE513" s="99"/>
      <c r="BF513" s="99"/>
      <c r="BG513" s="99"/>
      <c r="BH513" s="99"/>
      <c r="BI513" s="99"/>
      <c r="BJ513" s="99"/>
      <c r="BK513" s="11"/>
      <c r="BL513" s="11"/>
    </row>
    <row r="514" spans="1:64" ht="12.75" hidden="1" customHeight="1" outlineLevel="1">
      <c r="A514" s="9"/>
      <c r="B514" s="9"/>
      <c r="C514" s="44"/>
      <c r="D514" s="128" t="str">
        <f>Asset13</f>
        <v>132kV feeders underground</v>
      </c>
      <c r="E514" s="9"/>
      <c r="F514" s="9"/>
      <c r="G514" s="194">
        <f>'Adjustment for previous period'!G410</f>
        <v>-7.7749547670939325</v>
      </c>
      <c r="H514" s="109">
        <f t="shared" si="26"/>
        <v>-2.3512758562704086</v>
      </c>
      <c r="I514" s="109">
        <f t="shared" si="26"/>
        <v>-1.0165105060288635</v>
      </c>
      <c r="J514" s="109">
        <f t="shared" si="26"/>
        <v>-6.3233786083813088</v>
      </c>
      <c r="K514" s="109">
        <f t="shared" si="26"/>
        <v>-3.2368998673471054</v>
      </c>
      <c r="L514" s="109">
        <f t="shared" si="26"/>
        <v>-3.5516371045704389</v>
      </c>
      <c r="M514" s="109">
        <f t="shared" si="26"/>
        <v>0</v>
      </c>
      <c r="N514" s="109">
        <f t="shared" si="26"/>
        <v>0</v>
      </c>
      <c r="O514" s="109">
        <f t="shared" si="26"/>
        <v>0</v>
      </c>
      <c r="P514" s="109">
        <f t="shared" si="26"/>
        <v>0</v>
      </c>
      <c r="Q514" s="109">
        <f t="shared" si="26"/>
        <v>0</v>
      </c>
      <c r="R514" s="28"/>
      <c r="S514" s="99"/>
      <c r="T514" s="99"/>
      <c r="U514" s="99"/>
      <c r="V514" s="99"/>
      <c r="W514" s="99"/>
      <c r="X514" s="99"/>
      <c r="Y514" s="99"/>
      <c r="Z514" s="99"/>
      <c r="AA514" s="99"/>
      <c r="AB514" s="226"/>
      <c r="AC514" s="226"/>
      <c r="AD514" s="226"/>
      <c r="AE514" s="226"/>
      <c r="AF514" s="226"/>
      <c r="AG514" s="226"/>
      <c r="AH514" s="226"/>
      <c r="AI514" s="226"/>
      <c r="AJ514" s="226"/>
      <c r="AK514" s="226"/>
      <c r="AL514" s="226"/>
      <c r="AM514" s="226"/>
      <c r="AN514" s="226"/>
      <c r="AO514" s="226"/>
      <c r="AP514" s="226"/>
      <c r="AQ514" s="226"/>
      <c r="AR514" s="226"/>
      <c r="AS514" s="226"/>
      <c r="AT514" s="226"/>
      <c r="AU514" s="226"/>
      <c r="AV514" s="226"/>
      <c r="AW514" s="226"/>
      <c r="AX514" s="226"/>
      <c r="AY514" s="226"/>
      <c r="AZ514" s="226"/>
      <c r="BA514" s="226"/>
      <c r="BB514" s="226"/>
      <c r="BC514" s="226"/>
      <c r="BD514" s="99"/>
      <c r="BE514" s="99"/>
      <c r="BF514" s="99"/>
      <c r="BG514" s="99"/>
      <c r="BH514" s="99"/>
      <c r="BI514" s="99"/>
      <c r="BJ514" s="99"/>
      <c r="BK514" s="11"/>
      <c r="BL514" s="11"/>
    </row>
    <row r="515" spans="1:64" ht="12.75" hidden="1" customHeight="1" outlineLevel="1">
      <c r="A515" s="9"/>
      <c r="B515" s="9"/>
      <c r="C515" s="44"/>
      <c r="D515" s="128" t="str">
        <f>Asset14</f>
        <v>Cable tunnel (tx)</v>
      </c>
      <c r="E515" s="9"/>
      <c r="F515" s="9"/>
      <c r="G515" s="194">
        <f>'Adjustment for previous period'!G411</f>
        <v>9.7707393625144773E-2</v>
      </c>
      <c r="H515" s="109">
        <f t="shared" si="26"/>
        <v>0.14069868638886657</v>
      </c>
      <c r="I515" s="109">
        <f t="shared" si="26"/>
        <v>0.18856358905873527</v>
      </c>
      <c r="J515" s="109">
        <f t="shared" si="26"/>
        <v>-1.0158933762357547E-3</v>
      </c>
      <c r="K515" s="109">
        <f t="shared" si="26"/>
        <v>9.8994714257812255E-2</v>
      </c>
      <c r="L515" s="109">
        <f t="shared" si="26"/>
        <v>9.8518849448217066E-2</v>
      </c>
      <c r="M515" s="109">
        <f t="shared" si="26"/>
        <v>0</v>
      </c>
      <c r="N515" s="109">
        <f t="shared" si="26"/>
        <v>0</v>
      </c>
      <c r="O515" s="109">
        <f t="shared" si="26"/>
        <v>0</v>
      </c>
      <c r="P515" s="109">
        <f t="shared" si="26"/>
        <v>0</v>
      </c>
      <c r="Q515" s="109">
        <f t="shared" si="26"/>
        <v>0</v>
      </c>
      <c r="R515" s="28"/>
      <c r="S515" s="99"/>
      <c r="T515" s="99"/>
      <c r="U515" s="99"/>
      <c r="V515" s="99"/>
      <c r="W515" s="99"/>
      <c r="X515" s="99"/>
      <c r="Y515" s="99"/>
      <c r="Z515" s="99"/>
      <c r="AA515" s="99"/>
      <c r="AB515" s="226"/>
      <c r="AC515" s="226"/>
      <c r="AD515" s="226"/>
      <c r="AE515" s="226"/>
      <c r="AF515" s="226"/>
      <c r="AG515" s="226"/>
      <c r="AH515" s="226"/>
      <c r="AI515" s="226"/>
      <c r="AJ515" s="226"/>
      <c r="AK515" s="226"/>
      <c r="AL515" s="226"/>
      <c r="AM515" s="226"/>
      <c r="AN515" s="226"/>
      <c r="AO515" s="226"/>
      <c r="AP515" s="226"/>
      <c r="AQ515" s="226"/>
      <c r="AR515" s="226"/>
      <c r="AS515" s="226"/>
      <c r="AT515" s="226"/>
      <c r="AU515" s="226"/>
      <c r="AV515" s="226"/>
      <c r="AW515" s="226"/>
      <c r="AX515" s="226"/>
      <c r="AY515" s="226"/>
      <c r="AZ515" s="226"/>
      <c r="BA515" s="226"/>
      <c r="BB515" s="226"/>
      <c r="BC515" s="226"/>
      <c r="BD515" s="99"/>
      <c r="BE515" s="99"/>
      <c r="BF515" s="99"/>
      <c r="BG515" s="99"/>
      <c r="BH515" s="99"/>
      <c r="BI515" s="99"/>
      <c r="BJ515" s="99"/>
      <c r="BK515" s="11"/>
      <c r="BL515" s="11"/>
    </row>
    <row r="516" spans="1:64" ht="12.75" hidden="1" customHeight="1" outlineLevel="1">
      <c r="A516" s="9"/>
      <c r="B516" s="9"/>
      <c r="C516" s="44"/>
      <c r="D516" s="128" t="str">
        <f>Asset15</f>
        <v>Network control &amp; com systems</v>
      </c>
      <c r="E516" s="9"/>
      <c r="F516" s="9"/>
      <c r="G516" s="194">
        <f>'Adjustment for previous period'!G412</f>
        <v>-1.0058418220254572</v>
      </c>
      <c r="H516" s="109">
        <f t="shared" si="26"/>
        <v>-0.42968685851203614</v>
      </c>
      <c r="I516" s="109">
        <f t="shared" si="26"/>
        <v>-0.36779221041323829</v>
      </c>
      <c r="J516" s="109">
        <f t="shared" si="26"/>
        <v>-0.80702138840220272</v>
      </c>
      <c r="K516" s="109">
        <f t="shared" si="26"/>
        <v>-0.64695502722510867</v>
      </c>
      <c r="L516" s="109">
        <f t="shared" si="26"/>
        <v>-0.69312711553049489</v>
      </c>
      <c r="M516" s="109">
        <f t="shared" si="26"/>
        <v>0</v>
      </c>
      <c r="N516" s="109">
        <f t="shared" si="26"/>
        <v>0</v>
      </c>
      <c r="O516" s="109">
        <f t="shared" si="26"/>
        <v>0</v>
      </c>
      <c r="P516" s="109">
        <f t="shared" si="26"/>
        <v>0</v>
      </c>
      <c r="Q516" s="109">
        <f t="shared" si="26"/>
        <v>0</v>
      </c>
      <c r="R516" s="28"/>
      <c r="S516" s="99"/>
      <c r="T516" s="99"/>
      <c r="U516" s="99"/>
      <c r="V516" s="99"/>
      <c r="W516" s="99"/>
      <c r="X516" s="99"/>
      <c r="Y516" s="99"/>
      <c r="Z516" s="99"/>
      <c r="AA516" s="99"/>
      <c r="AB516" s="226"/>
      <c r="AC516" s="226"/>
      <c r="AD516" s="226"/>
      <c r="AE516" s="226"/>
      <c r="AF516" s="226"/>
      <c r="AG516" s="226"/>
      <c r="AH516" s="226"/>
      <c r="AI516" s="226"/>
      <c r="AJ516" s="226"/>
      <c r="AK516" s="226"/>
      <c r="AL516" s="226"/>
      <c r="AM516" s="226"/>
      <c r="AN516" s="226"/>
      <c r="AO516" s="226"/>
      <c r="AP516" s="226"/>
      <c r="AQ516" s="226"/>
      <c r="AR516" s="226"/>
      <c r="AS516" s="226"/>
      <c r="AT516" s="226"/>
      <c r="AU516" s="226"/>
      <c r="AV516" s="226"/>
      <c r="AW516" s="226"/>
      <c r="AX516" s="226"/>
      <c r="AY516" s="226"/>
      <c r="AZ516" s="226"/>
      <c r="BA516" s="226"/>
      <c r="BB516" s="226"/>
      <c r="BC516" s="226"/>
      <c r="BD516" s="99"/>
      <c r="BE516" s="99"/>
      <c r="BF516" s="99"/>
      <c r="BG516" s="99"/>
      <c r="BH516" s="99"/>
      <c r="BI516" s="99"/>
      <c r="BJ516" s="99"/>
      <c r="BK516" s="11"/>
      <c r="BL516" s="11"/>
    </row>
    <row r="517" spans="1:64" ht="12.75" hidden="1" customHeight="1" outlineLevel="1">
      <c r="A517" s="9"/>
      <c r="B517" s="9"/>
      <c r="C517" s="44"/>
      <c r="D517" s="128" t="str">
        <f>Asset16</f>
        <v>Communications (digital) - tx</v>
      </c>
      <c r="E517" s="9"/>
      <c r="F517" s="9"/>
      <c r="G517" s="194">
        <f>'Adjustment for previous period'!G413</f>
        <v>0</v>
      </c>
      <c r="H517" s="109">
        <f t="shared" si="26"/>
        <v>0</v>
      </c>
      <c r="I517" s="109">
        <f t="shared" si="26"/>
        <v>0</v>
      </c>
      <c r="J517" s="109">
        <f t="shared" si="26"/>
        <v>-2.9675422993340368E-2</v>
      </c>
      <c r="K517" s="109">
        <f t="shared" si="26"/>
        <v>-6.678029740183028E-2</v>
      </c>
      <c r="L517" s="109">
        <f t="shared" si="26"/>
        <v>-8.4759885647545982E-2</v>
      </c>
      <c r="M517" s="109">
        <f t="shared" si="26"/>
        <v>0</v>
      </c>
      <c r="N517" s="109">
        <f t="shared" si="26"/>
        <v>0</v>
      </c>
      <c r="O517" s="109">
        <f t="shared" si="26"/>
        <v>0</v>
      </c>
      <c r="P517" s="109">
        <f t="shared" si="26"/>
        <v>0</v>
      </c>
      <c r="Q517" s="109">
        <f t="shared" si="26"/>
        <v>0</v>
      </c>
      <c r="R517" s="28"/>
      <c r="S517" s="99"/>
      <c r="T517" s="99"/>
      <c r="U517" s="99"/>
      <c r="V517" s="99"/>
      <c r="W517" s="99"/>
      <c r="X517" s="99"/>
      <c r="Y517" s="99"/>
      <c r="Z517" s="99"/>
      <c r="AA517" s="99"/>
      <c r="AB517" s="226"/>
      <c r="AC517" s="226"/>
      <c r="AD517" s="226"/>
      <c r="AE517" s="226"/>
      <c r="AF517" s="226"/>
      <c r="AG517" s="226"/>
      <c r="AH517" s="226"/>
      <c r="AI517" s="226"/>
      <c r="AJ517" s="226"/>
      <c r="AK517" s="226"/>
      <c r="AL517" s="226"/>
      <c r="AM517" s="226"/>
      <c r="AN517" s="226"/>
      <c r="AO517" s="226"/>
      <c r="AP517" s="226"/>
      <c r="AQ517" s="226"/>
      <c r="AR517" s="226"/>
      <c r="AS517" s="226"/>
      <c r="AT517" s="226"/>
      <c r="AU517" s="226"/>
      <c r="AV517" s="226"/>
      <c r="AW517" s="226"/>
      <c r="AX517" s="226"/>
      <c r="AY517" s="226"/>
      <c r="AZ517" s="226"/>
      <c r="BA517" s="226"/>
      <c r="BB517" s="226"/>
      <c r="BC517" s="226"/>
      <c r="BD517" s="99"/>
      <c r="BE517" s="99"/>
      <c r="BF517" s="99"/>
      <c r="BG517" s="99"/>
      <c r="BH517" s="99"/>
      <c r="BI517" s="99"/>
      <c r="BJ517" s="99"/>
      <c r="BK517" s="11"/>
      <c r="BL517" s="11"/>
    </row>
    <row r="518" spans="1:64" ht="12.75" hidden="1" customHeight="1" outlineLevel="1">
      <c r="A518" s="9"/>
      <c r="B518" s="9"/>
      <c r="C518" s="44"/>
      <c r="D518" s="128" t="str">
        <f>Asset17</f>
        <v>System IT (tx)</v>
      </c>
      <c r="E518" s="9"/>
      <c r="F518" s="9"/>
      <c r="G518" s="194">
        <f>'Adjustment for previous period'!G414</f>
        <v>0</v>
      </c>
      <c r="H518" s="109">
        <f t="shared" si="26"/>
        <v>0</v>
      </c>
      <c r="I518" s="109">
        <f t="shared" si="26"/>
        <v>-0.42431776309249036</v>
      </c>
      <c r="J518" s="109">
        <f t="shared" si="26"/>
        <v>-1.6229591862502306</v>
      </c>
      <c r="K518" s="109">
        <f t="shared" si="26"/>
        <v>-2.7670394575047501</v>
      </c>
      <c r="L518" s="109">
        <f t="shared" si="26"/>
        <v>-3.5513066458721867</v>
      </c>
      <c r="M518" s="109">
        <f t="shared" si="26"/>
        <v>0</v>
      </c>
      <c r="N518" s="109">
        <f t="shared" si="26"/>
        <v>0</v>
      </c>
      <c r="O518" s="109">
        <f t="shared" si="26"/>
        <v>0</v>
      </c>
      <c r="P518" s="109">
        <f t="shared" si="26"/>
        <v>0</v>
      </c>
      <c r="Q518" s="109">
        <f t="shared" si="26"/>
        <v>0</v>
      </c>
      <c r="R518" s="28"/>
      <c r="S518" s="99"/>
      <c r="T518" s="99"/>
      <c r="U518" s="99"/>
      <c r="V518" s="99"/>
      <c r="W518" s="99"/>
      <c r="X518" s="99"/>
      <c r="Y518" s="99"/>
      <c r="Z518" s="99"/>
      <c r="AA518" s="99"/>
      <c r="AB518" s="226"/>
      <c r="AC518" s="226"/>
      <c r="AD518" s="226"/>
      <c r="AE518" s="226"/>
      <c r="AF518" s="226"/>
      <c r="AG518" s="226"/>
      <c r="AH518" s="226"/>
      <c r="AI518" s="226"/>
      <c r="AJ518" s="226"/>
      <c r="AK518" s="226"/>
      <c r="AL518" s="226"/>
      <c r="AM518" s="226"/>
      <c r="AN518" s="226"/>
      <c r="AO518" s="226"/>
      <c r="AP518" s="226"/>
      <c r="AQ518" s="226"/>
      <c r="AR518" s="226"/>
      <c r="AS518" s="226"/>
      <c r="AT518" s="226"/>
      <c r="AU518" s="226"/>
      <c r="AV518" s="226"/>
      <c r="AW518" s="226"/>
      <c r="AX518" s="226"/>
      <c r="AY518" s="226"/>
      <c r="AZ518" s="226"/>
      <c r="BA518" s="226"/>
      <c r="BB518" s="226"/>
      <c r="BC518" s="226"/>
      <c r="BD518" s="99"/>
      <c r="BE518" s="99"/>
      <c r="BF518" s="99"/>
      <c r="BG518" s="99"/>
      <c r="BH518" s="99"/>
      <c r="BI518" s="99"/>
      <c r="BJ518" s="99"/>
      <c r="BK518" s="11"/>
      <c r="BL518" s="11"/>
    </row>
    <row r="519" spans="1:64" ht="12.75" hidden="1" customHeight="1" outlineLevel="1">
      <c r="A519" s="9"/>
      <c r="B519" s="9"/>
      <c r="C519" s="44"/>
      <c r="D519" s="128" t="str">
        <f>Asset18</f>
        <v>IT systems</v>
      </c>
      <c r="E519" s="9"/>
      <c r="F519" s="9"/>
      <c r="G519" s="194">
        <f>'Adjustment for previous period'!G415</f>
        <v>-1.7153405741005863</v>
      </c>
      <c r="H519" s="109">
        <f t="shared" si="26"/>
        <v>-3.6333515684969582</v>
      </c>
      <c r="I519" s="109">
        <f t="shared" si="26"/>
        <v>-4.9309004353754595</v>
      </c>
      <c r="J519" s="109">
        <f t="shared" si="26"/>
        <v>-6.9443259399253874</v>
      </c>
      <c r="K519" s="109">
        <f t="shared" si="26"/>
        <v>-7.8892463391868084</v>
      </c>
      <c r="L519" s="109">
        <f t="shared" si="26"/>
        <v>-5.1036933529701907</v>
      </c>
      <c r="M519" s="109">
        <f t="shared" si="26"/>
        <v>0</v>
      </c>
      <c r="N519" s="109">
        <f t="shared" si="26"/>
        <v>0</v>
      </c>
      <c r="O519" s="109">
        <f t="shared" si="26"/>
        <v>0</v>
      </c>
      <c r="P519" s="109">
        <f t="shared" si="26"/>
        <v>0</v>
      </c>
      <c r="Q519" s="109">
        <f t="shared" si="26"/>
        <v>0</v>
      </c>
      <c r="R519" s="28"/>
      <c r="S519" s="99"/>
      <c r="T519" s="99"/>
      <c r="U519" s="99"/>
      <c r="V519" s="99"/>
      <c r="W519" s="99"/>
      <c r="X519" s="99"/>
      <c r="Y519" s="99"/>
      <c r="Z519" s="99"/>
      <c r="AA519" s="99"/>
      <c r="AB519" s="226"/>
      <c r="AC519" s="226"/>
      <c r="AD519" s="226"/>
      <c r="AE519" s="226"/>
      <c r="AF519" s="226"/>
      <c r="AG519" s="226"/>
      <c r="AH519" s="226"/>
      <c r="AI519" s="226"/>
      <c r="AJ519" s="226"/>
      <c r="AK519" s="226"/>
      <c r="AL519" s="226"/>
      <c r="AM519" s="226"/>
      <c r="AN519" s="226"/>
      <c r="AO519" s="226"/>
      <c r="AP519" s="226"/>
      <c r="AQ519" s="226"/>
      <c r="AR519" s="226"/>
      <c r="AS519" s="226"/>
      <c r="AT519" s="226"/>
      <c r="AU519" s="226"/>
      <c r="AV519" s="226"/>
      <c r="AW519" s="226"/>
      <c r="AX519" s="226"/>
      <c r="AY519" s="226"/>
      <c r="AZ519" s="226"/>
      <c r="BA519" s="226"/>
      <c r="BB519" s="226"/>
      <c r="BC519" s="226"/>
      <c r="BD519" s="99"/>
      <c r="BE519" s="99"/>
      <c r="BF519" s="99"/>
      <c r="BG519" s="99"/>
      <c r="BH519" s="99"/>
      <c r="BI519" s="99"/>
      <c r="BJ519" s="99"/>
      <c r="BK519" s="11"/>
      <c r="BL519" s="11"/>
    </row>
    <row r="520" spans="1:64" ht="12.75" hidden="1" customHeight="1" outlineLevel="1">
      <c r="A520" s="9"/>
      <c r="B520" s="9"/>
      <c r="C520" s="44"/>
      <c r="D520" s="128" t="str">
        <f>Asset19</f>
        <v>Furniture, fittings, plant and equipment</v>
      </c>
      <c r="E520" s="9"/>
      <c r="F520" s="9"/>
      <c r="G520" s="194">
        <f>'Adjustment for previous period'!G416</f>
        <v>-0.40428801570968126</v>
      </c>
      <c r="H520" s="109">
        <f t="shared" si="26"/>
        <v>-0.17627069523837091</v>
      </c>
      <c r="I520" s="109">
        <f t="shared" si="26"/>
        <v>-0.19987768903237563</v>
      </c>
      <c r="J520" s="109">
        <f t="shared" si="26"/>
        <v>-0.33813694236337244</v>
      </c>
      <c r="K520" s="109">
        <f t="shared" si="26"/>
        <v>-0.33822406384052417</v>
      </c>
      <c r="L520" s="109">
        <f t="shared" si="26"/>
        <v>-0.37982616052979556</v>
      </c>
      <c r="M520" s="109">
        <f t="shared" si="26"/>
        <v>0</v>
      </c>
      <c r="N520" s="109">
        <f t="shared" si="26"/>
        <v>0</v>
      </c>
      <c r="O520" s="109">
        <f t="shared" si="26"/>
        <v>0</v>
      </c>
      <c r="P520" s="109">
        <f t="shared" si="26"/>
        <v>0</v>
      </c>
      <c r="Q520" s="109">
        <f t="shared" si="26"/>
        <v>0</v>
      </c>
      <c r="R520" s="28"/>
      <c r="S520" s="99"/>
      <c r="T520" s="99"/>
      <c r="U520" s="99"/>
      <c r="V520" s="99"/>
      <c r="W520" s="99"/>
      <c r="X520" s="99"/>
      <c r="Y520" s="99"/>
      <c r="Z520" s="99"/>
      <c r="AA520" s="99"/>
      <c r="AB520" s="226"/>
      <c r="AC520" s="226"/>
      <c r="AD520" s="226"/>
      <c r="AE520" s="226"/>
      <c r="AF520" s="226"/>
      <c r="AG520" s="226"/>
      <c r="AH520" s="226"/>
      <c r="AI520" s="226"/>
      <c r="AJ520" s="226"/>
      <c r="AK520" s="226"/>
      <c r="AL520" s="226"/>
      <c r="AM520" s="226"/>
      <c r="AN520" s="226"/>
      <c r="AO520" s="226"/>
      <c r="AP520" s="226"/>
      <c r="AQ520" s="226"/>
      <c r="AR520" s="226"/>
      <c r="AS520" s="226"/>
      <c r="AT520" s="226"/>
      <c r="AU520" s="226"/>
      <c r="AV520" s="226"/>
      <c r="AW520" s="226"/>
      <c r="AX520" s="226"/>
      <c r="AY520" s="226"/>
      <c r="AZ520" s="226"/>
      <c r="BA520" s="226"/>
      <c r="BB520" s="226"/>
      <c r="BC520" s="226"/>
      <c r="BD520" s="99"/>
      <c r="BE520" s="99"/>
      <c r="BF520" s="99"/>
      <c r="BG520" s="99"/>
      <c r="BH520" s="99"/>
      <c r="BI520" s="99"/>
      <c r="BJ520" s="99"/>
      <c r="BK520" s="11"/>
      <c r="BL520" s="11"/>
    </row>
    <row r="521" spans="1:64" ht="12.75" hidden="1" customHeight="1" outlineLevel="1">
      <c r="A521" s="9"/>
      <c r="B521" s="9"/>
      <c r="C521" s="44"/>
      <c r="D521" s="128" t="str">
        <f>Asset20</f>
        <v>Motor vehicles</v>
      </c>
      <c r="E521" s="9"/>
      <c r="F521" s="9"/>
      <c r="G521" s="194">
        <f>'Adjustment for previous period'!G417</f>
        <v>-1.3193475131116728</v>
      </c>
      <c r="H521" s="109">
        <f t="shared" si="26"/>
        <v>-1.2011314448785113</v>
      </c>
      <c r="I521" s="109">
        <f t="shared" si="26"/>
        <v>-1.4584140414387385</v>
      </c>
      <c r="J521" s="109">
        <f t="shared" si="26"/>
        <v>-2.1144168104966949</v>
      </c>
      <c r="K521" s="109">
        <f t="shared" si="26"/>
        <v>-2.3504813361232162</v>
      </c>
      <c r="L521" s="109">
        <f t="shared" si="26"/>
        <v>-2.6134478883667951</v>
      </c>
      <c r="M521" s="109">
        <f t="shared" si="26"/>
        <v>0</v>
      </c>
      <c r="N521" s="109">
        <f t="shared" si="26"/>
        <v>0</v>
      </c>
      <c r="O521" s="109">
        <f t="shared" si="26"/>
        <v>0</v>
      </c>
      <c r="P521" s="109">
        <f t="shared" si="26"/>
        <v>0</v>
      </c>
      <c r="Q521" s="109">
        <f t="shared" si="26"/>
        <v>0</v>
      </c>
      <c r="R521" s="28"/>
      <c r="S521" s="99"/>
      <c r="T521" s="99"/>
      <c r="U521" s="99"/>
      <c r="V521" s="99"/>
      <c r="W521" s="99"/>
      <c r="X521" s="99"/>
      <c r="Y521" s="99"/>
      <c r="Z521" s="99"/>
      <c r="AA521" s="99"/>
      <c r="AB521" s="226"/>
      <c r="AC521" s="226"/>
      <c r="AD521" s="226"/>
      <c r="AE521" s="226"/>
      <c r="AF521" s="226"/>
      <c r="AG521" s="226"/>
      <c r="AH521" s="226"/>
      <c r="AI521" s="226"/>
      <c r="AJ521" s="226"/>
      <c r="AK521" s="226"/>
      <c r="AL521" s="226"/>
      <c r="AM521" s="226"/>
      <c r="AN521" s="226"/>
      <c r="AO521" s="226"/>
      <c r="AP521" s="226"/>
      <c r="AQ521" s="226"/>
      <c r="AR521" s="226"/>
      <c r="AS521" s="226"/>
      <c r="AT521" s="226"/>
      <c r="AU521" s="226"/>
      <c r="AV521" s="226"/>
      <c r="AW521" s="226"/>
      <c r="AX521" s="226"/>
      <c r="AY521" s="226"/>
      <c r="AZ521" s="226"/>
      <c r="BA521" s="226"/>
      <c r="BB521" s="226"/>
      <c r="BC521" s="226"/>
      <c r="BD521" s="99"/>
      <c r="BE521" s="99"/>
      <c r="BF521" s="99"/>
      <c r="BG521" s="99"/>
      <c r="BH521" s="99"/>
      <c r="BI521" s="99"/>
      <c r="BJ521" s="99"/>
      <c r="BK521" s="11"/>
      <c r="BL521" s="11"/>
    </row>
    <row r="522" spans="1:64" ht="10.5" hidden="1" customHeight="1" outlineLevel="1">
      <c r="A522" s="9"/>
      <c r="B522" s="9"/>
      <c r="C522" s="44"/>
      <c r="D522" s="128" t="str">
        <f>Asset21</f>
        <v>Buildings</v>
      </c>
      <c r="E522" s="9"/>
      <c r="F522" s="9"/>
      <c r="G522" s="194">
        <f>'Adjustment for previous period'!G418</f>
        <v>-1.801086194221913</v>
      </c>
      <c r="H522" s="109">
        <f t="shared" si="26"/>
        <v>-3.7481417490820013E-2</v>
      </c>
      <c r="I522" s="109">
        <f t="shared" si="26"/>
        <v>6.7150533679932067E-2</v>
      </c>
      <c r="J522" s="109">
        <f t="shared" si="26"/>
        <v>-0.49274100168052781</v>
      </c>
      <c r="K522" s="109">
        <f t="shared" si="26"/>
        <v>-0.24746336182332707</v>
      </c>
      <c r="L522" s="109">
        <f t="shared" si="26"/>
        <v>-0.29223083831587726</v>
      </c>
      <c r="M522" s="109">
        <f t="shared" si="26"/>
        <v>0</v>
      </c>
      <c r="N522" s="109">
        <f t="shared" si="26"/>
        <v>0</v>
      </c>
      <c r="O522" s="109">
        <f t="shared" si="26"/>
        <v>0</v>
      </c>
      <c r="P522" s="109">
        <f t="shared" si="26"/>
        <v>0</v>
      </c>
      <c r="Q522" s="109">
        <f t="shared" si="26"/>
        <v>0</v>
      </c>
      <c r="R522" s="28"/>
      <c r="S522" s="99"/>
      <c r="T522" s="99"/>
      <c r="U522" s="99"/>
      <c r="V522" s="99"/>
      <c r="W522" s="99"/>
      <c r="X522" s="99"/>
      <c r="Y522" s="99"/>
      <c r="Z522" s="99"/>
      <c r="AA522" s="99"/>
      <c r="AB522" s="226"/>
      <c r="AC522" s="226"/>
      <c r="AD522" s="226"/>
      <c r="AE522" s="226"/>
      <c r="AF522" s="226"/>
      <c r="AG522" s="226"/>
      <c r="AH522" s="226"/>
      <c r="AI522" s="226"/>
      <c r="AJ522" s="226"/>
      <c r="AK522" s="226"/>
      <c r="AL522" s="226"/>
      <c r="AM522" s="226"/>
      <c r="AN522" s="226"/>
      <c r="AO522" s="226"/>
      <c r="AP522" s="226"/>
      <c r="AQ522" s="226"/>
      <c r="AR522" s="226"/>
      <c r="AS522" s="226"/>
      <c r="AT522" s="226"/>
      <c r="AU522" s="226"/>
      <c r="AV522" s="226"/>
      <c r="AW522" s="226"/>
      <c r="AX522" s="226"/>
      <c r="AY522" s="226"/>
      <c r="AZ522" s="226"/>
      <c r="BA522" s="226"/>
      <c r="BB522" s="226"/>
      <c r="BC522" s="226"/>
      <c r="BD522" s="99"/>
      <c r="BE522" s="99"/>
      <c r="BF522" s="99"/>
      <c r="BG522" s="99"/>
      <c r="BH522" s="99"/>
      <c r="BI522" s="99"/>
      <c r="BJ522" s="99"/>
      <c r="BK522" s="11"/>
      <c r="BL522" s="11"/>
    </row>
    <row r="523" spans="1:64" ht="4.5" hidden="1" customHeight="1" outlineLevel="1">
      <c r="A523" s="9"/>
      <c r="B523" s="9"/>
      <c r="C523" s="44"/>
      <c r="D523" s="128" t="str">
        <f>Asset22</f>
        <v>Land (non-system)</v>
      </c>
      <c r="E523" s="9"/>
      <c r="F523" s="9"/>
      <c r="G523" s="194">
        <f>'Adjustment for previous period'!G419</f>
        <v>-0.6813792564760206</v>
      </c>
      <c r="H523" s="109">
        <f t="shared" si="26"/>
        <v>0.19140913231407289</v>
      </c>
      <c r="I523" s="109">
        <f t="shared" si="26"/>
        <v>0.31924534128614823</v>
      </c>
      <c r="J523" s="109">
        <f t="shared" si="26"/>
        <v>0.17602806306607494</v>
      </c>
      <c r="K523" s="109">
        <f t="shared" si="26"/>
        <v>0.30443097142804337</v>
      </c>
      <c r="L523" s="109">
        <f t="shared" si="26"/>
        <v>0.31166145103741227</v>
      </c>
      <c r="M523" s="109">
        <f t="shared" si="26"/>
        <v>0</v>
      </c>
      <c r="N523" s="109">
        <f t="shared" si="26"/>
        <v>0</v>
      </c>
      <c r="O523" s="109">
        <f t="shared" si="26"/>
        <v>0</v>
      </c>
      <c r="P523" s="109">
        <f t="shared" si="26"/>
        <v>0</v>
      </c>
      <c r="Q523" s="109">
        <f t="shared" si="26"/>
        <v>0</v>
      </c>
      <c r="R523" s="28"/>
      <c r="S523" s="99"/>
      <c r="T523" s="99"/>
      <c r="U523" s="99"/>
      <c r="V523" s="99"/>
      <c r="W523" s="99"/>
      <c r="X523" s="99"/>
      <c r="Y523" s="99"/>
      <c r="Z523" s="99"/>
      <c r="AA523" s="99"/>
      <c r="AB523" s="226"/>
      <c r="AC523" s="226"/>
      <c r="AD523" s="226"/>
      <c r="AE523" s="226"/>
      <c r="AF523" s="226"/>
      <c r="AG523" s="226"/>
      <c r="AH523" s="226"/>
      <c r="AI523" s="226"/>
      <c r="AJ523" s="226"/>
      <c r="AK523" s="226"/>
      <c r="AL523" s="226"/>
      <c r="AM523" s="226"/>
      <c r="AN523" s="226"/>
      <c r="AO523" s="226"/>
      <c r="AP523" s="226"/>
      <c r="AQ523" s="226"/>
      <c r="AR523" s="226"/>
      <c r="AS523" s="226"/>
      <c r="AT523" s="226"/>
      <c r="AU523" s="226"/>
      <c r="AV523" s="226"/>
      <c r="AW523" s="226"/>
      <c r="AX523" s="226"/>
      <c r="AY523" s="226"/>
      <c r="AZ523" s="226"/>
      <c r="BA523" s="226"/>
      <c r="BB523" s="226"/>
      <c r="BC523" s="226"/>
      <c r="BD523" s="99"/>
      <c r="BE523" s="99"/>
      <c r="BF523" s="99"/>
      <c r="BG523" s="99"/>
      <c r="BH523" s="99"/>
      <c r="BI523" s="99"/>
      <c r="BJ523" s="99"/>
      <c r="BK523" s="11"/>
      <c r="BL523" s="11"/>
    </row>
    <row r="524" spans="1:64" ht="4.5" hidden="1" customHeight="1" outlineLevel="1">
      <c r="A524" s="9"/>
      <c r="B524" s="9"/>
      <c r="C524" s="44"/>
      <c r="D524" s="128" t="str">
        <f>Asset23</f>
        <v>Other non system assets</v>
      </c>
      <c r="E524" s="9"/>
      <c r="F524" s="9"/>
      <c r="G524" s="194">
        <f>'Adjustment for previous period'!G420</f>
        <v>-1.5567965512453807</v>
      </c>
      <c r="H524" s="109">
        <f t="shared" si="26"/>
        <v>-0.85333703040011721</v>
      </c>
      <c r="I524" s="109">
        <f t="shared" si="26"/>
        <v>-0.85163593395120263</v>
      </c>
      <c r="J524" s="109">
        <f t="shared" si="26"/>
        <v>-1.1536165206726814</v>
      </c>
      <c r="K524" s="109">
        <f t="shared" si="26"/>
        <v>-1.0887547554088812</v>
      </c>
      <c r="L524" s="109">
        <f t="shared" si="26"/>
        <v>-1.1511599641476458</v>
      </c>
      <c r="M524" s="109">
        <f t="shared" si="26"/>
        <v>0</v>
      </c>
      <c r="N524" s="109">
        <f t="shared" si="26"/>
        <v>0</v>
      </c>
      <c r="O524" s="109">
        <f t="shared" si="26"/>
        <v>0</v>
      </c>
      <c r="P524" s="109">
        <f t="shared" si="26"/>
        <v>0</v>
      </c>
      <c r="Q524" s="109">
        <f t="shared" si="26"/>
        <v>0</v>
      </c>
      <c r="R524" s="28"/>
      <c r="S524" s="99"/>
      <c r="T524" s="99"/>
      <c r="U524" s="99"/>
      <c r="V524" s="99"/>
      <c r="W524" s="99"/>
      <c r="X524" s="99"/>
      <c r="Y524" s="99"/>
      <c r="Z524" s="99"/>
      <c r="AA524" s="99"/>
      <c r="AB524" s="226"/>
      <c r="AC524" s="226"/>
      <c r="AD524" s="226"/>
      <c r="AE524" s="226"/>
      <c r="AF524" s="226"/>
      <c r="AG524" s="226"/>
      <c r="AH524" s="226"/>
      <c r="AI524" s="226"/>
      <c r="AJ524" s="226"/>
      <c r="AK524" s="226"/>
      <c r="AL524" s="226"/>
      <c r="AM524" s="226"/>
      <c r="AN524" s="226"/>
      <c r="AO524" s="226"/>
      <c r="AP524" s="226"/>
      <c r="AQ524" s="226"/>
      <c r="AR524" s="226"/>
      <c r="AS524" s="226"/>
      <c r="AT524" s="226"/>
      <c r="AU524" s="226"/>
      <c r="AV524" s="226"/>
      <c r="AW524" s="226"/>
      <c r="AX524" s="226"/>
      <c r="AY524" s="226"/>
      <c r="AZ524" s="226"/>
      <c r="BA524" s="226"/>
      <c r="BB524" s="226"/>
      <c r="BC524" s="226"/>
      <c r="BD524" s="99"/>
      <c r="BE524" s="99"/>
      <c r="BF524" s="99"/>
      <c r="BG524" s="99"/>
      <c r="BH524" s="99"/>
      <c r="BI524" s="99"/>
      <c r="BJ524" s="99"/>
      <c r="BK524" s="11"/>
      <c r="BL524" s="11"/>
    </row>
    <row r="525" spans="1:64" ht="4.5" hidden="1" customHeight="1" outlineLevel="1">
      <c r="A525" s="9"/>
      <c r="B525" s="9"/>
      <c r="C525" s="44"/>
      <c r="D525" s="128" t="str">
        <f>Asset24</f>
        <v>Equity raising costs</v>
      </c>
      <c r="E525" s="9"/>
      <c r="F525" s="9"/>
      <c r="G525" s="194">
        <f>'Adjustment for previous period'!G421</f>
        <v>0</v>
      </c>
      <c r="H525" s="109">
        <f t="shared" si="26"/>
        <v>0</v>
      </c>
      <c r="I525" s="109">
        <f t="shared" si="26"/>
        <v>7.1488556192779967E-2</v>
      </c>
      <c r="J525" s="109">
        <f t="shared" si="26"/>
        <v>-4.4796243926034374E-2</v>
      </c>
      <c r="K525" s="109">
        <f t="shared" si="26"/>
        <v>9.9150675379807984E-3</v>
      </c>
      <c r="L525" s="109">
        <f t="shared" si="26"/>
        <v>6.2639493609260577E-3</v>
      </c>
      <c r="M525" s="109">
        <f t="shared" si="26"/>
        <v>0</v>
      </c>
      <c r="N525" s="109">
        <f t="shared" si="26"/>
        <v>0</v>
      </c>
      <c r="O525" s="109">
        <f t="shared" si="26"/>
        <v>0</v>
      </c>
      <c r="P525" s="109">
        <f t="shared" si="26"/>
        <v>0</v>
      </c>
      <c r="Q525" s="109">
        <f t="shared" si="26"/>
        <v>0</v>
      </c>
      <c r="R525" s="28"/>
      <c r="S525" s="99"/>
      <c r="T525" s="99"/>
      <c r="U525" s="99"/>
      <c r="V525" s="99"/>
      <c r="W525" s="99"/>
      <c r="X525" s="99"/>
      <c r="Y525" s="99"/>
      <c r="Z525" s="99"/>
      <c r="AA525" s="99"/>
      <c r="AB525" s="226"/>
      <c r="AC525" s="226"/>
      <c r="AD525" s="226"/>
      <c r="AE525" s="226"/>
      <c r="AF525" s="226"/>
      <c r="AG525" s="226"/>
      <c r="AH525" s="226"/>
      <c r="AI525" s="226"/>
      <c r="AJ525" s="226"/>
      <c r="AK525" s="226"/>
      <c r="AL525" s="226"/>
      <c r="AM525" s="226"/>
      <c r="AN525" s="226"/>
      <c r="AO525" s="226"/>
      <c r="AP525" s="226"/>
      <c r="AQ525" s="226"/>
      <c r="AR525" s="226"/>
      <c r="AS525" s="226"/>
      <c r="AT525" s="226"/>
      <c r="AU525" s="226"/>
      <c r="AV525" s="226"/>
      <c r="AW525" s="226"/>
      <c r="AX525" s="226"/>
      <c r="AY525" s="226"/>
      <c r="AZ525" s="226"/>
      <c r="BA525" s="226"/>
      <c r="BB525" s="226"/>
      <c r="BC525" s="226"/>
      <c r="BD525" s="99"/>
      <c r="BE525" s="99"/>
      <c r="BF525" s="99"/>
      <c r="BG525" s="99"/>
      <c r="BH525" s="99"/>
      <c r="BI525" s="99"/>
      <c r="BJ525" s="99"/>
      <c r="BK525" s="11"/>
      <c r="BL525" s="11"/>
    </row>
    <row r="526" spans="1:64" ht="4.5" hidden="1" customHeight="1" outlineLevel="1">
      <c r="A526" s="9"/>
      <c r="B526" s="9"/>
      <c r="C526" s="44"/>
      <c r="D526" s="128">
        <f>Asset25</f>
        <v>0</v>
      </c>
      <c r="E526" s="9"/>
      <c r="F526" s="9"/>
      <c r="G526" s="194">
        <f>'Adjustment for previous period'!G422</f>
        <v>0</v>
      </c>
      <c r="H526" s="109">
        <f t="shared" si="26"/>
        <v>0</v>
      </c>
      <c r="I526" s="109">
        <f t="shared" si="26"/>
        <v>0</v>
      </c>
      <c r="J526" s="109">
        <f t="shared" si="26"/>
        <v>0</v>
      </c>
      <c r="K526" s="109">
        <f t="shared" si="26"/>
        <v>0</v>
      </c>
      <c r="L526" s="109">
        <f t="shared" si="26"/>
        <v>0</v>
      </c>
      <c r="M526" s="109">
        <f t="shared" si="26"/>
        <v>0</v>
      </c>
      <c r="N526" s="109">
        <f t="shared" si="26"/>
        <v>0</v>
      </c>
      <c r="O526" s="109">
        <f t="shared" si="26"/>
        <v>0</v>
      </c>
      <c r="P526" s="109">
        <f t="shared" si="26"/>
        <v>0</v>
      </c>
      <c r="Q526" s="109">
        <f t="shared" si="26"/>
        <v>0</v>
      </c>
      <c r="R526" s="28"/>
      <c r="S526" s="99"/>
      <c r="T526" s="99"/>
      <c r="U526" s="99"/>
      <c r="V526" s="99"/>
      <c r="W526" s="99"/>
      <c r="X526" s="99"/>
      <c r="Y526" s="99"/>
      <c r="Z526" s="99"/>
      <c r="AA526" s="99"/>
      <c r="AB526" s="226"/>
      <c r="AC526" s="226"/>
      <c r="AD526" s="226"/>
      <c r="AE526" s="226"/>
      <c r="AF526" s="226"/>
      <c r="AG526" s="226"/>
      <c r="AH526" s="226"/>
      <c r="AI526" s="226"/>
      <c r="AJ526" s="226"/>
      <c r="AK526" s="226"/>
      <c r="AL526" s="226"/>
      <c r="AM526" s="226"/>
      <c r="AN526" s="226"/>
      <c r="AO526" s="226"/>
      <c r="AP526" s="226"/>
      <c r="AQ526" s="226"/>
      <c r="AR526" s="226"/>
      <c r="AS526" s="226"/>
      <c r="AT526" s="226"/>
      <c r="AU526" s="226"/>
      <c r="AV526" s="226"/>
      <c r="AW526" s="226"/>
      <c r="AX526" s="226"/>
      <c r="AY526" s="226"/>
      <c r="AZ526" s="226"/>
      <c r="BA526" s="226"/>
      <c r="BB526" s="226"/>
      <c r="BC526" s="226"/>
      <c r="BD526" s="99"/>
      <c r="BE526" s="99"/>
      <c r="BF526" s="99"/>
      <c r="BG526" s="99"/>
      <c r="BH526" s="99"/>
      <c r="BI526" s="99"/>
      <c r="BJ526" s="99"/>
      <c r="BK526" s="11"/>
      <c r="BL526" s="11"/>
    </row>
    <row r="527" spans="1:64" ht="4.5" hidden="1" customHeight="1" outlineLevel="1">
      <c r="A527" s="9"/>
      <c r="B527" s="9"/>
      <c r="C527" s="44"/>
      <c r="D527" s="128">
        <f>Asset26</f>
        <v>0</v>
      </c>
      <c r="E527" s="9"/>
      <c r="F527" s="9"/>
      <c r="G527" s="194">
        <f>'Adjustment for previous period'!G423</f>
        <v>0</v>
      </c>
      <c r="H527" s="109">
        <f t="shared" si="26"/>
        <v>0</v>
      </c>
      <c r="I527" s="109">
        <f t="shared" si="26"/>
        <v>0</v>
      </c>
      <c r="J527" s="109">
        <f t="shared" si="26"/>
        <v>0</v>
      </c>
      <c r="K527" s="109">
        <f t="shared" si="26"/>
        <v>0</v>
      </c>
      <c r="L527" s="109">
        <f t="shared" si="26"/>
        <v>0</v>
      </c>
      <c r="M527" s="109">
        <f t="shared" si="26"/>
        <v>0</v>
      </c>
      <c r="N527" s="109">
        <f t="shared" si="26"/>
        <v>0</v>
      </c>
      <c r="O527" s="109">
        <f t="shared" si="26"/>
        <v>0</v>
      </c>
      <c r="P527" s="109">
        <f t="shared" si="26"/>
        <v>0</v>
      </c>
      <c r="Q527" s="109">
        <f t="shared" si="26"/>
        <v>0</v>
      </c>
      <c r="R527" s="28"/>
      <c r="S527" s="99"/>
      <c r="T527" s="99"/>
      <c r="U527" s="99"/>
      <c r="V527" s="99"/>
      <c r="W527" s="99"/>
      <c r="X527" s="99"/>
      <c r="Y527" s="99"/>
      <c r="Z527" s="99"/>
      <c r="AA527" s="99"/>
      <c r="AB527" s="226"/>
      <c r="AC527" s="226"/>
      <c r="AD527" s="226"/>
      <c r="AE527" s="226"/>
      <c r="AF527" s="226"/>
      <c r="AG527" s="226"/>
      <c r="AH527" s="226"/>
      <c r="AI527" s="226"/>
      <c r="AJ527" s="226"/>
      <c r="AK527" s="226"/>
      <c r="AL527" s="226"/>
      <c r="AM527" s="226"/>
      <c r="AN527" s="226"/>
      <c r="AO527" s="226"/>
      <c r="AP527" s="226"/>
      <c r="AQ527" s="226"/>
      <c r="AR527" s="226"/>
      <c r="AS527" s="226"/>
      <c r="AT527" s="226"/>
      <c r="AU527" s="226"/>
      <c r="AV527" s="226"/>
      <c r="AW527" s="226"/>
      <c r="AX527" s="226"/>
      <c r="AY527" s="226"/>
      <c r="AZ527" s="226"/>
      <c r="BA527" s="226"/>
      <c r="BB527" s="226"/>
      <c r="BC527" s="226"/>
      <c r="BD527" s="99"/>
      <c r="BE527" s="99"/>
      <c r="BF527" s="99"/>
      <c r="BG527" s="99"/>
      <c r="BH527" s="99"/>
      <c r="BI527" s="99"/>
      <c r="BJ527" s="99"/>
      <c r="BK527" s="11"/>
      <c r="BL527" s="11"/>
    </row>
    <row r="528" spans="1:64" ht="4.5" hidden="1" customHeight="1" outlineLevel="1">
      <c r="A528" s="9"/>
      <c r="B528" s="9"/>
      <c r="C528" s="44"/>
      <c r="D528" s="128">
        <f>Asset27</f>
        <v>0</v>
      </c>
      <c r="E528" s="9"/>
      <c r="F528" s="9"/>
      <c r="G528" s="194">
        <f>'Adjustment for previous period'!G424</f>
        <v>0</v>
      </c>
      <c r="H528" s="109">
        <f t="shared" si="26"/>
        <v>0</v>
      </c>
      <c r="I528" s="109">
        <f t="shared" si="26"/>
        <v>0</v>
      </c>
      <c r="J528" s="109">
        <f t="shared" ref="I528:Q531" si="27">J658+J692</f>
        <v>0</v>
      </c>
      <c r="K528" s="109">
        <f t="shared" si="27"/>
        <v>0</v>
      </c>
      <c r="L528" s="109">
        <f t="shared" si="27"/>
        <v>0</v>
      </c>
      <c r="M528" s="109">
        <f t="shared" si="27"/>
        <v>0</v>
      </c>
      <c r="N528" s="109">
        <f t="shared" si="27"/>
        <v>0</v>
      </c>
      <c r="O528" s="109">
        <f t="shared" si="27"/>
        <v>0</v>
      </c>
      <c r="P528" s="109">
        <f t="shared" si="27"/>
        <v>0</v>
      </c>
      <c r="Q528" s="109">
        <f t="shared" si="27"/>
        <v>0</v>
      </c>
      <c r="R528" s="28"/>
      <c r="S528" s="99"/>
      <c r="T528" s="99"/>
      <c r="U528" s="99"/>
      <c r="V528" s="99"/>
      <c r="W528" s="99"/>
      <c r="X528" s="99"/>
      <c r="Y528" s="99"/>
      <c r="Z528" s="99"/>
      <c r="AA528" s="99"/>
      <c r="AB528" s="226"/>
      <c r="AC528" s="226"/>
      <c r="AD528" s="226"/>
      <c r="AE528" s="226"/>
      <c r="AF528" s="226"/>
      <c r="AG528" s="226"/>
      <c r="AH528" s="226"/>
      <c r="AI528" s="226"/>
      <c r="AJ528" s="226"/>
      <c r="AK528" s="226"/>
      <c r="AL528" s="226"/>
      <c r="AM528" s="226"/>
      <c r="AN528" s="226"/>
      <c r="AO528" s="226"/>
      <c r="AP528" s="226"/>
      <c r="AQ528" s="226"/>
      <c r="AR528" s="226"/>
      <c r="AS528" s="226"/>
      <c r="AT528" s="226"/>
      <c r="AU528" s="226"/>
      <c r="AV528" s="226"/>
      <c r="AW528" s="226"/>
      <c r="AX528" s="226"/>
      <c r="AY528" s="226"/>
      <c r="AZ528" s="226"/>
      <c r="BA528" s="226"/>
      <c r="BB528" s="226"/>
      <c r="BC528" s="226"/>
      <c r="BD528" s="99"/>
      <c r="BE528" s="99"/>
      <c r="BF528" s="99"/>
      <c r="BG528" s="99"/>
      <c r="BH528" s="99"/>
      <c r="BI528" s="99"/>
      <c r="BJ528" s="99"/>
      <c r="BK528" s="11"/>
      <c r="BL528" s="11"/>
    </row>
    <row r="529" spans="1:64" ht="4.5" hidden="1" customHeight="1" outlineLevel="1">
      <c r="A529" s="9"/>
      <c r="B529" s="9"/>
      <c r="C529" s="44"/>
      <c r="D529" s="128">
        <f>Asset28</f>
        <v>0</v>
      </c>
      <c r="E529" s="9"/>
      <c r="F529" s="9"/>
      <c r="G529" s="194">
        <f>'Adjustment for previous period'!G425</f>
        <v>0</v>
      </c>
      <c r="H529" s="109">
        <f t="shared" si="26"/>
        <v>0</v>
      </c>
      <c r="I529" s="109">
        <f t="shared" si="27"/>
        <v>0</v>
      </c>
      <c r="J529" s="109">
        <f t="shared" si="27"/>
        <v>0</v>
      </c>
      <c r="K529" s="109">
        <f t="shared" si="27"/>
        <v>0</v>
      </c>
      <c r="L529" s="109">
        <f t="shared" si="27"/>
        <v>0</v>
      </c>
      <c r="M529" s="109">
        <f t="shared" si="27"/>
        <v>0</v>
      </c>
      <c r="N529" s="109">
        <f t="shared" si="27"/>
        <v>0</v>
      </c>
      <c r="O529" s="109">
        <f t="shared" si="27"/>
        <v>0</v>
      </c>
      <c r="P529" s="109">
        <f t="shared" si="27"/>
        <v>0</v>
      </c>
      <c r="Q529" s="109">
        <f t="shared" si="27"/>
        <v>0</v>
      </c>
      <c r="R529" s="28"/>
      <c r="S529" s="99"/>
      <c r="T529" s="99"/>
      <c r="U529" s="99"/>
      <c r="V529" s="99"/>
      <c r="W529" s="99"/>
      <c r="X529" s="99"/>
      <c r="Y529" s="99"/>
      <c r="Z529" s="99"/>
      <c r="AA529" s="99"/>
      <c r="AB529" s="226"/>
      <c r="AC529" s="226"/>
      <c r="AD529" s="226"/>
      <c r="AE529" s="226"/>
      <c r="AF529" s="226"/>
      <c r="AG529" s="226"/>
      <c r="AH529" s="226"/>
      <c r="AI529" s="226"/>
      <c r="AJ529" s="226"/>
      <c r="AK529" s="226"/>
      <c r="AL529" s="226"/>
      <c r="AM529" s="226"/>
      <c r="AN529" s="226"/>
      <c r="AO529" s="226"/>
      <c r="AP529" s="226"/>
      <c r="AQ529" s="226"/>
      <c r="AR529" s="226"/>
      <c r="AS529" s="226"/>
      <c r="AT529" s="226"/>
      <c r="AU529" s="226"/>
      <c r="AV529" s="226"/>
      <c r="AW529" s="226"/>
      <c r="AX529" s="226"/>
      <c r="AY529" s="226"/>
      <c r="AZ529" s="226"/>
      <c r="BA529" s="226"/>
      <c r="BB529" s="226"/>
      <c r="BC529" s="226"/>
      <c r="BD529" s="99"/>
      <c r="BE529" s="99"/>
      <c r="BF529" s="99"/>
      <c r="BG529" s="99"/>
      <c r="BH529" s="99"/>
      <c r="BI529" s="99"/>
      <c r="BJ529" s="99"/>
      <c r="BK529" s="11"/>
      <c r="BL529" s="11"/>
    </row>
    <row r="530" spans="1:64" ht="4.5" hidden="1" customHeight="1" outlineLevel="1">
      <c r="A530" s="9"/>
      <c r="B530" s="9"/>
      <c r="C530" s="44"/>
      <c r="D530" s="128">
        <f>Asset29</f>
        <v>0</v>
      </c>
      <c r="E530" s="9"/>
      <c r="F530" s="9"/>
      <c r="G530" s="194">
        <f>'Adjustment for previous period'!G426</f>
        <v>0</v>
      </c>
      <c r="H530" s="109">
        <f t="shared" si="26"/>
        <v>0</v>
      </c>
      <c r="I530" s="109">
        <f t="shared" si="27"/>
        <v>0</v>
      </c>
      <c r="J530" s="109">
        <f t="shared" si="27"/>
        <v>0</v>
      </c>
      <c r="K530" s="109">
        <f t="shared" si="27"/>
        <v>0</v>
      </c>
      <c r="L530" s="109">
        <f t="shared" si="27"/>
        <v>0</v>
      </c>
      <c r="M530" s="109">
        <f t="shared" si="27"/>
        <v>0</v>
      </c>
      <c r="N530" s="109">
        <f t="shared" si="27"/>
        <v>0</v>
      </c>
      <c r="O530" s="109">
        <f t="shared" si="27"/>
        <v>0</v>
      </c>
      <c r="P530" s="109">
        <f t="shared" si="27"/>
        <v>0</v>
      </c>
      <c r="Q530" s="109">
        <f t="shared" si="27"/>
        <v>0</v>
      </c>
      <c r="R530" s="28"/>
      <c r="S530" s="99"/>
      <c r="T530" s="99"/>
      <c r="U530" s="99"/>
      <c r="V530" s="99"/>
      <c r="W530" s="99"/>
      <c r="X530" s="99"/>
      <c r="Y530" s="99"/>
      <c r="Z530" s="99"/>
      <c r="AA530" s="99"/>
      <c r="AB530" s="226"/>
      <c r="AC530" s="226"/>
      <c r="AD530" s="226"/>
      <c r="AE530" s="226"/>
      <c r="AF530" s="226"/>
      <c r="AG530" s="226"/>
      <c r="AH530" s="226"/>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99"/>
      <c r="BE530" s="99"/>
      <c r="BF530" s="99"/>
      <c r="BG530" s="99"/>
      <c r="BH530" s="99"/>
      <c r="BI530" s="99"/>
      <c r="BJ530" s="99"/>
      <c r="BK530" s="11"/>
      <c r="BL530" s="11"/>
    </row>
    <row r="531" spans="1:64" ht="4.5" hidden="1" customHeight="1" outlineLevel="1">
      <c r="A531" s="9"/>
      <c r="B531" s="9"/>
      <c r="C531" s="44"/>
      <c r="D531" s="128">
        <f>Asset30</f>
        <v>0</v>
      </c>
      <c r="E531" s="9"/>
      <c r="F531" s="9"/>
      <c r="G531" s="194">
        <f>'Adjustment for previous period'!G427</f>
        <v>0</v>
      </c>
      <c r="H531" s="109">
        <f t="shared" si="26"/>
        <v>0</v>
      </c>
      <c r="I531" s="109">
        <f t="shared" si="27"/>
        <v>0</v>
      </c>
      <c r="J531" s="109">
        <f t="shared" si="27"/>
        <v>0</v>
      </c>
      <c r="K531" s="109">
        <f t="shared" si="27"/>
        <v>0</v>
      </c>
      <c r="L531" s="109">
        <f t="shared" si="27"/>
        <v>0</v>
      </c>
      <c r="M531" s="109">
        <f t="shared" si="27"/>
        <v>0</v>
      </c>
      <c r="N531" s="109">
        <f t="shared" si="27"/>
        <v>0</v>
      </c>
      <c r="O531" s="109">
        <f t="shared" si="27"/>
        <v>0</v>
      </c>
      <c r="P531" s="109">
        <f t="shared" si="27"/>
        <v>0</v>
      </c>
      <c r="Q531" s="109">
        <f t="shared" si="27"/>
        <v>0</v>
      </c>
      <c r="R531" s="28"/>
      <c r="S531" s="99"/>
      <c r="T531" s="99"/>
      <c r="U531" s="99"/>
      <c r="V531" s="99"/>
      <c r="W531" s="99"/>
      <c r="X531" s="99"/>
      <c r="Y531" s="99"/>
      <c r="Z531" s="99"/>
      <c r="AA531" s="99"/>
      <c r="AB531" s="226"/>
      <c r="AC531" s="226"/>
      <c r="AD531" s="226"/>
      <c r="AE531" s="226"/>
      <c r="AF531" s="226"/>
      <c r="AG531" s="226"/>
      <c r="AH531" s="226"/>
      <c r="AI531" s="226"/>
      <c r="AJ531" s="226"/>
      <c r="AK531" s="226"/>
      <c r="AL531" s="226"/>
      <c r="AM531" s="226"/>
      <c r="AN531" s="226"/>
      <c r="AO531" s="226"/>
      <c r="AP531" s="226"/>
      <c r="AQ531" s="226"/>
      <c r="AR531" s="226"/>
      <c r="AS531" s="226"/>
      <c r="AT531" s="226"/>
      <c r="AU531" s="226"/>
      <c r="AV531" s="226"/>
      <c r="AW531" s="226"/>
      <c r="AX531" s="226"/>
      <c r="AY531" s="226"/>
      <c r="AZ531" s="226"/>
      <c r="BA531" s="226"/>
      <c r="BB531" s="226"/>
      <c r="BC531" s="226"/>
      <c r="BD531" s="99"/>
      <c r="BE531" s="99"/>
      <c r="BF531" s="99"/>
      <c r="BG531" s="99"/>
      <c r="BH531" s="99"/>
      <c r="BI531" s="99"/>
      <c r="BJ531" s="99"/>
      <c r="BK531" s="11"/>
      <c r="BL531" s="11"/>
    </row>
    <row r="532" spans="1:64" collapsed="1">
      <c r="A532" s="9"/>
      <c r="B532" s="9"/>
      <c r="C532" s="44"/>
      <c r="D532" s="128"/>
      <c r="E532" s="9"/>
      <c r="F532" s="9"/>
      <c r="G532" s="199"/>
      <c r="H532" s="109"/>
      <c r="I532" s="109"/>
      <c r="J532" s="109"/>
      <c r="K532" s="109"/>
      <c r="L532" s="109"/>
      <c r="M532" s="109"/>
      <c r="N532" s="28"/>
      <c r="O532" s="28"/>
      <c r="P532" s="28"/>
      <c r="Q532" s="28"/>
      <c r="R532" s="28"/>
      <c r="S532" s="99"/>
      <c r="T532" s="99"/>
      <c r="U532" s="99"/>
      <c r="V532" s="99"/>
      <c r="W532" s="99"/>
      <c r="X532" s="99"/>
      <c r="Y532" s="99"/>
      <c r="Z532" s="99"/>
      <c r="AA532" s="99"/>
      <c r="AB532" s="226"/>
      <c r="AC532" s="226"/>
      <c r="AD532" s="226"/>
      <c r="AE532" s="226"/>
      <c r="AF532" s="226"/>
      <c r="AG532" s="226"/>
      <c r="AH532" s="226"/>
      <c r="AI532" s="226"/>
      <c r="AJ532" s="226"/>
      <c r="AK532" s="226"/>
      <c r="AL532" s="226"/>
      <c r="AM532" s="226"/>
      <c r="AN532" s="226"/>
      <c r="AO532" s="226"/>
      <c r="AP532" s="226"/>
      <c r="AQ532" s="226"/>
      <c r="AR532" s="226"/>
      <c r="AS532" s="226"/>
      <c r="AT532" s="226"/>
      <c r="AU532" s="226"/>
      <c r="AV532" s="226"/>
      <c r="AW532" s="226"/>
      <c r="AX532" s="226"/>
      <c r="AY532" s="226"/>
      <c r="AZ532" s="226"/>
      <c r="BA532" s="226"/>
      <c r="BB532" s="226"/>
      <c r="BC532" s="226"/>
      <c r="BD532" s="99"/>
      <c r="BE532" s="99"/>
      <c r="BF532" s="99"/>
      <c r="BG532" s="99"/>
      <c r="BH532" s="99"/>
      <c r="BI532" s="99"/>
      <c r="BJ532" s="99"/>
      <c r="BK532" s="11"/>
      <c r="BL532" s="11"/>
    </row>
    <row r="533" spans="1:64">
      <c r="A533" s="9"/>
      <c r="B533" s="9"/>
      <c r="C533" s="44" t="s">
        <v>53</v>
      </c>
      <c r="D533" s="112"/>
      <c r="E533" s="9"/>
      <c r="F533" s="9"/>
      <c r="G533" s="198">
        <f>SUM(G534:G563)</f>
        <v>0</v>
      </c>
      <c r="H533" s="36"/>
      <c r="I533" s="36"/>
      <c r="J533" s="36"/>
      <c r="K533" s="36"/>
      <c r="L533" s="36"/>
      <c r="M533" s="36"/>
      <c r="N533" s="28"/>
      <c r="O533" s="28"/>
      <c r="P533" s="28"/>
      <c r="Q533" s="28"/>
      <c r="R533" s="28"/>
      <c r="S533" s="99"/>
      <c r="T533" s="99"/>
      <c r="U533" s="99"/>
      <c r="V533" s="99"/>
      <c r="W533" s="99"/>
      <c r="X533" s="99"/>
      <c r="Y533" s="99"/>
      <c r="Z533" s="99"/>
      <c r="AA533" s="99"/>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99"/>
      <c r="BE533" s="99"/>
      <c r="BF533" s="99"/>
      <c r="BG533" s="99"/>
      <c r="BH533" s="99"/>
      <c r="BI533" s="99"/>
      <c r="BJ533" s="99"/>
      <c r="BK533" s="11"/>
      <c r="BL533" s="11"/>
    </row>
    <row r="534" spans="1:64" ht="12.75" hidden="1" customHeight="1" outlineLevel="1">
      <c r="A534" s="9"/>
      <c r="B534" s="9"/>
      <c r="C534" s="9"/>
      <c r="D534" s="128" t="str">
        <f>Asset1</f>
        <v>Transmission &amp; Zone land &amp; easements</v>
      </c>
      <c r="E534" s="9"/>
      <c r="F534" s="9"/>
      <c r="G534" s="194">
        <f>'Adjustment for previous period'!G430</f>
        <v>0</v>
      </c>
      <c r="H534" s="36"/>
      <c r="I534" s="36"/>
      <c r="J534" s="36"/>
      <c r="K534" s="36"/>
      <c r="L534" s="36"/>
      <c r="M534" s="36"/>
      <c r="N534" s="28"/>
      <c r="O534" s="28"/>
      <c r="P534" s="28"/>
      <c r="Q534" s="28"/>
      <c r="R534" s="28"/>
      <c r="S534" s="99"/>
      <c r="T534" s="99"/>
      <c r="U534" s="99"/>
      <c r="V534" s="99"/>
      <c r="W534" s="99"/>
      <c r="X534" s="99"/>
      <c r="Y534" s="99"/>
      <c r="Z534" s="99"/>
      <c r="AA534" s="99"/>
      <c r="AB534" s="226"/>
      <c r="AC534" s="226"/>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26"/>
      <c r="BD534" s="99"/>
      <c r="BE534" s="99"/>
      <c r="BF534" s="99"/>
      <c r="BG534" s="99"/>
      <c r="BH534" s="99"/>
      <c r="BI534" s="99"/>
      <c r="BJ534" s="99"/>
      <c r="BK534" s="11"/>
      <c r="BL534" s="11"/>
    </row>
    <row r="535" spans="1:64" ht="12.75" hidden="1" customHeight="1" outlineLevel="1">
      <c r="A535" s="9"/>
      <c r="B535" s="9"/>
      <c r="C535" s="44"/>
      <c r="D535" s="128" t="str">
        <f>Asset2</f>
        <v>Transmission buildings 132/66kV</v>
      </c>
      <c r="E535" s="9"/>
      <c r="F535" s="9"/>
      <c r="G535" s="194">
        <f>'Adjustment for previous period'!G431</f>
        <v>0</v>
      </c>
      <c r="H535" s="36"/>
      <c r="I535" s="36"/>
      <c r="J535" s="36"/>
      <c r="K535" s="36"/>
      <c r="L535" s="36"/>
      <c r="M535" s="36"/>
      <c r="N535" s="28"/>
      <c r="O535" s="28"/>
      <c r="P535" s="28"/>
      <c r="Q535" s="28"/>
      <c r="R535" s="28"/>
      <c r="S535" s="99"/>
      <c r="T535" s="99"/>
      <c r="U535" s="99"/>
      <c r="V535" s="99"/>
      <c r="W535" s="99"/>
      <c r="X535" s="99"/>
      <c r="Y535" s="99"/>
      <c r="Z535" s="99"/>
      <c r="AA535" s="99"/>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6"/>
      <c r="AY535" s="226"/>
      <c r="AZ535" s="226"/>
      <c r="BA535" s="226"/>
      <c r="BB535" s="226"/>
      <c r="BC535" s="226"/>
      <c r="BD535" s="99"/>
      <c r="BE535" s="99"/>
      <c r="BF535" s="99"/>
      <c r="BG535" s="99"/>
      <c r="BH535" s="99"/>
      <c r="BI535" s="99"/>
      <c r="BJ535" s="99"/>
      <c r="BK535" s="11"/>
      <c r="BL535" s="11"/>
    </row>
    <row r="536" spans="1:64" ht="12.75" hidden="1" customHeight="1" outlineLevel="1">
      <c r="A536" s="9"/>
      <c r="B536" s="9"/>
      <c r="C536" s="44"/>
      <c r="D536" s="128" t="str">
        <f>Asset3</f>
        <v>Zone buildings 132/66kV</v>
      </c>
      <c r="E536" s="9"/>
      <c r="F536" s="9"/>
      <c r="G536" s="194">
        <f>'Adjustment for previous period'!G432</f>
        <v>0</v>
      </c>
      <c r="H536" s="36"/>
      <c r="I536" s="36"/>
      <c r="J536" s="36"/>
      <c r="K536" s="36"/>
      <c r="L536" s="36"/>
      <c r="M536" s="36"/>
      <c r="N536" s="28"/>
      <c r="O536" s="28"/>
      <c r="P536" s="28"/>
      <c r="Q536" s="28"/>
      <c r="R536" s="28"/>
      <c r="S536" s="99"/>
      <c r="T536" s="99"/>
      <c r="U536" s="99"/>
      <c r="V536" s="99"/>
      <c r="W536" s="99"/>
      <c r="X536" s="99"/>
      <c r="Y536" s="99"/>
      <c r="Z536" s="99"/>
      <c r="AA536" s="99"/>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99"/>
      <c r="BE536" s="99"/>
      <c r="BF536" s="99"/>
      <c r="BG536" s="99"/>
      <c r="BH536" s="99"/>
      <c r="BI536" s="99"/>
      <c r="BJ536" s="99"/>
      <c r="BK536" s="11"/>
      <c r="BL536" s="11"/>
    </row>
    <row r="537" spans="1:64" ht="12.75" hidden="1" customHeight="1" outlineLevel="1">
      <c r="A537" s="9"/>
      <c r="B537" s="9"/>
      <c r="C537" s="44"/>
      <c r="D537" s="128" t="str">
        <f>Asset4</f>
        <v>Transmission transformers 132/66kV</v>
      </c>
      <c r="E537" s="9"/>
      <c r="F537" s="9"/>
      <c r="G537" s="194">
        <f>'Adjustment for previous period'!G433</f>
        <v>0</v>
      </c>
      <c r="H537" s="36"/>
      <c r="I537" s="36"/>
      <c r="J537" s="36"/>
      <c r="K537" s="36"/>
      <c r="L537" s="36"/>
      <c r="M537" s="36"/>
      <c r="N537" s="28"/>
      <c r="O537" s="28"/>
      <c r="P537" s="28"/>
      <c r="Q537" s="28"/>
      <c r="R537" s="28"/>
      <c r="S537" s="99"/>
      <c r="T537" s="99"/>
      <c r="U537" s="99"/>
      <c r="V537" s="99"/>
      <c r="W537" s="99"/>
      <c r="X537" s="99"/>
      <c r="Y537" s="99"/>
      <c r="Z537" s="99"/>
      <c r="AA537" s="99"/>
      <c r="AB537" s="226"/>
      <c r="AC537" s="226"/>
      <c r="AD537" s="226"/>
      <c r="AE537" s="226"/>
      <c r="AF537" s="226"/>
      <c r="AG537" s="226"/>
      <c r="AH537" s="226"/>
      <c r="AI537" s="226"/>
      <c r="AJ537" s="226"/>
      <c r="AK537" s="226"/>
      <c r="AL537" s="226"/>
      <c r="AM537" s="226"/>
      <c r="AN537" s="226"/>
      <c r="AO537" s="226"/>
      <c r="AP537" s="226"/>
      <c r="AQ537" s="226"/>
      <c r="AR537" s="226"/>
      <c r="AS537" s="226"/>
      <c r="AT537" s="226"/>
      <c r="AU537" s="226"/>
      <c r="AV537" s="226"/>
      <c r="AW537" s="226"/>
      <c r="AX537" s="226"/>
      <c r="AY537" s="226"/>
      <c r="AZ537" s="226"/>
      <c r="BA537" s="226"/>
      <c r="BB537" s="226"/>
      <c r="BC537" s="226"/>
      <c r="BD537" s="99"/>
      <c r="BE537" s="99"/>
      <c r="BF537" s="99"/>
      <c r="BG537" s="99"/>
      <c r="BH537" s="99"/>
      <c r="BI537" s="99"/>
      <c r="BJ537" s="99"/>
      <c r="BK537" s="11"/>
      <c r="BL537" s="11"/>
    </row>
    <row r="538" spans="1:64" ht="12.75" hidden="1" customHeight="1" outlineLevel="1">
      <c r="A538" s="9"/>
      <c r="B538" s="9"/>
      <c r="C538" s="44"/>
      <c r="D538" s="128" t="str">
        <f>Asset5</f>
        <v>Zone transformers 132/66kV</v>
      </c>
      <c r="E538" s="9"/>
      <c r="F538" s="9"/>
      <c r="G538" s="194">
        <f>'Adjustment for previous period'!G434</f>
        <v>0</v>
      </c>
      <c r="H538" s="36"/>
      <c r="I538" s="36"/>
      <c r="J538" s="36"/>
      <c r="K538" s="36"/>
      <c r="L538" s="36"/>
      <c r="M538" s="36"/>
      <c r="N538" s="28"/>
      <c r="O538" s="28"/>
      <c r="P538" s="28"/>
      <c r="Q538" s="28"/>
      <c r="R538" s="28"/>
      <c r="S538" s="99"/>
      <c r="T538" s="99"/>
      <c r="U538" s="99"/>
      <c r="V538" s="99"/>
      <c r="W538" s="99"/>
      <c r="X538" s="99"/>
      <c r="Y538" s="99"/>
      <c r="Z538" s="99"/>
      <c r="AA538" s="99"/>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99"/>
      <c r="BE538" s="99"/>
      <c r="BF538" s="99"/>
      <c r="BG538" s="99"/>
      <c r="BH538" s="99"/>
      <c r="BI538" s="99"/>
      <c r="BJ538" s="99"/>
      <c r="BK538" s="11"/>
      <c r="BL538" s="11"/>
    </row>
    <row r="539" spans="1:64" ht="12.75" hidden="1" customHeight="1" outlineLevel="1">
      <c r="A539" s="9"/>
      <c r="B539" s="9"/>
      <c r="C539" s="44"/>
      <c r="D539" s="128" t="str">
        <f>Asset6</f>
        <v>Transmission substation equip 132/66kV</v>
      </c>
      <c r="E539" s="9"/>
      <c r="F539" s="9"/>
      <c r="G539" s="194">
        <f>'Adjustment for previous period'!G435</f>
        <v>0</v>
      </c>
      <c r="H539" s="36"/>
      <c r="I539" s="36"/>
      <c r="J539" s="36"/>
      <c r="K539" s="36"/>
      <c r="L539" s="36"/>
      <c r="M539" s="36"/>
      <c r="N539" s="28"/>
      <c r="O539" s="28"/>
      <c r="P539" s="28"/>
      <c r="Q539" s="28"/>
      <c r="R539" s="28"/>
      <c r="S539" s="99"/>
      <c r="T539" s="99"/>
      <c r="U539" s="99"/>
      <c r="V539" s="99"/>
      <c r="W539" s="99"/>
      <c r="X539" s="99"/>
      <c r="Y539" s="99"/>
      <c r="Z539" s="99"/>
      <c r="AA539" s="99"/>
      <c r="AB539" s="226"/>
      <c r="AC539" s="226"/>
      <c r="AD539" s="226"/>
      <c r="AE539" s="226"/>
      <c r="AF539" s="226"/>
      <c r="AG539" s="226"/>
      <c r="AH539" s="226"/>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99"/>
      <c r="BE539" s="99"/>
      <c r="BF539" s="99"/>
      <c r="BG539" s="99"/>
      <c r="BH539" s="99"/>
      <c r="BI539" s="99"/>
      <c r="BJ539" s="99"/>
      <c r="BK539" s="11"/>
      <c r="BL539" s="11"/>
    </row>
    <row r="540" spans="1:64" ht="12.75" hidden="1" customHeight="1" outlineLevel="1">
      <c r="A540" s="9"/>
      <c r="B540" s="9"/>
      <c r="C540" s="44"/>
      <c r="D540" s="128" t="str">
        <f>Asset7</f>
        <v>Zone substation equip 132/66kV</v>
      </c>
      <c r="E540" s="9"/>
      <c r="F540" s="9"/>
      <c r="G540" s="194">
        <f>'Adjustment for previous period'!G436</f>
        <v>0</v>
      </c>
      <c r="H540" s="36"/>
      <c r="I540" s="36"/>
      <c r="J540" s="36"/>
      <c r="K540" s="36"/>
      <c r="L540" s="36"/>
      <c r="M540" s="36"/>
      <c r="N540" s="28"/>
      <c r="O540" s="28"/>
      <c r="P540" s="28"/>
      <c r="Q540" s="28"/>
      <c r="R540" s="28"/>
      <c r="S540" s="99"/>
      <c r="T540" s="99"/>
      <c r="U540" s="99"/>
      <c r="V540" s="99"/>
      <c r="W540" s="99"/>
      <c r="X540" s="99"/>
      <c r="Y540" s="99"/>
      <c r="Z540" s="99"/>
      <c r="AA540" s="99"/>
      <c r="AB540" s="226"/>
      <c r="AC540" s="226"/>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99"/>
      <c r="BE540" s="99"/>
      <c r="BF540" s="99"/>
      <c r="BG540" s="99"/>
      <c r="BH540" s="99"/>
      <c r="BI540" s="99"/>
      <c r="BJ540" s="99"/>
      <c r="BK540" s="11"/>
      <c r="BL540" s="11"/>
    </row>
    <row r="541" spans="1:64" ht="12.75" hidden="1" customHeight="1" outlineLevel="1">
      <c r="A541" s="9"/>
      <c r="B541" s="9"/>
      <c r="C541" s="44"/>
      <c r="D541" s="128" t="str">
        <f>Asset8</f>
        <v>Transmission &amp; Zone emergency spares</v>
      </c>
      <c r="E541" s="9"/>
      <c r="F541" s="9"/>
      <c r="G541" s="194">
        <f>'Adjustment for previous period'!G437</f>
        <v>0</v>
      </c>
      <c r="H541" s="36"/>
      <c r="I541" s="36"/>
      <c r="J541" s="36"/>
      <c r="K541" s="36"/>
      <c r="L541" s="36"/>
      <c r="M541" s="36"/>
      <c r="N541" s="28"/>
      <c r="O541" s="28"/>
      <c r="P541" s="28"/>
      <c r="Q541" s="28"/>
      <c r="R541" s="28"/>
      <c r="S541" s="99"/>
      <c r="T541" s="99"/>
      <c r="U541" s="99"/>
      <c r="V541" s="99"/>
      <c r="W541" s="99"/>
      <c r="X541" s="99"/>
      <c r="Y541" s="99"/>
      <c r="Z541" s="99"/>
      <c r="AA541" s="99"/>
      <c r="AB541" s="226"/>
      <c r="AC541" s="226"/>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99"/>
      <c r="BE541" s="99"/>
      <c r="BF541" s="99"/>
      <c r="BG541" s="99"/>
      <c r="BH541" s="99"/>
      <c r="BI541" s="99"/>
      <c r="BJ541" s="99"/>
      <c r="BK541" s="11"/>
      <c r="BL541" s="11"/>
    </row>
    <row r="542" spans="1:64" ht="12.75" hidden="1" customHeight="1" outlineLevel="1">
      <c r="A542" s="9"/>
      <c r="B542" s="9"/>
      <c r="C542" s="44"/>
      <c r="D542" s="128" t="str">
        <f>Asset9</f>
        <v>Ancillary substation equipment (tx)</v>
      </c>
      <c r="E542" s="9"/>
      <c r="F542" s="9"/>
      <c r="G542" s="194">
        <f>'Adjustment for previous period'!G438</f>
        <v>0</v>
      </c>
      <c r="H542" s="36"/>
      <c r="I542" s="36"/>
      <c r="J542" s="36"/>
      <c r="K542" s="36"/>
      <c r="L542" s="36"/>
      <c r="M542" s="36"/>
      <c r="N542" s="28"/>
      <c r="O542" s="28"/>
      <c r="P542" s="28"/>
      <c r="Q542" s="28"/>
      <c r="R542" s="28"/>
      <c r="S542" s="99"/>
      <c r="T542" s="99"/>
      <c r="U542" s="99"/>
      <c r="V542" s="99"/>
      <c r="W542" s="99"/>
      <c r="X542" s="99"/>
      <c r="Y542" s="99"/>
      <c r="Z542" s="99"/>
      <c r="AA542" s="99"/>
      <c r="AB542" s="226"/>
      <c r="AC542" s="226"/>
      <c r="AD542" s="226"/>
      <c r="AE542" s="226"/>
      <c r="AF542" s="226"/>
      <c r="AG542" s="226"/>
      <c r="AH542" s="226"/>
      <c r="AI542" s="226"/>
      <c r="AJ542" s="226"/>
      <c r="AK542" s="226"/>
      <c r="AL542" s="226"/>
      <c r="AM542" s="226"/>
      <c r="AN542" s="226"/>
      <c r="AO542" s="226"/>
      <c r="AP542" s="226"/>
      <c r="AQ542" s="226"/>
      <c r="AR542" s="226"/>
      <c r="AS542" s="226"/>
      <c r="AT542" s="226"/>
      <c r="AU542" s="226"/>
      <c r="AV542" s="226"/>
      <c r="AW542" s="226"/>
      <c r="AX542" s="226"/>
      <c r="AY542" s="226"/>
      <c r="AZ542" s="226"/>
      <c r="BA542" s="226"/>
      <c r="BB542" s="226"/>
      <c r="BC542" s="226"/>
      <c r="BD542" s="99"/>
      <c r="BE542" s="99"/>
      <c r="BF542" s="99"/>
      <c r="BG542" s="99"/>
      <c r="BH542" s="99"/>
      <c r="BI542" s="99"/>
      <c r="BJ542" s="99"/>
      <c r="BK542" s="11"/>
      <c r="BL542" s="11"/>
    </row>
    <row r="543" spans="1:64" ht="12.75" hidden="1" customHeight="1" outlineLevel="1">
      <c r="A543" s="9"/>
      <c r="B543" s="9"/>
      <c r="C543" s="44"/>
      <c r="D543" s="128" t="str">
        <f>Asset10</f>
        <v>132kV tower lines</v>
      </c>
      <c r="E543" s="9"/>
      <c r="F543" s="9"/>
      <c r="G543" s="194">
        <f>'Adjustment for previous period'!G439</f>
        <v>0</v>
      </c>
      <c r="H543" s="36"/>
      <c r="I543" s="36"/>
      <c r="J543" s="36"/>
      <c r="K543" s="36"/>
      <c r="L543" s="36"/>
      <c r="M543" s="36"/>
      <c r="N543" s="28"/>
      <c r="O543" s="28"/>
      <c r="P543" s="28"/>
      <c r="Q543" s="28"/>
      <c r="R543" s="28"/>
      <c r="S543" s="99"/>
      <c r="T543" s="99"/>
      <c r="U543" s="99"/>
      <c r="V543" s="99"/>
      <c r="W543" s="99"/>
      <c r="X543" s="99"/>
      <c r="Y543" s="99"/>
      <c r="Z543" s="99"/>
      <c r="AA543" s="99"/>
      <c r="AB543" s="226"/>
      <c r="AC543" s="226"/>
      <c r="AD543" s="226"/>
      <c r="AE543" s="226"/>
      <c r="AF543" s="226"/>
      <c r="AG543" s="226"/>
      <c r="AH543" s="226"/>
      <c r="AI543" s="226"/>
      <c r="AJ543" s="226"/>
      <c r="AK543" s="226"/>
      <c r="AL543" s="226"/>
      <c r="AM543" s="226"/>
      <c r="AN543" s="226"/>
      <c r="AO543" s="226"/>
      <c r="AP543" s="226"/>
      <c r="AQ543" s="226"/>
      <c r="AR543" s="226"/>
      <c r="AS543" s="226"/>
      <c r="AT543" s="226"/>
      <c r="AU543" s="226"/>
      <c r="AV543" s="226"/>
      <c r="AW543" s="226"/>
      <c r="AX543" s="226"/>
      <c r="AY543" s="226"/>
      <c r="AZ543" s="226"/>
      <c r="BA543" s="226"/>
      <c r="BB543" s="226"/>
      <c r="BC543" s="226"/>
      <c r="BD543" s="99"/>
      <c r="BE543" s="99"/>
      <c r="BF543" s="99"/>
      <c r="BG543" s="99"/>
      <c r="BH543" s="99"/>
      <c r="BI543" s="99"/>
      <c r="BJ543" s="99"/>
      <c r="BK543" s="11"/>
      <c r="BL543" s="11"/>
    </row>
    <row r="544" spans="1:64" ht="12.75" hidden="1" customHeight="1" outlineLevel="1">
      <c r="A544" s="9"/>
      <c r="B544" s="9"/>
      <c r="C544" s="44"/>
      <c r="D544" s="128" t="str">
        <f>Asset11</f>
        <v>132kV concrete &amp; steel pole lines</v>
      </c>
      <c r="E544" s="9"/>
      <c r="F544" s="9"/>
      <c r="G544" s="194">
        <f>'Adjustment for previous period'!G440</f>
        <v>0</v>
      </c>
      <c r="H544" s="36"/>
      <c r="I544" s="36"/>
      <c r="J544" s="36"/>
      <c r="K544" s="36"/>
      <c r="L544" s="36"/>
      <c r="M544" s="36"/>
      <c r="N544" s="28"/>
      <c r="O544" s="28"/>
      <c r="P544" s="28"/>
      <c r="Q544" s="28"/>
      <c r="R544" s="28"/>
      <c r="S544" s="99"/>
      <c r="T544" s="99"/>
      <c r="U544" s="99"/>
      <c r="V544" s="99"/>
      <c r="W544" s="99"/>
      <c r="X544" s="99"/>
      <c r="Y544" s="99"/>
      <c r="Z544" s="99"/>
      <c r="AA544" s="99"/>
      <c r="AB544" s="226"/>
      <c r="AC544" s="226"/>
      <c r="AD544" s="226"/>
      <c r="AE544" s="226"/>
      <c r="AF544" s="226"/>
      <c r="AG544" s="226"/>
      <c r="AH544" s="226"/>
      <c r="AI544" s="226"/>
      <c r="AJ544" s="226"/>
      <c r="AK544" s="226"/>
      <c r="AL544" s="226"/>
      <c r="AM544" s="226"/>
      <c r="AN544" s="226"/>
      <c r="AO544" s="226"/>
      <c r="AP544" s="226"/>
      <c r="AQ544" s="226"/>
      <c r="AR544" s="226"/>
      <c r="AS544" s="226"/>
      <c r="AT544" s="226"/>
      <c r="AU544" s="226"/>
      <c r="AV544" s="226"/>
      <c r="AW544" s="226"/>
      <c r="AX544" s="226"/>
      <c r="AY544" s="226"/>
      <c r="AZ544" s="226"/>
      <c r="BA544" s="226"/>
      <c r="BB544" s="226"/>
      <c r="BC544" s="226"/>
      <c r="BD544" s="99"/>
      <c r="BE544" s="99"/>
      <c r="BF544" s="99"/>
      <c r="BG544" s="99"/>
      <c r="BH544" s="99"/>
      <c r="BI544" s="99"/>
      <c r="BJ544" s="99"/>
      <c r="BK544" s="11"/>
      <c r="BL544" s="11"/>
    </row>
    <row r="545" spans="1:64" ht="12.75" hidden="1" customHeight="1" outlineLevel="1">
      <c r="A545" s="9"/>
      <c r="B545" s="9"/>
      <c r="C545" s="44"/>
      <c r="D545" s="128" t="str">
        <f>Asset12</f>
        <v>132kV wood pole lines</v>
      </c>
      <c r="E545" s="9"/>
      <c r="F545" s="9"/>
      <c r="G545" s="194">
        <f>'Adjustment for previous period'!G441</f>
        <v>0</v>
      </c>
      <c r="H545" s="36"/>
      <c r="I545" s="36"/>
      <c r="J545" s="36"/>
      <c r="K545" s="36"/>
      <c r="L545" s="36"/>
      <c r="M545" s="36"/>
      <c r="N545" s="28"/>
      <c r="O545" s="28"/>
      <c r="P545" s="28"/>
      <c r="Q545" s="28"/>
      <c r="R545" s="28"/>
      <c r="S545" s="99"/>
      <c r="T545" s="99"/>
      <c r="U545" s="99"/>
      <c r="V545" s="99"/>
      <c r="W545" s="99"/>
      <c r="X545" s="99"/>
      <c r="Y545" s="99"/>
      <c r="Z545" s="99"/>
      <c r="AA545" s="99"/>
      <c r="AB545" s="226"/>
      <c r="AC545" s="226"/>
      <c r="AD545" s="226"/>
      <c r="AE545" s="226"/>
      <c r="AF545" s="226"/>
      <c r="AG545" s="226"/>
      <c r="AH545" s="226"/>
      <c r="AI545" s="226"/>
      <c r="AJ545" s="226"/>
      <c r="AK545" s="226"/>
      <c r="AL545" s="226"/>
      <c r="AM545" s="226"/>
      <c r="AN545" s="226"/>
      <c r="AO545" s="226"/>
      <c r="AP545" s="226"/>
      <c r="AQ545" s="226"/>
      <c r="AR545" s="226"/>
      <c r="AS545" s="226"/>
      <c r="AT545" s="226"/>
      <c r="AU545" s="226"/>
      <c r="AV545" s="226"/>
      <c r="AW545" s="226"/>
      <c r="AX545" s="226"/>
      <c r="AY545" s="226"/>
      <c r="AZ545" s="226"/>
      <c r="BA545" s="226"/>
      <c r="BB545" s="226"/>
      <c r="BC545" s="226"/>
      <c r="BD545" s="99"/>
      <c r="BE545" s="99"/>
      <c r="BF545" s="99"/>
      <c r="BG545" s="99"/>
      <c r="BH545" s="99"/>
      <c r="BI545" s="99"/>
      <c r="BJ545" s="99"/>
      <c r="BK545" s="11"/>
      <c r="BL545" s="11"/>
    </row>
    <row r="546" spans="1:64" ht="12.75" hidden="1" customHeight="1" outlineLevel="1">
      <c r="A546" s="9"/>
      <c r="B546" s="9"/>
      <c r="C546" s="44"/>
      <c r="D546" s="128" t="str">
        <f>Asset13</f>
        <v>132kV feeders underground</v>
      </c>
      <c r="E546" s="9"/>
      <c r="F546" s="9"/>
      <c r="G546" s="194">
        <f>'Adjustment for previous period'!G442</f>
        <v>0</v>
      </c>
      <c r="H546" s="36"/>
      <c r="I546" s="36"/>
      <c r="J546" s="36"/>
      <c r="K546" s="36"/>
      <c r="L546" s="36"/>
      <c r="M546" s="36"/>
      <c r="N546" s="28"/>
      <c r="O546" s="28"/>
      <c r="P546" s="28"/>
      <c r="Q546" s="28"/>
      <c r="R546" s="28"/>
      <c r="S546" s="99"/>
      <c r="T546" s="99"/>
      <c r="U546" s="99"/>
      <c r="V546" s="99"/>
      <c r="W546" s="99"/>
      <c r="X546" s="99"/>
      <c r="Y546" s="99"/>
      <c r="Z546" s="99"/>
      <c r="AA546" s="99"/>
      <c r="AB546" s="226"/>
      <c r="AC546" s="226"/>
      <c r="AD546" s="226"/>
      <c r="AE546" s="226"/>
      <c r="AF546" s="226"/>
      <c r="AG546" s="226"/>
      <c r="AH546" s="226"/>
      <c r="AI546" s="226"/>
      <c r="AJ546" s="226"/>
      <c r="AK546" s="226"/>
      <c r="AL546" s="226"/>
      <c r="AM546" s="226"/>
      <c r="AN546" s="226"/>
      <c r="AO546" s="226"/>
      <c r="AP546" s="226"/>
      <c r="AQ546" s="226"/>
      <c r="AR546" s="226"/>
      <c r="AS546" s="226"/>
      <c r="AT546" s="226"/>
      <c r="AU546" s="226"/>
      <c r="AV546" s="226"/>
      <c r="AW546" s="226"/>
      <c r="AX546" s="226"/>
      <c r="AY546" s="226"/>
      <c r="AZ546" s="226"/>
      <c r="BA546" s="226"/>
      <c r="BB546" s="226"/>
      <c r="BC546" s="226"/>
      <c r="BD546" s="99"/>
      <c r="BE546" s="99"/>
      <c r="BF546" s="99"/>
      <c r="BG546" s="99"/>
      <c r="BH546" s="99"/>
      <c r="BI546" s="99"/>
      <c r="BJ546" s="99"/>
      <c r="BK546" s="11"/>
      <c r="BL546" s="11"/>
    </row>
    <row r="547" spans="1:64" ht="12.75" hidden="1" customHeight="1" outlineLevel="1">
      <c r="A547" s="9"/>
      <c r="B547" s="9"/>
      <c r="C547" s="44"/>
      <c r="D547" s="128" t="str">
        <f>Asset14</f>
        <v>Cable tunnel (tx)</v>
      </c>
      <c r="E547" s="9"/>
      <c r="F547" s="9"/>
      <c r="G547" s="194">
        <f>'Adjustment for previous period'!G443</f>
        <v>0</v>
      </c>
      <c r="H547" s="36"/>
      <c r="I547" s="36"/>
      <c r="J547" s="36"/>
      <c r="K547" s="36"/>
      <c r="L547" s="36"/>
      <c r="M547" s="36"/>
      <c r="N547" s="28"/>
      <c r="O547" s="28"/>
      <c r="P547" s="28"/>
      <c r="Q547" s="28"/>
      <c r="R547" s="28"/>
      <c r="S547" s="99"/>
      <c r="T547" s="99"/>
      <c r="U547" s="99"/>
      <c r="V547" s="99"/>
      <c r="W547" s="99"/>
      <c r="X547" s="99"/>
      <c r="Y547" s="99"/>
      <c r="Z547" s="99"/>
      <c r="AA547" s="99"/>
      <c r="AB547" s="226"/>
      <c r="AC547" s="226"/>
      <c r="AD547" s="226"/>
      <c r="AE547" s="226"/>
      <c r="AF547" s="226"/>
      <c r="AG547" s="226"/>
      <c r="AH547" s="226"/>
      <c r="AI547" s="226"/>
      <c r="AJ547" s="226"/>
      <c r="AK547" s="226"/>
      <c r="AL547" s="226"/>
      <c r="AM547" s="226"/>
      <c r="AN547" s="226"/>
      <c r="AO547" s="226"/>
      <c r="AP547" s="226"/>
      <c r="AQ547" s="226"/>
      <c r="AR547" s="226"/>
      <c r="AS547" s="226"/>
      <c r="AT547" s="226"/>
      <c r="AU547" s="226"/>
      <c r="AV547" s="226"/>
      <c r="AW547" s="226"/>
      <c r="AX547" s="226"/>
      <c r="AY547" s="226"/>
      <c r="AZ547" s="226"/>
      <c r="BA547" s="226"/>
      <c r="BB547" s="226"/>
      <c r="BC547" s="226"/>
      <c r="BD547" s="99"/>
      <c r="BE547" s="99"/>
      <c r="BF547" s="99"/>
      <c r="BG547" s="99"/>
      <c r="BH547" s="99"/>
      <c r="BI547" s="99"/>
      <c r="BJ547" s="99"/>
      <c r="BK547" s="11"/>
      <c r="BL547" s="11"/>
    </row>
    <row r="548" spans="1:64" ht="12.75" hidden="1" customHeight="1" outlineLevel="1">
      <c r="A548" s="9"/>
      <c r="B548" s="9"/>
      <c r="C548" s="44"/>
      <c r="D548" s="128" t="str">
        <f>Asset15</f>
        <v>Network control &amp; com systems</v>
      </c>
      <c r="E548" s="9"/>
      <c r="F548" s="9"/>
      <c r="G548" s="194">
        <f>'Adjustment for previous period'!G444</f>
        <v>0</v>
      </c>
      <c r="H548" s="36"/>
      <c r="I548" s="36"/>
      <c r="J548" s="36"/>
      <c r="K548" s="36"/>
      <c r="L548" s="36"/>
      <c r="M548" s="36"/>
      <c r="N548" s="28"/>
      <c r="O548" s="28"/>
      <c r="P548" s="28"/>
      <c r="Q548" s="28"/>
      <c r="R548" s="28"/>
      <c r="S548" s="99"/>
      <c r="T548" s="99"/>
      <c r="U548" s="99"/>
      <c r="V548" s="99"/>
      <c r="W548" s="99"/>
      <c r="X548" s="99"/>
      <c r="Y548" s="99"/>
      <c r="Z548" s="99"/>
      <c r="AA548" s="99"/>
      <c r="AB548" s="226"/>
      <c r="AC548" s="226"/>
      <c r="AD548" s="226"/>
      <c r="AE548" s="226"/>
      <c r="AF548" s="226"/>
      <c r="AG548" s="226"/>
      <c r="AH548" s="226"/>
      <c r="AI548" s="226"/>
      <c r="AJ548" s="226"/>
      <c r="AK548" s="226"/>
      <c r="AL548" s="226"/>
      <c r="AM548" s="226"/>
      <c r="AN548" s="226"/>
      <c r="AO548" s="226"/>
      <c r="AP548" s="226"/>
      <c r="AQ548" s="226"/>
      <c r="AR548" s="226"/>
      <c r="AS548" s="226"/>
      <c r="AT548" s="226"/>
      <c r="AU548" s="226"/>
      <c r="AV548" s="226"/>
      <c r="AW548" s="226"/>
      <c r="AX548" s="226"/>
      <c r="AY548" s="226"/>
      <c r="AZ548" s="226"/>
      <c r="BA548" s="226"/>
      <c r="BB548" s="226"/>
      <c r="BC548" s="226"/>
      <c r="BD548" s="99"/>
      <c r="BE548" s="99"/>
      <c r="BF548" s="99"/>
      <c r="BG548" s="99"/>
      <c r="BH548" s="99"/>
      <c r="BI548" s="99"/>
      <c r="BJ548" s="99"/>
      <c r="BK548" s="11"/>
      <c r="BL548" s="11"/>
    </row>
    <row r="549" spans="1:64" ht="12.75" hidden="1" customHeight="1" outlineLevel="1">
      <c r="A549" s="9"/>
      <c r="B549" s="9"/>
      <c r="C549" s="44"/>
      <c r="D549" s="128" t="str">
        <f>Asset16</f>
        <v>Communications (digital) - tx</v>
      </c>
      <c r="E549" s="9"/>
      <c r="F549" s="9"/>
      <c r="G549" s="194">
        <f>'Adjustment for previous period'!G445</f>
        <v>0</v>
      </c>
      <c r="H549" s="36"/>
      <c r="I549" s="36"/>
      <c r="J549" s="36"/>
      <c r="K549" s="36"/>
      <c r="L549" s="36"/>
      <c r="M549" s="36"/>
      <c r="N549" s="28"/>
      <c r="O549" s="28"/>
      <c r="P549" s="28"/>
      <c r="Q549" s="28"/>
      <c r="R549" s="28"/>
      <c r="S549" s="99"/>
      <c r="T549" s="99"/>
      <c r="U549" s="99"/>
      <c r="V549" s="99"/>
      <c r="W549" s="99"/>
      <c r="X549" s="99"/>
      <c r="Y549" s="99"/>
      <c r="Z549" s="99"/>
      <c r="AA549" s="99"/>
      <c r="AB549" s="226"/>
      <c r="AC549" s="226"/>
      <c r="AD549" s="226"/>
      <c r="AE549" s="226"/>
      <c r="AF549" s="226"/>
      <c r="AG549" s="226"/>
      <c r="AH549" s="226"/>
      <c r="AI549" s="226"/>
      <c r="AJ549" s="226"/>
      <c r="AK549" s="226"/>
      <c r="AL549" s="226"/>
      <c r="AM549" s="226"/>
      <c r="AN549" s="226"/>
      <c r="AO549" s="226"/>
      <c r="AP549" s="226"/>
      <c r="AQ549" s="226"/>
      <c r="AR549" s="226"/>
      <c r="AS549" s="226"/>
      <c r="AT549" s="226"/>
      <c r="AU549" s="226"/>
      <c r="AV549" s="226"/>
      <c r="AW549" s="226"/>
      <c r="AX549" s="226"/>
      <c r="AY549" s="226"/>
      <c r="AZ549" s="226"/>
      <c r="BA549" s="226"/>
      <c r="BB549" s="226"/>
      <c r="BC549" s="226"/>
      <c r="BD549" s="99"/>
      <c r="BE549" s="99"/>
      <c r="BF549" s="99"/>
      <c r="BG549" s="99"/>
      <c r="BH549" s="99"/>
      <c r="BI549" s="99"/>
      <c r="BJ549" s="99"/>
      <c r="BK549" s="11"/>
      <c r="BL549" s="11"/>
    </row>
    <row r="550" spans="1:64" ht="12.75" hidden="1" customHeight="1" outlineLevel="1">
      <c r="A550" s="9"/>
      <c r="B550" s="9"/>
      <c r="C550" s="44"/>
      <c r="D550" s="128" t="str">
        <f>Asset17</f>
        <v>System IT (tx)</v>
      </c>
      <c r="E550" s="9"/>
      <c r="F550" s="9"/>
      <c r="G550" s="194">
        <f>'Adjustment for previous period'!G446</f>
        <v>0</v>
      </c>
      <c r="H550" s="36"/>
      <c r="I550" s="36"/>
      <c r="J550" s="36"/>
      <c r="K550" s="36"/>
      <c r="L550" s="36"/>
      <c r="M550" s="36"/>
      <c r="N550" s="28"/>
      <c r="O550" s="28"/>
      <c r="P550" s="28"/>
      <c r="Q550" s="28"/>
      <c r="R550" s="28"/>
      <c r="S550" s="99"/>
      <c r="T550" s="99"/>
      <c r="U550" s="99"/>
      <c r="V550" s="99"/>
      <c r="W550" s="99"/>
      <c r="X550" s="99"/>
      <c r="Y550" s="99"/>
      <c r="Z550" s="99"/>
      <c r="AA550" s="99"/>
      <c r="AB550" s="226"/>
      <c r="AC550" s="226"/>
      <c r="AD550" s="226"/>
      <c r="AE550" s="226"/>
      <c r="AF550" s="226"/>
      <c r="AG550" s="226"/>
      <c r="AH550" s="226"/>
      <c r="AI550" s="226"/>
      <c r="AJ550" s="226"/>
      <c r="AK550" s="226"/>
      <c r="AL550" s="226"/>
      <c r="AM550" s="226"/>
      <c r="AN550" s="226"/>
      <c r="AO550" s="226"/>
      <c r="AP550" s="226"/>
      <c r="AQ550" s="226"/>
      <c r="AR550" s="226"/>
      <c r="AS550" s="226"/>
      <c r="AT550" s="226"/>
      <c r="AU550" s="226"/>
      <c r="AV550" s="226"/>
      <c r="AW550" s="226"/>
      <c r="AX550" s="226"/>
      <c r="AY550" s="226"/>
      <c r="AZ550" s="226"/>
      <c r="BA550" s="226"/>
      <c r="BB550" s="226"/>
      <c r="BC550" s="226"/>
      <c r="BD550" s="99"/>
      <c r="BE550" s="99"/>
      <c r="BF550" s="99"/>
      <c r="BG550" s="99"/>
      <c r="BH550" s="99"/>
      <c r="BI550" s="99"/>
      <c r="BJ550" s="99"/>
      <c r="BK550" s="11"/>
      <c r="BL550" s="11"/>
    </row>
    <row r="551" spans="1:64" ht="12.75" hidden="1" customHeight="1" outlineLevel="1">
      <c r="A551" s="9"/>
      <c r="B551" s="9"/>
      <c r="C551" s="44"/>
      <c r="D551" s="128" t="str">
        <f>Asset18</f>
        <v>IT systems</v>
      </c>
      <c r="E551" s="9"/>
      <c r="F551" s="9"/>
      <c r="G551" s="194">
        <f>'Adjustment for previous period'!G447</f>
        <v>0</v>
      </c>
      <c r="H551" s="36"/>
      <c r="I551" s="36"/>
      <c r="J551" s="36"/>
      <c r="K551" s="36"/>
      <c r="L551" s="36"/>
      <c r="M551" s="36"/>
      <c r="N551" s="28"/>
      <c r="O551" s="28"/>
      <c r="P551" s="28"/>
      <c r="Q551" s="28"/>
      <c r="R551" s="28"/>
      <c r="S551" s="99"/>
      <c r="T551" s="99"/>
      <c r="U551" s="99"/>
      <c r="V551" s="99"/>
      <c r="W551" s="99"/>
      <c r="X551" s="99"/>
      <c r="Y551" s="99"/>
      <c r="Z551" s="99"/>
      <c r="AA551" s="99"/>
      <c r="AB551" s="226"/>
      <c r="AC551" s="226"/>
      <c r="AD551" s="226"/>
      <c r="AE551" s="226"/>
      <c r="AF551" s="226"/>
      <c r="AG551" s="226"/>
      <c r="AH551" s="226"/>
      <c r="AI551" s="226"/>
      <c r="AJ551" s="226"/>
      <c r="AK551" s="226"/>
      <c r="AL551" s="226"/>
      <c r="AM551" s="226"/>
      <c r="AN551" s="226"/>
      <c r="AO551" s="226"/>
      <c r="AP551" s="226"/>
      <c r="AQ551" s="226"/>
      <c r="AR551" s="226"/>
      <c r="AS551" s="226"/>
      <c r="AT551" s="226"/>
      <c r="AU551" s="226"/>
      <c r="AV551" s="226"/>
      <c r="AW551" s="226"/>
      <c r="AX551" s="226"/>
      <c r="AY551" s="226"/>
      <c r="AZ551" s="226"/>
      <c r="BA551" s="226"/>
      <c r="BB551" s="226"/>
      <c r="BC551" s="226"/>
      <c r="BD551" s="99"/>
      <c r="BE551" s="99"/>
      <c r="BF551" s="99"/>
      <c r="BG551" s="99"/>
      <c r="BH551" s="99"/>
      <c r="BI551" s="99"/>
      <c r="BJ551" s="99"/>
      <c r="BK551" s="11"/>
      <c r="BL551" s="11"/>
    </row>
    <row r="552" spans="1:64" ht="12.75" hidden="1" customHeight="1" outlineLevel="1">
      <c r="A552" s="9"/>
      <c r="B552" s="9"/>
      <c r="C552" s="44"/>
      <c r="D552" s="128" t="str">
        <f>Asset19</f>
        <v>Furniture, fittings, plant and equipment</v>
      </c>
      <c r="E552" s="9"/>
      <c r="F552" s="9"/>
      <c r="G552" s="194">
        <f>'Adjustment for previous period'!G448</f>
        <v>0</v>
      </c>
      <c r="H552" s="36"/>
      <c r="I552" s="36"/>
      <c r="J552" s="36"/>
      <c r="K552" s="36"/>
      <c r="L552" s="36"/>
      <c r="M552" s="36"/>
      <c r="N552" s="28"/>
      <c r="O552" s="28"/>
      <c r="P552" s="28"/>
      <c r="Q552" s="28"/>
      <c r="R552" s="28"/>
      <c r="S552" s="99"/>
      <c r="T552" s="99"/>
      <c r="U552" s="99"/>
      <c r="V552" s="99"/>
      <c r="W552" s="99"/>
      <c r="X552" s="99"/>
      <c r="Y552" s="99"/>
      <c r="Z552" s="99"/>
      <c r="AA552" s="99"/>
      <c r="AB552" s="226"/>
      <c r="AC552" s="226"/>
      <c r="AD552" s="226"/>
      <c r="AE552" s="226"/>
      <c r="AF552" s="226"/>
      <c r="AG552" s="226"/>
      <c r="AH552" s="226"/>
      <c r="AI552" s="226"/>
      <c r="AJ552" s="226"/>
      <c r="AK552" s="226"/>
      <c r="AL552" s="226"/>
      <c r="AM552" s="226"/>
      <c r="AN552" s="226"/>
      <c r="AO552" s="226"/>
      <c r="AP552" s="226"/>
      <c r="AQ552" s="226"/>
      <c r="AR552" s="226"/>
      <c r="AS552" s="226"/>
      <c r="AT552" s="226"/>
      <c r="AU552" s="226"/>
      <c r="AV552" s="226"/>
      <c r="AW552" s="226"/>
      <c r="AX552" s="226"/>
      <c r="AY552" s="226"/>
      <c r="AZ552" s="226"/>
      <c r="BA552" s="226"/>
      <c r="BB552" s="226"/>
      <c r="BC552" s="226"/>
      <c r="BD552" s="99"/>
      <c r="BE552" s="99"/>
      <c r="BF552" s="99"/>
      <c r="BG552" s="99"/>
      <c r="BH552" s="99"/>
      <c r="BI552" s="99"/>
      <c r="BJ552" s="99"/>
      <c r="BK552" s="11"/>
      <c r="BL552" s="11"/>
    </row>
    <row r="553" spans="1:64" ht="12.75" hidden="1" customHeight="1" outlineLevel="1">
      <c r="A553" s="9"/>
      <c r="B553" s="9"/>
      <c r="C553" s="44"/>
      <c r="D553" s="128" t="str">
        <f>Asset20</f>
        <v>Motor vehicles</v>
      </c>
      <c r="E553" s="9"/>
      <c r="F553" s="9"/>
      <c r="G553" s="194">
        <f>'Adjustment for previous period'!G449</f>
        <v>0</v>
      </c>
      <c r="H553" s="36"/>
      <c r="I553" s="36"/>
      <c r="J553" s="36"/>
      <c r="K553" s="36"/>
      <c r="L553" s="36"/>
      <c r="M553" s="36"/>
      <c r="N553" s="28"/>
      <c r="O553" s="28"/>
      <c r="P553" s="28"/>
      <c r="Q553" s="28"/>
      <c r="R553" s="28"/>
      <c r="S553" s="99"/>
      <c r="T553" s="99"/>
      <c r="U553" s="99"/>
      <c r="V553" s="99"/>
      <c r="W553" s="99"/>
      <c r="X553" s="99"/>
      <c r="Y553" s="99"/>
      <c r="Z553" s="99"/>
      <c r="AA553" s="99"/>
      <c r="AB553" s="226"/>
      <c r="AC553" s="226"/>
      <c r="AD553" s="226"/>
      <c r="AE553" s="226"/>
      <c r="AF553" s="226"/>
      <c r="AG553" s="226"/>
      <c r="AH553" s="226"/>
      <c r="AI553" s="226"/>
      <c r="AJ553" s="226"/>
      <c r="AK553" s="226"/>
      <c r="AL553" s="226"/>
      <c r="AM553" s="226"/>
      <c r="AN553" s="226"/>
      <c r="AO553" s="226"/>
      <c r="AP553" s="226"/>
      <c r="AQ553" s="226"/>
      <c r="AR553" s="226"/>
      <c r="AS553" s="226"/>
      <c r="AT553" s="226"/>
      <c r="AU553" s="226"/>
      <c r="AV553" s="226"/>
      <c r="AW553" s="226"/>
      <c r="AX553" s="226"/>
      <c r="AY553" s="226"/>
      <c r="AZ553" s="226"/>
      <c r="BA553" s="226"/>
      <c r="BB553" s="226"/>
      <c r="BC553" s="226"/>
      <c r="BD553" s="99"/>
      <c r="BE553" s="99"/>
      <c r="BF553" s="99"/>
      <c r="BG553" s="99"/>
      <c r="BH553" s="99"/>
      <c r="BI553" s="99"/>
      <c r="BJ553" s="99"/>
      <c r="BK553" s="11"/>
      <c r="BL553" s="11"/>
    </row>
    <row r="554" spans="1:64" ht="4.5" hidden="1" customHeight="1" outlineLevel="1">
      <c r="A554" s="9"/>
      <c r="B554" s="9"/>
      <c r="C554" s="44"/>
      <c r="D554" s="128" t="str">
        <f>Asset21</f>
        <v>Buildings</v>
      </c>
      <c r="E554" s="9"/>
      <c r="F554" s="9"/>
      <c r="G554" s="194">
        <f>'Adjustment for previous period'!G450</f>
        <v>0</v>
      </c>
      <c r="H554" s="36"/>
      <c r="I554" s="36"/>
      <c r="J554" s="36"/>
      <c r="K554" s="36"/>
      <c r="L554" s="36"/>
      <c r="M554" s="36"/>
      <c r="N554" s="28"/>
      <c r="O554" s="28"/>
      <c r="P554" s="28"/>
      <c r="Q554" s="28"/>
      <c r="R554" s="28"/>
      <c r="S554" s="99"/>
      <c r="T554" s="99"/>
      <c r="U554" s="99"/>
      <c r="V554" s="99"/>
      <c r="W554" s="99"/>
      <c r="X554" s="99"/>
      <c r="Y554" s="99"/>
      <c r="Z554" s="99"/>
      <c r="AA554" s="99"/>
      <c r="AB554" s="226"/>
      <c r="AC554" s="226"/>
      <c r="AD554" s="226"/>
      <c r="AE554" s="226"/>
      <c r="AF554" s="226"/>
      <c r="AG554" s="226"/>
      <c r="AH554" s="226"/>
      <c r="AI554" s="226"/>
      <c r="AJ554" s="226"/>
      <c r="AK554" s="226"/>
      <c r="AL554" s="226"/>
      <c r="AM554" s="226"/>
      <c r="AN554" s="226"/>
      <c r="AO554" s="226"/>
      <c r="AP554" s="226"/>
      <c r="AQ554" s="226"/>
      <c r="AR554" s="226"/>
      <c r="AS554" s="226"/>
      <c r="AT554" s="226"/>
      <c r="AU554" s="226"/>
      <c r="AV554" s="226"/>
      <c r="AW554" s="226"/>
      <c r="AX554" s="226"/>
      <c r="AY554" s="226"/>
      <c r="AZ554" s="226"/>
      <c r="BA554" s="226"/>
      <c r="BB554" s="226"/>
      <c r="BC554" s="226"/>
      <c r="BD554" s="99"/>
      <c r="BE554" s="99"/>
      <c r="BF554" s="99"/>
      <c r="BG554" s="99"/>
      <c r="BH554" s="99"/>
      <c r="BI554" s="99"/>
      <c r="BJ554" s="99"/>
      <c r="BK554" s="11"/>
      <c r="BL554" s="11"/>
    </row>
    <row r="555" spans="1:64" ht="4.5" hidden="1" customHeight="1" outlineLevel="1">
      <c r="A555" s="9"/>
      <c r="B555" s="9"/>
      <c r="C555" s="44"/>
      <c r="D555" s="128" t="str">
        <f>Asset22</f>
        <v>Land (non-system)</v>
      </c>
      <c r="E555" s="9"/>
      <c r="F555" s="9"/>
      <c r="G555" s="194">
        <f>'Adjustment for previous period'!G451</f>
        <v>0</v>
      </c>
      <c r="H555" s="36"/>
      <c r="I555" s="36"/>
      <c r="J555" s="36"/>
      <c r="K555" s="36"/>
      <c r="L555" s="36"/>
      <c r="M555" s="36"/>
      <c r="N555" s="28"/>
      <c r="O555" s="28"/>
      <c r="P555" s="28"/>
      <c r="Q555" s="28"/>
      <c r="R555" s="28"/>
      <c r="S555" s="99"/>
      <c r="T555" s="99"/>
      <c r="U555" s="99"/>
      <c r="V555" s="99"/>
      <c r="W555" s="99"/>
      <c r="X555" s="99"/>
      <c r="Y555" s="99"/>
      <c r="Z555" s="99"/>
      <c r="AA555" s="99"/>
      <c r="AB555" s="226"/>
      <c r="AC555" s="226"/>
      <c r="AD555" s="226"/>
      <c r="AE555" s="226"/>
      <c r="AF555" s="226"/>
      <c r="AG555" s="226"/>
      <c r="AH555" s="226"/>
      <c r="AI555" s="226"/>
      <c r="AJ555" s="226"/>
      <c r="AK555" s="226"/>
      <c r="AL555" s="226"/>
      <c r="AM555" s="226"/>
      <c r="AN555" s="226"/>
      <c r="AO555" s="226"/>
      <c r="AP555" s="226"/>
      <c r="AQ555" s="226"/>
      <c r="AR555" s="226"/>
      <c r="AS555" s="226"/>
      <c r="AT555" s="226"/>
      <c r="AU555" s="226"/>
      <c r="AV555" s="226"/>
      <c r="AW555" s="226"/>
      <c r="AX555" s="226"/>
      <c r="AY555" s="226"/>
      <c r="AZ555" s="226"/>
      <c r="BA555" s="226"/>
      <c r="BB555" s="226"/>
      <c r="BC555" s="226"/>
      <c r="BD555" s="99"/>
      <c r="BE555" s="99"/>
      <c r="BF555" s="99"/>
      <c r="BG555" s="99"/>
      <c r="BH555" s="99"/>
      <c r="BI555" s="99"/>
      <c r="BJ555" s="99"/>
      <c r="BK555" s="11"/>
      <c r="BL555" s="11"/>
    </row>
    <row r="556" spans="1:64" ht="4.5" hidden="1" customHeight="1" outlineLevel="1">
      <c r="A556" s="9"/>
      <c r="B556" s="9"/>
      <c r="C556" s="44"/>
      <c r="D556" s="128" t="str">
        <f>Asset23</f>
        <v>Other non system assets</v>
      </c>
      <c r="E556" s="9"/>
      <c r="F556" s="9"/>
      <c r="G556" s="194">
        <f>'Adjustment for previous period'!G452</f>
        <v>0</v>
      </c>
      <c r="H556" s="36"/>
      <c r="I556" s="36"/>
      <c r="J556" s="36"/>
      <c r="K556" s="36"/>
      <c r="L556" s="36"/>
      <c r="M556" s="36"/>
      <c r="N556" s="28"/>
      <c r="O556" s="28"/>
      <c r="P556" s="28"/>
      <c r="Q556" s="28"/>
      <c r="R556" s="28"/>
      <c r="S556" s="99"/>
      <c r="T556" s="99"/>
      <c r="U556" s="99"/>
      <c r="V556" s="99"/>
      <c r="W556" s="99"/>
      <c r="X556" s="99"/>
      <c r="Y556" s="99"/>
      <c r="Z556" s="99"/>
      <c r="AA556" s="99"/>
      <c r="AB556" s="226"/>
      <c r="AC556" s="226"/>
      <c r="AD556" s="226"/>
      <c r="AE556" s="226"/>
      <c r="AF556" s="226"/>
      <c r="AG556" s="226"/>
      <c r="AH556" s="226"/>
      <c r="AI556" s="226"/>
      <c r="AJ556" s="226"/>
      <c r="AK556" s="226"/>
      <c r="AL556" s="226"/>
      <c r="AM556" s="226"/>
      <c r="AN556" s="226"/>
      <c r="AO556" s="226"/>
      <c r="AP556" s="226"/>
      <c r="AQ556" s="226"/>
      <c r="AR556" s="226"/>
      <c r="AS556" s="226"/>
      <c r="AT556" s="226"/>
      <c r="AU556" s="226"/>
      <c r="AV556" s="226"/>
      <c r="AW556" s="226"/>
      <c r="AX556" s="226"/>
      <c r="AY556" s="226"/>
      <c r="AZ556" s="226"/>
      <c r="BA556" s="226"/>
      <c r="BB556" s="226"/>
      <c r="BC556" s="226"/>
      <c r="BD556" s="99"/>
      <c r="BE556" s="99"/>
      <c r="BF556" s="99"/>
      <c r="BG556" s="99"/>
      <c r="BH556" s="99"/>
      <c r="BI556" s="99"/>
      <c r="BJ556" s="99"/>
      <c r="BK556" s="11"/>
      <c r="BL556" s="11"/>
    </row>
    <row r="557" spans="1:64" ht="4.5" hidden="1" customHeight="1" outlineLevel="1">
      <c r="A557" s="9"/>
      <c r="B557" s="9"/>
      <c r="C557" s="44"/>
      <c r="D557" s="128" t="str">
        <f>Asset24</f>
        <v>Equity raising costs</v>
      </c>
      <c r="E557" s="9"/>
      <c r="F557" s="9"/>
      <c r="G557" s="194">
        <f>'Adjustment for previous period'!G453</f>
        <v>0</v>
      </c>
      <c r="H557" s="36"/>
      <c r="I557" s="36"/>
      <c r="J557" s="36"/>
      <c r="K557" s="36"/>
      <c r="L557" s="36"/>
      <c r="M557" s="36"/>
      <c r="N557" s="28"/>
      <c r="O557" s="28"/>
      <c r="P557" s="28"/>
      <c r="Q557" s="28"/>
      <c r="R557" s="28"/>
      <c r="S557" s="99"/>
      <c r="T557" s="99"/>
      <c r="U557" s="99"/>
      <c r="V557" s="99"/>
      <c r="W557" s="99"/>
      <c r="X557" s="99"/>
      <c r="Y557" s="99"/>
      <c r="Z557" s="99"/>
      <c r="AA557" s="99"/>
      <c r="AB557" s="226"/>
      <c r="AC557" s="226"/>
      <c r="AD557" s="226"/>
      <c r="AE557" s="226"/>
      <c r="AF557" s="226"/>
      <c r="AG557" s="226"/>
      <c r="AH557" s="226"/>
      <c r="AI557" s="226"/>
      <c r="AJ557" s="226"/>
      <c r="AK557" s="226"/>
      <c r="AL557" s="226"/>
      <c r="AM557" s="226"/>
      <c r="AN557" s="226"/>
      <c r="AO557" s="226"/>
      <c r="AP557" s="226"/>
      <c r="AQ557" s="226"/>
      <c r="AR557" s="226"/>
      <c r="AS557" s="226"/>
      <c r="AT557" s="226"/>
      <c r="AU557" s="226"/>
      <c r="AV557" s="226"/>
      <c r="AW557" s="226"/>
      <c r="AX557" s="226"/>
      <c r="AY557" s="226"/>
      <c r="AZ557" s="226"/>
      <c r="BA557" s="226"/>
      <c r="BB557" s="226"/>
      <c r="BC557" s="226"/>
      <c r="BD557" s="99"/>
      <c r="BE557" s="99"/>
      <c r="BF557" s="99"/>
      <c r="BG557" s="99"/>
      <c r="BH557" s="99"/>
      <c r="BI557" s="99"/>
      <c r="BJ557" s="99"/>
      <c r="BK557" s="11"/>
      <c r="BL557" s="11"/>
    </row>
    <row r="558" spans="1:64" ht="4.5" hidden="1" customHeight="1" outlineLevel="1">
      <c r="A558" s="9"/>
      <c r="B558" s="9"/>
      <c r="C558" s="44"/>
      <c r="D558" s="128">
        <f>Asset25</f>
        <v>0</v>
      </c>
      <c r="E558" s="9"/>
      <c r="F558" s="9"/>
      <c r="G558" s="194">
        <f>'Adjustment for previous period'!G454</f>
        <v>0</v>
      </c>
      <c r="H558" s="36"/>
      <c r="I558" s="36"/>
      <c r="J558" s="36"/>
      <c r="K558" s="36"/>
      <c r="L558" s="36"/>
      <c r="M558" s="36"/>
      <c r="N558" s="28"/>
      <c r="O558" s="28"/>
      <c r="P558" s="28"/>
      <c r="Q558" s="28"/>
      <c r="R558" s="28"/>
      <c r="S558" s="99"/>
      <c r="T558" s="99"/>
      <c r="U558" s="99"/>
      <c r="V558" s="99"/>
      <c r="W558" s="99"/>
      <c r="X558" s="99"/>
      <c r="Y558" s="99"/>
      <c r="Z558" s="99"/>
      <c r="AA558" s="99"/>
      <c r="AB558" s="226"/>
      <c r="AC558" s="226"/>
      <c r="AD558" s="226"/>
      <c r="AE558" s="226"/>
      <c r="AF558" s="226"/>
      <c r="AG558" s="226"/>
      <c r="AH558" s="226"/>
      <c r="AI558" s="226"/>
      <c r="AJ558" s="226"/>
      <c r="AK558" s="226"/>
      <c r="AL558" s="226"/>
      <c r="AM558" s="226"/>
      <c r="AN558" s="226"/>
      <c r="AO558" s="226"/>
      <c r="AP558" s="226"/>
      <c r="AQ558" s="226"/>
      <c r="AR558" s="226"/>
      <c r="AS558" s="226"/>
      <c r="AT558" s="226"/>
      <c r="AU558" s="226"/>
      <c r="AV558" s="226"/>
      <c r="AW558" s="226"/>
      <c r="AX558" s="226"/>
      <c r="AY558" s="226"/>
      <c r="AZ558" s="226"/>
      <c r="BA558" s="226"/>
      <c r="BB558" s="226"/>
      <c r="BC558" s="226"/>
      <c r="BD558" s="99"/>
      <c r="BE558" s="99"/>
      <c r="BF558" s="99"/>
      <c r="BG558" s="99"/>
      <c r="BH558" s="99"/>
      <c r="BI558" s="99"/>
      <c r="BJ558" s="99"/>
      <c r="BK558" s="11"/>
      <c r="BL558" s="11"/>
    </row>
    <row r="559" spans="1:64" ht="4.5" hidden="1" customHeight="1" outlineLevel="1">
      <c r="A559" s="9"/>
      <c r="B559" s="9"/>
      <c r="C559" s="44"/>
      <c r="D559" s="128">
        <f>Asset26</f>
        <v>0</v>
      </c>
      <c r="E559" s="9"/>
      <c r="F559" s="9"/>
      <c r="G559" s="194">
        <f>'Adjustment for previous period'!G455</f>
        <v>0</v>
      </c>
      <c r="H559" s="36"/>
      <c r="I559" s="36"/>
      <c r="J559" s="36"/>
      <c r="K559" s="36"/>
      <c r="L559" s="36"/>
      <c r="M559" s="36"/>
      <c r="N559" s="28"/>
      <c r="O559" s="28"/>
      <c r="P559" s="28"/>
      <c r="Q559" s="28"/>
      <c r="R559" s="28"/>
      <c r="S559" s="99"/>
      <c r="T559" s="99"/>
      <c r="U559" s="99"/>
      <c r="V559" s="99"/>
      <c r="W559" s="99"/>
      <c r="X559" s="99"/>
      <c r="Y559" s="99"/>
      <c r="Z559" s="99"/>
      <c r="AA559" s="99"/>
      <c r="AB559" s="226"/>
      <c r="AC559" s="226"/>
      <c r="AD559" s="226"/>
      <c r="AE559" s="226"/>
      <c r="AF559" s="226"/>
      <c r="AG559" s="226"/>
      <c r="AH559" s="226"/>
      <c r="AI559" s="226"/>
      <c r="AJ559" s="226"/>
      <c r="AK559" s="226"/>
      <c r="AL559" s="226"/>
      <c r="AM559" s="226"/>
      <c r="AN559" s="226"/>
      <c r="AO559" s="226"/>
      <c r="AP559" s="226"/>
      <c r="AQ559" s="226"/>
      <c r="AR559" s="226"/>
      <c r="AS559" s="226"/>
      <c r="AT559" s="226"/>
      <c r="AU559" s="226"/>
      <c r="AV559" s="226"/>
      <c r="AW559" s="226"/>
      <c r="AX559" s="226"/>
      <c r="AY559" s="226"/>
      <c r="AZ559" s="226"/>
      <c r="BA559" s="226"/>
      <c r="BB559" s="226"/>
      <c r="BC559" s="226"/>
      <c r="BD559" s="99"/>
      <c r="BE559" s="99"/>
      <c r="BF559" s="99"/>
      <c r="BG559" s="99"/>
      <c r="BH559" s="99"/>
      <c r="BI559" s="99"/>
      <c r="BJ559" s="99"/>
      <c r="BK559" s="11"/>
      <c r="BL559" s="11"/>
    </row>
    <row r="560" spans="1:64" ht="4.5" hidden="1" customHeight="1" outlineLevel="1">
      <c r="A560" s="9"/>
      <c r="B560" s="9"/>
      <c r="C560" s="44"/>
      <c r="D560" s="128">
        <f>Asset27</f>
        <v>0</v>
      </c>
      <c r="E560" s="9"/>
      <c r="F560" s="9"/>
      <c r="G560" s="194">
        <f>'Adjustment for previous period'!G456</f>
        <v>0</v>
      </c>
      <c r="H560" s="36"/>
      <c r="I560" s="36"/>
      <c r="J560" s="36"/>
      <c r="K560" s="36"/>
      <c r="L560" s="36"/>
      <c r="M560" s="36"/>
      <c r="N560" s="28"/>
      <c r="O560" s="28"/>
      <c r="P560" s="28"/>
      <c r="Q560" s="28"/>
      <c r="R560" s="28"/>
      <c r="S560" s="99"/>
      <c r="T560" s="99"/>
      <c r="U560" s="99"/>
      <c r="V560" s="99"/>
      <c r="W560" s="99"/>
      <c r="X560" s="99"/>
      <c r="Y560" s="99"/>
      <c r="Z560" s="99"/>
      <c r="AA560" s="99"/>
      <c r="AB560" s="226"/>
      <c r="AC560" s="226"/>
      <c r="AD560" s="226"/>
      <c r="AE560" s="226"/>
      <c r="AF560" s="226"/>
      <c r="AG560" s="226"/>
      <c r="AH560" s="226"/>
      <c r="AI560" s="226"/>
      <c r="AJ560" s="226"/>
      <c r="AK560" s="226"/>
      <c r="AL560" s="226"/>
      <c r="AM560" s="226"/>
      <c r="AN560" s="226"/>
      <c r="AO560" s="226"/>
      <c r="AP560" s="226"/>
      <c r="AQ560" s="226"/>
      <c r="AR560" s="226"/>
      <c r="AS560" s="226"/>
      <c r="AT560" s="226"/>
      <c r="AU560" s="226"/>
      <c r="AV560" s="226"/>
      <c r="AW560" s="226"/>
      <c r="AX560" s="226"/>
      <c r="AY560" s="226"/>
      <c r="AZ560" s="226"/>
      <c r="BA560" s="226"/>
      <c r="BB560" s="226"/>
      <c r="BC560" s="226"/>
      <c r="BD560" s="99"/>
      <c r="BE560" s="99"/>
      <c r="BF560" s="99"/>
      <c r="BG560" s="99"/>
      <c r="BH560" s="99"/>
      <c r="BI560" s="99"/>
      <c r="BJ560" s="99"/>
      <c r="BK560" s="11"/>
      <c r="BL560" s="11"/>
    </row>
    <row r="561" spans="1:64" ht="4.5" hidden="1" customHeight="1" outlineLevel="1">
      <c r="A561" s="9"/>
      <c r="B561" s="9"/>
      <c r="C561" s="44"/>
      <c r="D561" s="128">
        <f>Asset28</f>
        <v>0</v>
      </c>
      <c r="E561" s="9"/>
      <c r="F561" s="9"/>
      <c r="G561" s="194">
        <f>'Adjustment for previous period'!G457</f>
        <v>0</v>
      </c>
      <c r="H561" s="36"/>
      <c r="I561" s="36"/>
      <c r="J561" s="36"/>
      <c r="K561" s="36"/>
      <c r="L561" s="36"/>
      <c r="M561" s="36"/>
      <c r="N561" s="28"/>
      <c r="O561" s="28"/>
      <c r="P561" s="28"/>
      <c r="Q561" s="28"/>
      <c r="R561" s="28"/>
      <c r="S561" s="99"/>
      <c r="T561" s="99"/>
      <c r="U561" s="99"/>
      <c r="V561" s="99"/>
      <c r="W561" s="99"/>
      <c r="X561" s="99"/>
      <c r="Y561" s="99"/>
      <c r="Z561" s="99"/>
      <c r="AA561" s="99"/>
      <c r="AB561" s="226"/>
      <c r="AC561" s="226"/>
      <c r="AD561" s="226"/>
      <c r="AE561" s="226"/>
      <c r="AF561" s="226"/>
      <c r="AG561" s="226"/>
      <c r="AH561" s="226"/>
      <c r="AI561" s="226"/>
      <c r="AJ561" s="226"/>
      <c r="AK561" s="226"/>
      <c r="AL561" s="226"/>
      <c r="AM561" s="226"/>
      <c r="AN561" s="226"/>
      <c r="AO561" s="226"/>
      <c r="AP561" s="226"/>
      <c r="AQ561" s="226"/>
      <c r="AR561" s="226"/>
      <c r="AS561" s="226"/>
      <c r="AT561" s="226"/>
      <c r="AU561" s="226"/>
      <c r="AV561" s="226"/>
      <c r="AW561" s="226"/>
      <c r="AX561" s="226"/>
      <c r="AY561" s="226"/>
      <c r="AZ561" s="226"/>
      <c r="BA561" s="226"/>
      <c r="BB561" s="226"/>
      <c r="BC561" s="226"/>
      <c r="BD561" s="99"/>
      <c r="BE561" s="99"/>
      <c r="BF561" s="99"/>
      <c r="BG561" s="99"/>
      <c r="BH561" s="99"/>
      <c r="BI561" s="99"/>
      <c r="BJ561" s="99"/>
      <c r="BK561" s="11"/>
      <c r="BL561" s="11"/>
    </row>
    <row r="562" spans="1:64" ht="4.5" hidden="1" customHeight="1" outlineLevel="1">
      <c r="A562" s="9"/>
      <c r="B562" s="9"/>
      <c r="C562" s="44"/>
      <c r="D562" s="128">
        <f>Asset29</f>
        <v>0</v>
      </c>
      <c r="E562" s="9"/>
      <c r="F562" s="9"/>
      <c r="G562" s="194">
        <f>'Adjustment for previous period'!G458</f>
        <v>0</v>
      </c>
      <c r="H562" s="36"/>
      <c r="I562" s="36"/>
      <c r="J562" s="36"/>
      <c r="K562" s="36"/>
      <c r="L562" s="36"/>
      <c r="M562" s="36"/>
      <c r="N562" s="28"/>
      <c r="O562" s="28"/>
      <c r="P562" s="28"/>
      <c r="Q562" s="28"/>
      <c r="R562" s="28"/>
      <c r="S562" s="99"/>
      <c r="T562" s="99"/>
      <c r="U562" s="99"/>
      <c r="V562" s="99"/>
      <c r="W562" s="99"/>
      <c r="X562" s="99"/>
      <c r="Y562" s="99"/>
      <c r="Z562" s="99"/>
      <c r="AA562" s="99"/>
      <c r="AB562" s="226"/>
      <c r="AC562" s="226"/>
      <c r="AD562" s="226"/>
      <c r="AE562" s="226"/>
      <c r="AF562" s="226"/>
      <c r="AG562" s="226"/>
      <c r="AH562" s="226"/>
      <c r="AI562" s="226"/>
      <c r="AJ562" s="226"/>
      <c r="AK562" s="226"/>
      <c r="AL562" s="226"/>
      <c r="AM562" s="226"/>
      <c r="AN562" s="226"/>
      <c r="AO562" s="226"/>
      <c r="AP562" s="226"/>
      <c r="AQ562" s="226"/>
      <c r="AR562" s="226"/>
      <c r="AS562" s="226"/>
      <c r="AT562" s="226"/>
      <c r="AU562" s="226"/>
      <c r="AV562" s="226"/>
      <c r="AW562" s="226"/>
      <c r="AX562" s="226"/>
      <c r="AY562" s="226"/>
      <c r="AZ562" s="226"/>
      <c r="BA562" s="226"/>
      <c r="BB562" s="226"/>
      <c r="BC562" s="226"/>
      <c r="BD562" s="99"/>
      <c r="BE562" s="99"/>
      <c r="BF562" s="99"/>
      <c r="BG562" s="99"/>
      <c r="BH562" s="99"/>
      <c r="BI562" s="99"/>
      <c r="BJ562" s="99"/>
      <c r="BK562" s="11"/>
      <c r="BL562" s="11"/>
    </row>
    <row r="563" spans="1:64" ht="4.5" hidden="1" customHeight="1" outlineLevel="1">
      <c r="A563" s="9"/>
      <c r="B563" s="9"/>
      <c r="C563" s="44"/>
      <c r="D563" s="128">
        <f>Asset30</f>
        <v>0</v>
      </c>
      <c r="E563" s="9"/>
      <c r="F563" s="9"/>
      <c r="G563" s="194">
        <f>'Adjustment for previous period'!G459</f>
        <v>0</v>
      </c>
      <c r="H563" s="36"/>
      <c r="I563" s="36"/>
      <c r="J563" s="36"/>
      <c r="K563" s="36"/>
      <c r="L563" s="36"/>
      <c r="M563" s="36"/>
      <c r="N563" s="28"/>
      <c r="O563" s="28"/>
      <c r="P563" s="28"/>
      <c r="Q563" s="28"/>
      <c r="R563" s="28"/>
      <c r="S563" s="99"/>
      <c r="T563" s="99"/>
      <c r="U563" s="99"/>
      <c r="V563" s="99"/>
      <c r="W563" s="99"/>
      <c r="X563" s="99"/>
      <c r="Y563" s="99"/>
      <c r="Z563" s="99"/>
      <c r="AA563" s="99"/>
      <c r="AB563" s="226"/>
      <c r="AC563" s="226"/>
      <c r="AD563" s="226"/>
      <c r="AE563" s="226"/>
      <c r="AF563" s="226"/>
      <c r="AG563" s="226"/>
      <c r="AH563" s="226"/>
      <c r="AI563" s="226"/>
      <c r="AJ563" s="226"/>
      <c r="AK563" s="226"/>
      <c r="AL563" s="226"/>
      <c r="AM563" s="226"/>
      <c r="AN563" s="226"/>
      <c r="AO563" s="226"/>
      <c r="AP563" s="226"/>
      <c r="AQ563" s="226"/>
      <c r="AR563" s="226"/>
      <c r="AS563" s="226"/>
      <c r="AT563" s="226"/>
      <c r="AU563" s="226"/>
      <c r="AV563" s="226"/>
      <c r="AW563" s="226"/>
      <c r="AX563" s="226"/>
      <c r="AY563" s="226"/>
      <c r="AZ563" s="226"/>
      <c r="BA563" s="226"/>
      <c r="BB563" s="226"/>
      <c r="BC563" s="226"/>
      <c r="BD563" s="99"/>
      <c r="BE563" s="99"/>
      <c r="BF563" s="99"/>
      <c r="BG563" s="99"/>
      <c r="BH563" s="99"/>
      <c r="BI563" s="99"/>
      <c r="BJ563" s="99"/>
      <c r="BK563" s="11"/>
      <c r="BL563" s="11"/>
    </row>
    <row r="564" spans="1:64" collapsed="1">
      <c r="A564" s="9"/>
      <c r="B564" s="9"/>
      <c r="C564" s="44"/>
      <c r="D564" s="112"/>
      <c r="E564" s="9"/>
      <c r="F564" s="9"/>
      <c r="G564" s="199"/>
      <c r="H564" s="36"/>
      <c r="I564" s="36"/>
      <c r="J564" s="36"/>
      <c r="K564" s="36"/>
      <c r="L564" s="36"/>
      <c r="M564" s="36"/>
      <c r="N564" s="28"/>
      <c r="O564" s="28"/>
      <c r="P564" s="28"/>
      <c r="Q564" s="28"/>
      <c r="R564" s="28"/>
      <c r="S564" s="99"/>
      <c r="T564" s="99"/>
      <c r="U564" s="99"/>
      <c r="V564" s="99"/>
      <c r="W564" s="99"/>
      <c r="X564" s="99"/>
      <c r="Y564" s="99"/>
      <c r="Z564" s="99"/>
      <c r="AA564" s="99"/>
      <c r="AB564" s="226"/>
      <c r="AC564" s="226"/>
      <c r="AD564" s="226"/>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c r="BA564" s="226"/>
      <c r="BB564" s="226"/>
      <c r="BC564" s="226"/>
      <c r="BD564" s="99"/>
      <c r="BE564" s="99"/>
      <c r="BF564" s="99"/>
      <c r="BG564" s="99"/>
      <c r="BH564" s="99"/>
      <c r="BI564" s="99"/>
      <c r="BJ564" s="99"/>
      <c r="BK564" s="11"/>
      <c r="BL564" s="11"/>
    </row>
    <row r="565" spans="1:64">
      <c r="A565" s="9"/>
      <c r="B565" s="9"/>
      <c r="C565" s="44" t="s">
        <v>65</v>
      </c>
      <c r="D565" s="112"/>
      <c r="E565" s="9"/>
      <c r="F565" s="9"/>
      <c r="G565" s="198">
        <f>SUM(G566:G595)</f>
        <v>0</v>
      </c>
      <c r="H565" s="36"/>
      <c r="I565" s="36"/>
      <c r="J565" s="36"/>
      <c r="K565" s="36"/>
      <c r="L565" s="36"/>
      <c r="M565" s="36"/>
      <c r="N565" s="28"/>
      <c r="O565" s="28"/>
      <c r="P565" s="28"/>
      <c r="Q565" s="28"/>
      <c r="R565" s="28"/>
      <c r="S565" s="99"/>
      <c r="T565" s="99"/>
      <c r="U565" s="99"/>
      <c r="V565" s="99"/>
      <c r="W565" s="99"/>
      <c r="X565" s="99"/>
      <c r="Y565" s="99"/>
      <c r="Z565" s="99"/>
      <c r="AA565" s="99"/>
      <c r="AB565" s="226"/>
      <c r="AC565" s="226"/>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26"/>
      <c r="BD565" s="99"/>
      <c r="BE565" s="99"/>
      <c r="BF565" s="99"/>
      <c r="BG565" s="99"/>
      <c r="BH565" s="99"/>
      <c r="BI565" s="99"/>
      <c r="BJ565" s="99"/>
      <c r="BK565" s="11"/>
      <c r="BL565" s="11"/>
    </row>
    <row r="566" spans="1:64" ht="12.75" hidden="1" customHeight="1" outlineLevel="1">
      <c r="A566" s="9"/>
      <c r="B566" s="9"/>
      <c r="C566" s="9"/>
      <c r="D566" s="128" t="str">
        <f>Asset1</f>
        <v>Transmission &amp; Zone land &amp; easements</v>
      </c>
      <c r="E566" s="9"/>
      <c r="F566" s="9"/>
      <c r="G566" s="194">
        <f>'Adjustment for previous period'!G462</f>
        <v>0</v>
      </c>
      <c r="H566" s="36"/>
      <c r="I566" s="36"/>
      <c r="J566" s="36"/>
      <c r="K566" s="36"/>
      <c r="L566" s="36"/>
      <c r="M566" s="36"/>
      <c r="N566" s="28"/>
      <c r="O566" s="28"/>
      <c r="P566" s="28"/>
      <c r="Q566" s="28"/>
      <c r="R566" s="28"/>
      <c r="S566" s="99"/>
      <c r="T566" s="99"/>
      <c r="U566" s="99"/>
      <c r="V566" s="99"/>
      <c r="W566" s="99"/>
      <c r="X566" s="99"/>
      <c r="Y566" s="99"/>
      <c r="Z566" s="99"/>
      <c r="AA566" s="99"/>
      <c r="AB566" s="226"/>
      <c r="AC566" s="226"/>
      <c r="AD566" s="226"/>
      <c r="AE566" s="226"/>
      <c r="AF566" s="226"/>
      <c r="AG566" s="226"/>
      <c r="AH566" s="226"/>
      <c r="AI566" s="226"/>
      <c r="AJ566" s="226"/>
      <c r="AK566" s="226"/>
      <c r="AL566" s="226"/>
      <c r="AM566" s="226"/>
      <c r="AN566" s="226"/>
      <c r="AO566" s="226"/>
      <c r="AP566" s="226"/>
      <c r="AQ566" s="226"/>
      <c r="AR566" s="226"/>
      <c r="AS566" s="226"/>
      <c r="AT566" s="226"/>
      <c r="AU566" s="226"/>
      <c r="AV566" s="226"/>
      <c r="AW566" s="226"/>
      <c r="AX566" s="226"/>
      <c r="AY566" s="226"/>
      <c r="AZ566" s="226"/>
      <c r="BA566" s="226"/>
      <c r="BB566" s="226"/>
      <c r="BC566" s="226"/>
      <c r="BD566" s="99"/>
      <c r="BE566" s="99"/>
      <c r="BF566" s="99"/>
      <c r="BG566" s="99"/>
      <c r="BH566" s="99"/>
      <c r="BI566" s="99"/>
      <c r="BJ566" s="99"/>
      <c r="BK566" s="11"/>
      <c r="BL566" s="11"/>
    </row>
    <row r="567" spans="1:64" ht="12.75" hidden="1" customHeight="1" outlineLevel="1">
      <c r="A567" s="9"/>
      <c r="B567" s="9"/>
      <c r="C567" s="44"/>
      <c r="D567" s="128" t="str">
        <f>Asset2</f>
        <v>Transmission buildings 132/66kV</v>
      </c>
      <c r="E567" s="9"/>
      <c r="F567" s="9"/>
      <c r="G567" s="194">
        <f>'Adjustment for previous period'!G463</f>
        <v>0</v>
      </c>
      <c r="H567" s="36"/>
      <c r="I567" s="36"/>
      <c r="J567" s="36"/>
      <c r="K567" s="36"/>
      <c r="L567" s="36"/>
      <c r="M567" s="36"/>
      <c r="N567" s="28"/>
      <c r="O567" s="28"/>
      <c r="P567" s="28"/>
      <c r="Q567" s="28"/>
      <c r="R567" s="28"/>
      <c r="S567" s="99"/>
      <c r="T567" s="99"/>
      <c r="U567" s="99"/>
      <c r="V567" s="99"/>
      <c r="W567" s="99"/>
      <c r="X567" s="99"/>
      <c r="Y567" s="99"/>
      <c r="Z567" s="99"/>
      <c r="AA567" s="99"/>
      <c r="AB567" s="226"/>
      <c r="AC567" s="226"/>
      <c r="AD567" s="226"/>
      <c r="AE567" s="226"/>
      <c r="AF567" s="226"/>
      <c r="AG567" s="226"/>
      <c r="AH567" s="226"/>
      <c r="AI567" s="226"/>
      <c r="AJ567" s="226"/>
      <c r="AK567" s="226"/>
      <c r="AL567" s="226"/>
      <c r="AM567" s="226"/>
      <c r="AN567" s="226"/>
      <c r="AO567" s="226"/>
      <c r="AP567" s="226"/>
      <c r="AQ567" s="226"/>
      <c r="AR567" s="226"/>
      <c r="AS567" s="226"/>
      <c r="AT567" s="226"/>
      <c r="AU567" s="226"/>
      <c r="AV567" s="226"/>
      <c r="AW567" s="226"/>
      <c r="AX567" s="226"/>
      <c r="AY567" s="226"/>
      <c r="AZ567" s="226"/>
      <c r="BA567" s="226"/>
      <c r="BB567" s="226"/>
      <c r="BC567" s="226"/>
      <c r="BD567" s="99"/>
      <c r="BE567" s="99"/>
      <c r="BF567" s="99"/>
      <c r="BG567" s="99"/>
      <c r="BH567" s="99"/>
      <c r="BI567" s="99"/>
      <c r="BJ567" s="99"/>
      <c r="BK567" s="11"/>
      <c r="BL567" s="11"/>
    </row>
    <row r="568" spans="1:64" ht="12.75" hidden="1" customHeight="1" outlineLevel="1">
      <c r="A568" s="9"/>
      <c r="B568" s="9"/>
      <c r="C568" s="44"/>
      <c r="D568" s="128" t="str">
        <f>Asset3</f>
        <v>Zone buildings 132/66kV</v>
      </c>
      <c r="E568" s="9"/>
      <c r="F568" s="9"/>
      <c r="G568" s="194">
        <f>'Adjustment for previous period'!G464</f>
        <v>0</v>
      </c>
      <c r="H568" s="36"/>
      <c r="I568" s="36"/>
      <c r="J568" s="36"/>
      <c r="K568" s="36"/>
      <c r="L568" s="36"/>
      <c r="M568" s="36"/>
      <c r="N568" s="28"/>
      <c r="O568" s="28"/>
      <c r="P568" s="28"/>
      <c r="Q568" s="28"/>
      <c r="R568" s="28"/>
      <c r="S568" s="99"/>
      <c r="T568" s="99"/>
      <c r="U568" s="99"/>
      <c r="V568" s="99"/>
      <c r="W568" s="99"/>
      <c r="X568" s="99"/>
      <c r="Y568" s="99"/>
      <c r="Z568" s="99"/>
      <c r="AA568" s="99"/>
      <c r="AB568" s="226"/>
      <c r="AC568" s="226"/>
      <c r="AD568" s="226"/>
      <c r="AE568" s="226"/>
      <c r="AF568" s="226"/>
      <c r="AG568" s="226"/>
      <c r="AH568" s="226"/>
      <c r="AI568" s="226"/>
      <c r="AJ568" s="226"/>
      <c r="AK568" s="226"/>
      <c r="AL568" s="226"/>
      <c r="AM568" s="226"/>
      <c r="AN568" s="226"/>
      <c r="AO568" s="226"/>
      <c r="AP568" s="226"/>
      <c r="AQ568" s="226"/>
      <c r="AR568" s="226"/>
      <c r="AS568" s="226"/>
      <c r="AT568" s="226"/>
      <c r="AU568" s="226"/>
      <c r="AV568" s="226"/>
      <c r="AW568" s="226"/>
      <c r="AX568" s="226"/>
      <c r="AY568" s="226"/>
      <c r="AZ568" s="226"/>
      <c r="BA568" s="226"/>
      <c r="BB568" s="226"/>
      <c r="BC568" s="226"/>
      <c r="BD568" s="99"/>
      <c r="BE568" s="99"/>
      <c r="BF568" s="99"/>
      <c r="BG568" s="99"/>
      <c r="BH568" s="99"/>
      <c r="BI568" s="99"/>
      <c r="BJ568" s="99"/>
      <c r="BK568" s="11"/>
      <c r="BL568" s="11"/>
    </row>
    <row r="569" spans="1:64" ht="12.75" hidden="1" customHeight="1" outlineLevel="1">
      <c r="A569" s="9"/>
      <c r="B569" s="9"/>
      <c r="C569" s="44"/>
      <c r="D569" s="128" t="str">
        <f>Asset4</f>
        <v>Transmission transformers 132/66kV</v>
      </c>
      <c r="E569" s="9"/>
      <c r="F569" s="9"/>
      <c r="G569" s="194">
        <f>'Adjustment for previous period'!G465</f>
        <v>0</v>
      </c>
      <c r="H569" s="36"/>
      <c r="I569" s="36"/>
      <c r="J569" s="36"/>
      <c r="K569" s="36"/>
      <c r="L569" s="36"/>
      <c r="M569" s="36"/>
      <c r="N569" s="28"/>
      <c r="O569" s="28"/>
      <c r="P569" s="28"/>
      <c r="Q569" s="28"/>
      <c r="R569" s="28"/>
      <c r="S569" s="99"/>
      <c r="T569" s="99"/>
      <c r="U569" s="99"/>
      <c r="V569" s="99"/>
      <c r="W569" s="99"/>
      <c r="X569" s="99"/>
      <c r="Y569" s="99"/>
      <c r="Z569" s="99"/>
      <c r="AA569" s="99"/>
      <c r="AB569" s="226"/>
      <c r="AC569" s="226"/>
      <c r="AD569" s="226"/>
      <c r="AE569" s="226"/>
      <c r="AF569" s="226"/>
      <c r="AG569" s="226"/>
      <c r="AH569" s="226"/>
      <c r="AI569" s="226"/>
      <c r="AJ569" s="226"/>
      <c r="AK569" s="226"/>
      <c r="AL569" s="226"/>
      <c r="AM569" s="226"/>
      <c r="AN569" s="226"/>
      <c r="AO569" s="226"/>
      <c r="AP569" s="226"/>
      <c r="AQ569" s="226"/>
      <c r="AR569" s="226"/>
      <c r="AS569" s="226"/>
      <c r="AT569" s="226"/>
      <c r="AU569" s="226"/>
      <c r="AV569" s="226"/>
      <c r="AW569" s="226"/>
      <c r="AX569" s="226"/>
      <c r="AY569" s="226"/>
      <c r="AZ569" s="226"/>
      <c r="BA569" s="226"/>
      <c r="BB569" s="226"/>
      <c r="BC569" s="226"/>
      <c r="BD569" s="99"/>
      <c r="BE569" s="99"/>
      <c r="BF569" s="99"/>
      <c r="BG569" s="99"/>
      <c r="BH569" s="99"/>
      <c r="BI569" s="99"/>
      <c r="BJ569" s="99"/>
      <c r="BK569" s="11"/>
      <c r="BL569" s="11"/>
    </row>
    <row r="570" spans="1:64" ht="12.75" hidden="1" customHeight="1" outlineLevel="1">
      <c r="A570" s="9"/>
      <c r="B570" s="9"/>
      <c r="C570" s="44"/>
      <c r="D570" s="128" t="str">
        <f>Asset5</f>
        <v>Zone transformers 132/66kV</v>
      </c>
      <c r="E570" s="9"/>
      <c r="F570" s="9"/>
      <c r="G570" s="194">
        <f>'Adjustment for previous period'!G466</f>
        <v>0</v>
      </c>
      <c r="H570" s="36"/>
      <c r="I570" s="36"/>
      <c r="J570" s="36"/>
      <c r="K570" s="36"/>
      <c r="L570" s="36"/>
      <c r="M570" s="36"/>
      <c r="N570" s="28"/>
      <c r="O570" s="28"/>
      <c r="P570" s="28"/>
      <c r="Q570" s="28"/>
      <c r="R570" s="28"/>
      <c r="S570" s="99"/>
      <c r="T570" s="99"/>
      <c r="U570" s="99"/>
      <c r="V570" s="99"/>
      <c r="W570" s="99"/>
      <c r="X570" s="99"/>
      <c r="Y570" s="99"/>
      <c r="Z570" s="99"/>
      <c r="AA570" s="99"/>
      <c r="AB570" s="226"/>
      <c r="AC570" s="226"/>
      <c r="AD570" s="226"/>
      <c r="AE570" s="226"/>
      <c r="AF570" s="226"/>
      <c r="AG570" s="226"/>
      <c r="AH570" s="226"/>
      <c r="AI570" s="226"/>
      <c r="AJ570" s="226"/>
      <c r="AK570" s="226"/>
      <c r="AL570" s="226"/>
      <c r="AM570" s="226"/>
      <c r="AN570" s="226"/>
      <c r="AO570" s="226"/>
      <c r="AP570" s="226"/>
      <c r="AQ570" s="226"/>
      <c r="AR570" s="226"/>
      <c r="AS570" s="226"/>
      <c r="AT570" s="226"/>
      <c r="AU570" s="226"/>
      <c r="AV570" s="226"/>
      <c r="AW570" s="226"/>
      <c r="AX570" s="226"/>
      <c r="AY570" s="226"/>
      <c r="AZ570" s="226"/>
      <c r="BA570" s="226"/>
      <c r="BB570" s="226"/>
      <c r="BC570" s="226"/>
      <c r="BD570" s="99"/>
      <c r="BE570" s="99"/>
      <c r="BF570" s="99"/>
      <c r="BG570" s="99"/>
      <c r="BH570" s="99"/>
      <c r="BI570" s="99"/>
      <c r="BJ570" s="99"/>
      <c r="BK570" s="11"/>
      <c r="BL570" s="11"/>
    </row>
    <row r="571" spans="1:64" ht="12.75" hidden="1" customHeight="1" outlineLevel="1">
      <c r="A571" s="9"/>
      <c r="B571" s="9"/>
      <c r="C571" s="44"/>
      <c r="D571" s="128" t="str">
        <f>Asset6</f>
        <v>Transmission substation equip 132/66kV</v>
      </c>
      <c r="E571" s="9"/>
      <c r="F571" s="9"/>
      <c r="G571" s="194">
        <f>'Adjustment for previous period'!G467</f>
        <v>0</v>
      </c>
      <c r="H571" s="36"/>
      <c r="I571" s="36"/>
      <c r="J571" s="36"/>
      <c r="K571" s="36"/>
      <c r="L571" s="36"/>
      <c r="M571" s="36"/>
      <c r="N571" s="28"/>
      <c r="O571" s="28"/>
      <c r="P571" s="28"/>
      <c r="Q571" s="28"/>
      <c r="R571" s="28"/>
      <c r="S571" s="99"/>
      <c r="T571" s="99"/>
      <c r="U571" s="99"/>
      <c r="V571" s="99"/>
      <c r="W571" s="99"/>
      <c r="X571" s="99"/>
      <c r="Y571" s="99"/>
      <c r="Z571" s="99"/>
      <c r="AA571" s="99"/>
      <c r="AB571" s="226"/>
      <c r="AC571" s="226"/>
      <c r="AD571" s="226"/>
      <c r="AE571" s="226"/>
      <c r="AF571" s="226"/>
      <c r="AG571" s="226"/>
      <c r="AH571" s="226"/>
      <c r="AI571" s="226"/>
      <c r="AJ571" s="226"/>
      <c r="AK571" s="226"/>
      <c r="AL571" s="226"/>
      <c r="AM571" s="226"/>
      <c r="AN571" s="226"/>
      <c r="AO571" s="226"/>
      <c r="AP571" s="226"/>
      <c r="AQ571" s="226"/>
      <c r="AR571" s="226"/>
      <c r="AS571" s="226"/>
      <c r="AT571" s="226"/>
      <c r="AU571" s="226"/>
      <c r="AV571" s="226"/>
      <c r="AW571" s="226"/>
      <c r="AX571" s="226"/>
      <c r="AY571" s="226"/>
      <c r="AZ571" s="226"/>
      <c r="BA571" s="226"/>
      <c r="BB571" s="226"/>
      <c r="BC571" s="226"/>
      <c r="BD571" s="99"/>
      <c r="BE571" s="99"/>
      <c r="BF571" s="99"/>
      <c r="BG571" s="99"/>
      <c r="BH571" s="99"/>
      <c r="BI571" s="99"/>
      <c r="BJ571" s="99"/>
      <c r="BK571" s="11"/>
      <c r="BL571" s="11"/>
    </row>
    <row r="572" spans="1:64" ht="12.75" hidden="1" customHeight="1" outlineLevel="1">
      <c r="A572" s="9"/>
      <c r="B572" s="9"/>
      <c r="C572" s="44"/>
      <c r="D572" s="128" t="str">
        <f>Asset7</f>
        <v>Zone substation equip 132/66kV</v>
      </c>
      <c r="E572" s="9"/>
      <c r="F572" s="9"/>
      <c r="G572" s="194">
        <f>'Adjustment for previous period'!G468</f>
        <v>0</v>
      </c>
      <c r="H572" s="36"/>
      <c r="I572" s="36"/>
      <c r="J572" s="36"/>
      <c r="K572" s="36"/>
      <c r="L572" s="36"/>
      <c r="M572" s="36"/>
      <c r="N572" s="28"/>
      <c r="O572" s="28"/>
      <c r="P572" s="28"/>
      <c r="Q572" s="28"/>
      <c r="R572" s="28"/>
      <c r="S572" s="99"/>
      <c r="T572" s="99"/>
      <c r="U572" s="99"/>
      <c r="V572" s="99"/>
      <c r="W572" s="99"/>
      <c r="X572" s="99"/>
      <c r="Y572" s="99"/>
      <c r="Z572" s="99"/>
      <c r="AA572" s="99"/>
      <c r="AB572" s="226"/>
      <c r="AC572" s="226"/>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99"/>
      <c r="BE572" s="99"/>
      <c r="BF572" s="99"/>
      <c r="BG572" s="99"/>
      <c r="BH572" s="99"/>
      <c r="BI572" s="99"/>
      <c r="BJ572" s="99"/>
      <c r="BK572" s="11"/>
      <c r="BL572" s="11"/>
    </row>
    <row r="573" spans="1:64" ht="12.75" hidden="1" customHeight="1" outlineLevel="1">
      <c r="A573" s="9"/>
      <c r="B573" s="9"/>
      <c r="C573" s="44"/>
      <c r="D573" s="128" t="str">
        <f>Asset8</f>
        <v>Transmission &amp; Zone emergency spares</v>
      </c>
      <c r="E573" s="9"/>
      <c r="F573" s="9"/>
      <c r="G573" s="194">
        <f>'Adjustment for previous period'!G469</f>
        <v>0</v>
      </c>
      <c r="H573" s="36"/>
      <c r="I573" s="36"/>
      <c r="J573" s="36"/>
      <c r="K573" s="36"/>
      <c r="L573" s="36"/>
      <c r="M573" s="36"/>
      <c r="N573" s="28"/>
      <c r="O573" s="28"/>
      <c r="P573" s="28"/>
      <c r="Q573" s="28"/>
      <c r="R573" s="28"/>
      <c r="S573" s="99"/>
      <c r="T573" s="99"/>
      <c r="U573" s="99"/>
      <c r="V573" s="99"/>
      <c r="W573" s="99"/>
      <c r="X573" s="99"/>
      <c r="Y573" s="99"/>
      <c r="Z573" s="99"/>
      <c r="AA573" s="99"/>
      <c r="AB573" s="226"/>
      <c r="AC573" s="226"/>
      <c r="AD573" s="226"/>
      <c r="AE573" s="226"/>
      <c r="AF573" s="226"/>
      <c r="AG573" s="226"/>
      <c r="AH573" s="226"/>
      <c r="AI573" s="226"/>
      <c r="AJ573" s="226"/>
      <c r="AK573" s="226"/>
      <c r="AL573" s="226"/>
      <c r="AM573" s="226"/>
      <c r="AN573" s="226"/>
      <c r="AO573" s="226"/>
      <c r="AP573" s="226"/>
      <c r="AQ573" s="226"/>
      <c r="AR573" s="226"/>
      <c r="AS573" s="226"/>
      <c r="AT573" s="226"/>
      <c r="AU573" s="226"/>
      <c r="AV573" s="226"/>
      <c r="AW573" s="226"/>
      <c r="AX573" s="226"/>
      <c r="AY573" s="226"/>
      <c r="AZ573" s="226"/>
      <c r="BA573" s="226"/>
      <c r="BB573" s="226"/>
      <c r="BC573" s="226"/>
      <c r="BD573" s="99"/>
      <c r="BE573" s="99"/>
      <c r="BF573" s="99"/>
      <c r="BG573" s="99"/>
      <c r="BH573" s="99"/>
      <c r="BI573" s="99"/>
      <c r="BJ573" s="99"/>
      <c r="BK573" s="11"/>
      <c r="BL573" s="11"/>
    </row>
    <row r="574" spans="1:64" ht="12.75" hidden="1" customHeight="1" outlineLevel="1">
      <c r="A574" s="9"/>
      <c r="B574" s="9"/>
      <c r="C574" s="44"/>
      <c r="D574" s="128" t="str">
        <f>Asset9</f>
        <v>Ancillary substation equipment (tx)</v>
      </c>
      <c r="E574" s="9"/>
      <c r="F574" s="9"/>
      <c r="G574" s="194">
        <f>'Adjustment for previous period'!G470</f>
        <v>0</v>
      </c>
      <c r="H574" s="36"/>
      <c r="I574" s="36"/>
      <c r="J574" s="36"/>
      <c r="K574" s="36"/>
      <c r="L574" s="36"/>
      <c r="M574" s="36"/>
      <c r="N574" s="28"/>
      <c r="O574" s="28"/>
      <c r="P574" s="28"/>
      <c r="Q574" s="28"/>
      <c r="R574" s="28"/>
      <c r="S574" s="99"/>
      <c r="T574" s="99"/>
      <c r="U574" s="99"/>
      <c r="V574" s="99"/>
      <c r="W574" s="99"/>
      <c r="X574" s="99"/>
      <c r="Y574" s="99"/>
      <c r="Z574" s="99"/>
      <c r="AA574" s="99"/>
      <c r="AB574" s="226"/>
      <c r="AC574" s="226"/>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99"/>
      <c r="BE574" s="99"/>
      <c r="BF574" s="99"/>
      <c r="BG574" s="99"/>
      <c r="BH574" s="99"/>
      <c r="BI574" s="99"/>
      <c r="BJ574" s="99"/>
      <c r="BK574" s="11"/>
      <c r="BL574" s="11"/>
    </row>
    <row r="575" spans="1:64" ht="12.75" hidden="1" customHeight="1" outlineLevel="1">
      <c r="A575" s="9"/>
      <c r="B575" s="9"/>
      <c r="C575" s="44"/>
      <c r="D575" s="128" t="str">
        <f>Asset10</f>
        <v>132kV tower lines</v>
      </c>
      <c r="E575" s="9"/>
      <c r="F575" s="9"/>
      <c r="G575" s="194">
        <f>'Adjustment for previous period'!G471</f>
        <v>0</v>
      </c>
      <c r="H575" s="36"/>
      <c r="I575" s="36"/>
      <c r="J575" s="36"/>
      <c r="K575" s="36"/>
      <c r="L575" s="36"/>
      <c r="M575" s="36"/>
      <c r="N575" s="28"/>
      <c r="O575" s="28"/>
      <c r="P575" s="28"/>
      <c r="Q575" s="28"/>
      <c r="R575" s="28"/>
      <c r="S575" s="99"/>
      <c r="T575" s="99"/>
      <c r="U575" s="99"/>
      <c r="V575" s="99"/>
      <c r="W575" s="99"/>
      <c r="X575" s="99"/>
      <c r="Y575" s="99"/>
      <c r="Z575" s="99"/>
      <c r="AA575" s="99"/>
      <c r="AB575" s="226"/>
      <c r="AC575" s="226"/>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99"/>
      <c r="BE575" s="99"/>
      <c r="BF575" s="99"/>
      <c r="BG575" s="99"/>
      <c r="BH575" s="99"/>
      <c r="BI575" s="99"/>
      <c r="BJ575" s="99"/>
      <c r="BK575" s="11"/>
      <c r="BL575" s="11"/>
    </row>
    <row r="576" spans="1:64" ht="12.75" hidden="1" customHeight="1" outlineLevel="1">
      <c r="A576" s="9"/>
      <c r="B576" s="9"/>
      <c r="C576" s="44"/>
      <c r="D576" s="128" t="str">
        <f>Asset11</f>
        <v>132kV concrete &amp; steel pole lines</v>
      </c>
      <c r="E576" s="9"/>
      <c r="F576" s="9"/>
      <c r="G576" s="194">
        <f>'Adjustment for previous period'!G472</f>
        <v>0</v>
      </c>
      <c r="H576" s="36"/>
      <c r="I576" s="36"/>
      <c r="J576" s="36"/>
      <c r="K576" s="36"/>
      <c r="L576" s="36"/>
      <c r="M576" s="36"/>
      <c r="N576" s="28"/>
      <c r="O576" s="28"/>
      <c r="P576" s="28"/>
      <c r="Q576" s="28"/>
      <c r="R576" s="28"/>
      <c r="S576" s="99"/>
      <c r="T576" s="99"/>
      <c r="U576" s="99"/>
      <c r="V576" s="99"/>
      <c r="W576" s="99"/>
      <c r="X576" s="99"/>
      <c r="Y576" s="99"/>
      <c r="Z576" s="99"/>
      <c r="AA576" s="99"/>
      <c r="AB576" s="226"/>
      <c r="AC576" s="226"/>
      <c r="AD576" s="226"/>
      <c r="AE576" s="226"/>
      <c r="AF576" s="226"/>
      <c r="AG576" s="226"/>
      <c r="AH576" s="226"/>
      <c r="AI576" s="226"/>
      <c r="AJ576" s="226"/>
      <c r="AK576" s="226"/>
      <c r="AL576" s="226"/>
      <c r="AM576" s="226"/>
      <c r="AN576" s="226"/>
      <c r="AO576" s="226"/>
      <c r="AP576" s="226"/>
      <c r="AQ576" s="226"/>
      <c r="AR576" s="226"/>
      <c r="AS576" s="226"/>
      <c r="AT576" s="226"/>
      <c r="AU576" s="226"/>
      <c r="AV576" s="226"/>
      <c r="AW576" s="226"/>
      <c r="AX576" s="226"/>
      <c r="AY576" s="226"/>
      <c r="AZ576" s="226"/>
      <c r="BA576" s="226"/>
      <c r="BB576" s="226"/>
      <c r="BC576" s="226"/>
      <c r="BD576" s="99"/>
      <c r="BE576" s="99"/>
      <c r="BF576" s="99"/>
      <c r="BG576" s="99"/>
      <c r="BH576" s="99"/>
      <c r="BI576" s="99"/>
      <c r="BJ576" s="99"/>
      <c r="BK576" s="11"/>
      <c r="BL576" s="11"/>
    </row>
    <row r="577" spans="1:64" ht="12.75" hidden="1" customHeight="1" outlineLevel="1">
      <c r="A577" s="9"/>
      <c r="B577" s="9"/>
      <c r="C577" s="44"/>
      <c r="D577" s="128" t="str">
        <f>Asset12</f>
        <v>132kV wood pole lines</v>
      </c>
      <c r="E577" s="9"/>
      <c r="F577" s="9"/>
      <c r="G577" s="194">
        <f>'Adjustment for previous period'!G473</f>
        <v>0</v>
      </c>
      <c r="H577" s="36"/>
      <c r="I577" s="36"/>
      <c r="J577" s="36"/>
      <c r="K577" s="36"/>
      <c r="L577" s="36"/>
      <c r="M577" s="36"/>
      <c r="N577" s="28"/>
      <c r="O577" s="28"/>
      <c r="P577" s="28"/>
      <c r="Q577" s="28"/>
      <c r="R577" s="28"/>
      <c r="S577" s="99"/>
      <c r="T577" s="99"/>
      <c r="U577" s="99"/>
      <c r="V577" s="99"/>
      <c r="W577" s="99"/>
      <c r="X577" s="99"/>
      <c r="Y577" s="99"/>
      <c r="Z577" s="99"/>
      <c r="AA577" s="99"/>
      <c r="AB577" s="226"/>
      <c r="AC577" s="226"/>
      <c r="AD577" s="226"/>
      <c r="AE577" s="226"/>
      <c r="AF577" s="226"/>
      <c r="AG577" s="226"/>
      <c r="AH577" s="226"/>
      <c r="AI577" s="226"/>
      <c r="AJ577" s="226"/>
      <c r="AK577" s="226"/>
      <c r="AL577" s="226"/>
      <c r="AM577" s="226"/>
      <c r="AN577" s="226"/>
      <c r="AO577" s="226"/>
      <c r="AP577" s="226"/>
      <c r="AQ577" s="226"/>
      <c r="AR577" s="226"/>
      <c r="AS577" s="226"/>
      <c r="AT577" s="226"/>
      <c r="AU577" s="226"/>
      <c r="AV577" s="226"/>
      <c r="AW577" s="226"/>
      <c r="AX577" s="226"/>
      <c r="AY577" s="226"/>
      <c r="AZ577" s="226"/>
      <c r="BA577" s="226"/>
      <c r="BB577" s="226"/>
      <c r="BC577" s="226"/>
      <c r="BD577" s="99"/>
      <c r="BE577" s="99"/>
      <c r="BF577" s="99"/>
      <c r="BG577" s="99"/>
      <c r="BH577" s="99"/>
      <c r="BI577" s="99"/>
      <c r="BJ577" s="99"/>
      <c r="BK577" s="11"/>
      <c r="BL577" s="11"/>
    </row>
    <row r="578" spans="1:64" ht="12.75" hidden="1" customHeight="1" outlineLevel="1">
      <c r="A578" s="9"/>
      <c r="B578" s="9"/>
      <c r="C578" s="44"/>
      <c r="D578" s="128" t="str">
        <f>Asset13</f>
        <v>132kV feeders underground</v>
      </c>
      <c r="E578" s="9"/>
      <c r="F578" s="9"/>
      <c r="G578" s="194">
        <f>'Adjustment for previous period'!G474</f>
        <v>0</v>
      </c>
      <c r="H578" s="36"/>
      <c r="I578" s="36"/>
      <c r="J578" s="36"/>
      <c r="K578" s="36"/>
      <c r="L578" s="36"/>
      <c r="M578" s="36"/>
      <c r="N578" s="28"/>
      <c r="O578" s="28"/>
      <c r="P578" s="28"/>
      <c r="Q578" s="28"/>
      <c r="R578" s="28"/>
      <c r="S578" s="99"/>
      <c r="T578" s="99"/>
      <c r="U578" s="99"/>
      <c r="V578" s="99"/>
      <c r="W578" s="99"/>
      <c r="X578" s="99"/>
      <c r="Y578" s="99"/>
      <c r="Z578" s="99"/>
      <c r="AA578" s="99"/>
      <c r="AB578" s="226"/>
      <c r="AC578" s="226"/>
      <c r="AD578" s="226"/>
      <c r="AE578" s="226"/>
      <c r="AF578" s="226"/>
      <c r="AG578" s="226"/>
      <c r="AH578" s="226"/>
      <c r="AI578" s="226"/>
      <c r="AJ578" s="226"/>
      <c r="AK578" s="226"/>
      <c r="AL578" s="226"/>
      <c r="AM578" s="226"/>
      <c r="AN578" s="226"/>
      <c r="AO578" s="226"/>
      <c r="AP578" s="226"/>
      <c r="AQ578" s="226"/>
      <c r="AR578" s="226"/>
      <c r="AS578" s="226"/>
      <c r="AT578" s="226"/>
      <c r="AU578" s="226"/>
      <c r="AV578" s="226"/>
      <c r="AW578" s="226"/>
      <c r="AX578" s="226"/>
      <c r="AY578" s="226"/>
      <c r="AZ578" s="226"/>
      <c r="BA578" s="226"/>
      <c r="BB578" s="226"/>
      <c r="BC578" s="226"/>
      <c r="BD578" s="99"/>
      <c r="BE578" s="99"/>
      <c r="BF578" s="99"/>
      <c r="BG578" s="99"/>
      <c r="BH578" s="99"/>
      <c r="BI578" s="99"/>
      <c r="BJ578" s="99"/>
      <c r="BK578" s="11"/>
      <c r="BL578" s="11"/>
    </row>
    <row r="579" spans="1:64" ht="12.75" hidden="1" customHeight="1" outlineLevel="1">
      <c r="A579" s="9"/>
      <c r="B579" s="9"/>
      <c r="C579" s="44"/>
      <c r="D579" s="128" t="str">
        <f>Asset14</f>
        <v>Cable tunnel (tx)</v>
      </c>
      <c r="E579" s="9"/>
      <c r="F579" s="9"/>
      <c r="G579" s="194">
        <f>'Adjustment for previous period'!G475</f>
        <v>0</v>
      </c>
      <c r="H579" s="36"/>
      <c r="I579" s="36"/>
      <c r="J579" s="36"/>
      <c r="K579" s="36"/>
      <c r="L579" s="36"/>
      <c r="M579" s="36"/>
      <c r="N579" s="28"/>
      <c r="O579" s="28"/>
      <c r="P579" s="28"/>
      <c r="Q579" s="28"/>
      <c r="R579" s="28"/>
      <c r="S579" s="99"/>
      <c r="T579" s="99"/>
      <c r="U579" s="99"/>
      <c r="V579" s="99"/>
      <c r="W579" s="99"/>
      <c r="X579" s="99"/>
      <c r="Y579" s="99"/>
      <c r="Z579" s="99"/>
      <c r="AA579" s="99"/>
      <c r="AB579" s="226"/>
      <c r="AC579" s="226"/>
      <c r="AD579" s="226"/>
      <c r="AE579" s="226"/>
      <c r="AF579" s="226"/>
      <c r="AG579" s="226"/>
      <c r="AH579" s="226"/>
      <c r="AI579" s="226"/>
      <c r="AJ579" s="226"/>
      <c r="AK579" s="226"/>
      <c r="AL579" s="226"/>
      <c r="AM579" s="226"/>
      <c r="AN579" s="226"/>
      <c r="AO579" s="226"/>
      <c r="AP579" s="226"/>
      <c r="AQ579" s="226"/>
      <c r="AR579" s="226"/>
      <c r="AS579" s="226"/>
      <c r="AT579" s="226"/>
      <c r="AU579" s="226"/>
      <c r="AV579" s="226"/>
      <c r="AW579" s="226"/>
      <c r="AX579" s="226"/>
      <c r="AY579" s="226"/>
      <c r="AZ579" s="226"/>
      <c r="BA579" s="226"/>
      <c r="BB579" s="226"/>
      <c r="BC579" s="226"/>
      <c r="BD579" s="99"/>
      <c r="BE579" s="99"/>
      <c r="BF579" s="99"/>
      <c r="BG579" s="99"/>
      <c r="BH579" s="99"/>
      <c r="BI579" s="99"/>
      <c r="BJ579" s="99"/>
      <c r="BK579" s="11"/>
      <c r="BL579" s="11"/>
    </row>
    <row r="580" spans="1:64" ht="12.75" hidden="1" customHeight="1" outlineLevel="1">
      <c r="A580" s="9"/>
      <c r="B580" s="9"/>
      <c r="C580" s="44"/>
      <c r="D580" s="128" t="str">
        <f>Asset15</f>
        <v>Network control &amp; com systems</v>
      </c>
      <c r="E580" s="9"/>
      <c r="F580" s="9"/>
      <c r="G580" s="194">
        <f>'Adjustment for previous period'!G476</f>
        <v>0</v>
      </c>
      <c r="H580" s="36"/>
      <c r="I580" s="36"/>
      <c r="J580" s="36"/>
      <c r="K580" s="36"/>
      <c r="L580" s="36"/>
      <c r="M580" s="36"/>
      <c r="N580" s="28"/>
      <c r="O580" s="28"/>
      <c r="P580" s="28"/>
      <c r="Q580" s="28"/>
      <c r="R580" s="28"/>
      <c r="S580" s="99"/>
      <c r="T580" s="99"/>
      <c r="U580" s="99"/>
      <c r="V580" s="99"/>
      <c r="W580" s="99"/>
      <c r="X580" s="99"/>
      <c r="Y580" s="99"/>
      <c r="Z580" s="99"/>
      <c r="AA580" s="99"/>
      <c r="AB580" s="226"/>
      <c r="AC580" s="226"/>
      <c r="AD580" s="226"/>
      <c r="AE580" s="226"/>
      <c r="AF580" s="226"/>
      <c r="AG580" s="226"/>
      <c r="AH580" s="226"/>
      <c r="AI580" s="226"/>
      <c r="AJ580" s="226"/>
      <c r="AK580" s="226"/>
      <c r="AL580" s="226"/>
      <c r="AM580" s="226"/>
      <c r="AN580" s="226"/>
      <c r="AO580" s="226"/>
      <c r="AP580" s="226"/>
      <c r="AQ580" s="226"/>
      <c r="AR580" s="226"/>
      <c r="AS580" s="226"/>
      <c r="AT580" s="226"/>
      <c r="AU580" s="226"/>
      <c r="AV580" s="226"/>
      <c r="AW580" s="226"/>
      <c r="AX580" s="226"/>
      <c r="AY580" s="226"/>
      <c r="AZ580" s="226"/>
      <c r="BA580" s="226"/>
      <c r="BB580" s="226"/>
      <c r="BC580" s="226"/>
      <c r="BD580" s="99"/>
      <c r="BE580" s="99"/>
      <c r="BF580" s="99"/>
      <c r="BG580" s="99"/>
      <c r="BH580" s="99"/>
      <c r="BI580" s="99"/>
      <c r="BJ580" s="99"/>
      <c r="BK580" s="11"/>
      <c r="BL580" s="11"/>
    </row>
    <row r="581" spans="1:64" ht="12.75" hidden="1" customHeight="1" outlineLevel="1">
      <c r="A581" s="9"/>
      <c r="B581" s="9"/>
      <c r="C581" s="44"/>
      <c r="D581" s="128" t="str">
        <f>Asset16</f>
        <v>Communications (digital) - tx</v>
      </c>
      <c r="E581" s="9"/>
      <c r="F581" s="9"/>
      <c r="G581" s="194">
        <f>'Adjustment for previous period'!G477</f>
        <v>0</v>
      </c>
      <c r="H581" s="36"/>
      <c r="I581" s="36"/>
      <c r="J581" s="36"/>
      <c r="K581" s="36"/>
      <c r="L581" s="36"/>
      <c r="M581" s="36"/>
      <c r="N581" s="28"/>
      <c r="O581" s="28"/>
      <c r="P581" s="28"/>
      <c r="Q581" s="28"/>
      <c r="R581" s="28"/>
      <c r="S581" s="99"/>
      <c r="T581" s="99"/>
      <c r="U581" s="99"/>
      <c r="V581" s="99"/>
      <c r="W581" s="99"/>
      <c r="X581" s="99"/>
      <c r="Y581" s="99"/>
      <c r="Z581" s="99"/>
      <c r="AA581" s="99"/>
      <c r="AB581" s="226"/>
      <c r="AC581" s="226"/>
      <c r="AD581" s="226"/>
      <c r="AE581" s="226"/>
      <c r="AF581" s="226"/>
      <c r="AG581" s="226"/>
      <c r="AH581" s="226"/>
      <c r="AI581" s="226"/>
      <c r="AJ581" s="226"/>
      <c r="AK581" s="226"/>
      <c r="AL581" s="226"/>
      <c r="AM581" s="226"/>
      <c r="AN581" s="226"/>
      <c r="AO581" s="226"/>
      <c r="AP581" s="226"/>
      <c r="AQ581" s="226"/>
      <c r="AR581" s="226"/>
      <c r="AS581" s="226"/>
      <c r="AT581" s="226"/>
      <c r="AU581" s="226"/>
      <c r="AV581" s="226"/>
      <c r="AW581" s="226"/>
      <c r="AX581" s="226"/>
      <c r="AY581" s="226"/>
      <c r="AZ581" s="226"/>
      <c r="BA581" s="226"/>
      <c r="BB581" s="226"/>
      <c r="BC581" s="226"/>
      <c r="BD581" s="99"/>
      <c r="BE581" s="99"/>
      <c r="BF581" s="99"/>
      <c r="BG581" s="99"/>
      <c r="BH581" s="99"/>
      <c r="BI581" s="99"/>
      <c r="BJ581" s="99"/>
      <c r="BK581" s="11"/>
      <c r="BL581" s="11"/>
    </row>
    <row r="582" spans="1:64" ht="12.75" hidden="1" customHeight="1" outlineLevel="1">
      <c r="A582" s="9"/>
      <c r="B582" s="9"/>
      <c r="C582" s="44"/>
      <c r="D582" s="128" t="str">
        <f>Asset17</f>
        <v>System IT (tx)</v>
      </c>
      <c r="E582" s="9"/>
      <c r="F582" s="9"/>
      <c r="G582" s="194">
        <f>'Adjustment for previous period'!G478</f>
        <v>0</v>
      </c>
      <c r="H582" s="36"/>
      <c r="I582" s="36"/>
      <c r="J582" s="36"/>
      <c r="K582" s="36"/>
      <c r="L582" s="36"/>
      <c r="M582" s="36"/>
      <c r="N582" s="28"/>
      <c r="O582" s="28"/>
      <c r="P582" s="28"/>
      <c r="Q582" s="28"/>
      <c r="R582" s="28"/>
      <c r="S582" s="99"/>
      <c r="T582" s="99"/>
      <c r="U582" s="99"/>
      <c r="V582" s="99"/>
      <c r="W582" s="99"/>
      <c r="X582" s="99"/>
      <c r="Y582" s="99"/>
      <c r="Z582" s="99"/>
      <c r="AA582" s="99"/>
      <c r="AB582" s="226"/>
      <c r="AC582" s="226"/>
      <c r="AD582" s="226"/>
      <c r="AE582" s="226"/>
      <c r="AF582" s="226"/>
      <c r="AG582" s="226"/>
      <c r="AH582" s="226"/>
      <c r="AI582" s="226"/>
      <c r="AJ582" s="226"/>
      <c r="AK582" s="226"/>
      <c r="AL582" s="226"/>
      <c r="AM582" s="226"/>
      <c r="AN582" s="226"/>
      <c r="AO582" s="226"/>
      <c r="AP582" s="226"/>
      <c r="AQ582" s="226"/>
      <c r="AR582" s="226"/>
      <c r="AS582" s="226"/>
      <c r="AT582" s="226"/>
      <c r="AU582" s="226"/>
      <c r="AV582" s="226"/>
      <c r="AW582" s="226"/>
      <c r="AX582" s="226"/>
      <c r="AY582" s="226"/>
      <c r="AZ582" s="226"/>
      <c r="BA582" s="226"/>
      <c r="BB582" s="226"/>
      <c r="BC582" s="226"/>
      <c r="BD582" s="99"/>
      <c r="BE582" s="99"/>
      <c r="BF582" s="99"/>
      <c r="BG582" s="99"/>
      <c r="BH582" s="99"/>
      <c r="BI582" s="99"/>
      <c r="BJ582" s="99"/>
      <c r="BK582" s="11"/>
      <c r="BL582" s="11"/>
    </row>
    <row r="583" spans="1:64" ht="12.75" hidden="1" customHeight="1" outlineLevel="1">
      <c r="A583" s="9"/>
      <c r="B583" s="9"/>
      <c r="C583" s="44"/>
      <c r="D583" s="128" t="str">
        <f>Asset18</f>
        <v>IT systems</v>
      </c>
      <c r="E583" s="9"/>
      <c r="F583" s="9"/>
      <c r="G583" s="194">
        <f>'Adjustment for previous period'!G479</f>
        <v>0</v>
      </c>
      <c r="H583" s="36"/>
      <c r="I583" s="36"/>
      <c r="J583" s="36"/>
      <c r="K583" s="36"/>
      <c r="L583" s="36"/>
      <c r="M583" s="36"/>
      <c r="N583" s="28"/>
      <c r="O583" s="28"/>
      <c r="P583" s="28"/>
      <c r="Q583" s="28"/>
      <c r="R583" s="28"/>
      <c r="S583" s="99"/>
      <c r="T583" s="99"/>
      <c r="U583" s="99"/>
      <c r="V583" s="99"/>
      <c r="W583" s="99"/>
      <c r="X583" s="99"/>
      <c r="Y583" s="99"/>
      <c r="Z583" s="99"/>
      <c r="AA583" s="99"/>
      <c r="AB583" s="226"/>
      <c r="AC583" s="226"/>
      <c r="AD583" s="226"/>
      <c r="AE583" s="226"/>
      <c r="AF583" s="226"/>
      <c r="AG583" s="226"/>
      <c r="AH583" s="226"/>
      <c r="AI583" s="226"/>
      <c r="AJ583" s="226"/>
      <c r="AK583" s="226"/>
      <c r="AL583" s="226"/>
      <c r="AM583" s="226"/>
      <c r="AN583" s="226"/>
      <c r="AO583" s="226"/>
      <c r="AP583" s="226"/>
      <c r="AQ583" s="226"/>
      <c r="AR583" s="226"/>
      <c r="AS583" s="226"/>
      <c r="AT583" s="226"/>
      <c r="AU583" s="226"/>
      <c r="AV583" s="226"/>
      <c r="AW583" s="226"/>
      <c r="AX583" s="226"/>
      <c r="AY583" s="226"/>
      <c r="AZ583" s="226"/>
      <c r="BA583" s="226"/>
      <c r="BB583" s="226"/>
      <c r="BC583" s="226"/>
      <c r="BD583" s="99"/>
      <c r="BE583" s="99"/>
      <c r="BF583" s="99"/>
      <c r="BG583" s="99"/>
      <c r="BH583" s="99"/>
      <c r="BI583" s="99"/>
      <c r="BJ583" s="99"/>
      <c r="BK583" s="11"/>
      <c r="BL583" s="11"/>
    </row>
    <row r="584" spans="1:64" ht="12.75" hidden="1" customHeight="1" outlineLevel="1">
      <c r="A584" s="9"/>
      <c r="B584" s="9"/>
      <c r="C584" s="44"/>
      <c r="D584" s="128" t="str">
        <f>Asset19</f>
        <v>Furniture, fittings, plant and equipment</v>
      </c>
      <c r="E584" s="9"/>
      <c r="F584" s="9"/>
      <c r="G584" s="194">
        <f>'Adjustment for previous period'!G480</f>
        <v>0</v>
      </c>
      <c r="H584" s="36"/>
      <c r="I584" s="36"/>
      <c r="J584" s="36"/>
      <c r="K584" s="36"/>
      <c r="L584" s="36"/>
      <c r="M584" s="36"/>
      <c r="N584" s="28"/>
      <c r="O584" s="28"/>
      <c r="P584" s="28"/>
      <c r="Q584" s="28"/>
      <c r="R584" s="28"/>
      <c r="S584" s="99"/>
      <c r="T584" s="99"/>
      <c r="U584" s="99"/>
      <c r="V584" s="99"/>
      <c r="W584" s="99"/>
      <c r="X584" s="99"/>
      <c r="Y584" s="99"/>
      <c r="Z584" s="99"/>
      <c r="AA584" s="99"/>
      <c r="AB584" s="226"/>
      <c r="AC584" s="226"/>
      <c r="AD584" s="226"/>
      <c r="AE584" s="226"/>
      <c r="AF584" s="226"/>
      <c r="AG584" s="226"/>
      <c r="AH584" s="226"/>
      <c r="AI584" s="226"/>
      <c r="AJ584" s="226"/>
      <c r="AK584" s="226"/>
      <c r="AL584" s="226"/>
      <c r="AM584" s="226"/>
      <c r="AN584" s="226"/>
      <c r="AO584" s="226"/>
      <c r="AP584" s="226"/>
      <c r="AQ584" s="226"/>
      <c r="AR584" s="226"/>
      <c r="AS584" s="226"/>
      <c r="AT584" s="226"/>
      <c r="AU584" s="226"/>
      <c r="AV584" s="226"/>
      <c r="AW584" s="226"/>
      <c r="AX584" s="226"/>
      <c r="AY584" s="226"/>
      <c r="AZ584" s="226"/>
      <c r="BA584" s="226"/>
      <c r="BB584" s="226"/>
      <c r="BC584" s="226"/>
      <c r="BD584" s="99"/>
      <c r="BE584" s="99"/>
      <c r="BF584" s="99"/>
      <c r="BG584" s="99"/>
      <c r="BH584" s="99"/>
      <c r="BI584" s="99"/>
      <c r="BJ584" s="99"/>
      <c r="BK584" s="11"/>
      <c r="BL584" s="11"/>
    </row>
    <row r="585" spans="1:64" ht="12.75" hidden="1" customHeight="1" outlineLevel="1">
      <c r="A585" s="9"/>
      <c r="B585" s="9"/>
      <c r="C585" s="44"/>
      <c r="D585" s="128" t="str">
        <f>Asset20</f>
        <v>Motor vehicles</v>
      </c>
      <c r="E585" s="9"/>
      <c r="F585" s="9"/>
      <c r="G585" s="194">
        <f>'Adjustment for previous period'!G481</f>
        <v>0</v>
      </c>
      <c r="H585" s="36"/>
      <c r="I585" s="36"/>
      <c r="J585" s="36"/>
      <c r="K585" s="36"/>
      <c r="L585" s="36"/>
      <c r="M585" s="36"/>
      <c r="N585" s="28"/>
      <c r="O585" s="28"/>
      <c r="P585" s="28"/>
      <c r="Q585" s="28"/>
      <c r="R585" s="28"/>
      <c r="S585" s="99"/>
      <c r="T585" s="99"/>
      <c r="U585" s="99"/>
      <c r="V585" s="99"/>
      <c r="W585" s="99"/>
      <c r="X585" s="99"/>
      <c r="Y585" s="99"/>
      <c r="Z585" s="99"/>
      <c r="AA585" s="99"/>
      <c r="AB585" s="226"/>
      <c r="AC585" s="226"/>
      <c r="AD585" s="226"/>
      <c r="AE585" s="226"/>
      <c r="AF585" s="226"/>
      <c r="AG585" s="226"/>
      <c r="AH585" s="226"/>
      <c r="AI585" s="226"/>
      <c r="AJ585" s="226"/>
      <c r="AK585" s="226"/>
      <c r="AL585" s="226"/>
      <c r="AM585" s="226"/>
      <c r="AN585" s="226"/>
      <c r="AO585" s="226"/>
      <c r="AP585" s="226"/>
      <c r="AQ585" s="226"/>
      <c r="AR585" s="226"/>
      <c r="AS585" s="226"/>
      <c r="AT585" s="226"/>
      <c r="AU585" s="226"/>
      <c r="AV585" s="226"/>
      <c r="AW585" s="226"/>
      <c r="AX585" s="226"/>
      <c r="AY585" s="226"/>
      <c r="AZ585" s="226"/>
      <c r="BA585" s="226"/>
      <c r="BB585" s="226"/>
      <c r="BC585" s="226"/>
      <c r="BD585" s="99"/>
      <c r="BE585" s="99"/>
      <c r="BF585" s="99"/>
      <c r="BG585" s="99"/>
      <c r="BH585" s="99"/>
      <c r="BI585" s="99"/>
      <c r="BJ585" s="99"/>
      <c r="BK585" s="11"/>
      <c r="BL585" s="11"/>
    </row>
    <row r="586" spans="1:64" ht="4.5" hidden="1" customHeight="1" outlineLevel="1">
      <c r="A586" s="9"/>
      <c r="B586" s="9"/>
      <c r="C586" s="44"/>
      <c r="D586" s="128" t="str">
        <f>Asset21</f>
        <v>Buildings</v>
      </c>
      <c r="E586" s="9"/>
      <c r="F586" s="9"/>
      <c r="G586" s="194">
        <f>'Adjustment for previous period'!G482</f>
        <v>0</v>
      </c>
      <c r="H586" s="36"/>
      <c r="I586" s="36"/>
      <c r="J586" s="36"/>
      <c r="K586" s="36"/>
      <c r="L586" s="36"/>
      <c r="M586" s="36"/>
      <c r="N586" s="28"/>
      <c r="O586" s="28"/>
      <c r="P586" s="28"/>
      <c r="Q586" s="28"/>
      <c r="R586" s="28"/>
      <c r="S586" s="99"/>
      <c r="T586" s="99"/>
      <c r="U586" s="99"/>
      <c r="V586" s="99"/>
      <c r="W586" s="99"/>
      <c r="X586" s="99"/>
      <c r="Y586" s="99"/>
      <c r="Z586" s="99"/>
      <c r="AA586" s="99"/>
      <c r="AB586" s="226"/>
      <c r="AC586" s="226"/>
      <c r="AD586" s="226"/>
      <c r="AE586" s="226"/>
      <c r="AF586" s="226"/>
      <c r="AG586" s="226"/>
      <c r="AH586" s="226"/>
      <c r="AI586" s="226"/>
      <c r="AJ586" s="226"/>
      <c r="AK586" s="226"/>
      <c r="AL586" s="226"/>
      <c r="AM586" s="226"/>
      <c r="AN586" s="226"/>
      <c r="AO586" s="226"/>
      <c r="AP586" s="226"/>
      <c r="AQ586" s="226"/>
      <c r="AR586" s="226"/>
      <c r="AS586" s="226"/>
      <c r="AT586" s="226"/>
      <c r="AU586" s="226"/>
      <c r="AV586" s="226"/>
      <c r="AW586" s="226"/>
      <c r="AX586" s="226"/>
      <c r="AY586" s="226"/>
      <c r="AZ586" s="226"/>
      <c r="BA586" s="226"/>
      <c r="BB586" s="226"/>
      <c r="BC586" s="226"/>
      <c r="BD586" s="99"/>
      <c r="BE586" s="99"/>
      <c r="BF586" s="99"/>
      <c r="BG586" s="99"/>
      <c r="BH586" s="99"/>
      <c r="BI586" s="99"/>
      <c r="BJ586" s="99"/>
      <c r="BK586" s="11"/>
      <c r="BL586" s="11"/>
    </row>
    <row r="587" spans="1:64" ht="4.5" hidden="1" customHeight="1" outlineLevel="1">
      <c r="A587" s="9"/>
      <c r="B587" s="9"/>
      <c r="C587" s="44"/>
      <c r="D587" s="128" t="str">
        <f>Asset22</f>
        <v>Land (non-system)</v>
      </c>
      <c r="E587" s="9"/>
      <c r="F587" s="9"/>
      <c r="G587" s="194">
        <f>'Adjustment for previous period'!G483</f>
        <v>0</v>
      </c>
      <c r="H587" s="36"/>
      <c r="I587" s="36"/>
      <c r="J587" s="36"/>
      <c r="K587" s="36"/>
      <c r="L587" s="36"/>
      <c r="M587" s="36"/>
      <c r="N587" s="28"/>
      <c r="O587" s="28"/>
      <c r="P587" s="28"/>
      <c r="Q587" s="28"/>
      <c r="R587" s="28"/>
      <c r="S587" s="99"/>
      <c r="T587" s="99"/>
      <c r="U587" s="99"/>
      <c r="V587" s="99"/>
      <c r="W587" s="99"/>
      <c r="X587" s="99"/>
      <c r="Y587" s="99"/>
      <c r="Z587" s="99"/>
      <c r="AA587" s="99"/>
      <c r="AB587" s="226"/>
      <c r="AC587" s="226"/>
      <c r="AD587" s="226"/>
      <c r="AE587" s="226"/>
      <c r="AF587" s="226"/>
      <c r="AG587" s="226"/>
      <c r="AH587" s="226"/>
      <c r="AI587" s="226"/>
      <c r="AJ587" s="226"/>
      <c r="AK587" s="226"/>
      <c r="AL587" s="226"/>
      <c r="AM587" s="226"/>
      <c r="AN587" s="226"/>
      <c r="AO587" s="226"/>
      <c r="AP587" s="226"/>
      <c r="AQ587" s="226"/>
      <c r="AR587" s="226"/>
      <c r="AS587" s="226"/>
      <c r="AT587" s="226"/>
      <c r="AU587" s="226"/>
      <c r="AV587" s="226"/>
      <c r="AW587" s="226"/>
      <c r="AX587" s="226"/>
      <c r="AY587" s="226"/>
      <c r="AZ587" s="226"/>
      <c r="BA587" s="226"/>
      <c r="BB587" s="226"/>
      <c r="BC587" s="226"/>
      <c r="BD587" s="99"/>
      <c r="BE587" s="99"/>
      <c r="BF587" s="99"/>
      <c r="BG587" s="99"/>
      <c r="BH587" s="99"/>
      <c r="BI587" s="99"/>
      <c r="BJ587" s="99"/>
      <c r="BK587" s="11"/>
      <c r="BL587" s="11"/>
    </row>
    <row r="588" spans="1:64" ht="4.5" hidden="1" customHeight="1" outlineLevel="1">
      <c r="A588" s="9"/>
      <c r="B588" s="9"/>
      <c r="C588" s="44"/>
      <c r="D588" s="128" t="str">
        <f>Asset23</f>
        <v>Other non system assets</v>
      </c>
      <c r="E588" s="9"/>
      <c r="F588" s="9"/>
      <c r="G588" s="194">
        <f>'Adjustment for previous period'!G484</f>
        <v>0</v>
      </c>
      <c r="H588" s="36"/>
      <c r="I588" s="36"/>
      <c r="J588" s="36"/>
      <c r="K588" s="36"/>
      <c r="L588" s="36"/>
      <c r="M588" s="36"/>
      <c r="N588" s="28"/>
      <c r="O588" s="28"/>
      <c r="P588" s="28"/>
      <c r="Q588" s="28"/>
      <c r="R588" s="28"/>
      <c r="S588" s="99"/>
      <c r="T588" s="99"/>
      <c r="U588" s="99"/>
      <c r="V588" s="99"/>
      <c r="W588" s="99"/>
      <c r="X588" s="99"/>
      <c r="Y588" s="99"/>
      <c r="Z588" s="99"/>
      <c r="AA588" s="99"/>
      <c r="AB588" s="226"/>
      <c r="AC588" s="226"/>
      <c r="AD588" s="226"/>
      <c r="AE588" s="226"/>
      <c r="AF588" s="226"/>
      <c r="AG588" s="226"/>
      <c r="AH588" s="226"/>
      <c r="AI588" s="226"/>
      <c r="AJ588" s="226"/>
      <c r="AK588" s="226"/>
      <c r="AL588" s="226"/>
      <c r="AM588" s="226"/>
      <c r="AN588" s="226"/>
      <c r="AO588" s="226"/>
      <c r="AP588" s="226"/>
      <c r="AQ588" s="226"/>
      <c r="AR588" s="226"/>
      <c r="AS588" s="226"/>
      <c r="AT588" s="226"/>
      <c r="AU588" s="226"/>
      <c r="AV588" s="226"/>
      <c r="AW588" s="226"/>
      <c r="AX588" s="226"/>
      <c r="AY588" s="226"/>
      <c r="AZ588" s="226"/>
      <c r="BA588" s="226"/>
      <c r="BB588" s="226"/>
      <c r="BC588" s="226"/>
      <c r="BD588" s="99"/>
      <c r="BE588" s="99"/>
      <c r="BF588" s="99"/>
      <c r="BG588" s="99"/>
      <c r="BH588" s="99"/>
      <c r="BI588" s="99"/>
      <c r="BJ588" s="99"/>
      <c r="BK588" s="11"/>
      <c r="BL588" s="11"/>
    </row>
    <row r="589" spans="1:64" ht="4.5" hidden="1" customHeight="1" outlineLevel="1">
      <c r="A589" s="9"/>
      <c r="B589" s="9"/>
      <c r="C589" s="44"/>
      <c r="D589" s="128" t="str">
        <f>Asset24</f>
        <v>Equity raising costs</v>
      </c>
      <c r="E589" s="9"/>
      <c r="F589" s="9"/>
      <c r="G589" s="194">
        <f>'Adjustment for previous period'!G485</f>
        <v>0</v>
      </c>
      <c r="H589" s="36"/>
      <c r="I589" s="36"/>
      <c r="J589" s="36"/>
      <c r="K589" s="36"/>
      <c r="L589" s="36"/>
      <c r="M589" s="36"/>
      <c r="N589" s="28"/>
      <c r="O589" s="28"/>
      <c r="P589" s="28"/>
      <c r="Q589" s="28"/>
      <c r="R589" s="28"/>
      <c r="S589" s="99"/>
      <c r="T589" s="99"/>
      <c r="U589" s="99"/>
      <c r="V589" s="99"/>
      <c r="W589" s="99"/>
      <c r="X589" s="99"/>
      <c r="Y589" s="99"/>
      <c r="Z589" s="99"/>
      <c r="AA589" s="99"/>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6"/>
      <c r="AY589" s="226"/>
      <c r="AZ589" s="226"/>
      <c r="BA589" s="226"/>
      <c r="BB589" s="226"/>
      <c r="BC589" s="226"/>
      <c r="BD589" s="99"/>
      <c r="BE589" s="99"/>
      <c r="BF589" s="99"/>
      <c r="BG589" s="99"/>
      <c r="BH589" s="99"/>
      <c r="BI589" s="99"/>
      <c r="BJ589" s="99"/>
      <c r="BK589" s="11"/>
      <c r="BL589" s="11"/>
    </row>
    <row r="590" spans="1:64" ht="4.5" hidden="1" customHeight="1" outlineLevel="1">
      <c r="A590" s="9"/>
      <c r="B590" s="9"/>
      <c r="C590" s="44"/>
      <c r="D590" s="128">
        <f>Asset25</f>
        <v>0</v>
      </c>
      <c r="E590" s="9"/>
      <c r="F590" s="9"/>
      <c r="G590" s="194">
        <f>'Adjustment for previous period'!G486</f>
        <v>0</v>
      </c>
      <c r="H590" s="36"/>
      <c r="I590" s="36"/>
      <c r="J590" s="36"/>
      <c r="K590" s="36"/>
      <c r="L590" s="36"/>
      <c r="M590" s="36"/>
      <c r="N590" s="28"/>
      <c r="O590" s="28"/>
      <c r="P590" s="28"/>
      <c r="Q590" s="28"/>
      <c r="R590" s="28"/>
      <c r="S590" s="99"/>
      <c r="T590" s="99"/>
      <c r="U590" s="99"/>
      <c r="V590" s="99"/>
      <c r="W590" s="99"/>
      <c r="X590" s="99"/>
      <c r="Y590" s="99"/>
      <c r="Z590" s="99"/>
      <c r="AA590" s="99"/>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6"/>
      <c r="AY590" s="226"/>
      <c r="AZ590" s="226"/>
      <c r="BA590" s="226"/>
      <c r="BB590" s="226"/>
      <c r="BC590" s="226"/>
      <c r="BD590" s="99"/>
      <c r="BE590" s="99"/>
      <c r="BF590" s="99"/>
      <c r="BG590" s="99"/>
      <c r="BH590" s="99"/>
      <c r="BI590" s="99"/>
      <c r="BJ590" s="99"/>
      <c r="BK590" s="11"/>
      <c r="BL590" s="11"/>
    </row>
    <row r="591" spans="1:64" ht="4.5" hidden="1" customHeight="1" outlineLevel="1">
      <c r="A591" s="9"/>
      <c r="B591" s="9"/>
      <c r="C591" s="44"/>
      <c r="D591" s="128">
        <f>Asset26</f>
        <v>0</v>
      </c>
      <c r="E591" s="9"/>
      <c r="F591" s="9"/>
      <c r="G591" s="194">
        <f>'Adjustment for previous period'!G487</f>
        <v>0</v>
      </c>
      <c r="H591" s="36"/>
      <c r="I591" s="36"/>
      <c r="J591" s="36"/>
      <c r="K591" s="36"/>
      <c r="L591" s="36"/>
      <c r="M591" s="36"/>
      <c r="N591" s="28"/>
      <c r="O591" s="28"/>
      <c r="P591" s="28"/>
      <c r="Q591" s="28"/>
      <c r="R591" s="28"/>
      <c r="S591" s="99"/>
      <c r="T591" s="99"/>
      <c r="U591" s="99"/>
      <c r="V591" s="99"/>
      <c r="W591" s="99"/>
      <c r="X591" s="99"/>
      <c r="Y591" s="99"/>
      <c r="Z591" s="99"/>
      <c r="AA591" s="99"/>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c r="BA591" s="226"/>
      <c r="BB591" s="226"/>
      <c r="BC591" s="226"/>
      <c r="BD591" s="99"/>
      <c r="BE591" s="99"/>
      <c r="BF591" s="99"/>
      <c r="BG591" s="99"/>
      <c r="BH591" s="99"/>
      <c r="BI591" s="99"/>
      <c r="BJ591" s="99"/>
      <c r="BK591" s="11"/>
      <c r="BL591" s="11"/>
    </row>
    <row r="592" spans="1:64" ht="4.5" hidden="1" customHeight="1" outlineLevel="1">
      <c r="A592" s="9"/>
      <c r="B592" s="9"/>
      <c r="C592" s="44"/>
      <c r="D592" s="128">
        <f>Asset27</f>
        <v>0</v>
      </c>
      <c r="E592" s="9"/>
      <c r="F592" s="9"/>
      <c r="G592" s="194">
        <f>'Adjustment for previous period'!G488</f>
        <v>0</v>
      </c>
      <c r="H592" s="36"/>
      <c r="I592" s="36"/>
      <c r="J592" s="36"/>
      <c r="K592" s="36"/>
      <c r="L592" s="36"/>
      <c r="M592" s="36"/>
      <c r="N592" s="28"/>
      <c r="O592" s="28"/>
      <c r="P592" s="28"/>
      <c r="Q592" s="28"/>
      <c r="R592" s="28"/>
      <c r="S592" s="99"/>
      <c r="T592" s="99"/>
      <c r="U592" s="99"/>
      <c r="V592" s="99"/>
      <c r="W592" s="99"/>
      <c r="X592" s="99"/>
      <c r="Y592" s="99"/>
      <c r="Z592" s="99"/>
      <c r="AA592" s="99"/>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6"/>
      <c r="AY592" s="226"/>
      <c r="AZ592" s="226"/>
      <c r="BA592" s="226"/>
      <c r="BB592" s="226"/>
      <c r="BC592" s="226"/>
      <c r="BD592" s="99"/>
      <c r="BE592" s="99"/>
      <c r="BF592" s="99"/>
      <c r="BG592" s="99"/>
      <c r="BH592" s="99"/>
      <c r="BI592" s="99"/>
      <c r="BJ592" s="99"/>
      <c r="BK592" s="11"/>
      <c r="BL592" s="11"/>
    </row>
    <row r="593" spans="1:64" ht="4.5" hidden="1" customHeight="1" outlineLevel="1">
      <c r="A593" s="9"/>
      <c r="B593" s="9"/>
      <c r="C593" s="44"/>
      <c r="D593" s="128">
        <f>Asset28</f>
        <v>0</v>
      </c>
      <c r="E593" s="9"/>
      <c r="F593" s="9"/>
      <c r="G593" s="194">
        <f>'Adjustment for previous period'!G489</f>
        <v>0</v>
      </c>
      <c r="H593" s="36"/>
      <c r="I593" s="36"/>
      <c r="J593" s="36"/>
      <c r="K593" s="36"/>
      <c r="L593" s="36"/>
      <c r="M593" s="36"/>
      <c r="N593" s="28"/>
      <c r="O593" s="28"/>
      <c r="P593" s="28"/>
      <c r="Q593" s="28"/>
      <c r="R593" s="28"/>
      <c r="S593" s="99"/>
      <c r="T593" s="99"/>
      <c r="U593" s="99"/>
      <c r="V593" s="99"/>
      <c r="W593" s="99"/>
      <c r="X593" s="99"/>
      <c r="Y593" s="99"/>
      <c r="Z593" s="99"/>
      <c r="AA593" s="99"/>
      <c r="AB593" s="226"/>
      <c r="AC593" s="226"/>
      <c r="AD593" s="226"/>
      <c r="AE593" s="226"/>
      <c r="AF593" s="226"/>
      <c r="AG593" s="226"/>
      <c r="AH593" s="226"/>
      <c r="AI593" s="226"/>
      <c r="AJ593" s="226"/>
      <c r="AK593" s="226"/>
      <c r="AL593" s="226"/>
      <c r="AM593" s="226"/>
      <c r="AN593" s="226"/>
      <c r="AO593" s="226"/>
      <c r="AP593" s="226"/>
      <c r="AQ593" s="226"/>
      <c r="AR593" s="226"/>
      <c r="AS593" s="226"/>
      <c r="AT593" s="226"/>
      <c r="AU593" s="226"/>
      <c r="AV593" s="226"/>
      <c r="AW593" s="226"/>
      <c r="AX593" s="226"/>
      <c r="AY593" s="226"/>
      <c r="AZ593" s="226"/>
      <c r="BA593" s="226"/>
      <c r="BB593" s="226"/>
      <c r="BC593" s="226"/>
      <c r="BD593" s="99"/>
      <c r="BE593" s="99"/>
      <c r="BF593" s="99"/>
      <c r="BG593" s="99"/>
      <c r="BH593" s="99"/>
      <c r="BI593" s="99"/>
      <c r="BJ593" s="99"/>
      <c r="BK593" s="11"/>
      <c r="BL593" s="11"/>
    </row>
    <row r="594" spans="1:64" ht="4.5" hidden="1" customHeight="1" outlineLevel="1">
      <c r="A594" s="9"/>
      <c r="B594" s="9"/>
      <c r="C594" s="44"/>
      <c r="D594" s="128">
        <f>Asset29</f>
        <v>0</v>
      </c>
      <c r="E594" s="9"/>
      <c r="F594" s="9"/>
      <c r="G594" s="194">
        <f>'Adjustment for previous period'!G490</f>
        <v>0</v>
      </c>
      <c r="H594" s="36"/>
      <c r="I594" s="36"/>
      <c r="J594" s="36"/>
      <c r="K594" s="36"/>
      <c r="L594" s="36"/>
      <c r="M594" s="36"/>
      <c r="N594" s="28"/>
      <c r="O594" s="28"/>
      <c r="P594" s="28"/>
      <c r="Q594" s="28"/>
      <c r="R594" s="28"/>
      <c r="S594" s="99"/>
      <c r="T594" s="99"/>
      <c r="U594" s="99"/>
      <c r="V594" s="99"/>
      <c r="W594" s="99"/>
      <c r="X594" s="99"/>
      <c r="Y594" s="99"/>
      <c r="Z594" s="99"/>
      <c r="AA594" s="99"/>
      <c r="AB594" s="226"/>
      <c r="AC594" s="226"/>
      <c r="AD594" s="226"/>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c r="BA594" s="226"/>
      <c r="BB594" s="226"/>
      <c r="BC594" s="226"/>
      <c r="BD594" s="99"/>
      <c r="BE594" s="99"/>
      <c r="BF594" s="99"/>
      <c r="BG594" s="99"/>
      <c r="BH594" s="99"/>
      <c r="BI594" s="99"/>
      <c r="BJ594" s="99"/>
      <c r="BK594" s="11"/>
      <c r="BL594" s="11"/>
    </row>
    <row r="595" spans="1:64" ht="4.5" hidden="1" customHeight="1" outlineLevel="1">
      <c r="A595" s="9"/>
      <c r="B595" s="9"/>
      <c r="C595" s="44"/>
      <c r="D595" s="128">
        <f>Asset30</f>
        <v>0</v>
      </c>
      <c r="E595" s="9"/>
      <c r="F595" s="9"/>
      <c r="G595" s="194">
        <f>'Adjustment for previous period'!G491</f>
        <v>0</v>
      </c>
      <c r="H595" s="36"/>
      <c r="I595" s="36"/>
      <c r="J595" s="36"/>
      <c r="K595" s="36"/>
      <c r="L595" s="36"/>
      <c r="M595" s="36"/>
      <c r="N595" s="28"/>
      <c r="O595" s="28"/>
      <c r="P595" s="28"/>
      <c r="Q595" s="28"/>
      <c r="R595" s="28"/>
      <c r="S595" s="99"/>
      <c r="T595" s="99"/>
      <c r="U595" s="99"/>
      <c r="V595" s="99"/>
      <c r="W595" s="99"/>
      <c r="X595" s="99"/>
      <c r="Y595" s="99"/>
      <c r="Z595" s="99"/>
      <c r="AA595" s="99"/>
      <c r="AB595" s="226"/>
      <c r="AC595" s="226"/>
      <c r="AD595" s="226"/>
      <c r="AE595" s="226"/>
      <c r="AF595" s="226"/>
      <c r="AG595" s="226"/>
      <c r="AH595" s="226"/>
      <c r="AI595" s="226"/>
      <c r="AJ595" s="226"/>
      <c r="AK595" s="226"/>
      <c r="AL595" s="226"/>
      <c r="AM595" s="226"/>
      <c r="AN595" s="226"/>
      <c r="AO595" s="226"/>
      <c r="AP595" s="226"/>
      <c r="AQ595" s="226"/>
      <c r="AR595" s="226"/>
      <c r="AS595" s="226"/>
      <c r="AT595" s="226"/>
      <c r="AU595" s="226"/>
      <c r="AV595" s="226"/>
      <c r="AW595" s="226"/>
      <c r="AX595" s="226"/>
      <c r="AY595" s="226"/>
      <c r="AZ595" s="226"/>
      <c r="BA595" s="226"/>
      <c r="BB595" s="226"/>
      <c r="BC595" s="226"/>
      <c r="BD595" s="99"/>
      <c r="BE595" s="99"/>
      <c r="BF595" s="99"/>
      <c r="BG595" s="99"/>
      <c r="BH595" s="99"/>
      <c r="BI595" s="99"/>
      <c r="BJ595" s="99"/>
      <c r="BK595" s="11"/>
      <c r="BL595" s="11"/>
    </row>
    <row r="596" spans="1:64" collapsed="1">
      <c r="A596" s="9"/>
      <c r="B596" s="9"/>
      <c r="C596" s="44"/>
      <c r="D596" s="112"/>
      <c r="E596" s="9"/>
      <c r="F596" s="9"/>
      <c r="G596" s="199"/>
      <c r="H596" s="36"/>
      <c r="I596" s="36"/>
      <c r="J596" s="36"/>
      <c r="K596" s="36"/>
      <c r="L596" s="36"/>
      <c r="M596" s="36"/>
      <c r="N596" s="28"/>
      <c r="O596" s="28"/>
      <c r="P596" s="28"/>
      <c r="Q596" s="28"/>
      <c r="R596" s="28"/>
      <c r="S596" s="99"/>
      <c r="T596" s="99"/>
      <c r="U596" s="99"/>
      <c r="V596" s="99"/>
      <c r="W596" s="99"/>
      <c r="X596" s="99"/>
      <c r="Y596" s="99"/>
      <c r="Z596" s="99"/>
      <c r="AA596" s="99"/>
      <c r="AB596" s="226"/>
      <c r="AC596" s="226"/>
      <c r="AD596" s="226"/>
      <c r="AE596" s="226"/>
      <c r="AF596" s="226"/>
      <c r="AG596" s="226"/>
      <c r="AH596" s="226"/>
      <c r="AI596" s="226"/>
      <c r="AJ596" s="226"/>
      <c r="AK596" s="226"/>
      <c r="AL596" s="226"/>
      <c r="AM596" s="226"/>
      <c r="AN596" s="226"/>
      <c r="AO596" s="226"/>
      <c r="AP596" s="226"/>
      <c r="AQ596" s="226"/>
      <c r="AR596" s="226"/>
      <c r="AS596" s="226"/>
      <c r="AT596" s="226"/>
      <c r="AU596" s="226"/>
      <c r="AV596" s="226"/>
      <c r="AW596" s="226"/>
      <c r="AX596" s="226"/>
      <c r="AY596" s="226"/>
      <c r="AZ596" s="226"/>
      <c r="BA596" s="226"/>
      <c r="BB596" s="226"/>
      <c r="BC596" s="226"/>
      <c r="BD596" s="99"/>
      <c r="BE596" s="99"/>
      <c r="BF596" s="99"/>
      <c r="BG596" s="99"/>
      <c r="BH596" s="99"/>
      <c r="BI596" s="99"/>
      <c r="BJ596" s="99"/>
      <c r="BK596" s="11"/>
      <c r="BL596" s="11"/>
    </row>
    <row r="597" spans="1:64">
      <c r="A597" s="9"/>
      <c r="B597" s="9"/>
      <c r="C597" s="44" t="s">
        <v>62</v>
      </c>
      <c r="D597" s="128"/>
      <c r="E597" s="9"/>
      <c r="F597" s="9"/>
      <c r="G597" s="198">
        <f>SUM(G598:G627)</f>
        <v>0</v>
      </c>
      <c r="H597" s="109"/>
      <c r="I597" s="109"/>
      <c r="J597" s="109"/>
      <c r="K597" s="109"/>
      <c r="L597" s="109"/>
      <c r="M597" s="109"/>
      <c r="N597" s="28"/>
      <c r="O597" s="28"/>
      <c r="P597" s="28"/>
      <c r="Q597" s="28"/>
      <c r="R597" s="28"/>
      <c r="S597" s="99"/>
      <c r="T597" s="99"/>
      <c r="U597" s="99"/>
      <c r="V597" s="99"/>
      <c r="W597" s="99"/>
      <c r="X597" s="99"/>
      <c r="Y597" s="99"/>
      <c r="Z597" s="99"/>
      <c r="AA597" s="99"/>
      <c r="AB597" s="226"/>
      <c r="AC597" s="226"/>
      <c r="AD597" s="226"/>
      <c r="AE597" s="226"/>
      <c r="AF597" s="226"/>
      <c r="AG597" s="226"/>
      <c r="AH597" s="226"/>
      <c r="AI597" s="226"/>
      <c r="AJ597" s="226"/>
      <c r="AK597" s="226"/>
      <c r="AL597" s="226"/>
      <c r="AM597" s="226"/>
      <c r="AN597" s="226"/>
      <c r="AO597" s="226"/>
      <c r="AP597" s="226"/>
      <c r="AQ597" s="226"/>
      <c r="AR597" s="226"/>
      <c r="AS597" s="226"/>
      <c r="AT597" s="226"/>
      <c r="AU597" s="226"/>
      <c r="AV597" s="226"/>
      <c r="AW597" s="226"/>
      <c r="AX597" s="226"/>
      <c r="AY597" s="226"/>
      <c r="AZ597" s="226"/>
      <c r="BA597" s="226"/>
      <c r="BB597" s="226"/>
      <c r="BC597" s="226"/>
      <c r="BD597" s="99"/>
      <c r="BE597" s="99"/>
      <c r="BF597" s="99"/>
      <c r="BG597" s="99"/>
      <c r="BH597" s="99"/>
      <c r="BI597" s="99"/>
      <c r="BJ597" s="99"/>
      <c r="BK597" s="11"/>
      <c r="BL597" s="11"/>
    </row>
    <row r="598" spans="1:64" ht="12.75" customHeight="1" outlineLevel="1">
      <c r="A598" s="9"/>
      <c r="B598" s="9"/>
      <c r="C598" s="44"/>
      <c r="D598" s="128" t="str">
        <f>Asset1</f>
        <v>Transmission &amp; Zone land &amp; easements</v>
      </c>
      <c r="E598" s="9"/>
      <c r="F598" s="9"/>
      <c r="G598" s="194">
        <f>'Adjustment for previous period'!G494</f>
        <v>0</v>
      </c>
      <c r="H598" s="109"/>
      <c r="I598" s="109"/>
      <c r="J598" s="109"/>
      <c r="K598" s="109"/>
      <c r="L598" s="109"/>
      <c r="M598" s="109"/>
      <c r="N598" s="28"/>
      <c r="O598" s="28"/>
      <c r="P598" s="28"/>
      <c r="Q598" s="28"/>
      <c r="R598" s="28"/>
      <c r="S598" s="99"/>
      <c r="T598" s="99"/>
      <c r="U598" s="99"/>
      <c r="V598" s="99"/>
      <c r="W598" s="99"/>
      <c r="X598" s="99"/>
      <c r="Y598" s="99"/>
      <c r="Z598" s="99"/>
      <c r="AA598" s="99"/>
      <c r="AB598" s="226"/>
      <c r="AC598" s="226"/>
      <c r="AD598" s="226"/>
      <c r="AE598" s="226"/>
      <c r="AF598" s="226"/>
      <c r="AG598" s="226"/>
      <c r="AH598" s="226"/>
      <c r="AI598" s="226"/>
      <c r="AJ598" s="226"/>
      <c r="AK598" s="226"/>
      <c r="AL598" s="226"/>
      <c r="AM598" s="226"/>
      <c r="AN598" s="226"/>
      <c r="AO598" s="226"/>
      <c r="AP598" s="226"/>
      <c r="AQ598" s="226"/>
      <c r="AR598" s="226"/>
      <c r="AS598" s="226"/>
      <c r="AT598" s="226"/>
      <c r="AU598" s="226"/>
      <c r="AV598" s="226"/>
      <c r="AW598" s="226"/>
      <c r="AX598" s="226"/>
      <c r="AY598" s="226"/>
      <c r="AZ598" s="226"/>
      <c r="BA598" s="226"/>
      <c r="BB598" s="226"/>
      <c r="BC598" s="226"/>
      <c r="BD598" s="99"/>
      <c r="BE598" s="99"/>
      <c r="BF598" s="99"/>
      <c r="BG598" s="99"/>
      <c r="BH598" s="99"/>
      <c r="BI598" s="99"/>
      <c r="BJ598" s="99"/>
      <c r="BK598" s="11"/>
      <c r="BL598" s="11"/>
    </row>
    <row r="599" spans="1:64" ht="12.75" customHeight="1" outlineLevel="1">
      <c r="A599" s="9"/>
      <c r="B599" s="9"/>
      <c r="C599" s="44"/>
      <c r="D599" s="128" t="str">
        <f>Asset2</f>
        <v>Transmission buildings 132/66kV</v>
      </c>
      <c r="E599" s="9"/>
      <c r="F599" s="9"/>
      <c r="G599" s="194">
        <f>'Adjustment for previous period'!G495</f>
        <v>0</v>
      </c>
      <c r="H599" s="109"/>
      <c r="I599" s="109"/>
      <c r="J599" s="109"/>
      <c r="K599" s="109"/>
      <c r="L599" s="109"/>
      <c r="M599" s="109"/>
      <c r="N599" s="28"/>
      <c r="O599" s="28"/>
      <c r="P599" s="28"/>
      <c r="Q599" s="28"/>
      <c r="R599" s="28"/>
      <c r="S599" s="99"/>
      <c r="T599" s="99"/>
      <c r="U599" s="99"/>
      <c r="V599" s="99"/>
      <c r="W599" s="99"/>
      <c r="X599" s="99"/>
      <c r="Y599" s="99"/>
      <c r="Z599" s="99"/>
      <c r="AA599" s="99"/>
      <c r="AB599" s="226"/>
      <c r="AC599" s="226"/>
      <c r="AD599" s="226"/>
      <c r="AE599" s="226"/>
      <c r="AF599" s="226"/>
      <c r="AG599" s="226"/>
      <c r="AH599" s="226"/>
      <c r="AI599" s="226"/>
      <c r="AJ599" s="226"/>
      <c r="AK599" s="226"/>
      <c r="AL599" s="226"/>
      <c r="AM599" s="226"/>
      <c r="AN599" s="226"/>
      <c r="AO599" s="226"/>
      <c r="AP599" s="226"/>
      <c r="AQ599" s="226"/>
      <c r="AR599" s="226"/>
      <c r="AS599" s="226"/>
      <c r="AT599" s="226"/>
      <c r="AU599" s="226"/>
      <c r="AV599" s="226"/>
      <c r="AW599" s="226"/>
      <c r="AX599" s="226"/>
      <c r="AY599" s="226"/>
      <c r="AZ599" s="226"/>
      <c r="BA599" s="226"/>
      <c r="BB599" s="226"/>
      <c r="BC599" s="226"/>
      <c r="BD599" s="99"/>
      <c r="BE599" s="99"/>
      <c r="BF599" s="99"/>
      <c r="BG599" s="99"/>
      <c r="BH599" s="99"/>
      <c r="BI599" s="99"/>
      <c r="BJ599" s="99"/>
      <c r="BK599" s="11"/>
      <c r="BL599" s="11"/>
    </row>
    <row r="600" spans="1:64" ht="12.75" customHeight="1" outlineLevel="1">
      <c r="A600" s="9"/>
      <c r="B600" s="9"/>
      <c r="C600" s="44"/>
      <c r="D600" s="128" t="str">
        <f>Asset3</f>
        <v>Zone buildings 132/66kV</v>
      </c>
      <c r="E600" s="9"/>
      <c r="F600" s="9"/>
      <c r="G600" s="194">
        <f>'Adjustment for previous period'!G496</f>
        <v>0</v>
      </c>
      <c r="H600" s="109"/>
      <c r="I600" s="109"/>
      <c r="J600" s="109"/>
      <c r="K600" s="109"/>
      <c r="L600" s="109"/>
      <c r="M600" s="109"/>
      <c r="N600" s="28"/>
      <c r="O600" s="28"/>
      <c r="P600" s="28"/>
      <c r="Q600" s="28"/>
      <c r="R600" s="28"/>
      <c r="S600" s="99"/>
      <c r="T600" s="99"/>
      <c r="U600" s="99"/>
      <c r="V600" s="99"/>
      <c r="W600" s="99"/>
      <c r="X600" s="99"/>
      <c r="Y600" s="99"/>
      <c r="Z600" s="99"/>
      <c r="AA600" s="99"/>
      <c r="AB600" s="226"/>
      <c r="AC600" s="226"/>
      <c r="AD600" s="226"/>
      <c r="AE600" s="226"/>
      <c r="AF600" s="226"/>
      <c r="AG600" s="226"/>
      <c r="AH600" s="226"/>
      <c r="AI600" s="226"/>
      <c r="AJ600" s="226"/>
      <c r="AK600" s="226"/>
      <c r="AL600" s="226"/>
      <c r="AM600" s="226"/>
      <c r="AN600" s="226"/>
      <c r="AO600" s="226"/>
      <c r="AP600" s="226"/>
      <c r="AQ600" s="226"/>
      <c r="AR600" s="226"/>
      <c r="AS600" s="226"/>
      <c r="AT600" s="226"/>
      <c r="AU600" s="226"/>
      <c r="AV600" s="226"/>
      <c r="AW600" s="226"/>
      <c r="AX600" s="226"/>
      <c r="AY600" s="226"/>
      <c r="AZ600" s="226"/>
      <c r="BA600" s="226"/>
      <c r="BB600" s="226"/>
      <c r="BC600" s="226"/>
      <c r="BD600" s="99"/>
      <c r="BE600" s="99"/>
      <c r="BF600" s="99"/>
      <c r="BG600" s="99"/>
      <c r="BH600" s="99"/>
      <c r="BI600" s="99"/>
      <c r="BJ600" s="99"/>
      <c r="BK600" s="11"/>
      <c r="BL600" s="11"/>
    </row>
    <row r="601" spans="1:64" ht="12.75" customHeight="1" outlineLevel="1">
      <c r="A601" s="9"/>
      <c r="B601" s="9"/>
      <c r="C601" s="44"/>
      <c r="D601" s="128" t="str">
        <f>Asset4</f>
        <v>Transmission transformers 132/66kV</v>
      </c>
      <c r="E601" s="9"/>
      <c r="F601" s="9"/>
      <c r="G601" s="194">
        <f>'Adjustment for previous period'!G497</f>
        <v>0</v>
      </c>
      <c r="H601" s="109"/>
      <c r="I601" s="109"/>
      <c r="J601" s="109"/>
      <c r="K601" s="109"/>
      <c r="L601" s="109"/>
      <c r="M601" s="109"/>
      <c r="N601" s="28"/>
      <c r="O601" s="28"/>
      <c r="P601" s="28"/>
      <c r="Q601" s="28"/>
      <c r="R601" s="28"/>
      <c r="S601" s="99"/>
      <c r="T601" s="99"/>
      <c r="U601" s="99"/>
      <c r="V601" s="99"/>
      <c r="W601" s="99"/>
      <c r="X601" s="99"/>
      <c r="Y601" s="99"/>
      <c r="Z601" s="99"/>
      <c r="AA601" s="99"/>
      <c r="AB601" s="226"/>
      <c r="AC601" s="226"/>
      <c r="AD601" s="226"/>
      <c r="AE601" s="226"/>
      <c r="AF601" s="226"/>
      <c r="AG601" s="226"/>
      <c r="AH601" s="226"/>
      <c r="AI601" s="226"/>
      <c r="AJ601" s="226"/>
      <c r="AK601" s="226"/>
      <c r="AL601" s="226"/>
      <c r="AM601" s="226"/>
      <c r="AN601" s="226"/>
      <c r="AO601" s="226"/>
      <c r="AP601" s="226"/>
      <c r="AQ601" s="226"/>
      <c r="AR601" s="226"/>
      <c r="AS601" s="226"/>
      <c r="AT601" s="226"/>
      <c r="AU601" s="226"/>
      <c r="AV601" s="226"/>
      <c r="AW601" s="226"/>
      <c r="AX601" s="226"/>
      <c r="AY601" s="226"/>
      <c r="AZ601" s="226"/>
      <c r="BA601" s="226"/>
      <c r="BB601" s="226"/>
      <c r="BC601" s="226"/>
      <c r="BD601" s="99"/>
      <c r="BE601" s="99"/>
      <c r="BF601" s="99"/>
      <c r="BG601" s="99"/>
      <c r="BH601" s="99"/>
      <c r="BI601" s="99"/>
      <c r="BJ601" s="99"/>
      <c r="BK601" s="11"/>
      <c r="BL601" s="11"/>
    </row>
    <row r="602" spans="1:64" ht="12.75" customHeight="1" outlineLevel="1">
      <c r="A602" s="9"/>
      <c r="B602" s="9"/>
      <c r="C602" s="44"/>
      <c r="D602" s="128" t="str">
        <f>Asset5</f>
        <v>Zone transformers 132/66kV</v>
      </c>
      <c r="E602" s="9"/>
      <c r="F602" s="9"/>
      <c r="G602" s="194">
        <f>'Adjustment for previous period'!G498</f>
        <v>0</v>
      </c>
      <c r="H602" s="109"/>
      <c r="I602" s="109"/>
      <c r="J602" s="109"/>
      <c r="K602" s="109"/>
      <c r="L602" s="109"/>
      <c r="M602" s="109"/>
      <c r="N602" s="28"/>
      <c r="O602" s="28"/>
      <c r="P602" s="28"/>
      <c r="Q602" s="28"/>
      <c r="R602" s="28"/>
      <c r="S602" s="99"/>
      <c r="T602" s="99"/>
      <c r="U602" s="99"/>
      <c r="V602" s="99"/>
      <c r="W602" s="99"/>
      <c r="X602" s="99"/>
      <c r="Y602" s="99"/>
      <c r="Z602" s="99"/>
      <c r="AA602" s="99"/>
      <c r="AB602" s="226"/>
      <c r="AC602" s="226"/>
      <c r="AD602" s="226"/>
      <c r="AE602" s="226"/>
      <c r="AF602" s="226"/>
      <c r="AG602" s="226"/>
      <c r="AH602" s="226"/>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99"/>
      <c r="BE602" s="99"/>
      <c r="BF602" s="99"/>
      <c r="BG602" s="99"/>
      <c r="BH602" s="99"/>
      <c r="BI602" s="99"/>
      <c r="BJ602" s="99"/>
      <c r="BK602" s="11"/>
      <c r="BL602" s="11"/>
    </row>
    <row r="603" spans="1:64" ht="12.75" customHeight="1" outlineLevel="1">
      <c r="A603" s="9"/>
      <c r="B603" s="9"/>
      <c r="C603" s="44"/>
      <c r="D603" s="128" t="str">
        <f>Asset6</f>
        <v>Transmission substation equip 132/66kV</v>
      </c>
      <c r="E603" s="9"/>
      <c r="F603" s="9"/>
      <c r="G603" s="194">
        <f>'Adjustment for previous period'!G499</f>
        <v>0</v>
      </c>
      <c r="H603" s="109"/>
      <c r="I603" s="109"/>
      <c r="J603" s="109"/>
      <c r="K603" s="109"/>
      <c r="L603" s="109"/>
      <c r="M603" s="109"/>
      <c r="N603" s="28"/>
      <c r="O603" s="28"/>
      <c r="P603" s="28"/>
      <c r="Q603" s="28"/>
      <c r="R603" s="28"/>
      <c r="S603" s="99"/>
      <c r="T603" s="99"/>
      <c r="U603" s="99"/>
      <c r="V603" s="99"/>
      <c r="W603" s="99"/>
      <c r="X603" s="99"/>
      <c r="Y603" s="99"/>
      <c r="Z603" s="99"/>
      <c r="AA603" s="99"/>
      <c r="AB603" s="226"/>
      <c r="AC603" s="226"/>
      <c r="AD603" s="226"/>
      <c r="AE603" s="226"/>
      <c r="AF603" s="226"/>
      <c r="AG603" s="226"/>
      <c r="AH603" s="226"/>
      <c r="AI603" s="226"/>
      <c r="AJ603" s="226"/>
      <c r="AK603" s="226"/>
      <c r="AL603" s="226"/>
      <c r="AM603" s="226"/>
      <c r="AN603" s="226"/>
      <c r="AO603" s="226"/>
      <c r="AP603" s="226"/>
      <c r="AQ603" s="226"/>
      <c r="AR603" s="226"/>
      <c r="AS603" s="226"/>
      <c r="AT603" s="226"/>
      <c r="AU603" s="226"/>
      <c r="AV603" s="226"/>
      <c r="AW603" s="226"/>
      <c r="AX603" s="226"/>
      <c r="AY603" s="226"/>
      <c r="AZ603" s="226"/>
      <c r="BA603" s="226"/>
      <c r="BB603" s="226"/>
      <c r="BC603" s="226"/>
      <c r="BD603" s="99"/>
      <c r="BE603" s="99"/>
      <c r="BF603" s="99"/>
      <c r="BG603" s="99"/>
      <c r="BH603" s="99"/>
      <c r="BI603" s="99"/>
      <c r="BJ603" s="99"/>
      <c r="BK603" s="11"/>
      <c r="BL603" s="11"/>
    </row>
    <row r="604" spans="1:64" ht="12.75" customHeight="1" outlineLevel="1">
      <c r="A604" s="9"/>
      <c r="B604" s="9"/>
      <c r="C604" s="44"/>
      <c r="D604" s="128" t="str">
        <f>Asset7</f>
        <v>Zone substation equip 132/66kV</v>
      </c>
      <c r="E604" s="9"/>
      <c r="F604" s="9"/>
      <c r="G604" s="194">
        <f>'Adjustment for previous period'!G500</f>
        <v>0</v>
      </c>
      <c r="H604" s="109"/>
      <c r="I604" s="109"/>
      <c r="J604" s="109"/>
      <c r="K604" s="109"/>
      <c r="L604" s="109"/>
      <c r="M604" s="109"/>
      <c r="N604" s="28"/>
      <c r="O604" s="28"/>
      <c r="P604" s="28"/>
      <c r="Q604" s="28"/>
      <c r="R604" s="28"/>
      <c r="S604" s="99"/>
      <c r="T604" s="99"/>
      <c r="U604" s="99"/>
      <c r="V604" s="99"/>
      <c r="W604" s="99"/>
      <c r="X604" s="99"/>
      <c r="Y604" s="99"/>
      <c r="Z604" s="99"/>
      <c r="AA604" s="99"/>
      <c r="AB604" s="226"/>
      <c r="AC604" s="226"/>
      <c r="AD604" s="226"/>
      <c r="AE604" s="226"/>
      <c r="AF604" s="226"/>
      <c r="AG604" s="226"/>
      <c r="AH604" s="226"/>
      <c r="AI604" s="226"/>
      <c r="AJ604" s="226"/>
      <c r="AK604" s="226"/>
      <c r="AL604" s="226"/>
      <c r="AM604" s="226"/>
      <c r="AN604" s="226"/>
      <c r="AO604" s="226"/>
      <c r="AP604" s="226"/>
      <c r="AQ604" s="226"/>
      <c r="AR604" s="226"/>
      <c r="AS604" s="226"/>
      <c r="AT604" s="226"/>
      <c r="AU604" s="226"/>
      <c r="AV604" s="226"/>
      <c r="AW604" s="226"/>
      <c r="AX604" s="226"/>
      <c r="AY604" s="226"/>
      <c r="AZ604" s="226"/>
      <c r="BA604" s="226"/>
      <c r="BB604" s="226"/>
      <c r="BC604" s="226"/>
      <c r="BD604" s="99"/>
      <c r="BE604" s="99"/>
      <c r="BF604" s="99"/>
      <c r="BG604" s="99"/>
      <c r="BH604" s="99"/>
      <c r="BI604" s="99"/>
      <c r="BJ604" s="99"/>
      <c r="BK604" s="11"/>
      <c r="BL604" s="11"/>
    </row>
    <row r="605" spans="1:64" ht="12.75" customHeight="1" outlineLevel="1">
      <c r="A605" s="9"/>
      <c r="B605" s="9"/>
      <c r="C605" s="44"/>
      <c r="D605" s="128" t="str">
        <f>Asset8</f>
        <v>Transmission &amp; Zone emergency spares</v>
      </c>
      <c r="E605" s="9"/>
      <c r="F605" s="9"/>
      <c r="G605" s="194">
        <f>'Adjustment for previous period'!G501</f>
        <v>0</v>
      </c>
      <c r="H605" s="109"/>
      <c r="I605" s="109"/>
      <c r="J605" s="109"/>
      <c r="K605" s="109"/>
      <c r="L605" s="109"/>
      <c r="M605" s="109"/>
      <c r="N605" s="28"/>
      <c r="O605" s="28"/>
      <c r="P605" s="28"/>
      <c r="Q605" s="28"/>
      <c r="R605" s="28"/>
      <c r="S605" s="99"/>
      <c r="T605" s="99"/>
      <c r="U605" s="99"/>
      <c r="V605" s="99"/>
      <c r="W605" s="99"/>
      <c r="X605" s="99"/>
      <c r="Y605" s="99"/>
      <c r="Z605" s="99"/>
      <c r="AA605" s="99"/>
      <c r="AB605" s="226"/>
      <c r="AC605" s="226"/>
      <c r="AD605" s="226"/>
      <c r="AE605" s="226"/>
      <c r="AF605" s="226"/>
      <c r="AG605" s="226"/>
      <c r="AH605" s="226"/>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99"/>
      <c r="BE605" s="99"/>
      <c r="BF605" s="99"/>
      <c r="BG605" s="99"/>
      <c r="BH605" s="99"/>
      <c r="BI605" s="99"/>
      <c r="BJ605" s="99"/>
      <c r="BK605" s="11"/>
      <c r="BL605" s="11"/>
    </row>
    <row r="606" spans="1:64" ht="12.75" customHeight="1" outlineLevel="1">
      <c r="A606" s="9"/>
      <c r="B606" s="9"/>
      <c r="C606" s="44"/>
      <c r="D606" s="128" t="str">
        <f>Asset9</f>
        <v>Ancillary substation equipment (tx)</v>
      </c>
      <c r="E606" s="9"/>
      <c r="F606" s="9"/>
      <c r="G606" s="194">
        <f>'Adjustment for previous period'!G502</f>
        <v>0</v>
      </c>
      <c r="H606" s="109"/>
      <c r="I606" s="109"/>
      <c r="J606" s="109"/>
      <c r="K606" s="109"/>
      <c r="L606" s="109"/>
      <c r="M606" s="109"/>
      <c r="N606" s="28"/>
      <c r="O606" s="28"/>
      <c r="P606" s="28"/>
      <c r="Q606" s="28"/>
      <c r="R606" s="28"/>
      <c r="S606" s="99"/>
      <c r="T606" s="99"/>
      <c r="U606" s="99"/>
      <c r="V606" s="99"/>
      <c r="W606" s="99"/>
      <c r="X606" s="99"/>
      <c r="Y606" s="99"/>
      <c r="Z606" s="99"/>
      <c r="AA606" s="99"/>
      <c r="AB606" s="226"/>
      <c r="AC606" s="226"/>
      <c r="AD606" s="226"/>
      <c r="AE606" s="226"/>
      <c r="AF606" s="226"/>
      <c r="AG606" s="226"/>
      <c r="AH606" s="226"/>
      <c r="AI606" s="226"/>
      <c r="AJ606" s="226"/>
      <c r="AK606" s="226"/>
      <c r="AL606" s="226"/>
      <c r="AM606" s="226"/>
      <c r="AN606" s="226"/>
      <c r="AO606" s="226"/>
      <c r="AP606" s="226"/>
      <c r="AQ606" s="226"/>
      <c r="AR606" s="226"/>
      <c r="AS606" s="226"/>
      <c r="AT606" s="226"/>
      <c r="AU606" s="226"/>
      <c r="AV606" s="226"/>
      <c r="AW606" s="226"/>
      <c r="AX606" s="226"/>
      <c r="AY606" s="226"/>
      <c r="AZ606" s="226"/>
      <c r="BA606" s="226"/>
      <c r="BB606" s="226"/>
      <c r="BC606" s="226"/>
      <c r="BD606" s="99"/>
      <c r="BE606" s="99"/>
      <c r="BF606" s="99"/>
      <c r="BG606" s="99"/>
      <c r="BH606" s="99"/>
      <c r="BI606" s="99"/>
      <c r="BJ606" s="99"/>
      <c r="BK606" s="11"/>
      <c r="BL606" s="11"/>
    </row>
    <row r="607" spans="1:64" ht="12.75" customHeight="1" outlineLevel="1">
      <c r="A607" s="9"/>
      <c r="B607" s="9"/>
      <c r="C607" s="44"/>
      <c r="D607" s="128" t="str">
        <f>Asset10</f>
        <v>132kV tower lines</v>
      </c>
      <c r="E607" s="9"/>
      <c r="F607" s="9"/>
      <c r="G607" s="194">
        <f>'Adjustment for previous period'!G503</f>
        <v>0</v>
      </c>
      <c r="H607" s="109"/>
      <c r="I607" s="109"/>
      <c r="J607" s="109"/>
      <c r="K607" s="109"/>
      <c r="L607" s="109"/>
      <c r="M607" s="109"/>
      <c r="N607" s="28"/>
      <c r="O607" s="28"/>
      <c r="P607" s="28"/>
      <c r="Q607" s="28"/>
      <c r="R607" s="28"/>
      <c r="S607" s="99"/>
      <c r="T607" s="99"/>
      <c r="U607" s="99"/>
      <c r="V607" s="99"/>
      <c r="W607" s="99"/>
      <c r="X607" s="99"/>
      <c r="Y607" s="99"/>
      <c r="Z607" s="99"/>
      <c r="AA607" s="99"/>
      <c r="AB607" s="226"/>
      <c r="AC607" s="226"/>
      <c r="AD607" s="226"/>
      <c r="AE607" s="226"/>
      <c r="AF607" s="226"/>
      <c r="AG607" s="226"/>
      <c r="AH607" s="226"/>
      <c r="AI607" s="226"/>
      <c r="AJ607" s="226"/>
      <c r="AK607" s="226"/>
      <c r="AL607" s="226"/>
      <c r="AM607" s="226"/>
      <c r="AN607" s="226"/>
      <c r="AO607" s="226"/>
      <c r="AP607" s="226"/>
      <c r="AQ607" s="226"/>
      <c r="AR607" s="226"/>
      <c r="AS607" s="226"/>
      <c r="AT607" s="226"/>
      <c r="AU607" s="226"/>
      <c r="AV607" s="226"/>
      <c r="AW607" s="226"/>
      <c r="AX607" s="226"/>
      <c r="AY607" s="226"/>
      <c r="AZ607" s="226"/>
      <c r="BA607" s="226"/>
      <c r="BB607" s="226"/>
      <c r="BC607" s="226"/>
      <c r="BD607" s="99"/>
      <c r="BE607" s="99"/>
      <c r="BF607" s="99"/>
      <c r="BG607" s="99"/>
      <c r="BH607" s="99"/>
      <c r="BI607" s="99"/>
      <c r="BJ607" s="99"/>
      <c r="BK607" s="11"/>
      <c r="BL607" s="11"/>
    </row>
    <row r="608" spans="1:64" ht="12.75" customHeight="1" outlineLevel="1">
      <c r="A608" s="9"/>
      <c r="B608" s="9"/>
      <c r="C608" s="44"/>
      <c r="D608" s="128" t="str">
        <f>Asset11</f>
        <v>132kV concrete &amp; steel pole lines</v>
      </c>
      <c r="E608" s="9"/>
      <c r="F608" s="9"/>
      <c r="G608" s="194">
        <f>'Adjustment for previous period'!G504</f>
        <v>0</v>
      </c>
      <c r="H608" s="109"/>
      <c r="I608" s="109"/>
      <c r="J608" s="109"/>
      <c r="K608" s="109"/>
      <c r="L608" s="109"/>
      <c r="M608" s="109"/>
      <c r="N608" s="28"/>
      <c r="O608" s="28"/>
      <c r="P608" s="28"/>
      <c r="Q608" s="28"/>
      <c r="R608" s="28"/>
      <c r="S608" s="99"/>
      <c r="T608" s="99"/>
      <c r="U608" s="99"/>
      <c r="V608" s="99"/>
      <c r="W608" s="99"/>
      <c r="X608" s="99"/>
      <c r="Y608" s="99"/>
      <c r="Z608" s="99"/>
      <c r="AA608" s="99"/>
      <c r="AB608" s="226"/>
      <c r="AC608" s="226"/>
      <c r="AD608" s="226"/>
      <c r="AE608" s="226"/>
      <c r="AF608" s="226"/>
      <c r="AG608" s="226"/>
      <c r="AH608" s="226"/>
      <c r="AI608" s="226"/>
      <c r="AJ608" s="226"/>
      <c r="AK608" s="226"/>
      <c r="AL608" s="226"/>
      <c r="AM608" s="226"/>
      <c r="AN608" s="226"/>
      <c r="AO608" s="226"/>
      <c r="AP608" s="226"/>
      <c r="AQ608" s="226"/>
      <c r="AR608" s="226"/>
      <c r="AS608" s="226"/>
      <c r="AT608" s="226"/>
      <c r="AU608" s="226"/>
      <c r="AV608" s="226"/>
      <c r="AW608" s="226"/>
      <c r="AX608" s="226"/>
      <c r="AY608" s="226"/>
      <c r="AZ608" s="226"/>
      <c r="BA608" s="226"/>
      <c r="BB608" s="226"/>
      <c r="BC608" s="226"/>
      <c r="BD608" s="99"/>
      <c r="BE608" s="99"/>
      <c r="BF608" s="99"/>
      <c r="BG608" s="99"/>
      <c r="BH608" s="99"/>
      <c r="BI608" s="99"/>
      <c r="BJ608" s="99"/>
      <c r="BK608" s="11"/>
      <c r="BL608" s="11"/>
    </row>
    <row r="609" spans="1:64" ht="12.75" customHeight="1" outlineLevel="1">
      <c r="A609" s="9"/>
      <c r="B609" s="9"/>
      <c r="C609" s="44"/>
      <c r="D609" s="128" t="str">
        <f>Asset12</f>
        <v>132kV wood pole lines</v>
      </c>
      <c r="E609" s="9"/>
      <c r="F609" s="9"/>
      <c r="G609" s="194">
        <f>'Adjustment for previous period'!G505</f>
        <v>0</v>
      </c>
      <c r="H609" s="109"/>
      <c r="I609" s="109"/>
      <c r="J609" s="109"/>
      <c r="K609" s="109"/>
      <c r="L609" s="109"/>
      <c r="M609" s="109"/>
      <c r="N609" s="28"/>
      <c r="O609" s="28"/>
      <c r="P609" s="28"/>
      <c r="Q609" s="28"/>
      <c r="R609" s="28"/>
      <c r="S609" s="99"/>
      <c r="T609" s="99"/>
      <c r="U609" s="99"/>
      <c r="V609" s="99"/>
      <c r="W609" s="99"/>
      <c r="X609" s="99"/>
      <c r="Y609" s="99"/>
      <c r="Z609" s="99"/>
      <c r="AA609" s="99"/>
      <c r="AB609" s="226"/>
      <c r="AC609" s="226"/>
      <c r="AD609" s="226"/>
      <c r="AE609" s="226"/>
      <c r="AF609" s="226"/>
      <c r="AG609" s="226"/>
      <c r="AH609" s="226"/>
      <c r="AI609" s="226"/>
      <c r="AJ609" s="226"/>
      <c r="AK609" s="226"/>
      <c r="AL609" s="226"/>
      <c r="AM609" s="226"/>
      <c r="AN609" s="226"/>
      <c r="AO609" s="226"/>
      <c r="AP609" s="226"/>
      <c r="AQ609" s="226"/>
      <c r="AR609" s="226"/>
      <c r="AS609" s="226"/>
      <c r="AT609" s="226"/>
      <c r="AU609" s="226"/>
      <c r="AV609" s="226"/>
      <c r="AW609" s="226"/>
      <c r="AX609" s="226"/>
      <c r="AY609" s="226"/>
      <c r="AZ609" s="226"/>
      <c r="BA609" s="226"/>
      <c r="BB609" s="226"/>
      <c r="BC609" s="226"/>
      <c r="BD609" s="99"/>
      <c r="BE609" s="99"/>
      <c r="BF609" s="99"/>
      <c r="BG609" s="99"/>
      <c r="BH609" s="99"/>
      <c r="BI609" s="99"/>
      <c r="BJ609" s="99"/>
      <c r="BK609" s="11"/>
      <c r="BL609" s="11"/>
    </row>
    <row r="610" spans="1:64" ht="12.75" customHeight="1" outlineLevel="1">
      <c r="A610" s="9"/>
      <c r="B610" s="9"/>
      <c r="C610" s="44"/>
      <c r="D610" s="128" t="str">
        <f>Asset13</f>
        <v>132kV feeders underground</v>
      </c>
      <c r="E610" s="9"/>
      <c r="F610" s="9"/>
      <c r="G610" s="194">
        <f>'Adjustment for previous period'!G506</f>
        <v>0</v>
      </c>
      <c r="H610" s="109"/>
      <c r="I610" s="109"/>
      <c r="J610" s="109"/>
      <c r="K610" s="109"/>
      <c r="L610" s="109"/>
      <c r="M610" s="109"/>
      <c r="N610" s="28"/>
      <c r="O610" s="28"/>
      <c r="P610" s="28"/>
      <c r="Q610" s="28"/>
      <c r="R610" s="28"/>
      <c r="S610" s="99"/>
      <c r="T610" s="99"/>
      <c r="U610" s="99"/>
      <c r="V610" s="99"/>
      <c r="W610" s="99"/>
      <c r="X610" s="99"/>
      <c r="Y610" s="99"/>
      <c r="Z610" s="99"/>
      <c r="AA610" s="99"/>
      <c r="AB610" s="226"/>
      <c r="AC610" s="226"/>
      <c r="AD610" s="226"/>
      <c r="AE610" s="226"/>
      <c r="AF610" s="226"/>
      <c r="AG610" s="226"/>
      <c r="AH610" s="226"/>
      <c r="AI610" s="226"/>
      <c r="AJ610" s="226"/>
      <c r="AK610" s="226"/>
      <c r="AL610" s="226"/>
      <c r="AM610" s="226"/>
      <c r="AN610" s="226"/>
      <c r="AO610" s="226"/>
      <c r="AP610" s="226"/>
      <c r="AQ610" s="226"/>
      <c r="AR610" s="226"/>
      <c r="AS610" s="226"/>
      <c r="AT610" s="226"/>
      <c r="AU610" s="226"/>
      <c r="AV610" s="226"/>
      <c r="AW610" s="226"/>
      <c r="AX610" s="226"/>
      <c r="AY610" s="226"/>
      <c r="AZ610" s="226"/>
      <c r="BA610" s="226"/>
      <c r="BB610" s="226"/>
      <c r="BC610" s="226"/>
      <c r="BD610" s="99"/>
      <c r="BE610" s="99"/>
      <c r="BF610" s="99"/>
      <c r="BG610" s="99"/>
      <c r="BH610" s="99"/>
      <c r="BI610" s="99"/>
      <c r="BJ610" s="99"/>
      <c r="BK610" s="11"/>
      <c r="BL610" s="11"/>
    </row>
    <row r="611" spans="1:64" ht="12.75" customHeight="1" outlineLevel="1">
      <c r="A611" s="9"/>
      <c r="B611" s="9"/>
      <c r="C611" s="44"/>
      <c r="D611" s="128" t="str">
        <f>Asset14</f>
        <v>Cable tunnel (tx)</v>
      </c>
      <c r="E611" s="9"/>
      <c r="F611" s="9"/>
      <c r="G611" s="194">
        <f>'Adjustment for previous period'!G507</f>
        <v>0</v>
      </c>
      <c r="H611" s="109"/>
      <c r="I611" s="109"/>
      <c r="J611" s="109"/>
      <c r="K611" s="109"/>
      <c r="L611" s="109"/>
      <c r="M611" s="109"/>
      <c r="N611" s="28"/>
      <c r="O611" s="28"/>
      <c r="P611" s="28"/>
      <c r="Q611" s="28"/>
      <c r="R611" s="28"/>
      <c r="S611" s="99"/>
      <c r="T611" s="99"/>
      <c r="U611" s="99"/>
      <c r="V611" s="99"/>
      <c r="W611" s="99"/>
      <c r="X611" s="99"/>
      <c r="Y611" s="99"/>
      <c r="Z611" s="99"/>
      <c r="AA611" s="99"/>
      <c r="AB611" s="226"/>
      <c r="AC611" s="226"/>
      <c r="AD611" s="226"/>
      <c r="AE611" s="226"/>
      <c r="AF611" s="226"/>
      <c r="AG611" s="226"/>
      <c r="AH611" s="226"/>
      <c r="AI611" s="226"/>
      <c r="AJ611" s="226"/>
      <c r="AK611" s="226"/>
      <c r="AL611" s="226"/>
      <c r="AM611" s="226"/>
      <c r="AN611" s="226"/>
      <c r="AO611" s="226"/>
      <c r="AP611" s="226"/>
      <c r="AQ611" s="226"/>
      <c r="AR611" s="226"/>
      <c r="AS611" s="226"/>
      <c r="AT611" s="226"/>
      <c r="AU611" s="226"/>
      <c r="AV611" s="226"/>
      <c r="AW611" s="226"/>
      <c r="AX611" s="226"/>
      <c r="AY611" s="226"/>
      <c r="AZ611" s="226"/>
      <c r="BA611" s="226"/>
      <c r="BB611" s="226"/>
      <c r="BC611" s="226"/>
      <c r="BD611" s="99"/>
      <c r="BE611" s="99"/>
      <c r="BF611" s="99"/>
      <c r="BG611" s="99"/>
      <c r="BH611" s="99"/>
      <c r="BI611" s="99"/>
      <c r="BJ611" s="99"/>
      <c r="BK611" s="11"/>
      <c r="BL611" s="11"/>
    </row>
    <row r="612" spans="1:64" ht="12.75" customHeight="1" outlineLevel="1">
      <c r="A612" s="9"/>
      <c r="B612" s="9"/>
      <c r="C612" s="44"/>
      <c r="D612" s="128" t="str">
        <f>Asset15</f>
        <v>Network control &amp; com systems</v>
      </c>
      <c r="E612" s="9"/>
      <c r="F612" s="9"/>
      <c r="G612" s="194">
        <f>'Adjustment for previous period'!G508</f>
        <v>0</v>
      </c>
      <c r="H612" s="109"/>
      <c r="I612" s="109"/>
      <c r="J612" s="109"/>
      <c r="K612" s="109"/>
      <c r="L612" s="109"/>
      <c r="M612" s="109"/>
      <c r="N612" s="28"/>
      <c r="O612" s="28"/>
      <c r="P612" s="28"/>
      <c r="Q612" s="28"/>
      <c r="R612" s="28"/>
      <c r="S612" s="99"/>
      <c r="T612" s="99"/>
      <c r="U612" s="99"/>
      <c r="V612" s="99"/>
      <c r="W612" s="99"/>
      <c r="X612" s="99"/>
      <c r="Y612" s="99"/>
      <c r="Z612" s="99"/>
      <c r="AA612" s="99"/>
      <c r="AB612" s="226"/>
      <c r="AC612" s="226"/>
      <c r="AD612" s="226"/>
      <c r="AE612" s="226"/>
      <c r="AF612" s="226"/>
      <c r="AG612" s="226"/>
      <c r="AH612" s="226"/>
      <c r="AI612" s="226"/>
      <c r="AJ612" s="226"/>
      <c r="AK612" s="226"/>
      <c r="AL612" s="226"/>
      <c r="AM612" s="226"/>
      <c r="AN612" s="226"/>
      <c r="AO612" s="226"/>
      <c r="AP612" s="226"/>
      <c r="AQ612" s="226"/>
      <c r="AR612" s="226"/>
      <c r="AS612" s="226"/>
      <c r="AT612" s="226"/>
      <c r="AU612" s="226"/>
      <c r="AV612" s="226"/>
      <c r="AW612" s="226"/>
      <c r="AX612" s="226"/>
      <c r="AY612" s="226"/>
      <c r="AZ612" s="226"/>
      <c r="BA612" s="226"/>
      <c r="BB612" s="226"/>
      <c r="BC612" s="226"/>
      <c r="BD612" s="99"/>
      <c r="BE612" s="99"/>
      <c r="BF612" s="99"/>
      <c r="BG612" s="99"/>
      <c r="BH612" s="99"/>
      <c r="BI612" s="99"/>
      <c r="BJ612" s="99"/>
      <c r="BK612" s="11"/>
      <c r="BL612" s="11"/>
    </row>
    <row r="613" spans="1:64" ht="12.75" customHeight="1" outlineLevel="1">
      <c r="A613" s="9"/>
      <c r="B613" s="9"/>
      <c r="C613" s="44"/>
      <c r="D613" s="128" t="str">
        <f>Asset16</f>
        <v>Communications (digital) - tx</v>
      </c>
      <c r="E613" s="9"/>
      <c r="F613" s="9"/>
      <c r="G613" s="194">
        <f>'Adjustment for previous period'!G509</f>
        <v>0</v>
      </c>
      <c r="H613" s="109"/>
      <c r="I613" s="109"/>
      <c r="J613" s="109"/>
      <c r="K613" s="109"/>
      <c r="L613" s="109"/>
      <c r="M613" s="109"/>
      <c r="N613" s="28"/>
      <c r="O613" s="28"/>
      <c r="P613" s="28"/>
      <c r="Q613" s="28"/>
      <c r="R613" s="28"/>
      <c r="S613" s="99"/>
      <c r="T613" s="99"/>
      <c r="U613" s="99"/>
      <c r="V613" s="99"/>
      <c r="W613" s="99"/>
      <c r="X613" s="99"/>
      <c r="Y613" s="99"/>
      <c r="Z613" s="99"/>
      <c r="AA613" s="99"/>
      <c r="AB613" s="226"/>
      <c r="AC613" s="226"/>
      <c r="AD613" s="226"/>
      <c r="AE613" s="226"/>
      <c r="AF613" s="226"/>
      <c r="AG613" s="226"/>
      <c r="AH613" s="226"/>
      <c r="AI613" s="226"/>
      <c r="AJ613" s="226"/>
      <c r="AK613" s="226"/>
      <c r="AL613" s="226"/>
      <c r="AM613" s="226"/>
      <c r="AN613" s="226"/>
      <c r="AO613" s="226"/>
      <c r="AP613" s="226"/>
      <c r="AQ613" s="226"/>
      <c r="AR613" s="226"/>
      <c r="AS613" s="226"/>
      <c r="AT613" s="226"/>
      <c r="AU613" s="226"/>
      <c r="AV613" s="226"/>
      <c r="AW613" s="226"/>
      <c r="AX613" s="226"/>
      <c r="AY613" s="226"/>
      <c r="AZ613" s="226"/>
      <c r="BA613" s="226"/>
      <c r="BB613" s="226"/>
      <c r="BC613" s="226"/>
      <c r="BD613" s="99"/>
      <c r="BE613" s="99"/>
      <c r="BF613" s="99"/>
      <c r="BG613" s="99"/>
      <c r="BH613" s="99"/>
      <c r="BI613" s="99"/>
      <c r="BJ613" s="99"/>
      <c r="BK613" s="11"/>
      <c r="BL613" s="11"/>
    </row>
    <row r="614" spans="1:64" ht="12.75" customHeight="1" outlineLevel="1">
      <c r="A614" s="9"/>
      <c r="B614" s="9"/>
      <c r="C614" s="44"/>
      <c r="D614" s="128" t="str">
        <f>Asset17</f>
        <v>System IT (tx)</v>
      </c>
      <c r="E614" s="9"/>
      <c r="F614" s="9"/>
      <c r="G614" s="194">
        <f>'Adjustment for previous period'!G510</f>
        <v>0</v>
      </c>
      <c r="H614" s="109"/>
      <c r="I614" s="109"/>
      <c r="J614" s="109"/>
      <c r="K614" s="109"/>
      <c r="L614" s="109"/>
      <c r="M614" s="109"/>
      <c r="N614" s="28"/>
      <c r="O614" s="28"/>
      <c r="P614" s="28"/>
      <c r="Q614" s="28"/>
      <c r="R614" s="28"/>
      <c r="S614" s="99"/>
      <c r="T614" s="99"/>
      <c r="U614" s="99"/>
      <c r="V614" s="99"/>
      <c r="W614" s="99"/>
      <c r="X614" s="99"/>
      <c r="Y614" s="99"/>
      <c r="Z614" s="99"/>
      <c r="AA614" s="99"/>
      <c r="AB614" s="226"/>
      <c r="AC614" s="226"/>
      <c r="AD614" s="226"/>
      <c r="AE614" s="226"/>
      <c r="AF614" s="226"/>
      <c r="AG614" s="226"/>
      <c r="AH614" s="226"/>
      <c r="AI614" s="226"/>
      <c r="AJ614" s="226"/>
      <c r="AK614" s="226"/>
      <c r="AL614" s="226"/>
      <c r="AM614" s="226"/>
      <c r="AN614" s="226"/>
      <c r="AO614" s="226"/>
      <c r="AP614" s="226"/>
      <c r="AQ614" s="226"/>
      <c r="AR614" s="226"/>
      <c r="AS614" s="226"/>
      <c r="AT614" s="226"/>
      <c r="AU614" s="226"/>
      <c r="AV614" s="226"/>
      <c r="AW614" s="226"/>
      <c r="AX614" s="226"/>
      <c r="AY614" s="226"/>
      <c r="AZ614" s="226"/>
      <c r="BA614" s="226"/>
      <c r="BB614" s="226"/>
      <c r="BC614" s="226"/>
      <c r="BD614" s="99"/>
      <c r="BE614" s="99"/>
      <c r="BF614" s="99"/>
      <c r="BG614" s="99"/>
      <c r="BH614" s="99"/>
      <c r="BI614" s="99"/>
      <c r="BJ614" s="99"/>
      <c r="BK614" s="11"/>
      <c r="BL614" s="11"/>
    </row>
    <row r="615" spans="1:64" ht="12.75" customHeight="1" outlineLevel="1">
      <c r="A615" s="9"/>
      <c r="B615" s="9"/>
      <c r="C615" s="44"/>
      <c r="D615" s="128" t="str">
        <f>Asset18</f>
        <v>IT systems</v>
      </c>
      <c r="E615" s="9"/>
      <c r="F615" s="9"/>
      <c r="G615" s="194">
        <f>'Adjustment for previous period'!G511</f>
        <v>0</v>
      </c>
      <c r="H615" s="109"/>
      <c r="I615" s="109"/>
      <c r="J615" s="109"/>
      <c r="K615" s="109"/>
      <c r="L615" s="109"/>
      <c r="M615" s="109"/>
      <c r="N615" s="28"/>
      <c r="O615" s="28"/>
      <c r="P615" s="28"/>
      <c r="Q615" s="28"/>
      <c r="R615" s="28"/>
      <c r="S615" s="99"/>
      <c r="T615" s="99"/>
      <c r="U615" s="99"/>
      <c r="V615" s="99"/>
      <c r="W615" s="99"/>
      <c r="X615" s="99"/>
      <c r="Y615" s="99"/>
      <c r="Z615" s="99"/>
      <c r="AA615" s="99"/>
      <c r="AB615" s="226"/>
      <c r="AC615" s="226"/>
      <c r="AD615" s="226"/>
      <c r="AE615" s="226"/>
      <c r="AF615" s="226"/>
      <c r="AG615" s="226"/>
      <c r="AH615" s="226"/>
      <c r="AI615" s="226"/>
      <c r="AJ615" s="226"/>
      <c r="AK615" s="226"/>
      <c r="AL615" s="226"/>
      <c r="AM615" s="226"/>
      <c r="AN615" s="226"/>
      <c r="AO615" s="226"/>
      <c r="AP615" s="226"/>
      <c r="AQ615" s="226"/>
      <c r="AR615" s="226"/>
      <c r="AS615" s="226"/>
      <c r="AT615" s="226"/>
      <c r="AU615" s="226"/>
      <c r="AV615" s="226"/>
      <c r="AW615" s="226"/>
      <c r="AX615" s="226"/>
      <c r="AY615" s="226"/>
      <c r="AZ615" s="226"/>
      <c r="BA615" s="226"/>
      <c r="BB615" s="226"/>
      <c r="BC615" s="226"/>
      <c r="BD615" s="99"/>
      <c r="BE615" s="99"/>
      <c r="BF615" s="99"/>
      <c r="BG615" s="99"/>
      <c r="BH615" s="99"/>
      <c r="BI615" s="99"/>
      <c r="BJ615" s="99"/>
      <c r="BK615" s="11"/>
      <c r="BL615" s="11"/>
    </row>
    <row r="616" spans="1:64" ht="12.75" customHeight="1" outlineLevel="1">
      <c r="A616" s="9"/>
      <c r="B616" s="9"/>
      <c r="C616" s="44"/>
      <c r="D616" s="128" t="str">
        <f>Asset19</f>
        <v>Furniture, fittings, plant and equipment</v>
      </c>
      <c r="E616" s="9"/>
      <c r="F616" s="9"/>
      <c r="G616" s="194">
        <f>'Adjustment for previous period'!G512</f>
        <v>0</v>
      </c>
      <c r="H616" s="109"/>
      <c r="I616" s="109"/>
      <c r="J616" s="109"/>
      <c r="K616" s="109"/>
      <c r="L616" s="109"/>
      <c r="M616" s="109"/>
      <c r="N616" s="28"/>
      <c r="O616" s="28"/>
      <c r="P616" s="28"/>
      <c r="Q616" s="28"/>
      <c r="R616" s="28"/>
      <c r="S616" s="99"/>
      <c r="T616" s="99"/>
      <c r="U616" s="99"/>
      <c r="V616" s="99"/>
      <c r="W616" s="99"/>
      <c r="X616" s="99"/>
      <c r="Y616" s="99"/>
      <c r="Z616" s="99"/>
      <c r="AA616" s="99"/>
      <c r="AB616" s="226"/>
      <c r="AC616" s="226"/>
      <c r="AD616" s="226"/>
      <c r="AE616" s="226"/>
      <c r="AF616" s="226"/>
      <c r="AG616" s="226"/>
      <c r="AH616" s="226"/>
      <c r="AI616" s="226"/>
      <c r="AJ616" s="226"/>
      <c r="AK616" s="226"/>
      <c r="AL616" s="226"/>
      <c r="AM616" s="226"/>
      <c r="AN616" s="226"/>
      <c r="AO616" s="226"/>
      <c r="AP616" s="226"/>
      <c r="AQ616" s="226"/>
      <c r="AR616" s="226"/>
      <c r="AS616" s="226"/>
      <c r="AT616" s="226"/>
      <c r="AU616" s="226"/>
      <c r="AV616" s="226"/>
      <c r="AW616" s="226"/>
      <c r="AX616" s="226"/>
      <c r="AY616" s="226"/>
      <c r="AZ616" s="226"/>
      <c r="BA616" s="226"/>
      <c r="BB616" s="226"/>
      <c r="BC616" s="226"/>
      <c r="BD616" s="99"/>
      <c r="BE616" s="99"/>
      <c r="BF616" s="99"/>
      <c r="BG616" s="99"/>
      <c r="BH616" s="99"/>
      <c r="BI616" s="99"/>
      <c r="BJ616" s="99"/>
      <c r="BK616" s="11"/>
      <c r="BL616" s="11"/>
    </row>
    <row r="617" spans="1:64" ht="12.75" customHeight="1" outlineLevel="1">
      <c r="A617" s="9"/>
      <c r="B617" s="9"/>
      <c r="C617" s="44"/>
      <c r="D617" s="128" t="str">
        <f>Asset20</f>
        <v>Motor vehicles</v>
      </c>
      <c r="E617" s="9"/>
      <c r="F617" s="9"/>
      <c r="G617" s="194">
        <f>'Adjustment for previous period'!G513</f>
        <v>0</v>
      </c>
      <c r="H617" s="109"/>
      <c r="I617" s="109"/>
      <c r="J617" s="109"/>
      <c r="K617" s="109"/>
      <c r="L617" s="109"/>
      <c r="M617" s="109"/>
      <c r="N617" s="28"/>
      <c r="O617" s="28"/>
      <c r="P617" s="28"/>
      <c r="Q617" s="28"/>
      <c r="R617" s="28"/>
      <c r="S617" s="99"/>
      <c r="T617" s="99"/>
      <c r="U617" s="99"/>
      <c r="V617" s="99"/>
      <c r="W617" s="99"/>
      <c r="X617" s="99"/>
      <c r="Y617" s="99"/>
      <c r="Z617" s="99"/>
      <c r="AA617" s="99"/>
      <c r="AB617" s="226"/>
      <c r="AC617" s="226"/>
      <c r="AD617" s="226"/>
      <c r="AE617" s="226"/>
      <c r="AF617" s="226"/>
      <c r="AG617" s="226"/>
      <c r="AH617" s="226"/>
      <c r="AI617" s="226"/>
      <c r="AJ617" s="226"/>
      <c r="AK617" s="226"/>
      <c r="AL617" s="226"/>
      <c r="AM617" s="226"/>
      <c r="AN617" s="226"/>
      <c r="AO617" s="226"/>
      <c r="AP617" s="226"/>
      <c r="AQ617" s="226"/>
      <c r="AR617" s="226"/>
      <c r="AS617" s="226"/>
      <c r="AT617" s="226"/>
      <c r="AU617" s="226"/>
      <c r="AV617" s="226"/>
      <c r="AW617" s="226"/>
      <c r="AX617" s="226"/>
      <c r="AY617" s="226"/>
      <c r="AZ617" s="226"/>
      <c r="BA617" s="226"/>
      <c r="BB617" s="226"/>
      <c r="BC617" s="226"/>
      <c r="BD617" s="99"/>
      <c r="BE617" s="99"/>
      <c r="BF617" s="99"/>
      <c r="BG617" s="99"/>
      <c r="BH617" s="99"/>
      <c r="BI617" s="99"/>
      <c r="BJ617" s="99"/>
      <c r="BK617" s="11"/>
      <c r="BL617" s="11"/>
    </row>
    <row r="618" spans="1:64" ht="4.5" customHeight="1" outlineLevel="1">
      <c r="A618" s="9"/>
      <c r="B618" s="9"/>
      <c r="C618" s="44"/>
      <c r="D618" s="128" t="str">
        <f>Asset21</f>
        <v>Buildings</v>
      </c>
      <c r="E618" s="9"/>
      <c r="F618" s="9"/>
      <c r="G618" s="194">
        <f>'Adjustment for previous period'!G514</f>
        <v>0</v>
      </c>
      <c r="H618" s="109"/>
      <c r="I618" s="109"/>
      <c r="J618" s="109"/>
      <c r="K618" s="109"/>
      <c r="L618" s="109"/>
      <c r="M618" s="109"/>
      <c r="N618" s="28"/>
      <c r="O618" s="28"/>
      <c r="P618" s="28"/>
      <c r="Q618" s="28"/>
      <c r="R618" s="28"/>
      <c r="S618" s="99"/>
      <c r="T618" s="99"/>
      <c r="U618" s="99"/>
      <c r="V618" s="99"/>
      <c r="W618" s="99"/>
      <c r="X618" s="99"/>
      <c r="Y618" s="99"/>
      <c r="Z618" s="99"/>
      <c r="AA618" s="99"/>
      <c r="AB618" s="226"/>
      <c r="AC618" s="226"/>
      <c r="AD618" s="226"/>
      <c r="AE618" s="226"/>
      <c r="AF618" s="226"/>
      <c r="AG618" s="226"/>
      <c r="AH618" s="226"/>
      <c r="AI618" s="226"/>
      <c r="AJ618" s="226"/>
      <c r="AK618" s="226"/>
      <c r="AL618" s="226"/>
      <c r="AM618" s="226"/>
      <c r="AN618" s="226"/>
      <c r="AO618" s="226"/>
      <c r="AP618" s="226"/>
      <c r="AQ618" s="226"/>
      <c r="AR618" s="226"/>
      <c r="AS618" s="226"/>
      <c r="AT618" s="226"/>
      <c r="AU618" s="226"/>
      <c r="AV618" s="226"/>
      <c r="AW618" s="226"/>
      <c r="AX618" s="226"/>
      <c r="AY618" s="226"/>
      <c r="AZ618" s="226"/>
      <c r="BA618" s="226"/>
      <c r="BB618" s="226"/>
      <c r="BC618" s="226"/>
      <c r="BD618" s="99"/>
      <c r="BE618" s="99"/>
      <c r="BF618" s="99"/>
      <c r="BG618" s="99"/>
      <c r="BH618" s="99"/>
      <c r="BI618" s="99"/>
      <c r="BJ618" s="99"/>
      <c r="BK618" s="11"/>
      <c r="BL618" s="11"/>
    </row>
    <row r="619" spans="1:64" ht="4.5" customHeight="1" outlineLevel="1">
      <c r="A619" s="9"/>
      <c r="B619" s="9"/>
      <c r="C619" s="44"/>
      <c r="D619" s="128" t="str">
        <f>Asset22</f>
        <v>Land (non-system)</v>
      </c>
      <c r="E619" s="9"/>
      <c r="F619" s="9"/>
      <c r="G619" s="194">
        <f>'Adjustment for previous period'!G515</f>
        <v>0</v>
      </c>
      <c r="H619" s="109"/>
      <c r="I619" s="109"/>
      <c r="J619" s="109"/>
      <c r="K619" s="109"/>
      <c r="L619" s="109"/>
      <c r="M619" s="109"/>
      <c r="N619" s="28"/>
      <c r="O619" s="28"/>
      <c r="P619" s="28"/>
      <c r="Q619" s="28"/>
      <c r="R619" s="28"/>
      <c r="S619" s="99"/>
      <c r="T619" s="99"/>
      <c r="U619" s="99"/>
      <c r="V619" s="99"/>
      <c r="W619" s="99"/>
      <c r="X619" s="99"/>
      <c r="Y619" s="99"/>
      <c r="Z619" s="99"/>
      <c r="AA619" s="99"/>
      <c r="AB619" s="226"/>
      <c r="AC619" s="226"/>
      <c r="AD619" s="226"/>
      <c r="AE619" s="226"/>
      <c r="AF619" s="226"/>
      <c r="AG619" s="226"/>
      <c r="AH619" s="226"/>
      <c r="AI619" s="226"/>
      <c r="AJ619" s="226"/>
      <c r="AK619" s="226"/>
      <c r="AL619" s="226"/>
      <c r="AM619" s="226"/>
      <c r="AN619" s="226"/>
      <c r="AO619" s="226"/>
      <c r="AP619" s="226"/>
      <c r="AQ619" s="226"/>
      <c r="AR619" s="226"/>
      <c r="AS619" s="226"/>
      <c r="AT619" s="226"/>
      <c r="AU619" s="226"/>
      <c r="AV619" s="226"/>
      <c r="AW619" s="226"/>
      <c r="AX619" s="226"/>
      <c r="AY619" s="226"/>
      <c r="AZ619" s="226"/>
      <c r="BA619" s="226"/>
      <c r="BB619" s="226"/>
      <c r="BC619" s="226"/>
      <c r="BD619" s="99"/>
      <c r="BE619" s="99"/>
      <c r="BF619" s="99"/>
      <c r="BG619" s="99"/>
      <c r="BH619" s="99"/>
      <c r="BI619" s="99"/>
      <c r="BJ619" s="99"/>
      <c r="BK619" s="11"/>
      <c r="BL619" s="11"/>
    </row>
    <row r="620" spans="1:64" ht="4.5" customHeight="1" outlineLevel="1">
      <c r="A620" s="9"/>
      <c r="B620" s="9"/>
      <c r="C620" s="44"/>
      <c r="D620" s="128" t="str">
        <f>Asset23</f>
        <v>Other non system assets</v>
      </c>
      <c r="E620" s="9"/>
      <c r="F620" s="9"/>
      <c r="G620" s="194">
        <f>'Adjustment for previous period'!G516</f>
        <v>0</v>
      </c>
      <c r="H620" s="109"/>
      <c r="I620" s="109"/>
      <c r="J620" s="109"/>
      <c r="K620" s="109"/>
      <c r="L620" s="109"/>
      <c r="M620" s="109"/>
      <c r="N620" s="28"/>
      <c r="O620" s="28"/>
      <c r="P620" s="28"/>
      <c r="Q620" s="28"/>
      <c r="R620" s="28"/>
      <c r="S620" s="99"/>
      <c r="T620" s="99"/>
      <c r="U620" s="99"/>
      <c r="V620" s="99"/>
      <c r="W620" s="99"/>
      <c r="X620" s="99"/>
      <c r="Y620" s="99"/>
      <c r="Z620" s="99"/>
      <c r="AA620" s="99"/>
      <c r="AB620" s="226"/>
      <c r="AC620" s="226"/>
      <c r="AD620" s="226"/>
      <c r="AE620" s="226"/>
      <c r="AF620" s="226"/>
      <c r="AG620" s="226"/>
      <c r="AH620" s="226"/>
      <c r="AI620" s="226"/>
      <c r="AJ620" s="226"/>
      <c r="AK620" s="226"/>
      <c r="AL620" s="226"/>
      <c r="AM620" s="226"/>
      <c r="AN620" s="226"/>
      <c r="AO620" s="226"/>
      <c r="AP620" s="226"/>
      <c r="AQ620" s="226"/>
      <c r="AR620" s="226"/>
      <c r="AS620" s="226"/>
      <c r="AT620" s="226"/>
      <c r="AU620" s="226"/>
      <c r="AV620" s="226"/>
      <c r="AW620" s="226"/>
      <c r="AX620" s="226"/>
      <c r="AY620" s="226"/>
      <c r="AZ620" s="226"/>
      <c r="BA620" s="226"/>
      <c r="BB620" s="226"/>
      <c r="BC620" s="226"/>
      <c r="BD620" s="99"/>
      <c r="BE620" s="99"/>
      <c r="BF620" s="99"/>
      <c r="BG620" s="99"/>
      <c r="BH620" s="99"/>
      <c r="BI620" s="99"/>
      <c r="BJ620" s="99"/>
      <c r="BK620" s="11"/>
      <c r="BL620" s="11"/>
    </row>
    <row r="621" spans="1:64" ht="4.5" customHeight="1" outlineLevel="1">
      <c r="A621" s="9"/>
      <c r="B621" s="9"/>
      <c r="C621" s="44"/>
      <c r="D621" s="128" t="str">
        <f>Asset24</f>
        <v>Equity raising costs</v>
      </c>
      <c r="E621" s="9"/>
      <c r="F621" s="9"/>
      <c r="G621" s="194">
        <f>'Adjustment for previous period'!G517</f>
        <v>0</v>
      </c>
      <c r="H621" s="109"/>
      <c r="I621" s="109"/>
      <c r="J621" s="109"/>
      <c r="K621" s="109"/>
      <c r="L621" s="109"/>
      <c r="M621" s="109"/>
      <c r="N621" s="28"/>
      <c r="O621" s="28"/>
      <c r="P621" s="28"/>
      <c r="Q621" s="28"/>
      <c r="R621" s="28"/>
      <c r="S621" s="99"/>
      <c r="T621" s="99"/>
      <c r="U621" s="99"/>
      <c r="V621" s="99"/>
      <c r="W621" s="99"/>
      <c r="X621" s="99"/>
      <c r="Y621" s="99"/>
      <c r="Z621" s="99"/>
      <c r="AA621" s="99"/>
      <c r="AB621" s="226"/>
      <c r="AC621" s="226"/>
      <c r="AD621" s="226"/>
      <c r="AE621" s="226"/>
      <c r="AF621" s="226"/>
      <c r="AG621" s="226"/>
      <c r="AH621" s="226"/>
      <c r="AI621" s="226"/>
      <c r="AJ621" s="226"/>
      <c r="AK621" s="226"/>
      <c r="AL621" s="226"/>
      <c r="AM621" s="226"/>
      <c r="AN621" s="226"/>
      <c r="AO621" s="226"/>
      <c r="AP621" s="226"/>
      <c r="AQ621" s="226"/>
      <c r="AR621" s="226"/>
      <c r="AS621" s="226"/>
      <c r="AT621" s="226"/>
      <c r="AU621" s="226"/>
      <c r="AV621" s="226"/>
      <c r="AW621" s="226"/>
      <c r="AX621" s="226"/>
      <c r="AY621" s="226"/>
      <c r="AZ621" s="226"/>
      <c r="BA621" s="226"/>
      <c r="BB621" s="226"/>
      <c r="BC621" s="226"/>
      <c r="BD621" s="99"/>
      <c r="BE621" s="99"/>
      <c r="BF621" s="99"/>
      <c r="BG621" s="99"/>
      <c r="BH621" s="99"/>
      <c r="BI621" s="99"/>
      <c r="BJ621" s="99"/>
      <c r="BK621" s="11"/>
      <c r="BL621" s="11"/>
    </row>
    <row r="622" spans="1:64" ht="4.5" customHeight="1" outlineLevel="1">
      <c r="A622" s="9"/>
      <c r="B622" s="9"/>
      <c r="C622" s="44"/>
      <c r="D622" s="128">
        <f>Asset25</f>
        <v>0</v>
      </c>
      <c r="E622" s="9"/>
      <c r="F622" s="9"/>
      <c r="G622" s="194">
        <f>'Adjustment for previous period'!G518</f>
        <v>0</v>
      </c>
      <c r="H622" s="109"/>
      <c r="I622" s="109"/>
      <c r="J622" s="109"/>
      <c r="K622" s="109"/>
      <c r="L622" s="109"/>
      <c r="M622" s="109"/>
      <c r="N622" s="28"/>
      <c r="O622" s="28"/>
      <c r="P622" s="28"/>
      <c r="Q622" s="28"/>
      <c r="R622" s="28"/>
      <c r="S622" s="99"/>
      <c r="T622" s="99"/>
      <c r="U622" s="99"/>
      <c r="V622" s="99"/>
      <c r="W622" s="99"/>
      <c r="X622" s="99"/>
      <c r="Y622" s="99"/>
      <c r="Z622" s="99"/>
      <c r="AA622" s="99"/>
      <c r="AB622" s="226"/>
      <c r="AC622" s="226"/>
      <c r="AD622" s="226"/>
      <c r="AE622" s="226"/>
      <c r="AF622" s="226"/>
      <c r="AG622" s="226"/>
      <c r="AH622" s="226"/>
      <c r="AI622" s="226"/>
      <c r="AJ622" s="226"/>
      <c r="AK622" s="226"/>
      <c r="AL622" s="226"/>
      <c r="AM622" s="226"/>
      <c r="AN622" s="226"/>
      <c r="AO622" s="226"/>
      <c r="AP622" s="226"/>
      <c r="AQ622" s="226"/>
      <c r="AR622" s="226"/>
      <c r="AS622" s="226"/>
      <c r="AT622" s="226"/>
      <c r="AU622" s="226"/>
      <c r="AV622" s="226"/>
      <c r="AW622" s="226"/>
      <c r="AX622" s="226"/>
      <c r="AY622" s="226"/>
      <c r="AZ622" s="226"/>
      <c r="BA622" s="226"/>
      <c r="BB622" s="226"/>
      <c r="BC622" s="226"/>
      <c r="BD622" s="99"/>
      <c r="BE622" s="99"/>
      <c r="BF622" s="99"/>
      <c r="BG622" s="99"/>
      <c r="BH622" s="99"/>
      <c r="BI622" s="99"/>
      <c r="BJ622" s="99"/>
      <c r="BK622" s="11"/>
      <c r="BL622" s="11"/>
    </row>
    <row r="623" spans="1:64" ht="4.5" customHeight="1" outlineLevel="1">
      <c r="A623" s="9"/>
      <c r="B623" s="9"/>
      <c r="C623" s="44"/>
      <c r="D623" s="128">
        <f>Asset26</f>
        <v>0</v>
      </c>
      <c r="E623" s="9"/>
      <c r="F623" s="9"/>
      <c r="G623" s="194">
        <f>'Adjustment for previous period'!G519</f>
        <v>0</v>
      </c>
      <c r="H623" s="109"/>
      <c r="I623" s="109"/>
      <c r="J623" s="109"/>
      <c r="K623" s="109"/>
      <c r="L623" s="109"/>
      <c r="M623" s="109"/>
      <c r="N623" s="28"/>
      <c r="O623" s="28"/>
      <c r="P623" s="28"/>
      <c r="Q623" s="28"/>
      <c r="R623" s="28"/>
      <c r="S623" s="99"/>
      <c r="T623" s="99"/>
      <c r="U623" s="99"/>
      <c r="V623" s="99"/>
      <c r="W623" s="99"/>
      <c r="X623" s="99"/>
      <c r="Y623" s="99"/>
      <c r="Z623" s="99"/>
      <c r="AA623" s="99"/>
      <c r="AB623" s="226"/>
      <c r="AC623" s="226"/>
      <c r="AD623" s="226"/>
      <c r="AE623" s="226"/>
      <c r="AF623" s="226"/>
      <c r="AG623" s="226"/>
      <c r="AH623" s="226"/>
      <c r="AI623" s="226"/>
      <c r="AJ623" s="226"/>
      <c r="AK623" s="226"/>
      <c r="AL623" s="226"/>
      <c r="AM623" s="226"/>
      <c r="AN623" s="226"/>
      <c r="AO623" s="226"/>
      <c r="AP623" s="226"/>
      <c r="AQ623" s="226"/>
      <c r="AR623" s="226"/>
      <c r="AS623" s="226"/>
      <c r="AT623" s="226"/>
      <c r="AU623" s="226"/>
      <c r="AV623" s="226"/>
      <c r="AW623" s="226"/>
      <c r="AX623" s="226"/>
      <c r="AY623" s="226"/>
      <c r="AZ623" s="226"/>
      <c r="BA623" s="226"/>
      <c r="BB623" s="226"/>
      <c r="BC623" s="226"/>
      <c r="BD623" s="99"/>
      <c r="BE623" s="99"/>
      <c r="BF623" s="99"/>
      <c r="BG623" s="99"/>
      <c r="BH623" s="99"/>
      <c r="BI623" s="99"/>
      <c r="BJ623" s="99"/>
      <c r="BK623" s="11"/>
      <c r="BL623" s="11"/>
    </row>
    <row r="624" spans="1:64" ht="4.5" customHeight="1" outlineLevel="1">
      <c r="A624" s="9"/>
      <c r="B624" s="9"/>
      <c r="C624" s="44"/>
      <c r="D624" s="128">
        <f>Asset27</f>
        <v>0</v>
      </c>
      <c r="E624" s="9"/>
      <c r="F624" s="9"/>
      <c r="G624" s="194">
        <f>'Adjustment for previous period'!G520</f>
        <v>0</v>
      </c>
      <c r="H624" s="109"/>
      <c r="I624" s="109"/>
      <c r="J624" s="109"/>
      <c r="K624" s="109"/>
      <c r="L624" s="109"/>
      <c r="M624" s="109"/>
      <c r="N624" s="28"/>
      <c r="O624" s="28"/>
      <c r="P624" s="28"/>
      <c r="Q624" s="28"/>
      <c r="R624" s="28"/>
      <c r="S624" s="99"/>
      <c r="T624" s="99"/>
      <c r="U624" s="99"/>
      <c r="V624" s="99"/>
      <c r="W624" s="99"/>
      <c r="X624" s="99"/>
      <c r="Y624" s="99"/>
      <c r="Z624" s="99"/>
      <c r="AA624" s="99"/>
      <c r="AB624" s="226"/>
      <c r="AC624" s="226"/>
      <c r="AD624" s="226"/>
      <c r="AE624" s="226"/>
      <c r="AF624" s="226"/>
      <c r="AG624" s="226"/>
      <c r="AH624" s="226"/>
      <c r="AI624" s="226"/>
      <c r="AJ624" s="226"/>
      <c r="AK624" s="226"/>
      <c r="AL624" s="226"/>
      <c r="AM624" s="226"/>
      <c r="AN624" s="226"/>
      <c r="AO624" s="226"/>
      <c r="AP624" s="226"/>
      <c r="AQ624" s="226"/>
      <c r="AR624" s="226"/>
      <c r="AS624" s="226"/>
      <c r="AT624" s="226"/>
      <c r="AU624" s="226"/>
      <c r="AV624" s="226"/>
      <c r="AW624" s="226"/>
      <c r="AX624" s="226"/>
      <c r="AY624" s="226"/>
      <c r="AZ624" s="226"/>
      <c r="BA624" s="226"/>
      <c r="BB624" s="226"/>
      <c r="BC624" s="226"/>
      <c r="BD624" s="99"/>
      <c r="BE624" s="99"/>
      <c r="BF624" s="99"/>
      <c r="BG624" s="99"/>
      <c r="BH624" s="99"/>
      <c r="BI624" s="99"/>
      <c r="BJ624" s="99"/>
      <c r="BK624" s="11"/>
      <c r="BL624" s="11"/>
    </row>
    <row r="625" spans="1:64" ht="4.5" customHeight="1" outlineLevel="1">
      <c r="A625" s="9"/>
      <c r="B625" s="9"/>
      <c r="C625" s="44"/>
      <c r="D625" s="128">
        <f>Asset28</f>
        <v>0</v>
      </c>
      <c r="E625" s="9"/>
      <c r="F625" s="9"/>
      <c r="G625" s="194">
        <f>'Adjustment for previous period'!G521</f>
        <v>0</v>
      </c>
      <c r="H625" s="109"/>
      <c r="I625" s="109"/>
      <c r="J625" s="109"/>
      <c r="K625" s="109"/>
      <c r="L625" s="109"/>
      <c r="M625" s="109"/>
      <c r="N625" s="28"/>
      <c r="O625" s="28"/>
      <c r="P625" s="28"/>
      <c r="Q625" s="28"/>
      <c r="R625" s="28"/>
      <c r="S625" s="99"/>
      <c r="T625" s="99"/>
      <c r="U625" s="99"/>
      <c r="V625" s="99"/>
      <c r="W625" s="99"/>
      <c r="X625" s="99"/>
      <c r="Y625" s="99"/>
      <c r="Z625" s="99"/>
      <c r="AA625" s="99"/>
      <c r="AB625" s="226"/>
      <c r="AC625" s="226"/>
      <c r="AD625" s="226"/>
      <c r="AE625" s="226"/>
      <c r="AF625" s="226"/>
      <c r="AG625" s="226"/>
      <c r="AH625" s="226"/>
      <c r="AI625" s="226"/>
      <c r="AJ625" s="226"/>
      <c r="AK625" s="226"/>
      <c r="AL625" s="226"/>
      <c r="AM625" s="226"/>
      <c r="AN625" s="226"/>
      <c r="AO625" s="226"/>
      <c r="AP625" s="226"/>
      <c r="AQ625" s="226"/>
      <c r="AR625" s="226"/>
      <c r="AS625" s="226"/>
      <c r="AT625" s="226"/>
      <c r="AU625" s="226"/>
      <c r="AV625" s="226"/>
      <c r="AW625" s="226"/>
      <c r="AX625" s="226"/>
      <c r="AY625" s="226"/>
      <c r="AZ625" s="226"/>
      <c r="BA625" s="226"/>
      <c r="BB625" s="226"/>
      <c r="BC625" s="226"/>
      <c r="BD625" s="99"/>
      <c r="BE625" s="99"/>
      <c r="BF625" s="99"/>
      <c r="BG625" s="99"/>
      <c r="BH625" s="99"/>
      <c r="BI625" s="99"/>
      <c r="BJ625" s="99"/>
      <c r="BK625" s="11"/>
      <c r="BL625" s="11"/>
    </row>
    <row r="626" spans="1:64" ht="4.5" customHeight="1" outlineLevel="1">
      <c r="A626" s="9"/>
      <c r="B626" s="9"/>
      <c r="C626" s="44"/>
      <c r="D626" s="128">
        <f>Asset29</f>
        <v>0</v>
      </c>
      <c r="E626" s="9"/>
      <c r="F626" s="9"/>
      <c r="G626" s="194">
        <f>'Adjustment for previous period'!G522</f>
        <v>0</v>
      </c>
      <c r="H626" s="109"/>
      <c r="I626" s="109"/>
      <c r="J626" s="109"/>
      <c r="K626" s="109"/>
      <c r="L626" s="109"/>
      <c r="M626" s="109"/>
      <c r="N626" s="28"/>
      <c r="O626" s="28"/>
      <c r="P626" s="28"/>
      <c r="Q626" s="28"/>
      <c r="R626" s="28"/>
      <c r="S626" s="99"/>
      <c r="T626" s="99"/>
      <c r="U626" s="99"/>
      <c r="V626" s="99"/>
      <c r="W626" s="99"/>
      <c r="X626" s="99"/>
      <c r="Y626" s="99"/>
      <c r="Z626" s="99"/>
      <c r="AA626" s="99"/>
      <c r="AB626" s="226"/>
      <c r="AC626" s="226"/>
      <c r="AD626" s="226"/>
      <c r="AE626" s="226"/>
      <c r="AF626" s="226"/>
      <c r="AG626" s="226"/>
      <c r="AH626" s="226"/>
      <c r="AI626" s="226"/>
      <c r="AJ626" s="226"/>
      <c r="AK626" s="226"/>
      <c r="AL626" s="226"/>
      <c r="AM626" s="226"/>
      <c r="AN626" s="226"/>
      <c r="AO626" s="226"/>
      <c r="AP626" s="226"/>
      <c r="AQ626" s="226"/>
      <c r="AR626" s="226"/>
      <c r="AS626" s="226"/>
      <c r="AT626" s="226"/>
      <c r="AU626" s="226"/>
      <c r="AV626" s="226"/>
      <c r="AW626" s="226"/>
      <c r="AX626" s="226"/>
      <c r="AY626" s="226"/>
      <c r="AZ626" s="226"/>
      <c r="BA626" s="226"/>
      <c r="BB626" s="226"/>
      <c r="BC626" s="226"/>
      <c r="BD626" s="99"/>
      <c r="BE626" s="99"/>
      <c r="BF626" s="99"/>
      <c r="BG626" s="99"/>
      <c r="BH626" s="99"/>
      <c r="BI626" s="99"/>
      <c r="BJ626" s="99"/>
      <c r="BK626" s="11"/>
      <c r="BL626" s="11"/>
    </row>
    <row r="627" spans="1:64" ht="4.5" customHeight="1" outlineLevel="1">
      <c r="A627" s="9"/>
      <c r="B627" s="9"/>
      <c r="C627" s="44"/>
      <c r="D627" s="128">
        <f>Asset30</f>
        <v>0</v>
      </c>
      <c r="E627" s="9"/>
      <c r="F627" s="9"/>
      <c r="G627" s="194">
        <f>'Adjustment for previous period'!G523</f>
        <v>0</v>
      </c>
      <c r="H627" s="109"/>
      <c r="I627" s="109"/>
      <c r="J627" s="109"/>
      <c r="K627" s="109"/>
      <c r="L627" s="109"/>
      <c r="M627" s="109"/>
      <c r="N627" s="28"/>
      <c r="O627" s="28"/>
      <c r="P627" s="28"/>
      <c r="Q627" s="28"/>
      <c r="R627" s="28"/>
      <c r="S627" s="99"/>
      <c r="T627" s="99"/>
      <c r="U627" s="99"/>
      <c r="V627" s="99"/>
      <c r="W627" s="99"/>
      <c r="X627" s="99"/>
      <c r="Y627" s="99"/>
      <c r="Z627" s="99"/>
      <c r="AA627" s="99"/>
      <c r="AB627" s="226"/>
      <c r="AC627" s="226"/>
      <c r="AD627" s="226"/>
      <c r="AE627" s="226"/>
      <c r="AF627" s="226"/>
      <c r="AG627" s="226"/>
      <c r="AH627" s="226"/>
      <c r="AI627" s="226"/>
      <c r="AJ627" s="226"/>
      <c r="AK627" s="226"/>
      <c r="AL627" s="226"/>
      <c r="AM627" s="226"/>
      <c r="AN627" s="226"/>
      <c r="AO627" s="226"/>
      <c r="AP627" s="226"/>
      <c r="AQ627" s="226"/>
      <c r="AR627" s="226"/>
      <c r="AS627" s="226"/>
      <c r="AT627" s="226"/>
      <c r="AU627" s="226"/>
      <c r="AV627" s="226"/>
      <c r="AW627" s="226"/>
      <c r="AX627" s="226"/>
      <c r="AY627" s="226"/>
      <c r="AZ627" s="226"/>
      <c r="BA627" s="226"/>
      <c r="BB627" s="226"/>
      <c r="BC627" s="226"/>
      <c r="BD627" s="99"/>
      <c r="BE627" s="99"/>
      <c r="BF627" s="99"/>
      <c r="BG627" s="99"/>
      <c r="BH627" s="99"/>
      <c r="BI627" s="99"/>
      <c r="BJ627" s="99"/>
      <c r="BK627" s="11"/>
      <c r="BL627" s="11"/>
    </row>
    <row r="628" spans="1:64">
      <c r="A628" s="9"/>
      <c r="B628" s="9"/>
      <c r="C628" s="44"/>
      <c r="D628" s="128"/>
      <c r="E628" s="9"/>
      <c r="F628" s="9"/>
      <c r="G628" s="27"/>
      <c r="H628" s="109"/>
      <c r="I628" s="109"/>
      <c r="J628" s="109"/>
      <c r="K628" s="109"/>
      <c r="L628" s="109"/>
      <c r="M628" s="109"/>
      <c r="N628" s="28"/>
      <c r="O628" s="28"/>
      <c r="P628" s="28"/>
      <c r="Q628" s="28"/>
      <c r="R628" s="28"/>
      <c r="S628" s="99"/>
      <c r="T628" s="99"/>
      <c r="U628" s="99"/>
      <c r="V628" s="99"/>
      <c r="W628" s="99"/>
      <c r="X628" s="99"/>
      <c r="Y628" s="99"/>
      <c r="Z628" s="99"/>
      <c r="AA628" s="99"/>
      <c r="AB628" s="226"/>
      <c r="AC628" s="226"/>
      <c r="AD628" s="226"/>
      <c r="AE628" s="226"/>
      <c r="AF628" s="226"/>
      <c r="AG628" s="226"/>
      <c r="AH628" s="226"/>
      <c r="AI628" s="226"/>
      <c r="AJ628" s="226"/>
      <c r="AK628" s="226"/>
      <c r="AL628" s="226"/>
      <c r="AM628" s="226"/>
      <c r="AN628" s="226"/>
      <c r="AO628" s="226"/>
      <c r="AP628" s="226"/>
      <c r="AQ628" s="226"/>
      <c r="AR628" s="226"/>
      <c r="AS628" s="226"/>
      <c r="AT628" s="226"/>
      <c r="AU628" s="226"/>
      <c r="AV628" s="226"/>
      <c r="AW628" s="226"/>
      <c r="AX628" s="226"/>
      <c r="AY628" s="226"/>
      <c r="AZ628" s="226"/>
      <c r="BA628" s="226"/>
      <c r="BB628" s="226"/>
      <c r="BC628" s="226"/>
      <c r="BD628" s="99"/>
      <c r="BE628" s="99"/>
      <c r="BF628" s="99"/>
      <c r="BG628" s="99"/>
      <c r="BH628" s="99"/>
      <c r="BI628" s="99"/>
      <c r="BJ628" s="99"/>
      <c r="BK628" s="11"/>
      <c r="BL628" s="11"/>
    </row>
    <row r="629" spans="1:64">
      <c r="A629" s="123"/>
      <c r="B629" s="123"/>
      <c r="C629" s="123"/>
      <c r="D629" s="124"/>
      <c r="E629" s="106"/>
      <c r="F629" s="106"/>
      <c r="G629" s="125"/>
      <c r="H629" s="126"/>
      <c r="I629" s="126"/>
      <c r="J629" s="126"/>
      <c r="K629" s="126"/>
      <c r="L629" s="126"/>
      <c r="M629" s="126"/>
      <c r="N629" s="127"/>
      <c r="O629" s="127"/>
      <c r="P629" s="127"/>
      <c r="Q629" s="127"/>
      <c r="R629" s="127"/>
      <c r="S629" s="127"/>
      <c r="T629" s="99"/>
      <c r="U629" s="99"/>
      <c r="V629" s="99"/>
      <c r="W629" s="99"/>
      <c r="X629" s="99"/>
      <c r="Y629" s="99"/>
      <c r="Z629" s="99"/>
      <c r="AA629" s="99"/>
      <c r="AB629" s="226"/>
      <c r="AC629" s="226"/>
      <c r="AD629" s="226"/>
      <c r="AE629" s="226"/>
      <c r="AF629" s="226"/>
      <c r="AG629" s="226"/>
      <c r="AH629" s="226"/>
      <c r="AI629" s="226"/>
      <c r="AJ629" s="226"/>
      <c r="AK629" s="226"/>
      <c r="AL629" s="226"/>
      <c r="AM629" s="226"/>
      <c r="AN629" s="226"/>
      <c r="AO629" s="226"/>
      <c r="AP629" s="226"/>
      <c r="AQ629" s="226"/>
      <c r="AR629" s="226"/>
      <c r="AS629" s="226"/>
      <c r="AT629" s="226"/>
      <c r="AU629" s="226"/>
      <c r="AV629" s="226"/>
      <c r="AW629" s="226"/>
      <c r="AX629" s="226"/>
      <c r="AY629" s="226"/>
      <c r="AZ629" s="226"/>
      <c r="BA629" s="226"/>
      <c r="BB629" s="226"/>
      <c r="BC629" s="226"/>
      <c r="BD629" s="99"/>
      <c r="BE629" s="99"/>
      <c r="BF629" s="99"/>
      <c r="BG629" s="99"/>
      <c r="BH629" s="99"/>
      <c r="BI629" s="99"/>
      <c r="BJ629" s="99"/>
      <c r="BK629" s="11"/>
      <c r="BL629" s="11"/>
    </row>
    <row r="630" spans="1:64">
      <c r="A630" s="9"/>
      <c r="B630" s="11"/>
      <c r="C630" s="88"/>
      <c r="D630" s="112"/>
      <c r="E630" s="11"/>
      <c r="F630" s="11"/>
      <c r="G630" s="140"/>
      <c r="H630" s="141"/>
      <c r="I630" s="141"/>
      <c r="J630" s="141"/>
      <c r="K630" s="141"/>
      <c r="L630" s="141"/>
      <c r="M630" s="141"/>
      <c r="N630" s="99"/>
      <c r="O630" s="99"/>
      <c r="P630" s="99"/>
      <c r="Q630" s="99"/>
      <c r="R630" s="99"/>
      <c r="S630" s="99"/>
      <c r="T630" s="99"/>
      <c r="U630" s="99"/>
      <c r="V630" s="99"/>
      <c r="W630" s="99"/>
      <c r="X630" s="99"/>
      <c r="Y630" s="99"/>
      <c r="Z630" s="99"/>
      <c r="AA630" s="99"/>
      <c r="AB630" s="226"/>
      <c r="AC630" s="226"/>
      <c r="AD630" s="226"/>
      <c r="AE630" s="226"/>
      <c r="AF630" s="226"/>
      <c r="AG630" s="226"/>
      <c r="AH630" s="226"/>
      <c r="AI630" s="226"/>
      <c r="AJ630" s="226"/>
      <c r="AK630" s="226"/>
      <c r="AL630" s="226"/>
      <c r="AM630" s="226"/>
      <c r="AN630" s="226"/>
      <c r="AO630" s="226"/>
      <c r="AP630" s="226"/>
      <c r="AQ630" s="226"/>
      <c r="AR630" s="226"/>
      <c r="AS630" s="226"/>
      <c r="AT630" s="226"/>
      <c r="AU630" s="226"/>
      <c r="AV630" s="226"/>
      <c r="AW630" s="226"/>
      <c r="AX630" s="226"/>
      <c r="AY630" s="226"/>
      <c r="AZ630" s="226"/>
      <c r="BA630" s="226"/>
      <c r="BB630" s="226"/>
      <c r="BC630" s="226"/>
      <c r="BD630" s="99"/>
      <c r="BE630" s="99"/>
      <c r="BF630" s="99"/>
      <c r="BG630" s="99"/>
      <c r="BH630" s="99"/>
      <c r="BI630" s="99"/>
      <c r="BJ630" s="99"/>
      <c r="BK630" s="11"/>
      <c r="BL630" s="11"/>
    </row>
    <row r="631" spans="1:64" s="9" customFormat="1">
      <c r="B631" s="11"/>
      <c r="C631" s="88" t="s">
        <v>33</v>
      </c>
      <c r="D631" s="11"/>
      <c r="E631" s="11"/>
      <c r="F631" s="11"/>
      <c r="G631" s="193">
        <f>SUM(G632:G661)</f>
        <v>-37.642174138486254</v>
      </c>
      <c r="H631" s="115">
        <f>SUM(H632:H661)</f>
        <v>-29.457864788889793</v>
      </c>
      <c r="I631" s="115">
        <f t="shared" ref="I631:Q631" si="28">SUM(I632:I661)</f>
        <v>-37.493320859126833</v>
      </c>
      <c r="J631" s="115">
        <f t="shared" si="28"/>
        <v>-47.53199642745529</v>
      </c>
      <c r="K631" s="115">
        <f t="shared" si="28"/>
        <v>-58.572343853650672</v>
      </c>
      <c r="L631" s="115">
        <f t="shared" si="28"/>
        <v>-63.277659611518217</v>
      </c>
      <c r="M631" s="115">
        <f t="shared" si="28"/>
        <v>0</v>
      </c>
      <c r="N631" s="115">
        <f t="shared" si="28"/>
        <v>0</v>
      </c>
      <c r="O631" s="115">
        <f t="shared" si="28"/>
        <v>0</v>
      </c>
      <c r="P631" s="115">
        <f t="shared" si="28"/>
        <v>0</v>
      </c>
      <c r="Q631" s="115">
        <f t="shared" si="28"/>
        <v>0</v>
      </c>
      <c r="R631" s="105"/>
      <c r="S631" s="105"/>
      <c r="T631" s="105"/>
      <c r="U631" s="105"/>
      <c r="V631" s="105"/>
      <c r="W631" s="105"/>
      <c r="X631" s="105"/>
      <c r="Y631" s="105"/>
      <c r="Z631" s="105"/>
      <c r="AA631" s="105"/>
      <c r="AB631" s="213"/>
      <c r="AC631" s="213"/>
      <c r="AD631" s="213"/>
      <c r="AE631" s="213"/>
      <c r="AF631" s="213"/>
      <c r="AG631" s="213"/>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105"/>
      <c r="BE631" s="105"/>
      <c r="BF631" s="105"/>
      <c r="BG631" s="105"/>
      <c r="BH631" s="105"/>
      <c r="BI631" s="105"/>
      <c r="BJ631" s="105"/>
      <c r="BK631" s="11"/>
      <c r="BL631" s="11"/>
    </row>
    <row r="632" spans="1:64" ht="12.75" hidden="1" customHeight="1" outlineLevel="1">
      <c r="A632" s="9"/>
      <c r="B632" s="9"/>
      <c r="C632" s="9"/>
      <c r="D632" s="128" t="str">
        <f>Asset1</f>
        <v>Transmission &amp; Zone land &amp; easements</v>
      </c>
      <c r="E632" s="9"/>
      <c r="F632" s="9"/>
      <c r="G632" s="191">
        <f t="shared" ref="G632:G639" si="29">-(G666-G502)</f>
        <v>-1.3065244833581238</v>
      </c>
      <c r="H632" s="109">
        <f t="shared" ref="H632:Q632" si="30">H$56*H$7</f>
        <v>0</v>
      </c>
      <c r="I632" s="109">
        <f t="shared" si="30"/>
        <v>0</v>
      </c>
      <c r="J632" s="109">
        <f t="shared" si="30"/>
        <v>0</v>
      </c>
      <c r="K632" s="109">
        <f t="shared" si="30"/>
        <v>0</v>
      </c>
      <c r="L632" s="109">
        <f t="shared" si="30"/>
        <v>0</v>
      </c>
      <c r="M632" s="109">
        <f t="shared" si="30"/>
        <v>0</v>
      </c>
      <c r="N632" s="109">
        <f t="shared" si="30"/>
        <v>0</v>
      </c>
      <c r="O632" s="109">
        <f t="shared" si="30"/>
        <v>0</v>
      </c>
      <c r="P632" s="109">
        <f t="shared" si="30"/>
        <v>0</v>
      </c>
      <c r="Q632" s="109">
        <f t="shared" si="30"/>
        <v>0</v>
      </c>
      <c r="R632" s="9"/>
      <c r="S632" s="11"/>
      <c r="T632" s="11"/>
      <c r="U632" s="11"/>
      <c r="V632" s="11"/>
      <c r="W632" s="11"/>
      <c r="X632" s="11"/>
      <c r="Y632" s="11"/>
      <c r="Z632" s="11"/>
      <c r="AA632" s="11"/>
      <c r="AB632" s="219"/>
      <c r="AC632" s="219"/>
      <c r="AD632" s="219"/>
      <c r="AE632" s="219"/>
      <c r="AF632" s="219"/>
      <c r="AG632" s="219"/>
      <c r="AH632" s="219"/>
      <c r="AI632" s="219"/>
      <c r="AJ632" s="219"/>
      <c r="AK632" s="219"/>
      <c r="AL632" s="219"/>
      <c r="AM632" s="219"/>
      <c r="AN632" s="219"/>
      <c r="AO632" s="219"/>
      <c r="AP632" s="219"/>
      <c r="AQ632" s="219"/>
      <c r="AR632" s="219"/>
      <c r="AS632" s="219"/>
      <c r="AT632" s="219"/>
      <c r="AU632" s="219"/>
      <c r="AV632" s="219"/>
      <c r="AW632" s="219"/>
      <c r="AX632" s="219"/>
      <c r="AY632" s="219"/>
      <c r="AZ632" s="219"/>
      <c r="BA632" s="219"/>
      <c r="BB632" s="219"/>
      <c r="BC632" s="219"/>
      <c r="BD632" s="11"/>
      <c r="BE632" s="11"/>
      <c r="BF632" s="11"/>
      <c r="BG632" s="11"/>
      <c r="BH632" s="11"/>
      <c r="BI632" s="11"/>
      <c r="BJ632" s="11"/>
      <c r="BK632" s="11"/>
      <c r="BL632" s="11"/>
    </row>
    <row r="633" spans="1:64" ht="12.75" hidden="1" customHeight="1" outlineLevel="1">
      <c r="A633" s="9"/>
      <c r="B633" s="9"/>
      <c r="C633" s="9"/>
      <c r="D633" s="128" t="str">
        <f>Asset2</f>
        <v>Transmission buildings 132/66kV</v>
      </c>
      <c r="E633" s="9"/>
      <c r="F633" s="9"/>
      <c r="G633" s="191">
        <f t="shared" si="29"/>
        <v>-0.92734716256013405</v>
      </c>
      <c r="H633" s="293">
        <f t="shared" ref="H633:Q633" si="31">H$69*H$7</f>
        <v>-1.0072798731956552</v>
      </c>
      <c r="I633" s="109">
        <f t="shared" si="31"/>
        <v>-1.3701849866697646</v>
      </c>
      <c r="J633" s="109">
        <f t="shared" si="31"/>
        <v>-1.4977197296817952</v>
      </c>
      <c r="K633" s="109">
        <f t="shared" si="31"/>
        <v>-1.5759196818917156</v>
      </c>
      <c r="L633" s="109">
        <f t="shared" si="31"/>
        <v>-1.7271441377980137</v>
      </c>
      <c r="M633" s="109">
        <f t="shared" si="31"/>
        <v>0</v>
      </c>
      <c r="N633" s="109">
        <f t="shared" si="31"/>
        <v>0</v>
      </c>
      <c r="O633" s="109">
        <f t="shared" si="31"/>
        <v>0</v>
      </c>
      <c r="P633" s="109">
        <f t="shared" si="31"/>
        <v>0</v>
      </c>
      <c r="Q633" s="109">
        <f t="shared" si="31"/>
        <v>0</v>
      </c>
      <c r="R633" s="9"/>
      <c r="S633" s="11"/>
      <c r="T633" s="11"/>
      <c r="U633" s="11"/>
      <c r="V633" s="11"/>
      <c r="W633" s="11"/>
      <c r="X633" s="11"/>
      <c r="Y633" s="11"/>
      <c r="Z633" s="11"/>
      <c r="AA633" s="11"/>
      <c r="AB633" s="219"/>
      <c r="AC633" s="219"/>
      <c r="AD633" s="219"/>
      <c r="AE633" s="219"/>
      <c r="AF633" s="219"/>
      <c r="AG633" s="219"/>
      <c r="AH633" s="219"/>
      <c r="AI633" s="219"/>
      <c r="AJ633" s="219"/>
      <c r="AK633" s="219"/>
      <c r="AL633" s="219"/>
      <c r="AM633" s="219"/>
      <c r="AN633" s="219"/>
      <c r="AO633" s="219"/>
      <c r="AP633" s="219"/>
      <c r="AQ633" s="219"/>
      <c r="AR633" s="219"/>
      <c r="AS633" s="219"/>
      <c r="AT633" s="219"/>
      <c r="AU633" s="219"/>
      <c r="AV633" s="219"/>
      <c r="AW633" s="219"/>
      <c r="AX633" s="219"/>
      <c r="AY633" s="219"/>
      <c r="AZ633" s="219"/>
      <c r="BA633" s="219"/>
      <c r="BB633" s="219"/>
      <c r="BC633" s="219"/>
      <c r="BD633" s="11"/>
      <c r="BE633" s="11"/>
      <c r="BF633" s="11"/>
      <c r="BG633" s="11"/>
      <c r="BH633" s="11"/>
      <c r="BI633" s="11"/>
      <c r="BJ633" s="11"/>
      <c r="BK633" s="11"/>
      <c r="BL633" s="11"/>
    </row>
    <row r="634" spans="1:64" ht="12.75" hidden="1" customHeight="1" outlineLevel="1">
      <c r="A634" s="9"/>
      <c r="B634" s="9"/>
      <c r="C634" s="9"/>
      <c r="D634" s="128" t="str">
        <f>Asset3</f>
        <v>Zone buildings 132/66kV</v>
      </c>
      <c r="E634" s="9"/>
      <c r="F634" s="9"/>
      <c r="G634" s="191">
        <f t="shared" si="29"/>
        <v>-1.2602298416330304</v>
      </c>
      <c r="H634" s="109">
        <f t="shared" ref="H634:Q634" si="32">H$82*H$7</f>
        <v>-1.2897915900205115</v>
      </c>
      <c r="I634" s="109">
        <f t="shared" si="32"/>
        <v>-1.3342276946763223</v>
      </c>
      <c r="J634" s="109">
        <f t="shared" si="32"/>
        <v>-1.4965397786822969</v>
      </c>
      <c r="K634" s="109">
        <f t="shared" si="32"/>
        <v>-1.6054794088443918</v>
      </c>
      <c r="L634" s="109">
        <f t="shared" si="32"/>
        <v>-2.2375961686856587</v>
      </c>
      <c r="M634" s="109">
        <f t="shared" si="32"/>
        <v>0</v>
      </c>
      <c r="N634" s="109">
        <f t="shared" si="32"/>
        <v>0</v>
      </c>
      <c r="O634" s="109">
        <f t="shared" si="32"/>
        <v>0</v>
      </c>
      <c r="P634" s="109">
        <f t="shared" si="32"/>
        <v>0</v>
      </c>
      <c r="Q634" s="109">
        <f t="shared" si="32"/>
        <v>0</v>
      </c>
      <c r="R634" s="9"/>
      <c r="S634" s="11"/>
      <c r="T634" s="11"/>
      <c r="U634" s="11"/>
      <c r="V634" s="11"/>
      <c r="W634" s="11"/>
      <c r="X634" s="11"/>
      <c r="Y634" s="11"/>
      <c r="Z634" s="11"/>
      <c r="AA634" s="11"/>
      <c r="AB634" s="219"/>
      <c r="AC634" s="219"/>
      <c r="AD634" s="219"/>
      <c r="AE634" s="219"/>
      <c r="AF634" s="219"/>
      <c r="AG634" s="219"/>
      <c r="AH634" s="219"/>
      <c r="AI634" s="219"/>
      <c r="AJ634" s="219"/>
      <c r="AK634" s="219"/>
      <c r="AL634" s="219"/>
      <c r="AM634" s="219"/>
      <c r="AN634" s="219"/>
      <c r="AO634" s="219"/>
      <c r="AP634" s="219"/>
      <c r="AQ634" s="219"/>
      <c r="AR634" s="219"/>
      <c r="AS634" s="219"/>
      <c r="AT634" s="219"/>
      <c r="AU634" s="219"/>
      <c r="AV634" s="219"/>
      <c r="AW634" s="219"/>
      <c r="AX634" s="219"/>
      <c r="AY634" s="219"/>
      <c r="AZ634" s="219"/>
      <c r="BA634" s="219"/>
      <c r="BB634" s="219"/>
      <c r="BC634" s="219"/>
      <c r="BD634" s="11"/>
      <c r="BE634" s="11"/>
      <c r="BF634" s="11"/>
      <c r="BG634" s="11"/>
      <c r="BH634" s="11"/>
      <c r="BI634" s="11"/>
      <c r="BJ634" s="11"/>
      <c r="BK634" s="11"/>
      <c r="BL634" s="11"/>
    </row>
    <row r="635" spans="1:64" ht="12.75" hidden="1" customHeight="1" outlineLevel="1">
      <c r="A635" s="9"/>
      <c r="B635" s="9"/>
      <c r="C635" s="9"/>
      <c r="D635" s="128" t="str">
        <f>Asset4</f>
        <v>Transmission transformers 132/66kV</v>
      </c>
      <c r="E635" s="9"/>
      <c r="F635" s="9"/>
      <c r="G635" s="191">
        <f t="shared" si="29"/>
        <v>-0.98669624974000636</v>
      </c>
      <c r="H635" s="109">
        <f t="shared" ref="H635:Q635" si="33">H$95*H$7</f>
        <v>-0.6809639434371253</v>
      </c>
      <c r="I635" s="109">
        <f t="shared" si="33"/>
        <v>-0.77008049117886246</v>
      </c>
      <c r="J635" s="109">
        <f t="shared" si="33"/>
        <v>-0.82082193110269863</v>
      </c>
      <c r="K635" s="109">
        <f t="shared" si="33"/>
        <v>-0.88891427269316237</v>
      </c>
      <c r="L635" s="109">
        <f t="shared" si="33"/>
        <v>-1.0377033739661858</v>
      </c>
      <c r="M635" s="109">
        <f t="shared" si="33"/>
        <v>0</v>
      </c>
      <c r="N635" s="109">
        <f t="shared" si="33"/>
        <v>0</v>
      </c>
      <c r="O635" s="109">
        <f t="shared" si="33"/>
        <v>0</v>
      </c>
      <c r="P635" s="109">
        <f t="shared" si="33"/>
        <v>0</v>
      </c>
      <c r="Q635" s="109">
        <f t="shared" si="33"/>
        <v>0</v>
      </c>
      <c r="R635" s="9"/>
      <c r="S635" s="11"/>
      <c r="T635" s="11"/>
      <c r="U635" s="11"/>
      <c r="V635" s="11"/>
      <c r="W635" s="11"/>
      <c r="X635" s="11"/>
      <c r="Y635" s="11"/>
      <c r="Z635" s="11"/>
      <c r="AA635" s="11"/>
      <c r="AB635" s="219"/>
      <c r="AC635" s="219"/>
      <c r="AD635" s="219"/>
      <c r="AE635" s="219"/>
      <c r="AF635" s="219"/>
      <c r="AG635" s="219"/>
      <c r="AH635" s="219"/>
      <c r="AI635" s="219"/>
      <c r="AJ635" s="219"/>
      <c r="AK635" s="219"/>
      <c r="AL635" s="219"/>
      <c r="AM635" s="219"/>
      <c r="AN635" s="219"/>
      <c r="AO635" s="219"/>
      <c r="AP635" s="219"/>
      <c r="AQ635" s="219"/>
      <c r="AR635" s="219"/>
      <c r="AS635" s="219"/>
      <c r="AT635" s="219"/>
      <c r="AU635" s="219"/>
      <c r="AV635" s="219"/>
      <c r="AW635" s="219"/>
      <c r="AX635" s="219"/>
      <c r="AY635" s="219"/>
      <c r="AZ635" s="219"/>
      <c r="BA635" s="219"/>
      <c r="BB635" s="219"/>
      <c r="BC635" s="219"/>
      <c r="BD635" s="11"/>
      <c r="BE635" s="11"/>
      <c r="BF635" s="11"/>
      <c r="BG635" s="11"/>
      <c r="BH635" s="11"/>
      <c r="BI635" s="11"/>
      <c r="BJ635" s="11"/>
      <c r="BK635" s="11"/>
      <c r="BL635" s="11"/>
    </row>
    <row r="636" spans="1:64" ht="12.75" hidden="1" customHeight="1" outlineLevel="1">
      <c r="A636" s="9"/>
      <c r="B636" s="9"/>
      <c r="C636" s="9"/>
      <c r="D636" s="128" t="str">
        <f>Asset5</f>
        <v>Zone transformers 132/66kV</v>
      </c>
      <c r="E636" s="9"/>
      <c r="F636" s="9"/>
      <c r="G636" s="191">
        <f t="shared" si="29"/>
        <v>-0.63985332701700393</v>
      </c>
      <c r="H636" s="109">
        <f t="shared" ref="H636:Q636" si="34">H$108*H$7</f>
        <v>-0.64459919284485523</v>
      </c>
      <c r="I636" s="109">
        <f t="shared" si="34"/>
        <v>-0.72783757236331281</v>
      </c>
      <c r="J636" s="109">
        <f t="shared" si="34"/>
        <v>-0.81531184606065432</v>
      </c>
      <c r="K636" s="109">
        <f t="shared" si="34"/>
        <v>-0.89209278939646153</v>
      </c>
      <c r="L636" s="109">
        <f t="shared" si="34"/>
        <v>-0.91441743377575235</v>
      </c>
      <c r="M636" s="109">
        <f t="shared" si="34"/>
        <v>0</v>
      </c>
      <c r="N636" s="109">
        <f t="shared" si="34"/>
        <v>0</v>
      </c>
      <c r="O636" s="109">
        <f t="shared" si="34"/>
        <v>0</v>
      </c>
      <c r="P636" s="109">
        <f t="shared" si="34"/>
        <v>0</v>
      </c>
      <c r="Q636" s="109">
        <f t="shared" si="34"/>
        <v>0</v>
      </c>
      <c r="R636" s="9"/>
      <c r="S636" s="11"/>
      <c r="T636" s="11"/>
      <c r="U636" s="11"/>
      <c r="V636" s="11"/>
      <c r="W636" s="11"/>
      <c r="X636" s="11"/>
      <c r="Y636" s="11"/>
      <c r="Z636" s="11"/>
      <c r="AA636" s="11"/>
      <c r="AB636" s="219"/>
      <c r="AC636" s="219"/>
      <c r="AD636" s="219"/>
      <c r="AE636" s="219"/>
      <c r="AF636" s="219"/>
      <c r="AG636" s="219"/>
      <c r="AH636" s="219"/>
      <c r="AI636" s="219"/>
      <c r="AJ636" s="219"/>
      <c r="AK636" s="219"/>
      <c r="AL636" s="219"/>
      <c r="AM636" s="219"/>
      <c r="AN636" s="219"/>
      <c r="AO636" s="219"/>
      <c r="AP636" s="219"/>
      <c r="AQ636" s="219"/>
      <c r="AR636" s="219"/>
      <c r="AS636" s="219"/>
      <c r="AT636" s="219"/>
      <c r="AU636" s="219"/>
      <c r="AV636" s="219"/>
      <c r="AW636" s="219"/>
      <c r="AX636" s="219"/>
      <c r="AY636" s="219"/>
      <c r="AZ636" s="219"/>
      <c r="BA636" s="219"/>
      <c r="BB636" s="219"/>
      <c r="BC636" s="219"/>
      <c r="BD636" s="11"/>
      <c r="BE636" s="11"/>
      <c r="BF636" s="11"/>
      <c r="BG636" s="11"/>
      <c r="BH636" s="11"/>
      <c r="BI636" s="11"/>
      <c r="BJ636" s="11"/>
      <c r="BK636" s="11"/>
      <c r="BL636" s="11"/>
    </row>
    <row r="637" spans="1:64" ht="12.75" hidden="1" customHeight="1" outlineLevel="1">
      <c r="A637" s="9"/>
      <c r="B637" s="9"/>
      <c r="C637" s="9"/>
      <c r="D637" s="128" t="str">
        <f>Asset6</f>
        <v>Transmission substation equip 132/66kV</v>
      </c>
      <c r="E637" s="9"/>
      <c r="F637" s="9"/>
      <c r="G637" s="191">
        <f t="shared" si="29"/>
        <v>-4.5472865221395287</v>
      </c>
      <c r="H637" s="109">
        <f t="shared" ref="H637:Q637" si="35">H$121*H$7</f>
        <v>-3.5633465743046475</v>
      </c>
      <c r="I637" s="109">
        <f t="shared" si="35"/>
        <v>-4.2635502440286039</v>
      </c>
      <c r="J637" s="109">
        <f t="shared" si="35"/>
        <v>-4.8875543689695284</v>
      </c>
      <c r="K637" s="109">
        <f t="shared" si="35"/>
        <v>-5.6076246882577134</v>
      </c>
      <c r="L637" s="109">
        <f t="shared" si="35"/>
        <v>-6.1864802240537573</v>
      </c>
      <c r="M637" s="109">
        <f t="shared" si="35"/>
        <v>0</v>
      </c>
      <c r="N637" s="109">
        <f t="shared" si="35"/>
        <v>0</v>
      </c>
      <c r="O637" s="109">
        <f t="shared" si="35"/>
        <v>0</v>
      </c>
      <c r="P637" s="109">
        <f t="shared" si="35"/>
        <v>0</v>
      </c>
      <c r="Q637" s="109">
        <f t="shared" si="35"/>
        <v>0</v>
      </c>
      <c r="R637" s="9"/>
      <c r="S637" s="11"/>
      <c r="T637" s="11"/>
      <c r="U637" s="11"/>
      <c r="V637" s="11"/>
      <c r="W637" s="11"/>
      <c r="X637" s="11"/>
      <c r="Y637" s="11"/>
      <c r="Z637" s="11"/>
      <c r="AA637" s="11"/>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c r="AV637" s="219"/>
      <c r="AW637" s="219"/>
      <c r="AX637" s="219"/>
      <c r="AY637" s="219"/>
      <c r="AZ637" s="219"/>
      <c r="BA637" s="219"/>
      <c r="BB637" s="219"/>
      <c r="BC637" s="219"/>
      <c r="BD637" s="11"/>
      <c r="BE637" s="11"/>
      <c r="BF637" s="11"/>
      <c r="BG637" s="11"/>
      <c r="BH637" s="11"/>
      <c r="BI637" s="11"/>
      <c r="BJ637" s="11"/>
      <c r="BK637" s="11"/>
      <c r="BL637" s="11"/>
    </row>
    <row r="638" spans="1:64" ht="12.75" hidden="1" customHeight="1" outlineLevel="1">
      <c r="A638" s="9"/>
      <c r="B638" s="9"/>
      <c r="C638" s="9"/>
      <c r="D638" s="128" t="str">
        <f>Asset7</f>
        <v>Zone substation equip 132/66kV</v>
      </c>
      <c r="E638" s="9"/>
      <c r="F638" s="9"/>
      <c r="G638" s="191">
        <f t="shared" si="29"/>
        <v>-3.7931138432700231</v>
      </c>
      <c r="H638" s="109">
        <f t="shared" ref="H638:Q638" si="36">H$134*H$7</f>
        <v>-3.8953444003810485</v>
      </c>
      <c r="I638" s="109">
        <f t="shared" si="36"/>
        <v>-4.8592831805444519</v>
      </c>
      <c r="J638" s="109">
        <f t="shared" si="36"/>
        <v>-7.0650295956559104</v>
      </c>
      <c r="K638" s="109">
        <f t="shared" si="36"/>
        <v>-9.0936785039327468</v>
      </c>
      <c r="L638" s="109">
        <f t="shared" si="36"/>
        <v>-10.112332072754253</v>
      </c>
      <c r="M638" s="109">
        <f t="shared" si="36"/>
        <v>0</v>
      </c>
      <c r="N638" s="109">
        <f t="shared" si="36"/>
        <v>0</v>
      </c>
      <c r="O638" s="109">
        <f t="shared" si="36"/>
        <v>0</v>
      </c>
      <c r="P638" s="109">
        <f t="shared" si="36"/>
        <v>0</v>
      </c>
      <c r="Q638" s="109">
        <f t="shared" si="36"/>
        <v>0</v>
      </c>
      <c r="R638" s="9"/>
      <c r="S638" s="11"/>
      <c r="T638" s="11"/>
      <c r="U638" s="11"/>
      <c r="V638" s="11"/>
      <c r="W638" s="11"/>
      <c r="X638" s="11"/>
      <c r="Y638" s="11"/>
      <c r="Z638" s="11"/>
      <c r="AA638" s="11"/>
      <c r="AB638" s="219"/>
      <c r="AC638" s="219"/>
      <c r="AD638" s="219"/>
      <c r="AE638" s="219"/>
      <c r="AF638" s="219"/>
      <c r="AG638" s="219"/>
      <c r="AH638" s="219"/>
      <c r="AI638" s="219"/>
      <c r="AJ638" s="219"/>
      <c r="AK638" s="219"/>
      <c r="AL638" s="219"/>
      <c r="AM638" s="219"/>
      <c r="AN638" s="219"/>
      <c r="AO638" s="219"/>
      <c r="AP638" s="219"/>
      <c r="AQ638" s="219"/>
      <c r="AR638" s="219"/>
      <c r="AS638" s="219"/>
      <c r="AT638" s="219"/>
      <c r="AU638" s="219"/>
      <c r="AV638" s="219"/>
      <c r="AW638" s="219"/>
      <c r="AX638" s="219"/>
      <c r="AY638" s="219"/>
      <c r="AZ638" s="219"/>
      <c r="BA638" s="219"/>
      <c r="BB638" s="219"/>
      <c r="BC638" s="219"/>
      <c r="BD638" s="11"/>
      <c r="BE638" s="11"/>
      <c r="BF638" s="11"/>
      <c r="BG638" s="11"/>
      <c r="BH638" s="11"/>
      <c r="BI638" s="11"/>
      <c r="BJ638" s="11"/>
      <c r="BK638" s="11"/>
      <c r="BL638" s="11"/>
    </row>
    <row r="639" spans="1:64" ht="12.75" hidden="1" customHeight="1" outlineLevel="1">
      <c r="A639" s="9"/>
      <c r="B639" s="9"/>
      <c r="C639" s="9"/>
      <c r="D639" s="128" t="str">
        <f>Asset8</f>
        <v>Transmission &amp; Zone emergency spares</v>
      </c>
      <c r="E639" s="9"/>
      <c r="F639" s="9"/>
      <c r="G639" s="191">
        <f t="shared" si="29"/>
        <v>-5.2595597103271351E-2</v>
      </c>
      <c r="H639" s="109">
        <f t="shared" ref="H639:Q639" si="37">H$147*H$7</f>
        <v>-5.4208599098085189E-2</v>
      </c>
      <c r="I639" s="109">
        <f t="shared" si="37"/>
        <v>-5.5774190407777181E-2</v>
      </c>
      <c r="J639" s="109">
        <f t="shared" si="37"/>
        <v>-5.7633330088036415E-2</v>
      </c>
      <c r="K639" s="109">
        <f t="shared" si="37"/>
        <v>-5.8571410740537524E-2</v>
      </c>
      <c r="L639" s="109">
        <f t="shared" si="37"/>
        <v>-6.0037161760070491E-2</v>
      </c>
      <c r="M639" s="109">
        <f t="shared" si="37"/>
        <v>0</v>
      </c>
      <c r="N639" s="109">
        <f t="shared" si="37"/>
        <v>0</v>
      </c>
      <c r="O639" s="109">
        <f t="shared" si="37"/>
        <v>0</v>
      </c>
      <c r="P639" s="109">
        <f t="shared" si="37"/>
        <v>0</v>
      </c>
      <c r="Q639" s="109">
        <f t="shared" si="37"/>
        <v>0</v>
      </c>
      <c r="R639" s="9"/>
      <c r="S639" s="11"/>
      <c r="T639" s="11"/>
      <c r="U639" s="11"/>
      <c r="V639" s="11"/>
      <c r="W639" s="11"/>
      <c r="X639" s="11"/>
      <c r="Y639" s="11"/>
      <c r="Z639" s="11"/>
      <c r="AA639" s="11"/>
      <c r="AB639" s="219"/>
      <c r="AC639" s="219"/>
      <c r="AD639" s="219"/>
      <c r="AE639" s="219"/>
      <c r="AF639" s="219"/>
      <c r="AG639" s="219"/>
      <c r="AH639" s="219"/>
      <c r="AI639" s="219"/>
      <c r="AJ639" s="219"/>
      <c r="AK639" s="219"/>
      <c r="AL639" s="219"/>
      <c r="AM639" s="219"/>
      <c r="AN639" s="219"/>
      <c r="AO639" s="219"/>
      <c r="AP639" s="219"/>
      <c r="AQ639" s="219"/>
      <c r="AR639" s="219"/>
      <c r="AS639" s="219"/>
      <c r="AT639" s="219"/>
      <c r="AU639" s="219"/>
      <c r="AV639" s="219"/>
      <c r="AW639" s="219"/>
      <c r="AX639" s="219"/>
      <c r="AY639" s="219"/>
      <c r="AZ639" s="219"/>
      <c r="BA639" s="219"/>
      <c r="BB639" s="219"/>
      <c r="BC639" s="219"/>
      <c r="BD639" s="11"/>
      <c r="BE639" s="11"/>
      <c r="BF639" s="11"/>
      <c r="BG639" s="11"/>
      <c r="BH639" s="11"/>
      <c r="BI639" s="11"/>
      <c r="BJ639" s="11"/>
      <c r="BK639" s="11"/>
      <c r="BL639" s="11"/>
    </row>
    <row r="640" spans="1:64" ht="12.75" hidden="1" customHeight="1" outlineLevel="1">
      <c r="A640" s="9"/>
      <c r="B640" s="9"/>
      <c r="C640" s="9"/>
      <c r="D640" s="128" t="str">
        <f>Asset9</f>
        <v>Ancillary substation equipment (tx)</v>
      </c>
      <c r="E640" s="9"/>
      <c r="F640" s="9"/>
      <c r="G640" s="191">
        <f>-(G674-G510)</f>
        <v>0</v>
      </c>
      <c r="H640" s="109">
        <f t="shared" ref="H640:Q640" si="38">H$160*H$7</f>
        <v>0</v>
      </c>
      <c r="I640" s="109">
        <f t="shared" si="38"/>
        <v>-8.0993974871049992E-2</v>
      </c>
      <c r="J640" s="109">
        <f t="shared" si="38"/>
        <v>-0.30885620621553533</v>
      </c>
      <c r="K640" s="109">
        <f t="shared" si="38"/>
        <v>-0.77724145620291374</v>
      </c>
      <c r="L640" s="109">
        <f t="shared" si="38"/>
        <v>-2.358273077339299</v>
      </c>
      <c r="M640" s="109">
        <f t="shared" si="38"/>
        <v>0</v>
      </c>
      <c r="N640" s="109">
        <f t="shared" si="38"/>
        <v>0</v>
      </c>
      <c r="O640" s="109">
        <f t="shared" si="38"/>
        <v>0</v>
      </c>
      <c r="P640" s="109">
        <f t="shared" si="38"/>
        <v>0</v>
      </c>
      <c r="Q640" s="109">
        <f t="shared" si="38"/>
        <v>0</v>
      </c>
      <c r="R640" s="9"/>
      <c r="S640" s="11"/>
      <c r="T640" s="11"/>
      <c r="U640" s="11"/>
      <c r="V640" s="11"/>
      <c r="W640" s="11"/>
      <c r="X640" s="11"/>
      <c r="Y640" s="11"/>
      <c r="Z640" s="11"/>
      <c r="AA640" s="11"/>
      <c r="AB640" s="219"/>
      <c r="AC640" s="219"/>
      <c r="AD640" s="219"/>
      <c r="AE640" s="219"/>
      <c r="AF640" s="219"/>
      <c r="AG640" s="219"/>
      <c r="AH640" s="219"/>
      <c r="AI640" s="219"/>
      <c r="AJ640" s="219"/>
      <c r="AK640" s="219"/>
      <c r="AL640" s="219"/>
      <c r="AM640" s="219"/>
      <c r="AN640" s="219"/>
      <c r="AO640" s="219"/>
      <c r="AP640" s="219"/>
      <c r="AQ640" s="219"/>
      <c r="AR640" s="219"/>
      <c r="AS640" s="219"/>
      <c r="AT640" s="219"/>
      <c r="AU640" s="219"/>
      <c r="AV640" s="219"/>
      <c r="AW640" s="219"/>
      <c r="AX640" s="219"/>
      <c r="AY640" s="219"/>
      <c r="AZ640" s="219"/>
      <c r="BA640" s="219"/>
      <c r="BB640" s="219"/>
      <c r="BC640" s="219"/>
      <c r="BD640" s="11"/>
      <c r="BE640" s="11"/>
      <c r="BF640" s="11"/>
      <c r="BG640" s="11"/>
      <c r="BH640" s="11"/>
      <c r="BI640" s="11"/>
      <c r="BJ640" s="11"/>
      <c r="BK640" s="11"/>
      <c r="BL640" s="11"/>
    </row>
    <row r="641" spans="1:64" ht="12.75" hidden="1" customHeight="1" outlineLevel="1">
      <c r="A641" s="9"/>
      <c r="B641" s="9"/>
      <c r="C641" s="9"/>
      <c r="D641" s="128" t="str">
        <f>Asset10</f>
        <v>132kV tower lines</v>
      </c>
      <c r="E641" s="9"/>
      <c r="F641" s="9"/>
      <c r="G641" s="191">
        <f t="shared" ref="G641:G651" si="39">-(G675-G511)</f>
        <v>-0.78065028198700903</v>
      </c>
      <c r="H641" s="109">
        <f t="shared" ref="H641:Q641" si="40">H$173*H$7</f>
        <v>-0.672005788683259</v>
      </c>
      <c r="I641" s="109">
        <f t="shared" si="40"/>
        <v>-0.76631756045933652</v>
      </c>
      <c r="J641" s="109">
        <f t="shared" si="40"/>
        <v>-0.94926262978839859</v>
      </c>
      <c r="K641" s="109">
        <f t="shared" si="40"/>
        <v>-1.0686348991638306</v>
      </c>
      <c r="L641" s="109">
        <f t="shared" si="40"/>
        <v>-1.080857958021014</v>
      </c>
      <c r="M641" s="109">
        <f t="shared" si="40"/>
        <v>0</v>
      </c>
      <c r="N641" s="109">
        <f t="shared" si="40"/>
        <v>0</v>
      </c>
      <c r="O641" s="109">
        <f t="shared" si="40"/>
        <v>0</v>
      </c>
      <c r="P641" s="109">
        <f t="shared" si="40"/>
        <v>0</v>
      </c>
      <c r="Q641" s="109">
        <f t="shared" si="40"/>
        <v>0</v>
      </c>
      <c r="R641" s="9"/>
      <c r="S641" s="11"/>
      <c r="T641" s="11"/>
      <c r="U641" s="11"/>
      <c r="V641" s="11"/>
      <c r="W641" s="11"/>
      <c r="X641" s="11"/>
      <c r="Y641" s="11"/>
      <c r="Z641" s="11"/>
      <c r="AA641" s="11"/>
      <c r="AB641" s="219"/>
      <c r="AC641" s="219"/>
      <c r="AD641" s="219"/>
      <c r="AE641" s="219"/>
      <c r="AF641" s="219"/>
      <c r="AG641" s="219"/>
      <c r="AH641" s="219"/>
      <c r="AI641" s="219"/>
      <c r="AJ641" s="219"/>
      <c r="AK641" s="219"/>
      <c r="AL641" s="219"/>
      <c r="AM641" s="219"/>
      <c r="AN641" s="219"/>
      <c r="AO641" s="219"/>
      <c r="AP641" s="219"/>
      <c r="AQ641" s="219"/>
      <c r="AR641" s="219"/>
      <c r="AS641" s="219"/>
      <c r="AT641" s="219"/>
      <c r="AU641" s="219"/>
      <c r="AV641" s="219"/>
      <c r="AW641" s="219"/>
      <c r="AX641" s="219"/>
      <c r="AY641" s="219"/>
      <c r="AZ641" s="219"/>
      <c r="BA641" s="219"/>
      <c r="BB641" s="219"/>
      <c r="BC641" s="219"/>
      <c r="BD641" s="11"/>
      <c r="BE641" s="11"/>
      <c r="BF641" s="11"/>
      <c r="BG641" s="11"/>
      <c r="BH641" s="11"/>
      <c r="BI641" s="11"/>
      <c r="BJ641" s="11"/>
      <c r="BK641" s="11"/>
      <c r="BL641" s="11"/>
    </row>
    <row r="642" spans="1:64" ht="12.75" hidden="1" customHeight="1" outlineLevel="1">
      <c r="A642" s="9"/>
      <c r="B642" s="9"/>
      <c r="C642" s="9"/>
      <c r="D642" s="128" t="str">
        <f>Asset11</f>
        <v>132kV concrete &amp; steel pole lines</v>
      </c>
      <c r="E642" s="9"/>
      <c r="F642" s="9"/>
      <c r="G642" s="191">
        <f t="shared" si="39"/>
        <v>-0.25038744560987414</v>
      </c>
      <c r="H642" s="109">
        <f t="shared" ref="H642:Q642" si="41">H$186*H$7</f>
        <v>-0.25869624148972037</v>
      </c>
      <c r="I642" s="109">
        <f t="shared" si="41"/>
        <v>-0.54350610927832643</v>
      </c>
      <c r="J642" s="109">
        <f t="shared" si="41"/>
        <v>-0.63896137960177513</v>
      </c>
      <c r="K642" s="109">
        <f t="shared" si="41"/>
        <v>-0.66454863955959964</v>
      </c>
      <c r="L642" s="109">
        <f t="shared" si="41"/>
        <v>-0.64016049628216465</v>
      </c>
      <c r="M642" s="109">
        <f t="shared" si="41"/>
        <v>0</v>
      </c>
      <c r="N642" s="109">
        <f t="shared" si="41"/>
        <v>0</v>
      </c>
      <c r="O642" s="109">
        <f t="shared" si="41"/>
        <v>0</v>
      </c>
      <c r="P642" s="109">
        <f t="shared" si="41"/>
        <v>0</v>
      </c>
      <c r="Q642" s="109">
        <f t="shared" si="41"/>
        <v>0</v>
      </c>
      <c r="R642" s="9"/>
      <c r="S642" s="11"/>
      <c r="T642" s="11"/>
      <c r="U642" s="11"/>
      <c r="V642" s="11"/>
      <c r="W642" s="11"/>
      <c r="X642" s="11"/>
      <c r="Y642" s="11"/>
      <c r="Z642" s="11"/>
      <c r="AA642" s="11"/>
      <c r="AB642" s="219"/>
      <c r="AC642" s="219"/>
      <c r="AD642" s="219"/>
      <c r="AE642" s="219"/>
      <c r="AF642" s="219"/>
      <c r="AG642" s="219"/>
      <c r="AH642" s="219"/>
      <c r="AI642" s="219"/>
      <c r="AJ642" s="219"/>
      <c r="AK642" s="219"/>
      <c r="AL642" s="219"/>
      <c r="AM642" s="219"/>
      <c r="AN642" s="219"/>
      <c r="AO642" s="219"/>
      <c r="AP642" s="219"/>
      <c r="AQ642" s="219"/>
      <c r="AR642" s="219"/>
      <c r="AS642" s="219"/>
      <c r="AT642" s="219"/>
      <c r="AU642" s="219"/>
      <c r="AV642" s="219"/>
      <c r="AW642" s="219"/>
      <c r="AX642" s="219"/>
      <c r="AY642" s="219"/>
      <c r="AZ642" s="219"/>
      <c r="BA642" s="219"/>
      <c r="BB642" s="219"/>
      <c r="BC642" s="219"/>
      <c r="BD642" s="11"/>
      <c r="BE642" s="11"/>
      <c r="BF642" s="11"/>
      <c r="BG642" s="11"/>
      <c r="BH642" s="11"/>
      <c r="BI642" s="11"/>
      <c r="BJ642" s="11"/>
      <c r="BK642" s="11"/>
      <c r="BL642" s="11"/>
    </row>
    <row r="643" spans="1:64" ht="12.75" hidden="1" customHeight="1" outlineLevel="1">
      <c r="A643" s="9"/>
      <c r="B643" s="9"/>
      <c r="C643" s="9"/>
      <c r="D643" s="128" t="str">
        <f>Asset12</f>
        <v>132kV wood pole lines</v>
      </c>
      <c r="E643" s="9"/>
      <c r="F643" s="9"/>
      <c r="G643" s="191">
        <f t="shared" si="39"/>
        <v>-1.3951797051050354</v>
      </c>
      <c r="H643" s="109">
        <f t="shared" ref="H643:Q643" si="42">H$199*H$7</f>
        <v>-0.83782354753666122</v>
      </c>
      <c r="I643" s="109">
        <f t="shared" si="42"/>
        <v>-1.103373095464548</v>
      </c>
      <c r="J643" s="109">
        <f t="shared" si="42"/>
        <v>-1.1503207959487896</v>
      </c>
      <c r="K643" s="109">
        <f t="shared" si="42"/>
        <v>-1.1773357240205058</v>
      </c>
      <c r="L643" s="109">
        <f t="shared" si="42"/>
        <v>-1.2207910795778898</v>
      </c>
      <c r="M643" s="109">
        <f t="shared" si="42"/>
        <v>0</v>
      </c>
      <c r="N643" s="109">
        <f t="shared" si="42"/>
        <v>0</v>
      </c>
      <c r="O643" s="109">
        <f t="shared" si="42"/>
        <v>0</v>
      </c>
      <c r="P643" s="109">
        <f t="shared" si="42"/>
        <v>0</v>
      </c>
      <c r="Q643" s="109">
        <f t="shared" si="42"/>
        <v>0</v>
      </c>
      <c r="R643" s="9"/>
      <c r="S643" s="11"/>
      <c r="T643" s="11"/>
      <c r="U643" s="11"/>
      <c r="V643" s="11"/>
      <c r="W643" s="11"/>
      <c r="X643" s="11"/>
      <c r="Y643" s="11"/>
      <c r="Z643" s="11"/>
      <c r="AA643" s="11"/>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19"/>
      <c r="AY643" s="219"/>
      <c r="AZ643" s="219"/>
      <c r="BA643" s="219"/>
      <c r="BB643" s="219"/>
      <c r="BC643" s="219"/>
      <c r="BD643" s="11"/>
      <c r="BE643" s="11"/>
      <c r="BF643" s="11"/>
      <c r="BG643" s="11"/>
      <c r="BH643" s="11"/>
      <c r="BI643" s="11"/>
      <c r="BJ643" s="11"/>
      <c r="BK643" s="11"/>
      <c r="BL643" s="11"/>
    </row>
    <row r="644" spans="1:64" ht="12.75" hidden="1" customHeight="1" outlineLevel="1">
      <c r="A644" s="9"/>
      <c r="B644" s="9"/>
      <c r="C644" s="9"/>
      <c r="D644" s="128" t="str">
        <f>Asset13</f>
        <v>132kV feeders underground</v>
      </c>
      <c r="E644" s="9"/>
      <c r="F644" s="9"/>
      <c r="G644" s="191">
        <f t="shared" si="39"/>
        <v>-11.100709439729179</v>
      </c>
      <c r="H644" s="109">
        <f t="shared" ref="H644:Q644" si="43">H$212*H$7</f>
        <v>-7.5054580341810082</v>
      </c>
      <c r="I644" s="109">
        <f t="shared" si="43"/>
        <v>-9.5464454856878369</v>
      </c>
      <c r="J644" s="109">
        <f t="shared" si="43"/>
        <v>-11.950512383521728</v>
      </c>
      <c r="K644" s="109">
        <f t="shared" si="43"/>
        <v>-15.982501105832975</v>
      </c>
      <c r="L644" s="109">
        <f t="shared" si="43"/>
        <v>-18.067792736273944</v>
      </c>
      <c r="M644" s="109">
        <f t="shared" si="43"/>
        <v>0</v>
      </c>
      <c r="N644" s="109">
        <f t="shared" si="43"/>
        <v>0</v>
      </c>
      <c r="O644" s="109">
        <f t="shared" si="43"/>
        <v>0</v>
      </c>
      <c r="P644" s="109">
        <f t="shared" si="43"/>
        <v>0</v>
      </c>
      <c r="Q644" s="109">
        <f t="shared" si="43"/>
        <v>0</v>
      </c>
      <c r="R644" s="9"/>
      <c r="S644" s="11"/>
      <c r="T644" s="11"/>
      <c r="U644" s="11"/>
      <c r="V644" s="11"/>
      <c r="W644" s="11"/>
      <c r="X644" s="11"/>
      <c r="Y644" s="11"/>
      <c r="Z644" s="11"/>
      <c r="AA644" s="11"/>
      <c r="AB644" s="219"/>
      <c r="AC644" s="219"/>
      <c r="AD644" s="219"/>
      <c r="AE644" s="219"/>
      <c r="AF644" s="219"/>
      <c r="AG644" s="219"/>
      <c r="AH644" s="219"/>
      <c r="AI644" s="219"/>
      <c r="AJ644" s="219"/>
      <c r="AK644" s="219"/>
      <c r="AL644" s="219"/>
      <c r="AM644" s="219"/>
      <c r="AN644" s="219"/>
      <c r="AO644" s="219"/>
      <c r="AP644" s="219"/>
      <c r="AQ644" s="219"/>
      <c r="AR644" s="219"/>
      <c r="AS644" s="219"/>
      <c r="AT644" s="219"/>
      <c r="AU644" s="219"/>
      <c r="AV644" s="219"/>
      <c r="AW644" s="219"/>
      <c r="AX644" s="219"/>
      <c r="AY644" s="219"/>
      <c r="AZ644" s="219"/>
      <c r="BA644" s="219"/>
      <c r="BB644" s="219"/>
      <c r="BC644" s="219"/>
      <c r="BD644" s="11"/>
      <c r="BE644" s="11"/>
      <c r="BF644" s="11"/>
      <c r="BG644" s="11"/>
      <c r="BH644" s="11"/>
      <c r="BI644" s="11"/>
      <c r="BJ644" s="11"/>
      <c r="BK644" s="11"/>
      <c r="BL644" s="11"/>
    </row>
    <row r="645" spans="1:64" ht="12.75" hidden="1" customHeight="1" outlineLevel="1">
      <c r="A645" s="9"/>
      <c r="B645" s="9"/>
      <c r="C645" s="9"/>
      <c r="D645" s="128" t="str">
        <f>Asset14</f>
        <v>Cable tunnel (tx)</v>
      </c>
      <c r="E645" s="9"/>
      <c r="F645" s="9"/>
      <c r="G645" s="191">
        <f t="shared" si="39"/>
        <v>-0.16644671753053872</v>
      </c>
      <c r="H645" s="109">
        <f t="shared" ref="H645:Q645" si="44">H$225*H$7</f>
        <v>-0.17147912158190742</v>
      </c>
      <c r="I645" s="109">
        <f t="shared" si="44"/>
        <v>-0.17643158718716107</v>
      </c>
      <c r="J645" s="109">
        <f t="shared" si="44"/>
        <v>-0.18231264009339976</v>
      </c>
      <c r="K645" s="109">
        <f t="shared" si="44"/>
        <v>-0.19296427875343264</v>
      </c>
      <c r="L645" s="109">
        <f t="shared" si="44"/>
        <v>-0.2004388666071297</v>
      </c>
      <c r="M645" s="109">
        <f t="shared" si="44"/>
        <v>0</v>
      </c>
      <c r="N645" s="109">
        <f t="shared" si="44"/>
        <v>0</v>
      </c>
      <c r="O645" s="109">
        <f t="shared" si="44"/>
        <v>0</v>
      </c>
      <c r="P645" s="109">
        <f t="shared" si="44"/>
        <v>0</v>
      </c>
      <c r="Q645" s="109">
        <f t="shared" si="44"/>
        <v>0</v>
      </c>
      <c r="R645" s="9"/>
      <c r="S645" s="11"/>
      <c r="T645" s="11"/>
      <c r="U645" s="11"/>
      <c r="V645" s="11"/>
      <c r="W645" s="11"/>
      <c r="X645" s="11"/>
      <c r="Y645" s="11"/>
      <c r="Z645" s="11"/>
      <c r="AA645" s="11"/>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19"/>
      <c r="AY645" s="219"/>
      <c r="AZ645" s="219"/>
      <c r="BA645" s="219"/>
      <c r="BB645" s="219"/>
      <c r="BC645" s="219"/>
      <c r="BD645" s="11"/>
      <c r="BE645" s="11"/>
      <c r="BF645" s="11"/>
      <c r="BG645" s="11"/>
      <c r="BH645" s="11"/>
      <c r="BI645" s="11"/>
      <c r="BJ645" s="11"/>
      <c r="BK645" s="11"/>
      <c r="BL645" s="11"/>
    </row>
    <row r="646" spans="1:64" ht="12.75" hidden="1" customHeight="1" outlineLevel="1">
      <c r="A646" s="9"/>
      <c r="B646" s="9"/>
      <c r="C646" s="9"/>
      <c r="D646" s="128" t="str">
        <f>Asset15</f>
        <v>Network control &amp; com systems</v>
      </c>
      <c r="E646" s="9"/>
      <c r="F646" s="9"/>
      <c r="G646" s="191">
        <f t="shared" si="39"/>
        <v>-1.568800806704894</v>
      </c>
      <c r="H646" s="109">
        <f t="shared" ref="H646:Q646" si="45">H$238*H$7</f>
        <v>-1.0659613244633006</v>
      </c>
      <c r="I646" s="109">
        <f t="shared" si="45"/>
        <v>-1.1401924129305114</v>
      </c>
      <c r="J646" s="109">
        <f t="shared" si="45"/>
        <v>-1.1781988266948618</v>
      </c>
      <c r="K646" s="109">
        <f t="shared" si="45"/>
        <v>-1.198081621458126</v>
      </c>
      <c r="L646" s="109">
        <f t="shared" si="45"/>
        <v>-1.2280636440171382</v>
      </c>
      <c r="M646" s="109">
        <f t="shared" si="45"/>
        <v>0</v>
      </c>
      <c r="N646" s="109">
        <f t="shared" si="45"/>
        <v>0</v>
      </c>
      <c r="O646" s="109">
        <f t="shared" si="45"/>
        <v>0</v>
      </c>
      <c r="P646" s="109">
        <f t="shared" si="45"/>
        <v>0</v>
      </c>
      <c r="Q646" s="109">
        <f t="shared" si="45"/>
        <v>0</v>
      </c>
      <c r="R646" s="9"/>
      <c r="S646" s="11"/>
      <c r="T646" s="11"/>
      <c r="U646" s="11"/>
      <c r="V646" s="11"/>
      <c r="W646" s="11"/>
      <c r="X646" s="11"/>
      <c r="Y646" s="11"/>
      <c r="Z646" s="11"/>
      <c r="AA646" s="11"/>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c r="AV646" s="219"/>
      <c r="AW646" s="219"/>
      <c r="AX646" s="219"/>
      <c r="AY646" s="219"/>
      <c r="AZ646" s="219"/>
      <c r="BA646" s="219"/>
      <c r="BB646" s="219"/>
      <c r="BC646" s="219"/>
      <c r="BD646" s="11"/>
      <c r="BE646" s="11"/>
      <c r="BF646" s="11"/>
      <c r="BG646" s="11"/>
      <c r="BH646" s="11"/>
      <c r="BI646" s="11"/>
      <c r="BJ646" s="11"/>
      <c r="BK646" s="11"/>
      <c r="BL646" s="11"/>
    </row>
    <row r="647" spans="1:64" ht="12.75" hidden="1" customHeight="1" outlineLevel="1">
      <c r="A647" s="9"/>
      <c r="B647" s="9"/>
      <c r="C647" s="9"/>
      <c r="D647" s="128" t="str">
        <f>Asset16</f>
        <v>Communications (digital) - tx</v>
      </c>
      <c r="E647" s="9"/>
      <c r="F647" s="9"/>
      <c r="G647" s="191">
        <f t="shared" si="39"/>
        <v>0</v>
      </c>
      <c r="H647" s="109">
        <f t="shared" ref="H647:Q647" si="46">H$251*H$7</f>
        <v>0</v>
      </c>
      <c r="I647" s="109">
        <f t="shared" si="46"/>
        <v>0</v>
      </c>
      <c r="J647" s="109">
        <f t="shared" si="46"/>
        <v>-3.5223743422119057E-2</v>
      </c>
      <c r="K647" s="109">
        <f t="shared" si="46"/>
        <v>-8.7234023635142668E-2</v>
      </c>
      <c r="L647" s="109">
        <f t="shared" si="46"/>
        <v>-0.10810489321795905</v>
      </c>
      <c r="M647" s="109">
        <f t="shared" si="46"/>
        <v>0</v>
      </c>
      <c r="N647" s="109">
        <f t="shared" si="46"/>
        <v>0</v>
      </c>
      <c r="O647" s="109">
        <f t="shared" si="46"/>
        <v>0</v>
      </c>
      <c r="P647" s="109">
        <f t="shared" si="46"/>
        <v>0</v>
      </c>
      <c r="Q647" s="109">
        <f t="shared" si="46"/>
        <v>0</v>
      </c>
      <c r="R647" s="9"/>
      <c r="S647" s="11"/>
      <c r="T647" s="11"/>
      <c r="U647" s="11"/>
      <c r="V647" s="11"/>
      <c r="W647" s="11"/>
      <c r="X647" s="11"/>
      <c r="Y647" s="11"/>
      <c r="Z647" s="11"/>
      <c r="AA647" s="11"/>
      <c r="AB647" s="219"/>
      <c r="AC647" s="219"/>
      <c r="AD647" s="219"/>
      <c r="AE647" s="219"/>
      <c r="AF647" s="219"/>
      <c r="AG647" s="219"/>
      <c r="AH647" s="219"/>
      <c r="AI647" s="219"/>
      <c r="AJ647" s="219"/>
      <c r="AK647" s="219"/>
      <c r="AL647" s="219"/>
      <c r="AM647" s="219"/>
      <c r="AN647" s="219"/>
      <c r="AO647" s="219"/>
      <c r="AP647" s="219"/>
      <c r="AQ647" s="219"/>
      <c r="AR647" s="219"/>
      <c r="AS647" s="219"/>
      <c r="AT647" s="219"/>
      <c r="AU647" s="219"/>
      <c r="AV647" s="219"/>
      <c r="AW647" s="219"/>
      <c r="AX647" s="219"/>
      <c r="AY647" s="219"/>
      <c r="AZ647" s="219"/>
      <c r="BA647" s="219"/>
      <c r="BB647" s="219"/>
      <c r="BC647" s="219"/>
      <c r="BD647" s="11"/>
      <c r="BE647" s="11"/>
      <c r="BF647" s="11"/>
      <c r="BG647" s="11"/>
      <c r="BH647" s="11"/>
      <c r="BI647" s="11"/>
      <c r="BJ647" s="11"/>
      <c r="BK647" s="11"/>
      <c r="BL647" s="11"/>
    </row>
    <row r="648" spans="1:64" ht="12.75" hidden="1" customHeight="1" outlineLevel="1">
      <c r="A648" s="9"/>
      <c r="B648" s="9"/>
      <c r="C648" s="9"/>
      <c r="D648" s="128" t="str">
        <f>Asset17</f>
        <v>System IT (tx)</v>
      </c>
      <c r="E648" s="9"/>
      <c r="F648" s="9"/>
      <c r="G648" s="191">
        <f t="shared" si="39"/>
        <v>0</v>
      </c>
      <c r="H648" s="109">
        <f t="shared" ref="H648:Q648" si="47">H$264*H$7</f>
        <v>0</v>
      </c>
      <c r="I648" s="109">
        <f t="shared" si="47"/>
        <v>-0.54876975865085298</v>
      </c>
      <c r="J648" s="109">
        <f t="shared" si="47"/>
        <v>-1.8143507086630817</v>
      </c>
      <c r="K648" s="109">
        <f t="shared" si="47"/>
        <v>-3.2657756742933266</v>
      </c>
      <c r="L648" s="109">
        <f t="shared" si="47"/>
        <v>-4.1113356425067842</v>
      </c>
      <c r="M648" s="109">
        <f t="shared" si="47"/>
        <v>0</v>
      </c>
      <c r="N648" s="109">
        <f t="shared" si="47"/>
        <v>0</v>
      </c>
      <c r="O648" s="109">
        <f t="shared" si="47"/>
        <v>0</v>
      </c>
      <c r="P648" s="109">
        <f t="shared" si="47"/>
        <v>0</v>
      </c>
      <c r="Q648" s="109">
        <f t="shared" si="47"/>
        <v>0</v>
      </c>
      <c r="R648" s="9"/>
      <c r="S648" s="11"/>
      <c r="T648" s="11"/>
      <c r="U648" s="11"/>
      <c r="V648" s="11"/>
      <c r="W648" s="11"/>
      <c r="X648" s="11"/>
      <c r="Y648" s="11"/>
      <c r="Z648" s="11"/>
      <c r="AA648" s="11"/>
      <c r="AB648" s="219"/>
      <c r="AC648" s="219"/>
      <c r="AD648" s="219"/>
      <c r="AE648" s="219"/>
      <c r="AF648" s="219"/>
      <c r="AG648" s="219"/>
      <c r="AH648" s="219"/>
      <c r="AI648" s="219"/>
      <c r="AJ648" s="219"/>
      <c r="AK648" s="219"/>
      <c r="AL648" s="219"/>
      <c r="AM648" s="219"/>
      <c r="AN648" s="219"/>
      <c r="AO648" s="219"/>
      <c r="AP648" s="219"/>
      <c r="AQ648" s="219"/>
      <c r="AR648" s="219"/>
      <c r="AS648" s="219"/>
      <c r="AT648" s="219"/>
      <c r="AU648" s="219"/>
      <c r="AV648" s="219"/>
      <c r="AW648" s="219"/>
      <c r="AX648" s="219"/>
      <c r="AY648" s="219"/>
      <c r="AZ648" s="219"/>
      <c r="BA648" s="219"/>
      <c r="BB648" s="219"/>
      <c r="BC648" s="219"/>
      <c r="BD648" s="11"/>
      <c r="BE648" s="11"/>
      <c r="BF648" s="11"/>
      <c r="BG648" s="11"/>
      <c r="BH648" s="11"/>
      <c r="BI648" s="11"/>
      <c r="BJ648" s="11"/>
      <c r="BK648" s="11"/>
      <c r="BL648" s="11"/>
    </row>
    <row r="649" spans="1:64" ht="12.75" hidden="1" customHeight="1" outlineLevel="1">
      <c r="A649" s="9"/>
      <c r="B649" s="9"/>
      <c r="C649" s="9"/>
      <c r="D649" s="128" t="str">
        <f>Asset18</f>
        <v>IT systems</v>
      </c>
      <c r="E649" s="9"/>
      <c r="F649" s="9"/>
      <c r="G649" s="191">
        <f t="shared" si="39"/>
        <v>-2.0337430211575258</v>
      </c>
      <c r="H649" s="109">
        <f t="shared" ref="H649:Q649" si="48">H$277*H$7</f>
        <v>-4.1152151529708885</v>
      </c>
      <c r="I649" s="109">
        <f t="shared" si="48"/>
        <v>-5.5847316143742942</v>
      </c>
      <c r="J649" s="109">
        <f t="shared" si="48"/>
        <v>-7.3040854661509158</v>
      </c>
      <c r="K649" s="109">
        <f t="shared" si="48"/>
        <v>-8.3873169143463304</v>
      </c>
      <c r="L649" s="109">
        <f t="shared" si="48"/>
        <v>-5.4962989449311737</v>
      </c>
      <c r="M649" s="109">
        <f t="shared" si="48"/>
        <v>0</v>
      </c>
      <c r="N649" s="109">
        <f t="shared" si="48"/>
        <v>0</v>
      </c>
      <c r="O649" s="109">
        <f t="shared" si="48"/>
        <v>0</v>
      </c>
      <c r="P649" s="109">
        <f t="shared" si="48"/>
        <v>0</v>
      </c>
      <c r="Q649" s="109">
        <f t="shared" si="48"/>
        <v>0</v>
      </c>
      <c r="R649" s="9"/>
      <c r="S649" s="11"/>
      <c r="T649" s="11"/>
      <c r="U649" s="11"/>
      <c r="V649" s="11"/>
      <c r="W649" s="11"/>
      <c r="X649" s="11"/>
      <c r="Y649" s="11"/>
      <c r="Z649" s="11"/>
      <c r="AA649" s="11"/>
      <c r="AB649" s="219"/>
      <c r="AC649" s="219"/>
      <c r="AD649" s="219"/>
      <c r="AE649" s="219"/>
      <c r="AF649" s="219"/>
      <c r="AG649" s="219"/>
      <c r="AH649" s="219"/>
      <c r="AI649" s="219"/>
      <c r="AJ649" s="219"/>
      <c r="AK649" s="219"/>
      <c r="AL649" s="219"/>
      <c r="AM649" s="219"/>
      <c r="AN649" s="219"/>
      <c r="AO649" s="219"/>
      <c r="AP649" s="219"/>
      <c r="AQ649" s="219"/>
      <c r="AR649" s="219"/>
      <c r="AS649" s="219"/>
      <c r="AT649" s="219"/>
      <c r="AU649" s="219"/>
      <c r="AV649" s="219"/>
      <c r="AW649" s="219"/>
      <c r="AX649" s="219"/>
      <c r="AY649" s="219"/>
      <c r="AZ649" s="219"/>
      <c r="BA649" s="219"/>
      <c r="BB649" s="219"/>
      <c r="BC649" s="219"/>
      <c r="BD649" s="11"/>
      <c r="BE649" s="11"/>
      <c r="BF649" s="11"/>
      <c r="BG649" s="11"/>
      <c r="BH649" s="11"/>
      <c r="BI649" s="11"/>
      <c r="BJ649" s="11"/>
      <c r="BK649" s="11"/>
      <c r="BL649" s="11"/>
    </row>
    <row r="650" spans="1:64" ht="12.75" hidden="1" customHeight="1" outlineLevel="1">
      <c r="A650" s="9"/>
      <c r="B650" s="9"/>
      <c r="C650" s="9"/>
      <c r="D650" s="128" t="str">
        <f>Asset19</f>
        <v>Furniture, fittings, plant and equipment</v>
      </c>
      <c r="E650" s="9"/>
      <c r="F650" s="9"/>
      <c r="G650" s="191">
        <f t="shared" si="39"/>
        <v>-0.47933217630458391</v>
      </c>
      <c r="H650" s="109">
        <f t="shared" ref="H650:Q650" si="49">H$290*H$7</f>
        <v>-0.28984095373462687</v>
      </c>
      <c r="I650" s="109">
        <f t="shared" si="49"/>
        <v>-0.35997865404165291</v>
      </c>
      <c r="J650" s="109">
        <f t="shared" si="49"/>
        <v>-0.42862061750337155</v>
      </c>
      <c r="K650" s="109">
        <f t="shared" si="49"/>
        <v>-0.49392699214329638</v>
      </c>
      <c r="L650" s="109">
        <f t="shared" si="49"/>
        <v>-0.54247026861747183</v>
      </c>
      <c r="M650" s="109">
        <f t="shared" si="49"/>
        <v>0</v>
      </c>
      <c r="N650" s="109">
        <f t="shared" si="49"/>
        <v>0</v>
      </c>
      <c r="O650" s="109">
        <f t="shared" si="49"/>
        <v>0</v>
      </c>
      <c r="P650" s="109">
        <f t="shared" si="49"/>
        <v>0</v>
      </c>
      <c r="Q650" s="109">
        <f t="shared" si="49"/>
        <v>0</v>
      </c>
      <c r="R650" s="9"/>
      <c r="S650" s="11"/>
      <c r="T650" s="11"/>
      <c r="U650" s="11"/>
      <c r="V650" s="11"/>
      <c r="W650" s="11"/>
      <c r="X650" s="11"/>
      <c r="Y650" s="11"/>
      <c r="Z650" s="11"/>
      <c r="AA650" s="11"/>
      <c r="AB650" s="219"/>
      <c r="AC650" s="219"/>
      <c r="AD650" s="219"/>
      <c r="AE650" s="219"/>
      <c r="AF650" s="219"/>
      <c r="AG650" s="219"/>
      <c r="AH650" s="219"/>
      <c r="AI650" s="219"/>
      <c r="AJ650" s="219"/>
      <c r="AK650" s="219"/>
      <c r="AL650" s="219"/>
      <c r="AM650" s="219"/>
      <c r="AN650" s="219"/>
      <c r="AO650" s="219"/>
      <c r="AP650" s="219"/>
      <c r="AQ650" s="219"/>
      <c r="AR650" s="219"/>
      <c r="AS650" s="219"/>
      <c r="AT650" s="219"/>
      <c r="AU650" s="219"/>
      <c r="AV650" s="219"/>
      <c r="AW650" s="219"/>
      <c r="AX650" s="219"/>
      <c r="AY650" s="219"/>
      <c r="AZ650" s="219"/>
      <c r="BA650" s="219"/>
      <c r="BB650" s="219"/>
      <c r="BC650" s="219"/>
      <c r="BD650" s="11"/>
      <c r="BE650" s="11"/>
      <c r="BF650" s="11"/>
      <c r="BG650" s="11"/>
      <c r="BH650" s="11"/>
      <c r="BI650" s="11"/>
      <c r="BJ650" s="11"/>
      <c r="BK650" s="11"/>
      <c r="BL650" s="11"/>
    </row>
    <row r="651" spans="1:64" ht="14.25" hidden="1" customHeight="1" outlineLevel="1">
      <c r="A651" s="9"/>
      <c r="B651" s="9"/>
      <c r="C651" s="9"/>
      <c r="D651" s="128" t="str">
        <f>Asset20</f>
        <v>Motor vehicles</v>
      </c>
      <c r="E651" s="9"/>
      <c r="F651" s="9"/>
      <c r="G651" s="191">
        <f t="shared" si="39"/>
        <v>-1.5642455135647366</v>
      </c>
      <c r="H651" s="109">
        <f t="shared" ref="H651:Q651" si="50">H$303*H$7</f>
        <v>-1.571754941712719</v>
      </c>
      <c r="I651" s="109">
        <f t="shared" si="50"/>
        <v>-1.959888904317767</v>
      </c>
      <c r="J651" s="109">
        <f t="shared" si="50"/>
        <v>-2.3952603734977864</v>
      </c>
      <c r="K651" s="109">
        <f t="shared" si="50"/>
        <v>-2.8289148757152063</v>
      </c>
      <c r="L651" s="109">
        <f t="shared" si="50"/>
        <v>-3.0775354868252007</v>
      </c>
      <c r="M651" s="109">
        <f t="shared" si="50"/>
        <v>0</v>
      </c>
      <c r="N651" s="109">
        <f t="shared" si="50"/>
        <v>0</v>
      </c>
      <c r="O651" s="109">
        <f t="shared" si="50"/>
        <v>0</v>
      </c>
      <c r="P651" s="109">
        <f t="shared" si="50"/>
        <v>0</v>
      </c>
      <c r="Q651" s="109">
        <f t="shared" si="50"/>
        <v>0</v>
      </c>
      <c r="R651" s="9"/>
      <c r="S651" s="11"/>
      <c r="T651" s="11"/>
      <c r="U651" s="11"/>
      <c r="V651" s="11"/>
      <c r="W651" s="11"/>
      <c r="X651" s="11"/>
      <c r="Y651" s="11"/>
      <c r="Z651" s="11"/>
      <c r="AA651" s="11"/>
      <c r="AB651" s="219"/>
      <c r="AC651" s="219"/>
      <c r="AD651" s="219"/>
      <c r="AE651" s="219"/>
      <c r="AF651" s="219"/>
      <c r="AG651" s="219"/>
      <c r="AH651" s="219"/>
      <c r="AI651" s="219"/>
      <c r="AJ651" s="219"/>
      <c r="AK651" s="219"/>
      <c r="AL651" s="219"/>
      <c r="AM651" s="219"/>
      <c r="AN651" s="219"/>
      <c r="AO651" s="219"/>
      <c r="AP651" s="219"/>
      <c r="AQ651" s="219"/>
      <c r="AR651" s="219"/>
      <c r="AS651" s="219"/>
      <c r="AT651" s="219"/>
      <c r="AU651" s="219"/>
      <c r="AV651" s="219"/>
      <c r="AW651" s="219"/>
      <c r="AX651" s="219"/>
      <c r="AY651" s="219"/>
      <c r="AZ651" s="219"/>
      <c r="BA651" s="219"/>
      <c r="BB651" s="219"/>
      <c r="BC651" s="219"/>
      <c r="BD651" s="11"/>
      <c r="BE651" s="11"/>
      <c r="BF651" s="11"/>
      <c r="BG651" s="11"/>
      <c r="BH651" s="11"/>
      <c r="BI651" s="11"/>
      <c r="BJ651" s="11"/>
      <c r="BK651" s="11"/>
      <c r="BL651" s="11"/>
    </row>
    <row r="652" spans="1:64" ht="14.25" hidden="1" customHeight="1" outlineLevel="1">
      <c r="A652" s="9"/>
      <c r="B652" s="9"/>
      <c r="C652" s="9"/>
      <c r="D652" s="128" t="str">
        <f>Asset21</f>
        <v>Buildings</v>
      </c>
      <c r="E652" s="9"/>
      <c r="F652" s="9"/>
      <c r="G652" s="191">
        <f>-(G686-G522)</f>
        <v>-2.1354047897587893</v>
      </c>
      <c r="H652" s="109">
        <f>H$316*H$7</f>
        <v>-0.54343216721254195</v>
      </c>
      <c r="I652" s="109">
        <f t="shared" ref="I652:Q652" si="51">I$316*I$7</f>
        <v>-0.82544203948757922</v>
      </c>
      <c r="J652" s="109">
        <f t="shared" si="51"/>
        <v>-1.0296550566868823</v>
      </c>
      <c r="K652" s="109">
        <f t="shared" si="51"/>
        <v>-1.1693654871161865</v>
      </c>
      <c r="L652" s="109">
        <f t="shared" si="51"/>
        <v>-1.2742550919474702</v>
      </c>
      <c r="M652" s="109">
        <f t="shared" si="51"/>
        <v>0</v>
      </c>
      <c r="N652" s="109">
        <f t="shared" si="51"/>
        <v>0</v>
      </c>
      <c r="O652" s="109">
        <f t="shared" si="51"/>
        <v>0</v>
      </c>
      <c r="P652" s="109">
        <f t="shared" si="51"/>
        <v>0</v>
      </c>
      <c r="Q652" s="109">
        <f t="shared" si="51"/>
        <v>0</v>
      </c>
      <c r="R652" s="9"/>
      <c r="S652" s="9"/>
      <c r="T652" s="9"/>
      <c r="U652" s="9"/>
      <c r="V652" s="9"/>
      <c r="W652" s="9"/>
      <c r="X652" s="9"/>
      <c r="Y652" s="9"/>
      <c r="Z652" s="9"/>
      <c r="AA652" s="9"/>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9"/>
      <c r="BE652" s="9"/>
      <c r="BF652" s="9"/>
      <c r="BG652" s="9"/>
      <c r="BH652" s="9"/>
      <c r="BI652" s="9"/>
      <c r="BJ652" s="9"/>
      <c r="BK652" s="9"/>
      <c r="BL652" s="9"/>
    </row>
    <row r="653" spans="1:64" ht="14.25" hidden="1" customHeight="1" outlineLevel="1">
      <c r="A653" s="9"/>
      <c r="B653" s="9"/>
      <c r="C653" s="9"/>
      <c r="D653" s="128" t="str">
        <f>Asset22</f>
        <v>Land (non-system)</v>
      </c>
      <c r="E653" s="9"/>
      <c r="F653" s="9"/>
      <c r="G653" s="191">
        <f t="shared" ref="G653:G661" si="52">-(G687-G523)</f>
        <v>-0.80785724336183717</v>
      </c>
      <c r="H653" s="109">
        <f>H$329*H$7</f>
        <v>0</v>
      </c>
      <c r="I653" s="109">
        <f t="shared" ref="I653:Q653" si="53">I$329*I$7</f>
        <v>0</v>
      </c>
      <c r="J653" s="109">
        <f t="shared" si="53"/>
        <v>0</v>
      </c>
      <c r="K653" s="109">
        <f t="shared" si="53"/>
        <v>0</v>
      </c>
      <c r="L653" s="109">
        <f t="shared" si="53"/>
        <v>0</v>
      </c>
      <c r="M653" s="109">
        <f t="shared" si="53"/>
        <v>0</v>
      </c>
      <c r="N653" s="109">
        <f t="shared" si="53"/>
        <v>0</v>
      </c>
      <c r="O653" s="109">
        <f t="shared" si="53"/>
        <v>0</v>
      </c>
      <c r="P653" s="109">
        <f t="shared" si="53"/>
        <v>0</v>
      </c>
      <c r="Q653" s="109">
        <f t="shared" si="53"/>
        <v>0</v>
      </c>
      <c r="R653" s="9"/>
      <c r="S653" s="9"/>
      <c r="T653" s="9"/>
      <c r="U653" s="9"/>
      <c r="V653" s="9"/>
      <c r="W653" s="9"/>
      <c r="X653" s="9"/>
      <c r="Y653" s="9"/>
      <c r="Z653" s="9"/>
      <c r="AA653" s="9"/>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9"/>
      <c r="BE653" s="9"/>
      <c r="BF653" s="9"/>
      <c r="BG653" s="9"/>
      <c r="BH653" s="9"/>
      <c r="BI653" s="9"/>
      <c r="BJ653" s="9"/>
      <c r="BK653" s="9"/>
      <c r="BL653" s="9"/>
    </row>
    <row r="654" spans="1:64" ht="14.25" hidden="1" customHeight="1" outlineLevel="1">
      <c r="A654" s="9"/>
      <c r="B654" s="9"/>
      <c r="C654" s="9"/>
      <c r="D654" s="128" t="str">
        <f>Asset23</f>
        <v>Other non system assets</v>
      </c>
      <c r="E654" s="9"/>
      <c r="F654" s="9"/>
      <c r="G654" s="191">
        <f t="shared" si="52"/>
        <v>-1.8457699708511286</v>
      </c>
      <c r="H654" s="109">
        <f>H$342*H$7</f>
        <v>-1.2906633420412263</v>
      </c>
      <c r="I654" s="109">
        <f t="shared" ref="I654:Q654" si="54">I$342*I$7</f>
        <v>-1.3279388176236444</v>
      </c>
      <c r="J654" s="109">
        <f t="shared" si="54"/>
        <v>-1.3724467850464368</v>
      </c>
      <c r="K654" s="109">
        <f t="shared" si="54"/>
        <v>-1.4004076557599852</v>
      </c>
      <c r="L654" s="109">
        <f t="shared" si="54"/>
        <v>-1.4358578596764831</v>
      </c>
      <c r="M654" s="109">
        <f t="shared" si="54"/>
        <v>0</v>
      </c>
      <c r="N654" s="109">
        <f t="shared" si="54"/>
        <v>0</v>
      </c>
      <c r="O654" s="109">
        <f t="shared" si="54"/>
        <v>0</v>
      </c>
      <c r="P654" s="109">
        <f t="shared" si="54"/>
        <v>0</v>
      </c>
      <c r="Q654" s="109">
        <f t="shared" si="54"/>
        <v>0</v>
      </c>
      <c r="R654" s="9"/>
      <c r="S654" s="9"/>
      <c r="T654" s="9"/>
      <c r="U654" s="9"/>
      <c r="V654" s="9"/>
      <c r="W654" s="9"/>
      <c r="X654" s="9"/>
      <c r="Y654" s="9"/>
      <c r="Z654" s="9"/>
      <c r="AA654" s="9"/>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9"/>
      <c r="BE654" s="9"/>
      <c r="BF654" s="9"/>
      <c r="BG654" s="9"/>
      <c r="BH654" s="9"/>
      <c r="BI654" s="9"/>
      <c r="BJ654" s="9"/>
      <c r="BK654" s="9"/>
      <c r="BL654" s="9"/>
    </row>
    <row r="655" spans="1:64" ht="14.25" hidden="1" customHeight="1" outlineLevel="1">
      <c r="A655" s="9"/>
      <c r="B655" s="9"/>
      <c r="C655" s="9"/>
      <c r="D655" s="128" t="str">
        <f>Asset24</f>
        <v>Equity raising costs</v>
      </c>
      <c r="E655" s="9"/>
      <c r="F655" s="9"/>
      <c r="G655" s="191">
        <f t="shared" si="52"/>
        <v>0</v>
      </c>
      <c r="H655" s="109">
        <f>H$355*H$7</f>
        <v>0</v>
      </c>
      <c r="I655" s="109">
        <f t="shared" ref="I655:Q655" si="55">I$355*I$7</f>
        <v>-0.14837248488318053</v>
      </c>
      <c r="J655" s="109">
        <f t="shared" si="55"/>
        <v>-0.15331823437928652</v>
      </c>
      <c r="K655" s="109">
        <f t="shared" si="55"/>
        <v>-0.1558137498930898</v>
      </c>
      <c r="L655" s="109">
        <f t="shared" si="55"/>
        <v>-0.15971299288340735</v>
      </c>
      <c r="M655" s="109">
        <f t="shared" si="55"/>
        <v>0</v>
      </c>
      <c r="N655" s="109">
        <f t="shared" si="55"/>
        <v>0</v>
      </c>
      <c r="O655" s="109">
        <f t="shared" si="55"/>
        <v>0</v>
      </c>
      <c r="P655" s="109">
        <f t="shared" si="55"/>
        <v>0</v>
      </c>
      <c r="Q655" s="109">
        <f t="shared" si="55"/>
        <v>0</v>
      </c>
      <c r="R655" s="9"/>
      <c r="S655" s="9"/>
      <c r="T655" s="9"/>
      <c r="U655" s="9"/>
      <c r="V655" s="9"/>
      <c r="W655" s="9"/>
      <c r="X655" s="9"/>
      <c r="Y655" s="9"/>
      <c r="Z655" s="9"/>
      <c r="AA655" s="9"/>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9"/>
      <c r="BE655" s="9"/>
      <c r="BF655" s="9"/>
      <c r="BG655" s="9"/>
      <c r="BH655" s="9"/>
      <c r="BI655" s="9"/>
      <c r="BJ655" s="9"/>
      <c r="BK655" s="9"/>
      <c r="BL655" s="9"/>
    </row>
    <row r="656" spans="1:64" ht="14.25" hidden="1" customHeight="1" outlineLevel="1">
      <c r="A656" s="9"/>
      <c r="B656" s="9"/>
      <c r="C656" s="9"/>
      <c r="D656" s="128">
        <f>Asset25</f>
        <v>0</v>
      </c>
      <c r="E656" s="9"/>
      <c r="F656" s="9"/>
      <c r="G656" s="191">
        <f t="shared" si="52"/>
        <v>0</v>
      </c>
      <c r="H656" s="109">
        <f>H$368*H$7</f>
        <v>0</v>
      </c>
      <c r="I656" s="109">
        <f t="shared" ref="I656:Q656" si="56">I$368*I$7</f>
        <v>0</v>
      </c>
      <c r="J656" s="109">
        <f t="shared" si="56"/>
        <v>0</v>
      </c>
      <c r="K656" s="109">
        <f t="shared" si="56"/>
        <v>0</v>
      </c>
      <c r="L656" s="109">
        <f t="shared" si="56"/>
        <v>0</v>
      </c>
      <c r="M656" s="109">
        <f t="shared" si="56"/>
        <v>0</v>
      </c>
      <c r="N656" s="109">
        <f t="shared" si="56"/>
        <v>0</v>
      </c>
      <c r="O656" s="109">
        <f t="shared" si="56"/>
        <v>0</v>
      </c>
      <c r="P656" s="109">
        <f t="shared" si="56"/>
        <v>0</v>
      </c>
      <c r="Q656" s="109">
        <f t="shared" si="56"/>
        <v>0</v>
      </c>
      <c r="R656" s="9"/>
      <c r="S656" s="9"/>
      <c r="T656" s="9"/>
      <c r="U656" s="9"/>
      <c r="V656" s="9"/>
      <c r="W656" s="9"/>
      <c r="X656" s="9"/>
      <c r="Y656" s="9"/>
      <c r="Z656" s="9"/>
      <c r="AA656" s="9"/>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9"/>
      <c r="BE656" s="9"/>
      <c r="BF656" s="9"/>
      <c r="BG656" s="9"/>
      <c r="BH656" s="9"/>
      <c r="BI656" s="9"/>
      <c r="BJ656" s="9"/>
      <c r="BK656" s="9"/>
      <c r="BL656" s="9"/>
    </row>
    <row r="657" spans="1:64" ht="14.25" hidden="1" customHeight="1" outlineLevel="1">
      <c r="A657" s="9"/>
      <c r="B657" s="9"/>
      <c r="C657" s="9"/>
      <c r="D657" s="128">
        <f>Asset26</f>
        <v>0</v>
      </c>
      <c r="E657" s="9"/>
      <c r="F657" s="9"/>
      <c r="G657" s="191">
        <f t="shared" si="52"/>
        <v>0</v>
      </c>
      <c r="H657" s="109">
        <f>H$381*H$7</f>
        <v>0</v>
      </c>
      <c r="I657" s="109">
        <f t="shared" ref="I657:Q657" si="57">I$381*I$7</f>
        <v>0</v>
      </c>
      <c r="J657" s="109">
        <f t="shared" si="57"/>
        <v>0</v>
      </c>
      <c r="K657" s="109">
        <f t="shared" si="57"/>
        <v>0</v>
      </c>
      <c r="L657" s="109">
        <f t="shared" si="57"/>
        <v>0</v>
      </c>
      <c r="M657" s="109">
        <f t="shared" si="57"/>
        <v>0</v>
      </c>
      <c r="N657" s="109">
        <f t="shared" si="57"/>
        <v>0</v>
      </c>
      <c r="O657" s="109">
        <f t="shared" si="57"/>
        <v>0</v>
      </c>
      <c r="P657" s="109">
        <f t="shared" si="57"/>
        <v>0</v>
      </c>
      <c r="Q657" s="109">
        <f t="shared" si="57"/>
        <v>0</v>
      </c>
      <c r="R657" s="9"/>
      <c r="S657" s="9"/>
      <c r="T657" s="9"/>
      <c r="U657" s="9"/>
      <c r="V657" s="9"/>
      <c r="W657" s="9"/>
      <c r="X657" s="9"/>
      <c r="Y657" s="9"/>
      <c r="Z657" s="9"/>
      <c r="AA657" s="9"/>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9"/>
      <c r="BE657" s="9"/>
      <c r="BF657" s="9"/>
      <c r="BG657" s="9"/>
      <c r="BH657" s="9"/>
      <c r="BI657" s="9"/>
      <c r="BJ657" s="9"/>
      <c r="BK657" s="9"/>
      <c r="BL657" s="9"/>
    </row>
    <row r="658" spans="1:64" ht="14.25" hidden="1" customHeight="1" outlineLevel="1">
      <c r="A658" s="9"/>
      <c r="B658" s="9"/>
      <c r="C658" s="9"/>
      <c r="D658" s="128">
        <f>Asset27</f>
        <v>0</v>
      </c>
      <c r="E658" s="9"/>
      <c r="F658" s="9"/>
      <c r="G658" s="191">
        <f t="shared" si="52"/>
        <v>0</v>
      </c>
      <c r="H658" s="317">
        <f>H$394*H$7</f>
        <v>0</v>
      </c>
      <c r="I658" s="109">
        <f t="shared" ref="I658:Q658" si="58">I$394*I$7</f>
        <v>0</v>
      </c>
      <c r="J658" s="109">
        <f t="shared" si="58"/>
        <v>0</v>
      </c>
      <c r="K658" s="109">
        <f t="shared" si="58"/>
        <v>0</v>
      </c>
      <c r="L658" s="109">
        <f t="shared" si="58"/>
        <v>0</v>
      </c>
      <c r="M658" s="109">
        <f t="shared" si="58"/>
        <v>0</v>
      </c>
      <c r="N658" s="109">
        <f t="shared" si="58"/>
        <v>0</v>
      </c>
      <c r="O658" s="109">
        <f t="shared" si="58"/>
        <v>0</v>
      </c>
      <c r="P658" s="109">
        <f t="shared" si="58"/>
        <v>0</v>
      </c>
      <c r="Q658" s="109">
        <f t="shared" si="58"/>
        <v>0</v>
      </c>
      <c r="R658" s="9"/>
      <c r="S658" s="9"/>
      <c r="T658" s="9"/>
      <c r="U658" s="9"/>
      <c r="V658" s="9"/>
      <c r="W658" s="9"/>
      <c r="X658" s="9"/>
      <c r="Y658" s="9"/>
      <c r="Z658" s="9"/>
      <c r="AA658" s="9"/>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9"/>
      <c r="BE658" s="9"/>
      <c r="BF658" s="9"/>
      <c r="BG658" s="9"/>
      <c r="BH658" s="9"/>
      <c r="BI658" s="9"/>
      <c r="BJ658" s="9"/>
      <c r="BK658" s="9"/>
      <c r="BL658" s="9"/>
    </row>
    <row r="659" spans="1:64" ht="14.25" hidden="1" customHeight="1" outlineLevel="1">
      <c r="A659" s="9"/>
      <c r="B659" s="9"/>
      <c r="C659" s="9"/>
      <c r="D659" s="128">
        <f>Asset28</f>
        <v>0</v>
      </c>
      <c r="E659" s="9"/>
      <c r="F659" s="9"/>
      <c r="G659" s="191">
        <f t="shared" si="52"/>
        <v>0</v>
      </c>
      <c r="H659" s="109">
        <f>H$407*H$7</f>
        <v>0</v>
      </c>
      <c r="I659" s="109">
        <f t="shared" ref="I659:Q659" si="59">I$407*I$7</f>
        <v>0</v>
      </c>
      <c r="J659" s="109">
        <f t="shared" si="59"/>
        <v>0</v>
      </c>
      <c r="K659" s="109">
        <f t="shared" si="59"/>
        <v>0</v>
      </c>
      <c r="L659" s="109">
        <f t="shared" si="59"/>
        <v>0</v>
      </c>
      <c r="M659" s="109">
        <f t="shared" si="59"/>
        <v>0</v>
      </c>
      <c r="N659" s="109">
        <f t="shared" si="59"/>
        <v>0</v>
      </c>
      <c r="O659" s="109">
        <f t="shared" si="59"/>
        <v>0</v>
      </c>
      <c r="P659" s="109">
        <f t="shared" si="59"/>
        <v>0</v>
      </c>
      <c r="Q659" s="109">
        <f t="shared" si="59"/>
        <v>0</v>
      </c>
      <c r="R659" s="9"/>
      <c r="S659" s="9"/>
      <c r="T659" s="9"/>
      <c r="U659" s="9"/>
      <c r="V659" s="9"/>
      <c r="W659" s="9"/>
      <c r="X659" s="9"/>
      <c r="Y659" s="9"/>
      <c r="Z659" s="9"/>
      <c r="AA659" s="9"/>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9"/>
      <c r="BE659" s="9"/>
      <c r="BF659" s="9"/>
      <c r="BG659" s="9"/>
      <c r="BH659" s="9"/>
      <c r="BI659" s="9"/>
      <c r="BJ659" s="9"/>
      <c r="BK659" s="9"/>
      <c r="BL659" s="9"/>
    </row>
    <row r="660" spans="1:64" ht="14.25" hidden="1" customHeight="1" outlineLevel="1">
      <c r="A660" s="9"/>
      <c r="B660" s="9"/>
      <c r="C660" s="9"/>
      <c r="D660" s="128">
        <f>Asset29</f>
        <v>0</v>
      </c>
      <c r="E660" s="9"/>
      <c r="F660" s="9"/>
      <c r="G660" s="191">
        <f t="shared" si="52"/>
        <v>0</v>
      </c>
      <c r="H660" s="109">
        <f>H$420*H$7</f>
        <v>0</v>
      </c>
      <c r="I660" s="109">
        <f t="shared" ref="I660:Q660" si="60">I$420*I$7</f>
        <v>0</v>
      </c>
      <c r="J660" s="109">
        <f t="shared" si="60"/>
        <v>0</v>
      </c>
      <c r="K660" s="109">
        <f t="shared" si="60"/>
        <v>0</v>
      </c>
      <c r="L660" s="109">
        <f t="shared" si="60"/>
        <v>0</v>
      </c>
      <c r="M660" s="109">
        <f t="shared" si="60"/>
        <v>0</v>
      </c>
      <c r="N660" s="109">
        <f t="shared" si="60"/>
        <v>0</v>
      </c>
      <c r="O660" s="109">
        <f t="shared" si="60"/>
        <v>0</v>
      </c>
      <c r="P660" s="109">
        <f t="shared" si="60"/>
        <v>0</v>
      </c>
      <c r="Q660" s="109">
        <f t="shared" si="60"/>
        <v>0</v>
      </c>
      <c r="R660" s="9"/>
      <c r="S660" s="9"/>
      <c r="T660" s="9"/>
      <c r="U660" s="9"/>
      <c r="V660" s="9"/>
      <c r="W660" s="9"/>
      <c r="X660" s="9"/>
      <c r="Y660" s="9"/>
      <c r="Z660" s="9"/>
      <c r="AA660" s="9"/>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9"/>
      <c r="BE660" s="9"/>
      <c r="BF660" s="9"/>
      <c r="BG660" s="9"/>
      <c r="BH660" s="9"/>
      <c r="BI660" s="9"/>
      <c r="BJ660" s="9"/>
      <c r="BK660" s="9"/>
      <c r="BL660" s="9"/>
    </row>
    <row r="661" spans="1:64" ht="14.25" hidden="1" customHeight="1" outlineLevel="1">
      <c r="A661" s="9"/>
      <c r="B661" s="9"/>
      <c r="C661" s="9"/>
      <c r="D661" s="128">
        <f>Asset30</f>
        <v>0</v>
      </c>
      <c r="E661" s="9"/>
      <c r="F661" s="9"/>
      <c r="G661" s="191">
        <f t="shared" si="52"/>
        <v>0</v>
      </c>
      <c r="H661" s="109">
        <f>H$433*H$7</f>
        <v>0</v>
      </c>
      <c r="I661" s="109">
        <f t="shared" ref="I661:Q661" si="61">I$433*I$7</f>
        <v>0</v>
      </c>
      <c r="J661" s="109">
        <f t="shared" si="61"/>
        <v>0</v>
      </c>
      <c r="K661" s="109">
        <f t="shared" si="61"/>
        <v>0</v>
      </c>
      <c r="L661" s="109">
        <f t="shared" si="61"/>
        <v>0</v>
      </c>
      <c r="M661" s="109">
        <f t="shared" si="61"/>
        <v>0</v>
      </c>
      <c r="N661" s="109">
        <f t="shared" si="61"/>
        <v>0</v>
      </c>
      <c r="O661" s="109">
        <f t="shared" si="61"/>
        <v>0</v>
      </c>
      <c r="P661" s="109">
        <f t="shared" si="61"/>
        <v>0</v>
      </c>
      <c r="Q661" s="109">
        <f t="shared" si="61"/>
        <v>0</v>
      </c>
      <c r="R661" s="9"/>
      <c r="S661" s="9"/>
      <c r="T661" s="9"/>
      <c r="U661" s="9"/>
      <c r="V661" s="9"/>
      <c r="W661" s="9"/>
      <c r="X661" s="9"/>
      <c r="Y661" s="9"/>
      <c r="Z661" s="9"/>
      <c r="AA661" s="9"/>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9"/>
      <c r="BE661" s="9"/>
      <c r="BF661" s="9"/>
      <c r="BG661" s="9"/>
      <c r="BH661" s="9"/>
      <c r="BI661" s="9"/>
      <c r="BJ661" s="9"/>
      <c r="BK661" s="9"/>
      <c r="BL661" s="9"/>
    </row>
    <row r="662" spans="1:64" ht="14.25" hidden="1" customHeight="1" outlineLevel="1">
      <c r="A662" s="9"/>
      <c r="B662" s="9"/>
      <c r="C662" s="9"/>
      <c r="D662" s="128"/>
      <c r="E662" s="9"/>
      <c r="F662" s="9"/>
      <c r="G662" s="191"/>
      <c r="H662" s="109"/>
      <c r="I662" s="109"/>
      <c r="J662" s="109"/>
      <c r="K662" s="109"/>
      <c r="L662" s="109"/>
      <c r="M662" s="109"/>
      <c r="N662" s="109"/>
      <c r="O662" s="109"/>
      <c r="P662" s="109"/>
      <c r="Q662" s="109"/>
      <c r="R662" s="9"/>
      <c r="S662" s="9"/>
      <c r="T662" s="9"/>
      <c r="U662" s="9"/>
      <c r="V662" s="9"/>
      <c r="W662" s="9"/>
      <c r="X662" s="9"/>
      <c r="Y662" s="9"/>
      <c r="Z662" s="9"/>
      <c r="AA662" s="9"/>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9"/>
      <c r="BE662" s="9"/>
      <c r="BF662" s="9"/>
      <c r="BG662" s="9"/>
      <c r="BH662" s="9"/>
      <c r="BI662" s="9"/>
      <c r="BJ662" s="9"/>
      <c r="BK662" s="9"/>
      <c r="BL662" s="9"/>
    </row>
    <row r="663" spans="1:64" ht="14.25" hidden="1" customHeight="1" outlineLevel="1">
      <c r="A663" s="9"/>
      <c r="B663" s="9"/>
      <c r="C663" s="9"/>
      <c r="D663" s="128"/>
      <c r="E663" s="9"/>
      <c r="F663" s="9"/>
      <c r="G663" s="191"/>
      <c r="H663" s="109"/>
      <c r="I663" s="109"/>
      <c r="J663" s="109"/>
      <c r="K663" s="109"/>
      <c r="L663" s="109"/>
      <c r="M663" s="109"/>
      <c r="N663" s="109"/>
      <c r="O663" s="109"/>
      <c r="P663" s="109"/>
      <c r="Q663" s="109"/>
      <c r="R663" s="9"/>
      <c r="S663" s="9"/>
      <c r="T663" s="9"/>
      <c r="U663" s="9"/>
      <c r="V663" s="9"/>
      <c r="W663" s="9"/>
      <c r="X663" s="9"/>
      <c r="Y663" s="9"/>
      <c r="Z663" s="9"/>
      <c r="AA663" s="9"/>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9"/>
      <c r="BE663" s="9"/>
      <c r="BF663" s="9"/>
      <c r="BG663" s="9"/>
      <c r="BH663" s="9"/>
      <c r="BI663" s="9"/>
      <c r="BJ663" s="9"/>
      <c r="BK663" s="9"/>
      <c r="BL663" s="9"/>
    </row>
    <row r="664" spans="1:64" collapsed="1">
      <c r="A664" s="9"/>
      <c r="B664" s="9"/>
      <c r="C664" s="9"/>
      <c r="D664" s="9"/>
      <c r="E664" s="9"/>
      <c r="F664" s="9"/>
      <c r="G664" s="191"/>
      <c r="H664" s="9"/>
      <c r="I664" s="9"/>
      <c r="J664" s="9"/>
      <c r="K664" s="9"/>
      <c r="L664" s="9"/>
      <c r="M664" s="9"/>
      <c r="N664" s="9"/>
      <c r="O664" s="9"/>
      <c r="P664" s="9"/>
      <c r="Q664" s="9"/>
      <c r="R664" s="9"/>
      <c r="S664" s="9"/>
      <c r="T664" s="9"/>
      <c r="U664" s="9"/>
      <c r="V664" s="9"/>
      <c r="W664" s="9"/>
      <c r="X664" s="9"/>
      <c r="Y664" s="9"/>
      <c r="Z664" s="9"/>
      <c r="AA664" s="9"/>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9"/>
      <c r="BE664" s="9"/>
      <c r="BF664" s="9"/>
      <c r="BG664" s="9"/>
      <c r="BH664" s="9"/>
      <c r="BI664" s="9"/>
      <c r="BJ664" s="9"/>
      <c r="BK664" s="9"/>
      <c r="BL664" s="9"/>
    </row>
    <row r="665" spans="1:64" ht="12" customHeight="1">
      <c r="A665" s="9"/>
      <c r="B665" s="11"/>
      <c r="C665" s="88" t="s">
        <v>47</v>
      </c>
      <c r="D665" s="11"/>
      <c r="E665" s="11"/>
      <c r="F665" s="11"/>
      <c r="G665" s="195">
        <f>SUM(G666:G695)</f>
        <v>21.626871909733598</v>
      </c>
      <c r="H665" s="119">
        <f>SUM(H666:H695)</f>
        <v>29.703189120493629</v>
      </c>
      <c r="I665" s="119">
        <f>SUM(I666:I695)</f>
        <v>42.139222367562702</v>
      </c>
      <c r="J665" s="119">
        <f t="shared" ref="J665:Q665" si="62">SUM(J666:J695)</f>
        <v>25.146902576213172</v>
      </c>
      <c r="K665" s="119">
        <f t="shared" si="62"/>
        <v>46.619021856160813</v>
      </c>
      <c r="L665" s="119">
        <f t="shared" si="62"/>
        <v>51.623849642200987</v>
      </c>
      <c r="M665" s="119">
        <f t="shared" si="62"/>
        <v>0</v>
      </c>
      <c r="N665" s="119">
        <f t="shared" si="62"/>
        <v>0</v>
      </c>
      <c r="O665" s="119">
        <f t="shared" si="62"/>
        <v>0</v>
      </c>
      <c r="P665" s="119">
        <f t="shared" si="62"/>
        <v>0</v>
      </c>
      <c r="Q665" s="119">
        <f t="shared" si="62"/>
        <v>0</v>
      </c>
      <c r="R665" s="9"/>
      <c r="S665" s="11"/>
      <c r="T665" s="11"/>
      <c r="U665" s="11"/>
      <c r="V665" s="11"/>
      <c r="W665" s="11"/>
      <c r="X665" s="11"/>
      <c r="Y665" s="11"/>
      <c r="Z665" s="11"/>
      <c r="AA665" s="11"/>
      <c r="AB665" s="219"/>
      <c r="AC665" s="219"/>
      <c r="AD665" s="219"/>
      <c r="AE665" s="219"/>
      <c r="AF665" s="219"/>
      <c r="AG665" s="219"/>
      <c r="AH665" s="219"/>
      <c r="AI665" s="219"/>
      <c r="AJ665" s="219"/>
      <c r="AK665" s="219"/>
      <c r="AL665" s="219"/>
      <c r="AM665" s="219"/>
      <c r="AN665" s="219"/>
      <c r="AO665" s="219"/>
      <c r="AP665" s="219"/>
      <c r="AQ665" s="219"/>
      <c r="AR665" s="219"/>
      <c r="AS665" s="219"/>
      <c r="AT665" s="219"/>
      <c r="AU665" s="219"/>
      <c r="AV665" s="219"/>
      <c r="AW665" s="219"/>
      <c r="AX665" s="219"/>
      <c r="AY665" s="219"/>
      <c r="AZ665" s="219"/>
      <c r="BA665" s="219"/>
      <c r="BB665" s="219"/>
      <c r="BC665" s="219"/>
      <c r="BD665" s="11"/>
      <c r="BE665" s="11"/>
      <c r="BF665" s="11"/>
      <c r="BG665" s="11"/>
      <c r="BH665" s="11"/>
      <c r="BI665" s="11"/>
      <c r="BJ665" s="11"/>
      <c r="BK665" s="11"/>
      <c r="BL665" s="11"/>
    </row>
    <row r="666" spans="1:64" ht="12.75" customHeight="1" outlineLevel="1">
      <c r="A666" s="9"/>
      <c r="B666" s="9"/>
      <c r="C666" s="9"/>
      <c r="D666" s="128" t="str">
        <f>Asset1</f>
        <v>Transmission &amp; Zone land &amp; easements</v>
      </c>
      <c r="E666" s="9"/>
      <c r="F666" s="9"/>
      <c r="G666" s="191">
        <f>G438*G$6</f>
        <v>6.7738106566992089</v>
      </c>
      <c r="H666" s="109">
        <f>H438*H$6</f>
        <v>9.5928099389138843</v>
      </c>
      <c r="I666" s="109">
        <f t="shared" ref="I666:Q666" si="63">I438*I$6</f>
        <v>11.391461802460212</v>
      </c>
      <c r="J666" s="109">
        <f t="shared" si="63"/>
        <v>5.9852241739671621</v>
      </c>
      <c r="K666" s="109">
        <f t="shared" si="63"/>
        <v>9.4241737987739143</v>
      </c>
      <c r="L666" s="109">
        <f t="shared" si="63"/>
        <v>9.707628470434102</v>
      </c>
      <c r="M666" s="109">
        <f t="shared" si="63"/>
        <v>0</v>
      </c>
      <c r="N666" s="109">
        <f t="shared" si="63"/>
        <v>0</v>
      </c>
      <c r="O666" s="109">
        <f t="shared" si="63"/>
        <v>0</v>
      </c>
      <c r="P666" s="109">
        <f t="shared" si="63"/>
        <v>0</v>
      </c>
      <c r="Q666" s="109">
        <f t="shared" si="63"/>
        <v>0</v>
      </c>
      <c r="R666" s="9"/>
      <c r="S666" s="11"/>
      <c r="T666" s="11"/>
      <c r="U666" s="11"/>
      <c r="V666" s="11"/>
      <c r="W666" s="11"/>
      <c r="X666" s="11"/>
      <c r="Y666" s="11"/>
      <c r="Z666" s="11"/>
      <c r="AA666" s="11"/>
      <c r="AB666" s="219"/>
      <c r="AC666" s="219"/>
      <c r="AD666" s="219"/>
      <c r="AE666" s="219"/>
      <c r="AF666" s="219"/>
      <c r="AG666" s="219"/>
      <c r="AH666" s="219"/>
      <c r="AI666" s="219"/>
      <c r="AJ666" s="219"/>
      <c r="AK666" s="219"/>
      <c r="AL666" s="219"/>
      <c r="AM666" s="219"/>
      <c r="AN666" s="219"/>
      <c r="AO666" s="219"/>
      <c r="AP666" s="219"/>
      <c r="AQ666" s="219"/>
      <c r="AR666" s="219"/>
      <c r="AS666" s="219"/>
      <c r="AT666" s="219"/>
      <c r="AU666" s="219"/>
      <c r="AV666" s="219"/>
      <c r="AW666" s="219"/>
      <c r="AX666" s="219"/>
      <c r="AY666" s="219"/>
      <c r="AZ666" s="219"/>
      <c r="BA666" s="219"/>
      <c r="BB666" s="219"/>
      <c r="BC666" s="219"/>
      <c r="BD666" s="11"/>
      <c r="BE666" s="11"/>
      <c r="BF666" s="11"/>
      <c r="BG666" s="11"/>
      <c r="BH666" s="11"/>
      <c r="BI666" s="11"/>
      <c r="BJ666" s="11"/>
      <c r="BK666" s="11"/>
      <c r="BL666" s="11"/>
    </row>
    <row r="667" spans="1:64" ht="12.75" customHeight="1" outlineLevel="1">
      <c r="A667" s="9"/>
      <c r="B667" s="9"/>
      <c r="C667" s="9"/>
      <c r="D667" s="128" t="str">
        <f>Asset2</f>
        <v>Transmission buildings 132/66kV</v>
      </c>
      <c r="E667" s="9"/>
      <c r="F667" s="9"/>
      <c r="G667" s="191">
        <f t="shared" ref="G667:H695" si="64">G439*G$6</f>
        <v>0.62225214340376267</v>
      </c>
      <c r="H667" s="109">
        <f t="shared" si="64"/>
        <v>1.1481927552719011</v>
      </c>
      <c r="I667" s="109">
        <f t="shared" ref="I667:Q667" si="65">I439*I$6</f>
        <v>1.9787904621421051</v>
      </c>
      <c r="J667" s="109">
        <f t="shared" si="65"/>
        <v>1.0535192926214259</v>
      </c>
      <c r="K667" s="109">
        <f t="shared" si="65"/>
        <v>1.688162936537916</v>
      </c>
      <c r="L667" s="109">
        <f t="shared" si="65"/>
        <v>1.8547223537907069</v>
      </c>
      <c r="M667" s="109">
        <f t="shared" si="65"/>
        <v>0</v>
      </c>
      <c r="N667" s="109">
        <f t="shared" si="65"/>
        <v>0</v>
      </c>
      <c r="O667" s="109">
        <f t="shared" si="65"/>
        <v>0</v>
      </c>
      <c r="P667" s="109">
        <f t="shared" si="65"/>
        <v>0</v>
      </c>
      <c r="Q667" s="109">
        <f t="shared" si="65"/>
        <v>0</v>
      </c>
      <c r="R667" s="28"/>
      <c r="S667" s="99"/>
      <c r="T667" s="99"/>
      <c r="U667" s="99"/>
      <c r="V667" s="99"/>
      <c r="W667" s="99"/>
      <c r="X667" s="99"/>
      <c r="Y667" s="99"/>
      <c r="Z667" s="99"/>
      <c r="AA667" s="99"/>
      <c r="AB667" s="226"/>
      <c r="AC667" s="226"/>
      <c r="AD667" s="226"/>
      <c r="AE667" s="226"/>
      <c r="AF667" s="226"/>
      <c r="AG667" s="226"/>
      <c r="AH667" s="226"/>
      <c r="AI667" s="226"/>
      <c r="AJ667" s="226"/>
      <c r="AK667" s="226"/>
      <c r="AL667" s="226"/>
      <c r="AM667" s="226"/>
      <c r="AN667" s="226"/>
      <c r="AO667" s="226"/>
      <c r="AP667" s="226"/>
      <c r="AQ667" s="226"/>
      <c r="AR667" s="226"/>
      <c r="AS667" s="226"/>
      <c r="AT667" s="226"/>
      <c r="AU667" s="226"/>
      <c r="AV667" s="226"/>
      <c r="AW667" s="226"/>
      <c r="AX667" s="226"/>
      <c r="AY667" s="226"/>
      <c r="AZ667" s="226"/>
      <c r="BA667" s="226"/>
      <c r="BB667" s="226"/>
      <c r="BC667" s="226"/>
      <c r="BD667" s="99"/>
      <c r="BE667" s="99"/>
      <c r="BF667" s="99"/>
      <c r="BG667" s="99"/>
      <c r="BH667" s="99"/>
      <c r="BI667" s="99"/>
      <c r="BJ667" s="99"/>
      <c r="BK667" s="11"/>
      <c r="BL667" s="11"/>
    </row>
    <row r="668" spans="1:64" ht="12.75" customHeight="1" outlineLevel="1">
      <c r="A668" s="9"/>
      <c r="B668" s="9"/>
      <c r="C668" s="9"/>
      <c r="D668" s="128" t="str">
        <f>Asset3</f>
        <v>Zone buildings 132/66kV</v>
      </c>
      <c r="E668" s="9"/>
      <c r="F668" s="9"/>
      <c r="G668" s="191">
        <f t="shared" si="64"/>
        <v>1.4215603144312092</v>
      </c>
      <c r="H668" s="109">
        <f t="shared" si="64"/>
        <v>1.6694758475951883</v>
      </c>
      <c r="I668" s="109">
        <f t="shared" ref="I668:Q668" si="66">I440*I$6</f>
        <v>1.953477714401022</v>
      </c>
      <c r="J668" s="109">
        <f t="shared" si="66"/>
        <v>1.0753331090655287</v>
      </c>
      <c r="K668" s="109">
        <f t="shared" si="66"/>
        <v>1.7677213711910809</v>
      </c>
      <c r="L668" s="109">
        <f t="shared" si="66"/>
        <v>2.6388805000724509</v>
      </c>
      <c r="M668" s="109">
        <f t="shared" si="66"/>
        <v>0</v>
      </c>
      <c r="N668" s="109">
        <f t="shared" si="66"/>
        <v>0</v>
      </c>
      <c r="O668" s="109">
        <f t="shared" si="66"/>
        <v>0</v>
      </c>
      <c r="P668" s="109">
        <f t="shared" si="66"/>
        <v>0</v>
      </c>
      <c r="Q668" s="109">
        <f t="shared" si="66"/>
        <v>0</v>
      </c>
      <c r="R668" s="9"/>
      <c r="S668" s="11"/>
      <c r="T668" s="11"/>
      <c r="U668" s="11"/>
      <c r="V668" s="11"/>
      <c r="W668" s="11"/>
      <c r="X668" s="11"/>
      <c r="Y668" s="11"/>
      <c r="Z668" s="11"/>
      <c r="AA668" s="11"/>
      <c r="AB668" s="219"/>
      <c r="AC668" s="219"/>
      <c r="AD668" s="219"/>
      <c r="AE668" s="219"/>
      <c r="AF668" s="219"/>
      <c r="AG668" s="219"/>
      <c r="AH668" s="219"/>
      <c r="AI668" s="219"/>
      <c r="AJ668" s="219"/>
      <c r="AK668" s="219"/>
      <c r="AL668" s="219"/>
      <c r="AM668" s="219"/>
      <c r="AN668" s="219"/>
      <c r="AO668" s="219"/>
      <c r="AP668" s="219"/>
      <c r="AQ668" s="219"/>
      <c r="AR668" s="219"/>
      <c r="AS668" s="219"/>
      <c r="AT668" s="219"/>
      <c r="AU668" s="219"/>
      <c r="AV668" s="219"/>
      <c r="AW668" s="219"/>
      <c r="AX668" s="219"/>
      <c r="AY668" s="219"/>
      <c r="AZ668" s="219"/>
      <c r="BA668" s="219"/>
      <c r="BB668" s="219"/>
      <c r="BC668" s="219"/>
      <c r="BD668" s="11"/>
      <c r="BE668" s="11"/>
      <c r="BF668" s="11"/>
      <c r="BG668" s="11"/>
      <c r="BH668" s="11"/>
      <c r="BI668" s="11"/>
      <c r="BJ668" s="11"/>
      <c r="BK668" s="11"/>
      <c r="BL668" s="11"/>
    </row>
    <row r="669" spans="1:64" ht="12.75" customHeight="1" outlineLevel="1">
      <c r="A669" s="9"/>
      <c r="B669" s="9"/>
      <c r="C669" s="9"/>
      <c r="D669" s="128" t="str">
        <f>Asset4</f>
        <v>Transmission transformers 132/66kV</v>
      </c>
      <c r="E669" s="9"/>
      <c r="F669" s="9"/>
      <c r="G669" s="191">
        <f t="shared" si="64"/>
        <v>0.50813980606938935</v>
      </c>
      <c r="H669" s="109">
        <f t="shared" si="64"/>
        <v>0.6566712607337154</v>
      </c>
      <c r="I669" s="109">
        <f t="shared" ref="I669:Q669" si="67">I441*I$6</f>
        <v>0.86959874609422405</v>
      </c>
      <c r="J669" s="109">
        <f t="shared" si="67"/>
        <v>0.44599220823513341</v>
      </c>
      <c r="K669" s="109">
        <f t="shared" si="67"/>
        <v>0.74370846818532066</v>
      </c>
      <c r="L669" s="109">
        <f t="shared" si="67"/>
        <v>0.89454734475488462</v>
      </c>
      <c r="M669" s="109">
        <f t="shared" si="67"/>
        <v>0</v>
      </c>
      <c r="N669" s="109">
        <f t="shared" si="67"/>
        <v>0</v>
      </c>
      <c r="O669" s="109">
        <f t="shared" si="67"/>
        <v>0</v>
      </c>
      <c r="P669" s="109">
        <f t="shared" si="67"/>
        <v>0</v>
      </c>
      <c r="Q669" s="109">
        <f t="shared" si="67"/>
        <v>0</v>
      </c>
      <c r="R669" s="9"/>
      <c r="S669" s="11"/>
      <c r="T669" s="11"/>
      <c r="U669" s="11"/>
      <c r="V669" s="11"/>
      <c r="W669" s="11"/>
      <c r="X669" s="11"/>
      <c r="Y669" s="11"/>
      <c r="Z669" s="11"/>
      <c r="AA669" s="11"/>
      <c r="AB669" s="219"/>
      <c r="AC669" s="219"/>
      <c r="AD669" s="219"/>
      <c r="AE669" s="219"/>
      <c r="AF669" s="219"/>
      <c r="AG669" s="219"/>
      <c r="AH669" s="219"/>
      <c r="AI669" s="219"/>
      <c r="AJ669" s="219"/>
      <c r="AK669" s="219"/>
      <c r="AL669" s="219"/>
      <c r="AM669" s="219"/>
      <c r="AN669" s="219"/>
      <c r="AO669" s="219"/>
      <c r="AP669" s="219"/>
      <c r="AQ669" s="219"/>
      <c r="AR669" s="219"/>
      <c r="AS669" s="219"/>
      <c r="AT669" s="219"/>
      <c r="AU669" s="219"/>
      <c r="AV669" s="219"/>
      <c r="AW669" s="219"/>
      <c r="AX669" s="219"/>
      <c r="AY669" s="219"/>
      <c r="AZ669" s="219"/>
      <c r="BA669" s="219"/>
      <c r="BB669" s="219"/>
      <c r="BC669" s="219"/>
      <c r="BD669" s="11"/>
      <c r="BE669" s="11"/>
      <c r="BF669" s="11"/>
      <c r="BG669" s="11"/>
      <c r="BH669" s="11"/>
      <c r="BI669" s="11"/>
      <c r="BJ669" s="11"/>
      <c r="BK669" s="11"/>
      <c r="BL669" s="11"/>
    </row>
    <row r="670" spans="1:64" ht="12.75" customHeight="1" outlineLevel="1">
      <c r="A670" s="9"/>
      <c r="B670" s="9"/>
      <c r="C670" s="9"/>
      <c r="D670" s="128" t="str">
        <f>Asset5</f>
        <v>Zone transformers 132/66kV</v>
      </c>
      <c r="E670" s="9"/>
      <c r="F670" s="9"/>
      <c r="G670" s="191">
        <f t="shared" si="64"/>
        <v>0.50381441953593176</v>
      </c>
      <c r="H670" s="109">
        <f t="shared" si="64"/>
        <v>0.59816180674006492</v>
      </c>
      <c r="I670" s="109">
        <f t="shared" ref="I670:Q670" si="68">I442*I$6</f>
        <v>0.79351025769469197</v>
      </c>
      <c r="J670" s="109">
        <f t="shared" si="68"/>
        <v>0.43832634782486418</v>
      </c>
      <c r="K670" s="109">
        <f t="shared" si="68"/>
        <v>0.74267637745012771</v>
      </c>
      <c r="L670" s="109">
        <f t="shared" si="68"/>
        <v>0.73893722800202122</v>
      </c>
      <c r="M670" s="109">
        <f t="shared" si="68"/>
        <v>0</v>
      </c>
      <c r="N670" s="109">
        <f t="shared" si="68"/>
        <v>0</v>
      </c>
      <c r="O670" s="109">
        <f t="shared" si="68"/>
        <v>0</v>
      </c>
      <c r="P670" s="109">
        <f t="shared" si="68"/>
        <v>0</v>
      </c>
      <c r="Q670" s="109">
        <f t="shared" si="68"/>
        <v>0</v>
      </c>
      <c r="R670" s="9"/>
      <c r="S670" s="11"/>
      <c r="T670" s="11"/>
      <c r="U670" s="11"/>
      <c r="V670" s="11"/>
      <c r="W670" s="11"/>
      <c r="X670" s="11"/>
      <c r="Y670" s="11"/>
      <c r="Z670" s="11"/>
      <c r="AA670" s="11"/>
      <c r="AB670" s="219"/>
      <c r="AC670" s="219"/>
      <c r="AD670" s="219"/>
      <c r="AE670" s="219"/>
      <c r="AF670" s="219"/>
      <c r="AG670" s="219"/>
      <c r="AH670" s="219"/>
      <c r="AI670" s="219"/>
      <c r="AJ670" s="219"/>
      <c r="AK670" s="219"/>
      <c r="AL670" s="219"/>
      <c r="AM670" s="219"/>
      <c r="AN670" s="219"/>
      <c r="AO670" s="219"/>
      <c r="AP670" s="219"/>
      <c r="AQ670" s="219"/>
      <c r="AR670" s="219"/>
      <c r="AS670" s="219"/>
      <c r="AT670" s="219"/>
      <c r="AU670" s="219"/>
      <c r="AV670" s="219"/>
      <c r="AW670" s="219"/>
      <c r="AX670" s="219"/>
      <c r="AY670" s="219"/>
      <c r="AZ670" s="219"/>
      <c r="BA670" s="219"/>
      <c r="BB670" s="219"/>
      <c r="BC670" s="219"/>
      <c r="BD670" s="11"/>
      <c r="BE670" s="11"/>
      <c r="BF670" s="11"/>
      <c r="BG670" s="11"/>
      <c r="BH670" s="11"/>
      <c r="BI670" s="11"/>
      <c r="BJ670" s="11"/>
      <c r="BK670" s="11"/>
      <c r="BL670" s="11"/>
    </row>
    <row r="671" spans="1:64" ht="12.75" customHeight="1" outlineLevel="1">
      <c r="A671" s="9"/>
      <c r="B671" s="9"/>
      <c r="C671" s="9"/>
      <c r="D671" s="128" t="str">
        <f>Asset6</f>
        <v>Transmission substation equip 132/66kV</v>
      </c>
      <c r="E671" s="9"/>
      <c r="F671" s="9"/>
      <c r="G671" s="191">
        <f t="shared" si="64"/>
        <v>2.1649210691077658</v>
      </c>
      <c r="H671" s="109">
        <f t="shared" si="64"/>
        <v>2.8646884265855999</v>
      </c>
      <c r="I671" s="109">
        <f t="shared" ref="I671:Q671" si="69">I443*I$6</f>
        <v>4.153826887001105</v>
      </c>
      <c r="J671" s="109">
        <f t="shared" si="69"/>
        <v>2.3681046899391278</v>
      </c>
      <c r="K671" s="109">
        <f t="shared" si="69"/>
        <v>4.2876029847402233</v>
      </c>
      <c r="L671" s="109">
        <f t="shared" si="69"/>
        <v>4.7363469096470459</v>
      </c>
      <c r="M671" s="109">
        <f t="shared" si="69"/>
        <v>0</v>
      </c>
      <c r="N671" s="109">
        <f t="shared" si="69"/>
        <v>0</v>
      </c>
      <c r="O671" s="109">
        <f t="shared" si="69"/>
        <v>0</v>
      </c>
      <c r="P671" s="109">
        <f t="shared" si="69"/>
        <v>0</v>
      </c>
      <c r="Q671" s="109">
        <f t="shared" si="69"/>
        <v>0</v>
      </c>
      <c r="R671" s="9"/>
      <c r="S671" s="11"/>
      <c r="T671" s="11"/>
      <c r="U671" s="11"/>
      <c r="V671" s="11"/>
      <c r="W671" s="11"/>
      <c r="X671" s="11"/>
      <c r="Y671" s="11"/>
      <c r="Z671" s="11"/>
      <c r="AA671" s="11"/>
      <c r="AB671" s="219"/>
      <c r="AC671" s="219"/>
      <c r="AD671" s="219"/>
      <c r="AE671" s="219"/>
      <c r="AF671" s="219"/>
      <c r="AG671" s="219"/>
      <c r="AH671" s="219"/>
      <c r="AI671" s="219"/>
      <c r="AJ671" s="219"/>
      <c r="AK671" s="219"/>
      <c r="AL671" s="219"/>
      <c r="AM671" s="219"/>
      <c r="AN671" s="219"/>
      <c r="AO671" s="219"/>
      <c r="AP671" s="219"/>
      <c r="AQ671" s="219"/>
      <c r="AR671" s="219"/>
      <c r="AS671" s="219"/>
      <c r="AT671" s="219"/>
      <c r="AU671" s="219"/>
      <c r="AV671" s="219"/>
      <c r="AW671" s="219"/>
      <c r="AX671" s="219"/>
      <c r="AY671" s="219"/>
      <c r="AZ671" s="219"/>
      <c r="BA671" s="219"/>
      <c r="BB671" s="219"/>
      <c r="BC671" s="219"/>
      <c r="BD671" s="11"/>
      <c r="BE671" s="11"/>
      <c r="BF671" s="11"/>
      <c r="BG671" s="11"/>
      <c r="BH671" s="11"/>
      <c r="BI671" s="11"/>
      <c r="BJ671" s="11"/>
      <c r="BK671" s="11"/>
      <c r="BL671" s="11"/>
    </row>
    <row r="672" spans="1:64" ht="12.75" customHeight="1" outlineLevel="1">
      <c r="A672" s="9"/>
      <c r="B672" s="9"/>
      <c r="C672" s="9"/>
      <c r="D672" s="128" t="str">
        <f>Asset7</f>
        <v>Zone substation equip 132/66kV</v>
      </c>
      <c r="E672" s="9"/>
      <c r="F672" s="9"/>
      <c r="G672" s="191">
        <f t="shared" si="64"/>
        <v>2.7903103203466566</v>
      </c>
      <c r="H672" s="109">
        <f t="shared" si="64"/>
        <v>3.4529603565298101</v>
      </c>
      <c r="I672" s="109">
        <f t="shared" ref="I672:Q672" si="70">I444*I$6</f>
        <v>5.2118523832026504</v>
      </c>
      <c r="J672" s="109">
        <f t="shared" si="70"/>
        <v>3.9993658800574532</v>
      </c>
      <c r="K672" s="109">
        <f t="shared" si="70"/>
        <v>8.1927071042925323</v>
      </c>
      <c r="L672" s="109">
        <f t="shared" si="70"/>
        <v>9.0392711526234528</v>
      </c>
      <c r="M672" s="109">
        <f t="shared" si="70"/>
        <v>0</v>
      </c>
      <c r="N672" s="109">
        <f t="shared" si="70"/>
        <v>0</v>
      </c>
      <c r="O672" s="109">
        <f t="shared" si="70"/>
        <v>0</v>
      </c>
      <c r="P672" s="109">
        <f t="shared" si="70"/>
        <v>0</v>
      </c>
      <c r="Q672" s="109">
        <f t="shared" si="70"/>
        <v>0</v>
      </c>
      <c r="R672" s="9"/>
      <c r="S672" s="9"/>
      <c r="T672" s="9"/>
      <c r="U672" s="9"/>
      <c r="V672" s="9"/>
      <c r="W672" s="9"/>
      <c r="X672" s="9"/>
      <c r="Y672" s="9"/>
      <c r="Z672" s="9"/>
      <c r="AA672" s="9"/>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9"/>
      <c r="BE672" s="9"/>
      <c r="BF672" s="9"/>
      <c r="BG672" s="9"/>
      <c r="BH672" s="9"/>
      <c r="BI672" s="9"/>
      <c r="BJ672" s="9"/>
      <c r="BK672" s="9"/>
      <c r="BL672" s="9"/>
    </row>
    <row r="673" spans="1:64" ht="12.75" customHeight="1" outlineLevel="1">
      <c r="A673" s="9"/>
      <c r="B673" s="9"/>
      <c r="C673" s="9"/>
      <c r="D673" s="128" t="str">
        <f>Asset8</f>
        <v>Transmission &amp; Zone emergency spares</v>
      </c>
      <c r="E673" s="9"/>
      <c r="F673" s="9"/>
      <c r="G673" s="191">
        <f t="shared" si="64"/>
        <v>5.2196225849264859E-2</v>
      </c>
      <c r="H673" s="109">
        <f t="shared" si="64"/>
        <v>6.1116464604582581E-2</v>
      </c>
      <c r="I673" s="109">
        <f t="shared" ref="I673:Q673" si="71">I445*I$6</f>
        <v>7.0768848414672153E-2</v>
      </c>
      <c r="J673" s="109">
        <f t="shared" si="71"/>
        <v>3.4800571482353382E-2</v>
      </c>
      <c r="K673" s="109">
        <f t="shared" si="71"/>
        <v>5.2933617413448028E-2</v>
      </c>
      <c r="L673" s="109">
        <f t="shared" si="71"/>
        <v>5.2792531494351695E-2</v>
      </c>
      <c r="M673" s="109">
        <f t="shared" si="71"/>
        <v>0</v>
      </c>
      <c r="N673" s="109">
        <f t="shared" si="71"/>
        <v>0</v>
      </c>
      <c r="O673" s="109">
        <f t="shared" si="71"/>
        <v>0</v>
      </c>
      <c r="P673" s="109">
        <f t="shared" si="71"/>
        <v>0</v>
      </c>
      <c r="Q673" s="109">
        <f t="shared" si="71"/>
        <v>0</v>
      </c>
      <c r="R673" s="9"/>
      <c r="S673" s="9"/>
      <c r="T673" s="9"/>
      <c r="U673" s="9"/>
      <c r="V673" s="9"/>
      <c r="W673" s="9"/>
      <c r="X673" s="9"/>
      <c r="Y673" s="9"/>
      <c r="Z673" s="9"/>
      <c r="AA673" s="9"/>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9"/>
      <c r="BE673" s="9"/>
      <c r="BF673" s="9"/>
      <c r="BG673" s="9"/>
      <c r="BH673" s="9"/>
      <c r="BI673" s="9"/>
      <c r="BJ673" s="9"/>
      <c r="BK673" s="9"/>
      <c r="BL673" s="9"/>
    </row>
    <row r="674" spans="1:64" ht="12.75" customHeight="1" outlineLevel="1">
      <c r="A674" s="9"/>
      <c r="B674" s="9"/>
      <c r="C674" s="9"/>
      <c r="D674" s="128" t="str">
        <f>Asset9</f>
        <v>Ancillary substation equipment (tx)</v>
      </c>
      <c r="E674" s="9"/>
      <c r="F674" s="9"/>
      <c r="G674" s="191">
        <f t="shared" si="64"/>
        <v>0</v>
      </c>
      <c r="H674" s="109">
        <f t="shared" si="64"/>
        <v>0</v>
      </c>
      <c r="I674" s="109">
        <f t="shared" ref="I674:Q674" si="72">I446*I$6</f>
        <v>3.9360229893475034E-2</v>
      </c>
      <c r="J674" s="109">
        <f t="shared" si="72"/>
        <v>7.1742178158280934E-2</v>
      </c>
      <c r="K674" s="109">
        <f t="shared" si="72"/>
        <v>0.2755155184732207</v>
      </c>
      <c r="L674" s="109">
        <f t="shared" si="72"/>
        <v>0.83482790547979335</v>
      </c>
      <c r="M674" s="109">
        <f t="shared" si="72"/>
        <v>0</v>
      </c>
      <c r="N674" s="109">
        <f t="shared" si="72"/>
        <v>0</v>
      </c>
      <c r="O674" s="109">
        <f t="shared" si="72"/>
        <v>0</v>
      </c>
      <c r="P674" s="109">
        <f t="shared" si="72"/>
        <v>0</v>
      </c>
      <c r="Q674" s="109">
        <f t="shared" si="72"/>
        <v>0</v>
      </c>
      <c r="R674" s="9"/>
      <c r="S674" s="9"/>
      <c r="T674" s="9"/>
      <c r="U674" s="9"/>
      <c r="V674" s="9"/>
      <c r="W674" s="9"/>
      <c r="X674" s="9"/>
      <c r="Y674" s="9"/>
      <c r="Z674" s="9"/>
      <c r="AA674" s="9"/>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9"/>
      <c r="BE674" s="9"/>
      <c r="BF674" s="9"/>
      <c r="BG674" s="9"/>
      <c r="BH674" s="9"/>
      <c r="BI674" s="9"/>
      <c r="BJ674" s="9"/>
      <c r="BK674" s="9"/>
      <c r="BL674" s="9"/>
    </row>
    <row r="675" spans="1:64" ht="12.75" customHeight="1" outlineLevel="1">
      <c r="A675" s="9"/>
      <c r="B675" s="9"/>
      <c r="C675" s="9"/>
      <c r="D675" s="128" t="str">
        <f>Asset10</f>
        <v>132kV tower lines</v>
      </c>
      <c r="E675" s="9"/>
      <c r="F675" s="9"/>
      <c r="G675" s="191">
        <f t="shared" si="64"/>
        <v>0.39866558874225982</v>
      </c>
      <c r="H675" s="109">
        <f t="shared" si="64"/>
        <v>0.45585284997122877</v>
      </c>
      <c r="I675" s="109">
        <f t="shared" ref="I675:Q675" si="73">I447*I$6</f>
        <v>0.66452727320933735</v>
      </c>
      <c r="J675" s="109">
        <f t="shared" si="73"/>
        <v>0.47159226139583005</v>
      </c>
      <c r="K675" s="109">
        <f t="shared" si="73"/>
        <v>0.86664661997053272</v>
      </c>
      <c r="L675" s="109">
        <f t="shared" si="73"/>
        <v>0.84032297702240633</v>
      </c>
      <c r="M675" s="109">
        <f t="shared" si="73"/>
        <v>0</v>
      </c>
      <c r="N675" s="109">
        <f t="shared" si="73"/>
        <v>0</v>
      </c>
      <c r="O675" s="109">
        <f t="shared" si="73"/>
        <v>0</v>
      </c>
      <c r="P675" s="109">
        <f t="shared" si="73"/>
        <v>0</v>
      </c>
      <c r="Q675" s="109">
        <f t="shared" si="73"/>
        <v>0</v>
      </c>
      <c r="R675" s="9"/>
      <c r="S675" s="9"/>
      <c r="T675" s="9"/>
      <c r="U675" s="9"/>
      <c r="V675" s="9"/>
      <c r="W675" s="9"/>
      <c r="X675" s="9"/>
      <c r="Y675" s="9"/>
      <c r="Z675" s="9"/>
      <c r="AA675" s="9"/>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9"/>
      <c r="BE675" s="9"/>
      <c r="BF675" s="9"/>
      <c r="BG675" s="9"/>
      <c r="BH675" s="9"/>
      <c r="BI675" s="9"/>
      <c r="BJ675" s="9"/>
      <c r="BK675" s="9"/>
      <c r="BL675" s="9"/>
    </row>
    <row r="676" spans="1:64" ht="12.75" customHeight="1" outlineLevel="1">
      <c r="A676" s="9"/>
      <c r="B676" s="9"/>
      <c r="C676" s="9"/>
      <c r="D676" s="128" t="str">
        <f>Asset11</f>
        <v>132kV concrete &amp; steel pole lines</v>
      </c>
      <c r="E676" s="9"/>
      <c r="F676" s="9"/>
      <c r="G676" s="191">
        <f t="shared" si="64"/>
        <v>0.25816443779771531</v>
      </c>
      <c r="H676" s="109">
        <f t="shared" si="64"/>
        <v>0.31764594619429648</v>
      </c>
      <c r="I676" s="109">
        <f t="shared" ref="I676:Q676" si="74">I448*I$6</f>
        <v>0.86276287229629378</v>
      </c>
      <c r="J676" s="109">
        <f t="shared" si="74"/>
        <v>0.49348592703705124</v>
      </c>
      <c r="K676" s="109">
        <f t="shared" si="74"/>
        <v>0.77565008249376166</v>
      </c>
      <c r="L676" s="109">
        <f t="shared" si="74"/>
        <v>0.72335186058512146</v>
      </c>
      <c r="M676" s="109">
        <f t="shared" si="74"/>
        <v>0</v>
      </c>
      <c r="N676" s="109">
        <f t="shared" si="74"/>
        <v>0</v>
      </c>
      <c r="O676" s="109">
        <f t="shared" si="74"/>
        <v>0</v>
      </c>
      <c r="P676" s="109">
        <f t="shared" si="74"/>
        <v>0</v>
      </c>
      <c r="Q676" s="109">
        <f t="shared" si="74"/>
        <v>0</v>
      </c>
      <c r="R676" s="9"/>
      <c r="S676" s="9"/>
      <c r="T676" s="9"/>
      <c r="U676" s="9"/>
      <c r="V676" s="9"/>
      <c r="W676" s="9"/>
      <c r="X676" s="9"/>
      <c r="Y676" s="9"/>
      <c r="Z676" s="9"/>
      <c r="AA676" s="9"/>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9"/>
      <c r="BE676" s="9"/>
      <c r="BF676" s="9"/>
      <c r="BG676" s="9"/>
      <c r="BH676" s="9"/>
      <c r="BI676" s="9"/>
      <c r="BJ676" s="9"/>
      <c r="BK676" s="9"/>
      <c r="BL676" s="9"/>
    </row>
    <row r="677" spans="1:64" ht="12.75" customHeight="1" outlineLevel="1">
      <c r="A677" s="9"/>
      <c r="B677" s="9"/>
      <c r="C677" s="9"/>
      <c r="D677" s="128" t="str">
        <f>Asset12</f>
        <v>132kV wood pole lines</v>
      </c>
      <c r="E677" s="9"/>
      <c r="F677" s="9"/>
      <c r="G677" s="191">
        <f t="shared" si="64"/>
        <v>0.59205454914671907</v>
      </c>
      <c r="H677" s="109">
        <f t="shared" si="64"/>
        <v>0.68223548203941975</v>
      </c>
      <c r="I677" s="109">
        <f t="shared" ref="I677:Q677" si="75">I449*I$6</f>
        <v>1.1340936906832073</v>
      </c>
      <c r="J677" s="109">
        <f t="shared" si="75"/>
        <v>0.56148699617103448</v>
      </c>
      <c r="K677" s="109">
        <f t="shared" si="75"/>
        <v>0.85772435032934857</v>
      </c>
      <c r="L677" s="109">
        <f t="shared" si="75"/>
        <v>0.86509868689490321</v>
      </c>
      <c r="M677" s="109">
        <f t="shared" si="75"/>
        <v>0</v>
      </c>
      <c r="N677" s="109">
        <f t="shared" si="75"/>
        <v>0</v>
      </c>
      <c r="O677" s="109">
        <f t="shared" si="75"/>
        <v>0</v>
      </c>
      <c r="P677" s="109">
        <f t="shared" si="75"/>
        <v>0</v>
      </c>
      <c r="Q677" s="109">
        <f t="shared" si="75"/>
        <v>0</v>
      </c>
      <c r="R677" s="9"/>
      <c r="S677" s="9"/>
      <c r="T677" s="9"/>
      <c r="U677" s="9"/>
      <c r="V677" s="9"/>
      <c r="W677" s="9"/>
      <c r="X677" s="9"/>
      <c r="Y677" s="9"/>
      <c r="Z677" s="9"/>
      <c r="AA677" s="9"/>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9"/>
      <c r="BE677" s="9"/>
      <c r="BF677" s="9"/>
      <c r="BG677" s="9"/>
      <c r="BH677" s="9"/>
      <c r="BI677" s="9"/>
      <c r="BJ677" s="9"/>
      <c r="BK677" s="9"/>
      <c r="BL677" s="9"/>
    </row>
    <row r="678" spans="1:64" ht="12.75" customHeight="1" outlineLevel="1">
      <c r="A678" s="9"/>
      <c r="B678" s="9"/>
      <c r="C678" s="9"/>
      <c r="D678" s="128" t="str">
        <f>Asset13</f>
        <v>132kV feeders underground</v>
      </c>
      <c r="E678" s="9"/>
      <c r="F678" s="9"/>
      <c r="G678" s="191">
        <f t="shared" si="64"/>
        <v>3.3257546726352474</v>
      </c>
      <c r="H678" s="109">
        <f t="shared" si="64"/>
        <v>5.1541821779105996</v>
      </c>
      <c r="I678" s="109">
        <f t="shared" ref="I678:Q678" si="76">I450*I$6</f>
        <v>8.5299349796589734</v>
      </c>
      <c r="J678" s="109">
        <f t="shared" si="76"/>
        <v>5.6271337751404191</v>
      </c>
      <c r="K678" s="109">
        <f t="shared" si="76"/>
        <v>12.74560123848587</v>
      </c>
      <c r="L678" s="109">
        <f t="shared" si="76"/>
        <v>14.516155631703505</v>
      </c>
      <c r="M678" s="109">
        <f t="shared" si="76"/>
        <v>0</v>
      </c>
      <c r="N678" s="109">
        <f t="shared" si="76"/>
        <v>0</v>
      </c>
      <c r="O678" s="109">
        <f t="shared" si="76"/>
        <v>0</v>
      </c>
      <c r="P678" s="109">
        <f t="shared" si="76"/>
        <v>0</v>
      </c>
      <c r="Q678" s="109">
        <f t="shared" si="76"/>
        <v>0</v>
      </c>
      <c r="R678" s="9"/>
      <c r="S678" s="9"/>
      <c r="T678" s="9"/>
      <c r="U678" s="9"/>
      <c r="V678" s="9"/>
      <c r="W678" s="9"/>
      <c r="X678" s="9"/>
      <c r="Y678" s="9"/>
      <c r="Z678" s="9"/>
      <c r="AA678" s="9"/>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9"/>
      <c r="BE678" s="9"/>
      <c r="BF678" s="9"/>
      <c r="BG678" s="9"/>
      <c r="BH678" s="9"/>
      <c r="BI678" s="9"/>
      <c r="BJ678" s="9"/>
      <c r="BK678" s="9"/>
      <c r="BL678" s="9"/>
    </row>
    <row r="679" spans="1:64" ht="12.75" customHeight="1" outlineLevel="1">
      <c r="A679" s="9"/>
      <c r="B679" s="9"/>
      <c r="C679" s="9"/>
      <c r="D679" s="128" t="str">
        <f>Asset14</f>
        <v>Cable tunnel (tx)</v>
      </c>
      <c r="E679" s="9"/>
      <c r="F679" s="9"/>
      <c r="G679" s="191">
        <f t="shared" si="64"/>
        <v>0.26415411115568349</v>
      </c>
      <c r="H679" s="109">
        <f t="shared" si="64"/>
        <v>0.31217780797077399</v>
      </c>
      <c r="I679" s="109">
        <f t="shared" ref="I679:Q679" si="77">I451*I$6</f>
        <v>0.36499517624589634</v>
      </c>
      <c r="J679" s="109">
        <f t="shared" si="77"/>
        <v>0.181296746717164</v>
      </c>
      <c r="K679" s="109">
        <f t="shared" si="77"/>
        <v>0.29195899301124489</v>
      </c>
      <c r="L679" s="109">
        <f t="shared" si="77"/>
        <v>0.29895771605534677</v>
      </c>
      <c r="M679" s="109">
        <f t="shared" si="77"/>
        <v>0</v>
      </c>
      <c r="N679" s="109">
        <f t="shared" si="77"/>
        <v>0</v>
      </c>
      <c r="O679" s="109">
        <f t="shared" si="77"/>
        <v>0</v>
      </c>
      <c r="P679" s="109">
        <f t="shared" si="77"/>
        <v>0</v>
      </c>
      <c r="Q679" s="109">
        <f t="shared" si="77"/>
        <v>0</v>
      </c>
      <c r="R679" s="9"/>
      <c r="S679" s="9"/>
      <c r="T679" s="9"/>
      <c r="U679" s="9"/>
      <c r="V679" s="9"/>
      <c r="W679" s="9"/>
      <c r="X679" s="9"/>
      <c r="Y679" s="9"/>
      <c r="Z679" s="9"/>
      <c r="AA679" s="9"/>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9"/>
      <c r="BE679" s="9"/>
      <c r="BF679" s="9"/>
      <c r="BG679" s="9"/>
      <c r="BH679" s="9"/>
      <c r="BI679" s="9"/>
      <c r="BJ679" s="9"/>
      <c r="BK679" s="9"/>
      <c r="BL679" s="9"/>
    </row>
    <row r="680" spans="1:64" ht="12.75" customHeight="1" outlineLevel="1">
      <c r="A680" s="9"/>
      <c r="B680" s="9"/>
      <c r="C680" s="9"/>
      <c r="D680" s="128" t="str">
        <f>Asset15</f>
        <v>Network control &amp; com systems</v>
      </c>
      <c r="E680" s="9"/>
      <c r="F680" s="9"/>
      <c r="G680" s="191">
        <f t="shared" si="64"/>
        <v>0.56295898467943684</v>
      </c>
      <c r="H680" s="109">
        <f t="shared" si="64"/>
        <v>0.63627446595126447</v>
      </c>
      <c r="I680" s="109">
        <f t="shared" ref="I680:Q680" si="78">I452*I$6</f>
        <v>0.77240020251727315</v>
      </c>
      <c r="J680" s="109">
        <f t="shared" si="78"/>
        <v>0.37117743829265903</v>
      </c>
      <c r="K680" s="109">
        <f t="shared" si="78"/>
        <v>0.55112659423301735</v>
      </c>
      <c r="L680" s="109">
        <f t="shared" si="78"/>
        <v>0.5349365284866433</v>
      </c>
      <c r="M680" s="109">
        <f t="shared" si="78"/>
        <v>0</v>
      </c>
      <c r="N680" s="109">
        <f t="shared" si="78"/>
        <v>0</v>
      </c>
      <c r="O680" s="109">
        <f t="shared" si="78"/>
        <v>0</v>
      </c>
      <c r="P680" s="109">
        <f t="shared" si="78"/>
        <v>0</v>
      </c>
      <c r="Q680" s="109">
        <f t="shared" si="78"/>
        <v>0</v>
      </c>
      <c r="R680" s="9"/>
      <c r="S680" s="9"/>
      <c r="T680" s="9"/>
      <c r="U680" s="9"/>
      <c r="V680" s="9"/>
      <c r="W680" s="9"/>
      <c r="X680" s="9"/>
      <c r="Y680" s="9"/>
      <c r="Z680" s="9"/>
      <c r="AA680" s="9"/>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9"/>
      <c r="BE680" s="9"/>
      <c r="BF680" s="9"/>
      <c r="BG680" s="9"/>
      <c r="BH680" s="9"/>
      <c r="BI680" s="9"/>
      <c r="BJ680" s="9"/>
      <c r="BK680" s="9"/>
      <c r="BL680" s="9"/>
    </row>
    <row r="681" spans="1:64" ht="12.75" customHeight="1" outlineLevel="1">
      <c r="A681" s="9"/>
      <c r="B681" s="9"/>
      <c r="C681" s="9"/>
      <c r="D681" s="128" t="str">
        <f>Asset16</f>
        <v>Communications (digital) - tx</v>
      </c>
      <c r="E681" s="9"/>
      <c r="F681" s="9"/>
      <c r="G681" s="191">
        <f t="shared" si="64"/>
        <v>0</v>
      </c>
      <c r="H681" s="109">
        <f t="shared" si="64"/>
        <v>0</v>
      </c>
      <c r="I681" s="109">
        <f t="shared" ref="I681:Q681" si="79">I453*I$6</f>
        <v>0</v>
      </c>
      <c r="J681" s="109">
        <f t="shared" si="79"/>
        <v>5.5483204287786886E-3</v>
      </c>
      <c r="K681" s="109">
        <f t="shared" si="79"/>
        <v>2.0453726233312396E-2</v>
      </c>
      <c r="L681" s="109">
        <f t="shared" si="79"/>
        <v>2.3345007570413065E-2</v>
      </c>
      <c r="M681" s="109">
        <f t="shared" si="79"/>
        <v>0</v>
      </c>
      <c r="N681" s="109">
        <f t="shared" si="79"/>
        <v>0</v>
      </c>
      <c r="O681" s="109">
        <f t="shared" si="79"/>
        <v>0</v>
      </c>
      <c r="P681" s="109">
        <f t="shared" si="79"/>
        <v>0</v>
      </c>
      <c r="Q681" s="109">
        <f t="shared" si="79"/>
        <v>0</v>
      </c>
      <c r="R681" s="9"/>
      <c r="S681" s="9"/>
      <c r="T681" s="9"/>
      <c r="U681" s="9"/>
      <c r="V681" s="9"/>
      <c r="W681" s="9"/>
      <c r="X681" s="9"/>
      <c r="Y681" s="9"/>
      <c r="Z681" s="9"/>
      <c r="AA681" s="9"/>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9"/>
      <c r="BE681" s="9"/>
      <c r="BF681" s="9"/>
      <c r="BG681" s="9"/>
      <c r="BH681" s="9"/>
      <c r="BI681" s="9"/>
      <c r="BJ681" s="9"/>
      <c r="BK681" s="9"/>
      <c r="BL681" s="9"/>
    </row>
    <row r="682" spans="1:64" ht="12.75" customHeight="1" outlineLevel="1">
      <c r="A682" s="9"/>
      <c r="B682" s="9"/>
      <c r="C682" s="9"/>
      <c r="D682" s="128" t="str">
        <f>Asset17</f>
        <v>System IT (tx)</v>
      </c>
      <c r="E682" s="9"/>
      <c r="F682" s="9"/>
      <c r="G682" s="191">
        <f t="shared" si="64"/>
        <v>0</v>
      </c>
      <c r="H682" s="109">
        <f t="shared" si="64"/>
        <v>0</v>
      </c>
      <c r="I682" s="109">
        <f t="shared" ref="I682:Q682" si="80">I454*I$6</f>
        <v>0.12445199555836262</v>
      </c>
      <c r="J682" s="109">
        <f t="shared" si="80"/>
        <v>0.1913915224128511</v>
      </c>
      <c r="K682" s="109">
        <f t="shared" si="80"/>
        <v>0.49873621678857666</v>
      </c>
      <c r="L682" s="109">
        <f t="shared" si="80"/>
        <v>0.56002899663459738</v>
      </c>
      <c r="M682" s="109">
        <f t="shared" si="80"/>
        <v>0</v>
      </c>
      <c r="N682" s="109">
        <f t="shared" si="80"/>
        <v>0</v>
      </c>
      <c r="O682" s="109">
        <f t="shared" si="80"/>
        <v>0</v>
      </c>
      <c r="P682" s="109">
        <f t="shared" si="80"/>
        <v>0</v>
      </c>
      <c r="Q682" s="109">
        <f t="shared" si="80"/>
        <v>0</v>
      </c>
      <c r="R682" s="9"/>
      <c r="S682" s="9"/>
      <c r="T682" s="9"/>
      <c r="U682" s="9"/>
      <c r="V682" s="9"/>
      <c r="W682" s="9"/>
      <c r="X682" s="9"/>
      <c r="Y682" s="9"/>
      <c r="Z682" s="9"/>
      <c r="AA682" s="9"/>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9"/>
      <c r="BE682" s="9"/>
      <c r="BF682" s="9"/>
      <c r="BG682" s="9"/>
      <c r="BH682" s="9"/>
      <c r="BI682" s="9"/>
      <c r="BJ682" s="9"/>
      <c r="BK682" s="9"/>
      <c r="BL682" s="9"/>
    </row>
    <row r="683" spans="1:64" ht="12.75" customHeight="1" outlineLevel="1">
      <c r="A683" s="9"/>
      <c r="B683" s="9"/>
      <c r="C683" s="9"/>
      <c r="D683" s="128" t="str">
        <f>Asset18</f>
        <v>IT systems</v>
      </c>
      <c r="E683" s="9"/>
      <c r="F683" s="9"/>
      <c r="G683" s="191">
        <f t="shared" si="64"/>
        <v>0.31840244705693943</v>
      </c>
      <c r="H683" s="109">
        <f t="shared" si="64"/>
        <v>0.48186358447393035</v>
      </c>
      <c r="I683" s="109">
        <f t="shared" ref="I683:Q683" si="81">I455*I$6</f>
        <v>0.65383117899883469</v>
      </c>
      <c r="J683" s="109">
        <f t="shared" si="81"/>
        <v>0.35975952622552804</v>
      </c>
      <c r="K683" s="109">
        <f t="shared" si="81"/>
        <v>0.4980705751595218</v>
      </c>
      <c r="L683" s="109">
        <f t="shared" si="81"/>
        <v>0.39260559196098299</v>
      </c>
      <c r="M683" s="109">
        <f t="shared" si="81"/>
        <v>0</v>
      </c>
      <c r="N683" s="109">
        <f t="shared" si="81"/>
        <v>0</v>
      </c>
      <c r="O683" s="109">
        <f t="shared" si="81"/>
        <v>0</v>
      </c>
      <c r="P683" s="109">
        <f t="shared" si="81"/>
        <v>0</v>
      </c>
      <c r="Q683" s="109">
        <f t="shared" si="81"/>
        <v>0</v>
      </c>
      <c r="R683" s="9"/>
      <c r="S683" s="9"/>
      <c r="T683" s="9"/>
      <c r="U683" s="9"/>
      <c r="V683" s="9"/>
      <c r="W683" s="9"/>
      <c r="X683" s="9"/>
      <c r="Y683" s="9"/>
      <c r="Z683" s="9"/>
      <c r="AA683" s="9"/>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9"/>
      <c r="BE683" s="9"/>
      <c r="BF683" s="9"/>
      <c r="BG683" s="9"/>
      <c r="BH683" s="9"/>
      <c r="BI683" s="9"/>
      <c r="BJ683" s="9"/>
      <c r="BK683" s="9"/>
      <c r="BL683" s="9"/>
    </row>
    <row r="684" spans="1:64" ht="12.75" customHeight="1" outlineLevel="1">
      <c r="A684" s="9"/>
      <c r="B684" s="9"/>
      <c r="C684" s="9"/>
      <c r="D684" s="128" t="str">
        <f>Asset19</f>
        <v>Furniture, fittings, plant and equipment</v>
      </c>
      <c r="E684" s="9"/>
      <c r="F684" s="9"/>
      <c r="G684" s="191">
        <f t="shared" si="64"/>
        <v>7.5044160594902654E-2</v>
      </c>
      <c r="H684" s="109">
        <f t="shared" si="64"/>
        <v>0.11357025849625597</v>
      </c>
      <c r="I684" s="109">
        <f t="shared" ref="I684:Q684" si="82">I456*I$6</f>
        <v>0.16010096500927729</v>
      </c>
      <c r="J684" s="109">
        <f t="shared" si="82"/>
        <v>9.0483675139999109E-2</v>
      </c>
      <c r="K684" s="109">
        <f t="shared" si="82"/>
        <v>0.15570292830277224</v>
      </c>
      <c r="L684" s="109">
        <f t="shared" si="82"/>
        <v>0.16264410808767629</v>
      </c>
      <c r="M684" s="109">
        <f t="shared" si="82"/>
        <v>0</v>
      </c>
      <c r="N684" s="109">
        <f t="shared" si="82"/>
        <v>0</v>
      </c>
      <c r="O684" s="109">
        <f t="shared" si="82"/>
        <v>0</v>
      </c>
      <c r="P684" s="109">
        <f t="shared" si="82"/>
        <v>0</v>
      </c>
      <c r="Q684" s="109">
        <f t="shared" si="82"/>
        <v>0</v>
      </c>
      <c r="R684" s="9"/>
      <c r="S684" s="9"/>
      <c r="T684" s="9"/>
      <c r="U684" s="9"/>
      <c r="V684" s="9"/>
      <c r="W684" s="9"/>
      <c r="X684" s="9"/>
      <c r="Y684" s="9"/>
      <c r="Z684" s="9"/>
      <c r="AA684" s="9"/>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9"/>
      <c r="BE684" s="9"/>
      <c r="BF684" s="9"/>
      <c r="BG684" s="9"/>
      <c r="BH684" s="9"/>
      <c r="BI684" s="9"/>
      <c r="BJ684" s="9"/>
      <c r="BK684" s="9"/>
      <c r="BL684" s="9"/>
    </row>
    <row r="685" spans="1:64" ht="12.75" customHeight="1" outlineLevel="1">
      <c r="A685" s="9"/>
      <c r="B685" s="9"/>
      <c r="C685" s="9"/>
      <c r="D685" s="128" t="str">
        <f>Asset20</f>
        <v>Motor vehicles</v>
      </c>
      <c r="E685" s="9"/>
      <c r="F685" s="9"/>
      <c r="G685" s="191">
        <f t="shared" si="64"/>
        <v>0.24489800045306381</v>
      </c>
      <c r="H685" s="109">
        <f t="shared" si="64"/>
        <v>0.37062349683420764</v>
      </c>
      <c r="I685" s="109">
        <f t="shared" ref="I685:Q685" si="83">I457*I$6</f>
        <v>0.50147486287902832</v>
      </c>
      <c r="J685" s="109">
        <f t="shared" si="83"/>
        <v>0.28084356300109137</v>
      </c>
      <c r="K685" s="109">
        <f t="shared" si="83"/>
        <v>0.47843353959199025</v>
      </c>
      <c r="L685" s="109">
        <f t="shared" si="83"/>
        <v>0.46408759845840558</v>
      </c>
      <c r="M685" s="109">
        <f t="shared" si="83"/>
        <v>0</v>
      </c>
      <c r="N685" s="109">
        <f t="shared" si="83"/>
        <v>0</v>
      </c>
      <c r="O685" s="109">
        <f t="shared" si="83"/>
        <v>0</v>
      </c>
      <c r="P685" s="109">
        <f t="shared" si="83"/>
        <v>0</v>
      </c>
      <c r="Q685" s="109">
        <f t="shared" si="83"/>
        <v>0</v>
      </c>
      <c r="R685" s="9"/>
      <c r="S685" s="9"/>
      <c r="T685" s="9"/>
      <c r="U685" s="9"/>
      <c r="V685" s="9"/>
      <c r="W685" s="9"/>
      <c r="X685" s="9"/>
      <c r="Y685" s="9"/>
      <c r="Z685" s="9"/>
      <c r="AA685" s="9"/>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9"/>
      <c r="BE685" s="9"/>
      <c r="BF685" s="9"/>
      <c r="BG685" s="9"/>
      <c r="BH685" s="9"/>
      <c r="BI685" s="9"/>
      <c r="BJ685" s="9"/>
      <c r="BK685" s="9"/>
      <c r="BL685" s="9"/>
    </row>
    <row r="686" spans="1:64" outlineLevel="1">
      <c r="A686" s="9"/>
      <c r="B686" s="9"/>
      <c r="C686" s="9"/>
      <c r="D686" s="128" t="str">
        <f>Asset21</f>
        <v>Buildings</v>
      </c>
      <c r="E686" s="9"/>
      <c r="F686" s="9"/>
      <c r="G686" s="191">
        <f t="shared" si="64"/>
        <v>0.33431859553687637</v>
      </c>
      <c r="H686" s="109">
        <f t="shared" si="64"/>
        <v>0.50595074972172194</v>
      </c>
      <c r="I686" s="109">
        <f t="shared" ref="I686:Q686" si="84">I458*I$6</f>
        <v>0.89259257316751128</v>
      </c>
      <c r="J686" s="109">
        <f t="shared" si="84"/>
        <v>0.53691405500635447</v>
      </c>
      <c r="K686" s="109">
        <f t="shared" si="84"/>
        <v>0.92190212529285942</v>
      </c>
      <c r="L686" s="109">
        <f t="shared" si="84"/>
        <v>0.98202425363159296</v>
      </c>
      <c r="M686" s="109">
        <f t="shared" si="84"/>
        <v>0</v>
      </c>
      <c r="N686" s="109">
        <f t="shared" si="84"/>
        <v>0</v>
      </c>
      <c r="O686" s="109">
        <f t="shared" si="84"/>
        <v>0</v>
      </c>
      <c r="P686" s="109">
        <f t="shared" si="84"/>
        <v>0</v>
      </c>
      <c r="Q686" s="109">
        <f t="shared" si="84"/>
        <v>0</v>
      </c>
      <c r="R686" s="9"/>
      <c r="S686" s="9"/>
      <c r="T686" s="9"/>
      <c r="U686" s="9"/>
      <c r="V686" s="9"/>
      <c r="W686" s="9"/>
      <c r="X686" s="9"/>
      <c r="Y686" s="9"/>
      <c r="Z686" s="9"/>
      <c r="AA686" s="9"/>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9"/>
      <c r="BE686" s="9"/>
      <c r="BF686" s="9"/>
      <c r="BG686" s="9"/>
      <c r="BH686" s="9"/>
      <c r="BI686" s="9"/>
      <c r="BJ686" s="9"/>
      <c r="BK686" s="9"/>
      <c r="BL686" s="9"/>
    </row>
    <row r="687" spans="1:64" outlineLevel="1">
      <c r="A687" s="9"/>
      <c r="B687" s="9"/>
      <c r="C687" s="9"/>
      <c r="D687" s="128" t="str">
        <f>Asset22</f>
        <v>Land (non-system)</v>
      </c>
      <c r="E687" s="9"/>
      <c r="F687" s="9"/>
      <c r="G687" s="191">
        <f t="shared" si="64"/>
        <v>0.12647798688581652</v>
      </c>
      <c r="H687" s="109">
        <f t="shared" si="64"/>
        <v>0.19140913231407289</v>
      </c>
      <c r="I687" s="109">
        <f t="shared" ref="I687:Q687" si="85">I459*I$6</f>
        <v>0.31924534128614823</v>
      </c>
      <c r="J687" s="109">
        <f t="shared" si="85"/>
        <v>0.17602806306607494</v>
      </c>
      <c r="K687" s="109">
        <f t="shared" si="85"/>
        <v>0.30443097142804337</v>
      </c>
      <c r="L687" s="109">
        <f t="shared" si="85"/>
        <v>0.31166145103741227</v>
      </c>
      <c r="M687" s="109">
        <f t="shared" si="85"/>
        <v>0</v>
      </c>
      <c r="N687" s="109">
        <f t="shared" si="85"/>
        <v>0</v>
      </c>
      <c r="O687" s="109">
        <f t="shared" si="85"/>
        <v>0</v>
      </c>
      <c r="P687" s="109">
        <f t="shared" si="85"/>
        <v>0</v>
      </c>
      <c r="Q687" s="109">
        <f t="shared" si="85"/>
        <v>0</v>
      </c>
      <c r="R687" s="9"/>
      <c r="S687" s="9"/>
      <c r="T687" s="9"/>
      <c r="U687" s="9"/>
      <c r="V687" s="9"/>
      <c r="W687" s="9"/>
      <c r="X687" s="9"/>
      <c r="Y687" s="9"/>
      <c r="Z687" s="9"/>
      <c r="AA687" s="9"/>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9"/>
      <c r="BE687" s="9"/>
      <c r="BF687" s="9"/>
      <c r="BG687" s="9"/>
      <c r="BH687" s="9"/>
      <c r="BI687" s="9"/>
      <c r="BJ687" s="9"/>
      <c r="BK687" s="9"/>
      <c r="BL687" s="9"/>
    </row>
    <row r="688" spans="1:64" outlineLevel="1">
      <c r="A688" s="9"/>
      <c r="B688" s="9"/>
      <c r="C688" s="9"/>
      <c r="D688" s="128" t="str">
        <f>Asset23</f>
        <v>Other non system assets</v>
      </c>
      <c r="E688" s="9"/>
      <c r="F688" s="9"/>
      <c r="G688" s="191">
        <f t="shared" si="64"/>
        <v>0.28897341960574791</v>
      </c>
      <c r="H688" s="109">
        <f t="shared" si="64"/>
        <v>0.43732631164110913</v>
      </c>
      <c r="I688" s="109">
        <f t="shared" ref="I688:Q688" si="86">I460*I$6</f>
        <v>0.47630288367244178</v>
      </c>
      <c r="J688" s="109">
        <f t="shared" si="86"/>
        <v>0.21883026437375544</v>
      </c>
      <c r="K688" s="109">
        <f t="shared" si="86"/>
        <v>0.31165290035110399</v>
      </c>
      <c r="L688" s="109">
        <f t="shared" si="86"/>
        <v>0.28469789552883723</v>
      </c>
      <c r="M688" s="109">
        <f t="shared" si="86"/>
        <v>0</v>
      </c>
      <c r="N688" s="109">
        <f t="shared" si="86"/>
        <v>0</v>
      </c>
      <c r="O688" s="109">
        <f t="shared" si="86"/>
        <v>0</v>
      </c>
      <c r="P688" s="109">
        <f t="shared" si="86"/>
        <v>0</v>
      </c>
      <c r="Q688" s="109">
        <f t="shared" si="86"/>
        <v>0</v>
      </c>
      <c r="R688" s="9"/>
      <c r="S688" s="9"/>
      <c r="T688" s="9"/>
      <c r="U688" s="9"/>
      <c r="V688" s="9"/>
      <c r="W688" s="9"/>
      <c r="X688" s="9"/>
      <c r="Y688" s="9"/>
      <c r="Z688" s="9"/>
      <c r="AA688" s="9"/>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9"/>
      <c r="BE688" s="9"/>
      <c r="BF688" s="9"/>
      <c r="BG688" s="9"/>
      <c r="BH688" s="9"/>
      <c r="BI688" s="9"/>
      <c r="BJ688" s="9"/>
      <c r="BK688" s="9"/>
      <c r="BL688" s="9"/>
    </row>
    <row r="689" spans="1:64" outlineLevel="1">
      <c r="A689" s="9"/>
      <c r="B689" s="9"/>
      <c r="C689" s="9"/>
      <c r="D689" s="128" t="str">
        <f>Asset24</f>
        <v>Equity raising costs</v>
      </c>
      <c r="E689" s="9"/>
      <c r="F689" s="9"/>
      <c r="G689" s="191">
        <f t="shared" si="64"/>
        <v>0</v>
      </c>
      <c r="H689" s="109">
        <f t="shared" si="64"/>
        <v>0</v>
      </c>
      <c r="I689" s="109">
        <f t="shared" ref="I689:Q689" si="87">I461*I$6</f>
        <v>0.21986104107596049</v>
      </c>
      <c r="J689" s="109">
        <f t="shared" si="87"/>
        <v>0.10852199045325214</v>
      </c>
      <c r="K689" s="109">
        <f t="shared" si="87"/>
        <v>0.1657288174310706</v>
      </c>
      <c r="L689" s="109">
        <f t="shared" si="87"/>
        <v>0.1659769422443334</v>
      </c>
      <c r="M689" s="109">
        <f t="shared" si="87"/>
        <v>0</v>
      </c>
      <c r="N689" s="109">
        <f t="shared" si="87"/>
        <v>0</v>
      </c>
      <c r="O689" s="109">
        <f t="shared" si="87"/>
        <v>0</v>
      </c>
      <c r="P689" s="109">
        <f t="shared" si="87"/>
        <v>0</v>
      </c>
      <c r="Q689" s="109">
        <f t="shared" si="87"/>
        <v>0</v>
      </c>
      <c r="R689" s="9"/>
      <c r="S689" s="9"/>
      <c r="T689" s="9"/>
      <c r="U689" s="9"/>
      <c r="V689" s="9"/>
      <c r="W689" s="9"/>
      <c r="X689" s="9"/>
      <c r="Y689" s="9"/>
      <c r="Z689" s="9"/>
      <c r="AA689" s="9"/>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9"/>
      <c r="BE689" s="9"/>
      <c r="BF689" s="9"/>
      <c r="BG689" s="9"/>
      <c r="BH689" s="9"/>
      <c r="BI689" s="9"/>
      <c r="BJ689" s="9"/>
      <c r="BK689" s="9"/>
      <c r="BL689" s="9"/>
    </row>
    <row r="690" spans="1:64" ht="4.5" customHeight="1" outlineLevel="1">
      <c r="A690" s="9"/>
      <c r="B690" s="9"/>
      <c r="C690" s="9"/>
      <c r="D690" s="128">
        <f>Asset25</f>
        <v>0</v>
      </c>
      <c r="E690" s="9"/>
      <c r="F690" s="9"/>
      <c r="G690" s="191">
        <f t="shared" si="64"/>
        <v>0</v>
      </c>
      <c r="H690" s="109">
        <f t="shared" si="64"/>
        <v>0</v>
      </c>
      <c r="I690" s="109">
        <f t="shared" ref="I690:Q690" si="88">I462*I$6</f>
        <v>0</v>
      </c>
      <c r="J690" s="109">
        <f t="shared" si="88"/>
        <v>0</v>
      </c>
      <c r="K690" s="109">
        <f t="shared" si="88"/>
        <v>0</v>
      </c>
      <c r="L690" s="109">
        <f t="shared" si="88"/>
        <v>0</v>
      </c>
      <c r="M690" s="109">
        <f t="shared" si="88"/>
        <v>0</v>
      </c>
      <c r="N690" s="109">
        <f t="shared" si="88"/>
        <v>0</v>
      </c>
      <c r="O690" s="109">
        <f t="shared" si="88"/>
        <v>0</v>
      </c>
      <c r="P690" s="109">
        <f t="shared" si="88"/>
        <v>0</v>
      </c>
      <c r="Q690" s="109">
        <f t="shared" si="88"/>
        <v>0</v>
      </c>
      <c r="R690" s="9"/>
      <c r="S690" s="9"/>
      <c r="T690" s="9"/>
      <c r="U690" s="9"/>
      <c r="V690" s="9"/>
      <c r="W690" s="9"/>
      <c r="X690" s="9"/>
      <c r="Y690" s="9"/>
      <c r="Z690" s="9"/>
      <c r="AA690" s="9"/>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9"/>
      <c r="BE690" s="9"/>
      <c r="BF690" s="9"/>
      <c r="BG690" s="9"/>
      <c r="BH690" s="9"/>
      <c r="BI690" s="9"/>
      <c r="BJ690" s="9"/>
      <c r="BK690" s="9"/>
      <c r="BL690" s="9"/>
    </row>
    <row r="691" spans="1:64" ht="4.5" customHeight="1" outlineLevel="1">
      <c r="A691" s="9"/>
      <c r="B691" s="9"/>
      <c r="C691" s="9"/>
      <c r="D691" s="128">
        <f>Asset26</f>
        <v>0</v>
      </c>
      <c r="E691" s="9"/>
      <c r="F691" s="9"/>
      <c r="G691" s="191">
        <f t="shared" si="64"/>
        <v>0</v>
      </c>
      <c r="H691" s="109">
        <f t="shared" si="64"/>
        <v>0</v>
      </c>
      <c r="I691" s="109">
        <f t="shared" ref="I691:Q691" si="89">I463*I$6</f>
        <v>0</v>
      </c>
      <c r="J691" s="109">
        <f t="shared" si="89"/>
        <v>0</v>
      </c>
      <c r="K691" s="109">
        <f t="shared" si="89"/>
        <v>0</v>
      </c>
      <c r="L691" s="109">
        <f t="shared" si="89"/>
        <v>0</v>
      </c>
      <c r="M691" s="109">
        <f t="shared" si="89"/>
        <v>0</v>
      </c>
      <c r="N691" s="109">
        <f t="shared" si="89"/>
        <v>0</v>
      </c>
      <c r="O691" s="109">
        <f t="shared" si="89"/>
        <v>0</v>
      </c>
      <c r="P691" s="109">
        <f t="shared" si="89"/>
        <v>0</v>
      </c>
      <c r="Q691" s="109">
        <f t="shared" si="89"/>
        <v>0</v>
      </c>
      <c r="R691" s="9"/>
      <c r="S691" s="9"/>
      <c r="T691" s="9"/>
      <c r="U691" s="9"/>
      <c r="V691" s="9"/>
      <c r="W691" s="9"/>
      <c r="X691" s="9"/>
      <c r="Y691" s="9"/>
      <c r="Z691" s="9"/>
      <c r="AA691" s="9"/>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9"/>
      <c r="BE691" s="9"/>
      <c r="BF691" s="9"/>
      <c r="BG691" s="9"/>
      <c r="BH691" s="9"/>
      <c r="BI691" s="9"/>
      <c r="BJ691" s="9"/>
      <c r="BK691" s="9"/>
      <c r="BL691" s="9"/>
    </row>
    <row r="692" spans="1:64" ht="4.5" customHeight="1" outlineLevel="1">
      <c r="A692" s="9"/>
      <c r="B692" s="9"/>
      <c r="C692" s="9"/>
      <c r="D692" s="128">
        <f>Asset27</f>
        <v>0</v>
      </c>
      <c r="E692" s="9"/>
      <c r="F692" s="9"/>
      <c r="G692" s="191">
        <f t="shared" si="64"/>
        <v>0</v>
      </c>
      <c r="H692" s="109">
        <f t="shared" si="64"/>
        <v>0</v>
      </c>
      <c r="I692" s="109">
        <f t="shared" ref="I692:Q692" si="90">I464*I$6</f>
        <v>0</v>
      </c>
      <c r="J692" s="109">
        <f t="shared" si="90"/>
        <v>0</v>
      </c>
      <c r="K692" s="109">
        <f t="shared" si="90"/>
        <v>0</v>
      </c>
      <c r="L692" s="109">
        <f t="shared" si="90"/>
        <v>0</v>
      </c>
      <c r="M692" s="109">
        <f t="shared" si="90"/>
        <v>0</v>
      </c>
      <c r="N692" s="109">
        <f t="shared" si="90"/>
        <v>0</v>
      </c>
      <c r="O692" s="109">
        <f t="shared" si="90"/>
        <v>0</v>
      </c>
      <c r="P692" s="109">
        <f t="shared" si="90"/>
        <v>0</v>
      </c>
      <c r="Q692" s="109">
        <f t="shared" si="90"/>
        <v>0</v>
      </c>
      <c r="R692" s="9"/>
      <c r="S692" s="9"/>
      <c r="T692" s="9"/>
      <c r="U692" s="9"/>
      <c r="V692" s="9"/>
      <c r="W692" s="9"/>
      <c r="X692" s="9"/>
      <c r="Y692" s="9"/>
      <c r="Z692" s="9"/>
      <c r="AA692" s="9"/>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9"/>
      <c r="BE692" s="9"/>
      <c r="BF692" s="9"/>
      <c r="BG692" s="9"/>
      <c r="BH692" s="9"/>
      <c r="BI692" s="9"/>
      <c r="BJ692" s="9"/>
      <c r="BK692" s="9"/>
      <c r="BL692" s="9"/>
    </row>
    <row r="693" spans="1:64" ht="4.5" customHeight="1" outlineLevel="1">
      <c r="A693" s="9"/>
      <c r="B693" s="9"/>
      <c r="C693" s="9"/>
      <c r="D693" s="128">
        <f>Asset28</f>
        <v>0</v>
      </c>
      <c r="E693" s="9"/>
      <c r="F693" s="9"/>
      <c r="G693" s="191">
        <f t="shared" si="64"/>
        <v>0</v>
      </c>
      <c r="H693" s="109">
        <f t="shared" si="64"/>
        <v>0</v>
      </c>
      <c r="I693" s="109">
        <f t="shared" ref="I693:Q693" si="91">I465*I$6</f>
        <v>0</v>
      </c>
      <c r="J693" s="109">
        <f t="shared" si="91"/>
        <v>0</v>
      </c>
      <c r="K693" s="109">
        <f t="shared" si="91"/>
        <v>0</v>
      </c>
      <c r="L693" s="109">
        <f t="shared" si="91"/>
        <v>0</v>
      </c>
      <c r="M693" s="109">
        <f t="shared" si="91"/>
        <v>0</v>
      </c>
      <c r="N693" s="109">
        <f t="shared" si="91"/>
        <v>0</v>
      </c>
      <c r="O693" s="109">
        <f t="shared" si="91"/>
        <v>0</v>
      </c>
      <c r="P693" s="109">
        <f t="shared" si="91"/>
        <v>0</v>
      </c>
      <c r="Q693" s="109">
        <f t="shared" si="91"/>
        <v>0</v>
      </c>
      <c r="R693" s="9"/>
      <c r="S693" s="9"/>
      <c r="T693" s="9"/>
      <c r="U693" s="9"/>
      <c r="V693" s="9"/>
      <c r="W693" s="9"/>
      <c r="X693" s="9"/>
      <c r="Y693" s="9"/>
      <c r="Z693" s="9"/>
      <c r="AA693" s="9"/>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9"/>
      <c r="BE693" s="9"/>
      <c r="BF693" s="9"/>
      <c r="BG693" s="9"/>
      <c r="BH693" s="9"/>
      <c r="BI693" s="9"/>
      <c r="BJ693" s="9"/>
      <c r="BK693" s="9"/>
      <c r="BL693" s="9"/>
    </row>
    <row r="694" spans="1:64" ht="4.5" customHeight="1" outlineLevel="1">
      <c r="A694" s="9"/>
      <c r="B694" s="9"/>
      <c r="C694" s="9"/>
      <c r="D694" s="128">
        <f>Asset29</f>
        <v>0</v>
      </c>
      <c r="E694" s="9"/>
      <c r="F694" s="9"/>
      <c r="G694" s="191">
        <f t="shared" si="64"/>
        <v>0</v>
      </c>
      <c r="H694" s="109">
        <f t="shared" si="64"/>
        <v>0</v>
      </c>
      <c r="I694" s="109">
        <f t="shared" ref="I694:Q694" si="92">I466*I$6</f>
        <v>0</v>
      </c>
      <c r="J694" s="109">
        <f t="shared" si="92"/>
        <v>0</v>
      </c>
      <c r="K694" s="109">
        <f t="shared" si="92"/>
        <v>0</v>
      </c>
      <c r="L694" s="109">
        <f t="shared" si="92"/>
        <v>0</v>
      </c>
      <c r="M694" s="109">
        <f t="shared" si="92"/>
        <v>0</v>
      </c>
      <c r="N694" s="109">
        <f t="shared" si="92"/>
        <v>0</v>
      </c>
      <c r="O694" s="109">
        <f t="shared" si="92"/>
        <v>0</v>
      </c>
      <c r="P694" s="109">
        <f t="shared" si="92"/>
        <v>0</v>
      </c>
      <c r="Q694" s="109">
        <f t="shared" si="92"/>
        <v>0</v>
      </c>
      <c r="R694" s="9"/>
      <c r="S694" s="9"/>
      <c r="T694" s="9"/>
      <c r="U694" s="9"/>
      <c r="V694" s="9"/>
      <c r="W694" s="9"/>
      <c r="X694" s="9"/>
      <c r="Y694" s="9"/>
      <c r="Z694" s="9"/>
      <c r="AA694" s="9"/>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9"/>
      <c r="BE694" s="9"/>
      <c r="BF694" s="9"/>
      <c r="BG694" s="9"/>
      <c r="BH694" s="9"/>
      <c r="BI694" s="9"/>
      <c r="BJ694" s="9"/>
      <c r="BK694" s="9"/>
      <c r="BL694" s="9"/>
    </row>
    <row r="695" spans="1:64" ht="4.5" customHeight="1" outlineLevel="1">
      <c r="A695" s="9"/>
      <c r="B695" s="9"/>
      <c r="C695" s="9"/>
      <c r="D695" s="128">
        <f>Asset30</f>
        <v>0</v>
      </c>
      <c r="E695" s="9"/>
      <c r="F695" s="9"/>
      <c r="G695" s="191">
        <f t="shared" si="64"/>
        <v>0</v>
      </c>
      <c r="H695" s="109">
        <f t="shared" si="64"/>
        <v>0</v>
      </c>
      <c r="I695" s="109">
        <f t="shared" ref="I695:Q695" si="93">I467*I$6</f>
        <v>0</v>
      </c>
      <c r="J695" s="109">
        <f t="shared" si="93"/>
        <v>0</v>
      </c>
      <c r="K695" s="109">
        <f t="shared" si="93"/>
        <v>0</v>
      </c>
      <c r="L695" s="109">
        <f t="shared" si="93"/>
        <v>0</v>
      </c>
      <c r="M695" s="109">
        <f t="shared" si="93"/>
        <v>0</v>
      </c>
      <c r="N695" s="109">
        <f t="shared" si="93"/>
        <v>0</v>
      </c>
      <c r="O695" s="109">
        <f t="shared" si="93"/>
        <v>0</v>
      </c>
      <c r="P695" s="109">
        <f t="shared" si="93"/>
        <v>0</v>
      </c>
      <c r="Q695" s="109">
        <f t="shared" si="93"/>
        <v>0</v>
      </c>
      <c r="R695" s="9"/>
      <c r="S695" s="9"/>
      <c r="T695" s="9"/>
      <c r="U695" s="9"/>
      <c r="V695" s="9"/>
      <c r="W695" s="9"/>
      <c r="X695" s="9"/>
      <c r="Y695" s="9"/>
      <c r="Z695" s="9"/>
      <c r="AA695" s="9"/>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9"/>
      <c r="BE695" s="9"/>
      <c r="BF695" s="9"/>
      <c r="BG695" s="9"/>
      <c r="BH695" s="9"/>
      <c r="BI695" s="9"/>
      <c r="BJ695" s="9"/>
      <c r="BK695" s="9"/>
      <c r="BL695" s="9"/>
    </row>
    <row r="696" spans="1:64">
      <c r="A696" s="9"/>
      <c r="B696" s="9"/>
      <c r="C696" s="9"/>
      <c r="D696" s="9"/>
      <c r="E696" s="9"/>
      <c r="F696" s="9"/>
      <c r="G696" s="191"/>
      <c r="H696" s="109"/>
      <c r="I696" s="109"/>
      <c r="J696" s="109"/>
      <c r="K696" s="109"/>
      <c r="L696" s="109"/>
      <c r="M696" s="109"/>
      <c r="N696" s="109"/>
      <c r="O696" s="109"/>
      <c r="P696" s="109"/>
      <c r="Q696" s="109"/>
      <c r="R696" s="9"/>
      <c r="S696" s="9"/>
      <c r="T696" s="9"/>
      <c r="U696" s="9"/>
      <c r="V696" s="9"/>
      <c r="W696" s="9"/>
      <c r="X696" s="9"/>
      <c r="Y696" s="9"/>
      <c r="Z696" s="9"/>
      <c r="AA696" s="9"/>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9"/>
      <c r="BE710" s="9"/>
      <c r="BF710" s="9"/>
      <c r="BG710" s="9"/>
      <c r="BH710" s="9"/>
      <c r="BI710" s="9"/>
      <c r="BJ710" s="9"/>
      <c r="BK710" s="9"/>
      <c r="BL710" s="9"/>
    </row>
    <row r="711" spans="1:64">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9"/>
      <c r="BE711" s="9"/>
      <c r="BF711" s="9"/>
      <c r="BG711" s="9"/>
      <c r="BH711" s="9"/>
      <c r="BI711" s="9"/>
      <c r="BJ711" s="9"/>
      <c r="BK711" s="9"/>
      <c r="BL711" s="9"/>
    </row>
    <row r="712" spans="1:64">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9"/>
      <c r="BE712" s="9"/>
      <c r="BF712" s="9"/>
      <c r="BG712" s="9"/>
      <c r="BH712" s="9"/>
      <c r="BI712" s="9"/>
      <c r="BJ712" s="9"/>
      <c r="BK712" s="9"/>
      <c r="BL712" s="9"/>
    </row>
    <row r="713" spans="1:64">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9"/>
      <c r="BE713" s="9"/>
      <c r="BF713" s="9"/>
      <c r="BG713" s="9"/>
      <c r="BH713" s="9"/>
      <c r="BI713" s="9"/>
      <c r="BJ713" s="9"/>
      <c r="BK713" s="9"/>
      <c r="BL713" s="9"/>
    </row>
    <row r="714" spans="1:64">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9"/>
      <c r="BE714" s="9"/>
      <c r="BF714" s="9"/>
      <c r="BG714" s="9"/>
      <c r="BH714" s="9"/>
      <c r="BI714" s="9"/>
      <c r="BJ714" s="9"/>
      <c r="BK714" s="9"/>
      <c r="BL714" s="9"/>
    </row>
    <row r="715" spans="1:64">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9"/>
      <c r="BE715" s="9"/>
      <c r="BF715" s="9"/>
      <c r="BG715" s="9"/>
      <c r="BH715" s="9"/>
      <c r="BI715" s="9"/>
      <c r="BJ715" s="9"/>
      <c r="BK715" s="9"/>
      <c r="BL715" s="9"/>
    </row>
    <row r="716" spans="1:64">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9"/>
      <c r="BE716" s="9"/>
      <c r="BF716" s="9"/>
      <c r="BG716" s="9"/>
      <c r="BH716" s="9"/>
      <c r="BI716" s="9"/>
      <c r="BJ716" s="9"/>
      <c r="BK716" s="9"/>
      <c r="BL716" s="9"/>
    </row>
    <row r="717" spans="1:64">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9"/>
      <c r="BE717" s="9"/>
      <c r="BF717" s="9"/>
      <c r="BG717" s="9"/>
      <c r="BH717" s="9"/>
      <c r="BI717" s="9"/>
      <c r="BJ717" s="9"/>
      <c r="BK717" s="9"/>
      <c r="BL717" s="9"/>
    </row>
    <row r="718" spans="1:64">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9"/>
      <c r="BE718" s="9"/>
      <c r="BF718" s="9"/>
      <c r="BG718" s="9"/>
      <c r="BH718" s="9"/>
      <c r="BI718" s="9"/>
      <c r="BJ718" s="9"/>
      <c r="BK718" s="9"/>
      <c r="BL718" s="9"/>
    </row>
    <row r="719" spans="1:64">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9"/>
      <c r="BE719" s="9"/>
      <c r="BF719" s="9"/>
      <c r="BG719" s="9"/>
      <c r="BH719" s="9"/>
      <c r="BI719" s="9"/>
      <c r="BJ719" s="9"/>
      <c r="BK719" s="9"/>
      <c r="BL719" s="9"/>
    </row>
    <row r="720" spans="1:64">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9"/>
      <c r="BE720" s="9"/>
      <c r="BF720" s="9"/>
      <c r="BG720" s="9"/>
      <c r="BH720" s="9"/>
      <c r="BI720" s="9"/>
      <c r="BJ720" s="9"/>
      <c r="BK720" s="9"/>
      <c r="BL720" s="9"/>
    </row>
    <row r="721" spans="2:64">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9"/>
      <c r="BE721" s="9"/>
      <c r="BF721" s="9"/>
      <c r="BG721" s="9"/>
      <c r="BH721" s="9"/>
      <c r="BI721" s="9"/>
      <c r="BJ721" s="9"/>
      <c r="BK721" s="9"/>
      <c r="BL721" s="9"/>
    </row>
    <row r="722" spans="2:64">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9"/>
      <c r="BE722" s="9"/>
      <c r="BF722" s="9"/>
      <c r="BG722" s="9"/>
      <c r="BH722" s="9"/>
      <c r="BI722" s="9"/>
      <c r="BJ722" s="9"/>
      <c r="BK722" s="9"/>
      <c r="BL722" s="9"/>
    </row>
    <row r="723" spans="2:64">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9"/>
      <c r="BE723" s="9"/>
      <c r="BF723" s="9"/>
      <c r="BG723" s="9"/>
      <c r="BH723" s="9"/>
      <c r="BI723" s="9"/>
      <c r="BJ723" s="9"/>
      <c r="BK723" s="9"/>
      <c r="BL723" s="9"/>
    </row>
    <row r="724" spans="2:64">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9"/>
      <c r="BE724" s="9"/>
      <c r="BF724" s="9"/>
      <c r="BG724" s="9"/>
      <c r="BH724" s="9"/>
      <c r="BI724" s="9"/>
      <c r="BJ724" s="9"/>
      <c r="BK724" s="9"/>
      <c r="BL724" s="9"/>
    </row>
    <row r="725" spans="2:64">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9"/>
      <c r="BE725" s="9"/>
      <c r="BF725" s="9"/>
      <c r="BG725" s="9"/>
      <c r="BH725" s="9"/>
      <c r="BI725" s="9"/>
      <c r="BJ725" s="9"/>
      <c r="BK725" s="9"/>
      <c r="BL725" s="9"/>
    </row>
    <row r="726" spans="2:64">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9"/>
      <c r="BE726" s="9"/>
      <c r="BF726" s="9"/>
      <c r="BG726" s="9"/>
      <c r="BH726" s="9"/>
      <c r="BI726" s="9"/>
      <c r="BJ726" s="9"/>
      <c r="BK726" s="9"/>
      <c r="BL726" s="9"/>
    </row>
    <row r="727" spans="2:64">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row>
    <row r="728" spans="2:64">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row>
    <row r="729" spans="2:64">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row>
    <row r="730" spans="2:64">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row>
    <row r="731" spans="2:64">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row>
    <row r="732" spans="2:64">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row>
    <row r="733" spans="2:64">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row>
    <row r="734" spans="2:64">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row>
    <row r="735" spans="2:64">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row>
    <row r="736" spans="2:64">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row>
    <row r="737" spans="2:5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row>
    <row r="738" spans="2:5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row>
    <row r="739" spans="2:5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row>
    <row r="740" spans="2:5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row>
    <row r="741" spans="2:5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row>
    <row r="742" spans="2:5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row>
    <row r="743" spans="2:5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row>
    <row r="744" spans="2:5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row>
    <row r="745" spans="2:5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row>
    <row r="746" spans="2:5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row>
    <row r="747" spans="2:5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row>
    <row r="748" spans="2:5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row>
    <row r="749" spans="2:5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row>
    <row r="750" spans="2:5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row>
    <row r="751" spans="2:5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row>
    <row r="752" spans="2:5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row>
    <row r="753" spans="2:5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row>
    <row r="754" spans="2:5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row>
    <row r="755" spans="2:5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row>
    <row r="756" spans="2:5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row>
    <row r="757" spans="2:5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row>
    <row r="758" spans="2:5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row>
    <row r="759" spans="2:5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row>
    <row r="760" spans="2:5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row>
    <row r="761" spans="2:5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row>
    <row r="762" spans="2:5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row>
    <row r="763" spans="2:5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row>
    <row r="764" spans="2:5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row>
    <row r="765" spans="2:5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row>
    <row r="766" spans="2:5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row>
    <row r="767" spans="2:5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row>
    <row r="768" spans="2:5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row>
    <row r="769" spans="28:5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row>
    <row r="770" spans="28:5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row>
    <row r="771" spans="28:5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row>
    <row r="772" spans="28:5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row>
    <row r="773" spans="28:5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row>
    <row r="774" spans="28:5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row>
    <row r="775" spans="28:5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row>
    <row r="776" spans="28:5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row>
    <row r="777" spans="28:5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row>
    <row r="778" spans="28:5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row>
    <row r="779" spans="28:5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row>
    <row r="780" spans="28:5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row>
    <row r="781" spans="28:5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row>
    <row r="782" spans="28:5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row>
    <row r="783" spans="28:5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row>
    <row r="784" spans="28:5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row>
    <row r="785" spans="28:5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row>
    <row r="786" spans="28:5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row>
    <row r="787" spans="28:5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row>
    <row r="788" spans="28:5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row>
    <row r="789" spans="28:5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row>
    <row r="790" spans="28:5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row>
    <row r="791" spans="28:5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row>
    <row r="792" spans="28:5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row>
    <row r="793" spans="28:5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row>
    <row r="794" spans="28:5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row>
    <row r="795" spans="28:5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row>
    <row r="796" spans="28:5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row>
    <row r="797" spans="28:5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row>
    <row r="798" spans="28:5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row>
    <row r="799" spans="28:5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row>
    <row r="800" spans="28:5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row>
    <row r="801" spans="28:5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row>
    <row r="802" spans="28:5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row>
    <row r="803" spans="28:5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row>
    <row r="804" spans="28:5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row>
    <row r="805" spans="28:5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row>
    <row r="806" spans="28:5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row>
    <row r="807" spans="28:5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row>
    <row r="808" spans="28:5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row>
    <row r="809" spans="28:5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row>
    <row r="810" spans="28:5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row>
    <row r="811" spans="28:5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row>
    <row r="812" spans="28:5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row>
    <row r="813" spans="28:5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row>
    <row r="814" spans="28:5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row>
    <row r="815" spans="28:5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row>
    <row r="816" spans="28:5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row>
    <row r="817" spans="28:5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row>
    <row r="818" spans="28:5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row>
    <row r="819" spans="28:5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row>
    <row r="820" spans="28:5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row>
    <row r="821" spans="28:5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row>
    <row r="822" spans="28:5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row>
    <row r="823" spans="28:5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row>
    <row r="824" spans="28:5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row>
    <row r="825" spans="28:5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row>
    <row r="826" spans="28:5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row>
    <row r="827" spans="28:5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row>
    <row r="828" spans="28:5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row>
    <row r="829" spans="28:5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row>
    <row r="830" spans="28:5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row>
    <row r="831" spans="28:5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row>
    <row r="832" spans="28:5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row>
    <row r="833" spans="28:5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row>
    <row r="834" spans="28:5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row>
    <row r="835" spans="28:5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row>
    <row r="836" spans="28:5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row>
    <row r="837" spans="28:5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row>
    <row r="838" spans="28:5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row>
    <row r="839" spans="28:5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row>
    <row r="840" spans="28:5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row>
    <row r="841" spans="28:5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row>
    <row r="842" spans="28:5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row>
    <row r="843" spans="28:5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row>
    <row r="844" spans="28:5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row>
    <row r="845" spans="28:5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row>
    <row r="846" spans="28:5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row>
    <row r="847" spans="28:5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row>
    <row r="848" spans="28:5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row>
    <row r="849" spans="28:5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row>
    <row r="850" spans="28:5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row>
    <row r="851" spans="28:5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row>
    <row r="852" spans="28:5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row>
    <row r="853" spans="28:5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row>
    <row r="854" spans="28:5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row>
    <row r="855" spans="28:5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row>
    <row r="856" spans="28:5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row>
    <row r="857" spans="28:5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row>
    <row r="858" spans="28:5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row>
    <row r="859" spans="28:5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row>
    <row r="860" spans="28:5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row>
    <row r="861" spans="28:5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row>
    <row r="862" spans="28:5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row>
    <row r="863" spans="28:5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row>
    <row r="864" spans="28:5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row>
    <row r="865" spans="28:5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row>
    <row r="866" spans="28:5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row>
    <row r="867" spans="28:5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row>
    <row r="868" spans="28:5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row>
    <row r="869" spans="28:5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row>
    <row r="870" spans="28:5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row>
    <row r="871" spans="28:5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row>
    <row r="872" spans="28:5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row>
    <row r="873" spans="28:5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row>
    <row r="874" spans="28:5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row>
    <row r="875" spans="28:5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row>
    <row r="876" spans="28:5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row>
    <row r="877" spans="28:5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row>
    <row r="878" spans="28:5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row>
    <row r="879" spans="28:5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row>
    <row r="880" spans="28:5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row>
    <row r="881" spans="28:5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row>
    <row r="882" spans="28:5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row>
    <row r="883" spans="28:5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row>
    <row r="884" spans="28:5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row>
    <row r="885" spans="28:5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row>
    <row r="886" spans="28:5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row>
    <row r="887" spans="28:5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row>
    <row r="888" spans="28:5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row>
    <row r="889" spans="28:5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row>
    <row r="890" spans="28:5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row>
    <row r="891" spans="28:5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row>
    <row r="892" spans="28:5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row>
    <row r="893" spans="28:5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row>
    <row r="894" spans="28:5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row>
    <row r="895" spans="28:5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row>
    <row r="896" spans="28:5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row>
    <row r="897" spans="28:5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row>
    <row r="898" spans="28:5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row>
    <row r="899" spans="28:5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row>
    <row r="900" spans="28:5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row>
    <row r="901" spans="28:5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row>
    <row r="902" spans="28:5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row>
    <row r="903" spans="28:5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row>
    <row r="904" spans="28:5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row>
    <row r="905" spans="28:5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row>
    <row r="906" spans="28:5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row>
    <row r="907" spans="28:5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row>
    <row r="908" spans="28:5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row>
    <row r="909" spans="28:5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row>
    <row r="910" spans="28:5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row>
    <row r="911" spans="28:5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row>
    <row r="912" spans="28:5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row>
    <row r="913" spans="28:5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row>
    <row r="914" spans="28:5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row>
    <row r="915" spans="28:5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row>
    <row r="916" spans="28:5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row>
    <row r="917" spans="28:5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row>
    <row r="918" spans="28:5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row>
    <row r="919" spans="28:5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row>
    <row r="920" spans="28:5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row>
    <row r="921" spans="28:5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row>
    <row r="922" spans="28:5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row>
    <row r="923" spans="28:5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row>
    <row r="924" spans="28:5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row>
    <row r="925" spans="28:5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row>
    <row r="926" spans="28:5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row>
    <row r="927" spans="28:5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row>
    <row r="928" spans="28:5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row>
    <row r="929" spans="28:5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row>
    <row r="930" spans="28:5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row>
    <row r="931" spans="28:5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row>
    <row r="932" spans="28:5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row>
    <row r="933" spans="28:5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row>
    <row r="934" spans="28:5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row>
    <row r="935" spans="28:5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row>
    <row r="936" spans="28:5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row>
    <row r="937" spans="28:5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row>
    <row r="938" spans="28:5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row>
    <row r="939" spans="28:5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row>
    <row r="940" spans="28:5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row>
    <row r="941" spans="28:5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row>
    <row r="942" spans="28:5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row>
    <row r="943" spans="28:5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row>
    <row r="944" spans="28:5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row>
    <row r="945" spans="28:5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row>
    <row r="946" spans="28:5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row>
    <row r="947" spans="28:5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row>
    <row r="948" spans="28:5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row>
    <row r="949" spans="28:5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row>
    <row r="950" spans="28:5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row>
    <row r="951" spans="28:5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row>
    <row r="952" spans="28:5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row>
    <row r="953" spans="28:5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row>
    <row r="954" spans="28:5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row>
    <row r="955" spans="28:5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row>
    <row r="956" spans="28:5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row>
    <row r="957" spans="28:5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row>
    <row r="958" spans="28:5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row>
    <row r="959" spans="28:5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row>
    <row r="960" spans="28:5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row>
    <row r="961" spans="28:5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row>
    <row r="962" spans="28:5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row>
    <row r="963" spans="28:5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row>
    <row r="964" spans="28:5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row>
    <row r="965" spans="28:5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row>
    <row r="966" spans="28:5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row>
    <row r="967" spans="28:5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row>
    <row r="968" spans="28:5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row>
    <row r="969" spans="28:5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row>
    <row r="970" spans="28:5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row>
    <row r="971" spans="28:5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row>
    <row r="972" spans="28:5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row>
    <row r="973" spans="28:5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row>
    <row r="974" spans="28:5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row>
    <row r="975" spans="28:5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row>
    <row r="976" spans="28:5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row>
    <row r="977" spans="28:5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row>
    <row r="978" spans="28:5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row>
    <row r="979" spans="28:5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row>
    <row r="980" spans="28:5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row>
    <row r="981" spans="28:5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row>
    <row r="982" spans="28:5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row>
    <row r="983" spans="28:5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row>
    <row r="984" spans="28:5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row>
    <row r="985" spans="28:5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row>
    <row r="986" spans="28:5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row>
    <row r="987" spans="28:5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row>
    <row r="988" spans="28:5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row>
    <row r="989" spans="28:5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row>
    <row r="990" spans="28:5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row>
    <row r="991" spans="28:5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row>
    <row r="992" spans="28:5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row>
    <row r="993" spans="28:5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row>
    <row r="994" spans="28:5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row>
    <row r="995" spans="28:5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row>
    <row r="996" spans="28:5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row>
    <row r="997" spans="28:5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row>
    <row r="998" spans="28:5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row>
    <row r="999" spans="28:5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row>
    <row r="1000" spans="28:5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row>
    <row r="1001" spans="28:5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row>
    <row r="1002" spans="28:5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row>
    <row r="1003" spans="28:5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row>
    <row r="1004" spans="28:5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row>
    <row r="1005" spans="28:5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row>
    <row r="1006" spans="28:5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row>
    <row r="1007" spans="28:5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row>
    <row r="1008" spans="28:5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row>
    <row r="1009" spans="28:5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row>
    <row r="1010" spans="28:5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row>
    <row r="1011" spans="28:5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row>
    <row r="1012" spans="28:5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row>
    <row r="1013" spans="28:5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row>
    <row r="1014" spans="28:5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row>
    <row r="1015" spans="28:5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row>
    <row r="1016" spans="28:5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row>
    <row r="1017" spans="28:5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row>
    <row r="1018" spans="28:5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row>
    <row r="1019" spans="28:5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row>
    <row r="1020" spans="28:5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row>
    <row r="1021" spans="28:5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row>
    <row r="1022" spans="28:5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row>
    <row r="1023" spans="28:5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row>
    <row r="1024" spans="28:5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row>
    <row r="1025" spans="28:5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row>
    <row r="1026" spans="28:5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row>
    <row r="1027" spans="28:5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row>
    <row r="1028" spans="28:5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row>
    <row r="1029" spans="28:5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row>
    <row r="1030" spans="28:5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row>
    <row r="1031" spans="28:5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row>
    <row r="1032" spans="28:5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row>
    <row r="1033" spans="28:5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row>
    <row r="1034" spans="28:5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row>
    <row r="1035" spans="28:5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row>
    <row r="1036" spans="28:5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row>
    <row r="1037" spans="28:5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row>
    <row r="1038" spans="28:5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row>
    <row r="1039" spans="28:5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row>
    <row r="1040" spans="28:5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row>
    <row r="1041" spans="28:5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row>
    <row r="1042" spans="28:5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row>
    <row r="1043" spans="28:5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row>
    <row r="1044" spans="28:5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row>
    <row r="1045" spans="28:5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row>
    <row r="1046" spans="28:5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row>
    <row r="1047" spans="28:5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row>
    <row r="1048" spans="28:5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row>
    <row r="1049" spans="28:5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row>
    <row r="1050" spans="28:5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row>
    <row r="1051" spans="28:5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row>
    <row r="1052" spans="28:5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row>
    <row r="1053" spans="28:5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row>
    <row r="1054" spans="28:5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row>
    <row r="1055" spans="28:5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row>
    <row r="1056" spans="28:5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row>
    <row r="1057" spans="28:5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row>
    <row r="1058" spans="28:5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row>
    <row r="1059" spans="28:5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row>
    <row r="1060" spans="28:5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row>
    <row r="1061" spans="28:5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row>
    <row r="1062" spans="28:5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row>
    <row r="1063" spans="28:5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row>
    <row r="1064" spans="28:5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row>
    <row r="1065" spans="28:5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row>
    <row r="1066" spans="28:5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row>
    <row r="1067" spans="28:5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row>
    <row r="1068" spans="28:5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row>
    <row r="1069" spans="28:5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row>
    <row r="1070" spans="28:5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row>
    <row r="1071" spans="28:5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row>
    <row r="1072" spans="28:5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row>
    <row r="1073" spans="28:5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row>
    <row r="1074" spans="28:5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row>
    <row r="1075" spans="28:5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row>
    <row r="1076" spans="28:5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row>
    <row r="1077" spans="28:5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row>
    <row r="1078" spans="28:5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row>
    <row r="1079" spans="28:5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row>
    <row r="1080" spans="28:5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row>
    <row r="1081" spans="28:5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row>
    <row r="1082" spans="28:5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row>
    <row r="1083" spans="28:5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row>
    <row r="1084" spans="28:5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row>
    <row r="1085" spans="28:5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row>
    <row r="1086" spans="28:5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row>
    <row r="1087" spans="28:5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row>
    <row r="1088" spans="28:5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row>
    <row r="1089" spans="28:5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row>
    <row r="1090" spans="28:5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row>
    <row r="1091" spans="28:5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row>
    <row r="1092" spans="28:5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row>
    <row r="1093" spans="28:5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row>
    <row r="1094" spans="28:5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row>
    <row r="1095" spans="28:5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row>
    <row r="1096" spans="28:5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row>
    <row r="1097" spans="28:5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row>
    <row r="1098" spans="28:5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row>
    <row r="1099" spans="28:5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row>
    <row r="1100" spans="28:5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row>
    <row r="1101" spans="28:5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row>
    <row r="1102" spans="28:5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row>
    <row r="1103" spans="28:5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row>
    <row r="1104" spans="28:5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row>
    <row r="1105" spans="28:5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row>
    <row r="1106" spans="28:5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row>
    <row r="1107" spans="28:5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row>
    <row r="1108" spans="28:5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row>
    <row r="1109" spans="28:5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row>
    <row r="1110" spans="28:5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row>
    <row r="1111" spans="28:5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row>
    <row r="1112" spans="28:5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row>
    <row r="1113" spans="28:5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row>
    <row r="1114" spans="28:5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row>
    <row r="1115" spans="28:5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row>
    <row r="1116" spans="28:5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row>
    <row r="1117" spans="28:5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row>
    <row r="1118" spans="28:5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row>
    <row r="1119" spans="28:5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row>
    <row r="1120" spans="28:5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row>
    <row r="1121" spans="28:5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row>
    <row r="1122" spans="28:5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row>
    <row r="1123" spans="28:5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row>
    <row r="1124" spans="28:5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row>
    <row r="1125" spans="28:5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row>
    <row r="1126" spans="28:5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row>
    <row r="1127" spans="28:5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row>
    <row r="1128" spans="28:5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row>
    <row r="1129" spans="28:5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row>
    <row r="1130" spans="28:5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row>
    <row r="1131" spans="28:5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row>
    <row r="1132" spans="28:5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row>
    <row r="1133" spans="28:5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row>
    <row r="1134" spans="28:5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row>
    <row r="1135" spans="28:5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row>
    <row r="1136" spans="28:5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row>
    <row r="1137" spans="28:5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row>
    <row r="1138" spans="28:5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row>
    <row r="1139" spans="28:5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row>
    <row r="1140" spans="28:5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row>
    <row r="1141" spans="28:5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row>
    <row r="1142" spans="28:5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row>
    <row r="1143" spans="28:5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row>
    <row r="1144" spans="28:5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row>
    <row r="1145" spans="28:5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row>
    <row r="1146" spans="28:5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row>
    <row r="1147" spans="28:5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row>
    <row r="1148" spans="28:5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row>
    <row r="1149" spans="28:5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row>
    <row r="1150" spans="28:5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row>
    <row r="1151" spans="28:5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row>
    <row r="1152" spans="28:5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row>
    <row r="1153" spans="28:5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row>
    <row r="1154" spans="28:5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row>
    <row r="1155" spans="28:5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row>
    <row r="1156" spans="28:5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row>
    <row r="1157" spans="28:5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row>
    <row r="1158" spans="28:5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row>
    <row r="1159" spans="28:5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row>
    <row r="1160" spans="28:5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row>
    <row r="1161" spans="28:5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row>
    <row r="1162" spans="28:5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row>
    <row r="1163" spans="28:5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Sheet6"/>
  <dimension ref="A1:IV473"/>
  <sheetViews>
    <sheetView zoomScaleNormal="100" workbookViewId="0">
      <pane ySplit="4" topLeftCell="A449" activePane="bottomLeft" state="frozen"/>
      <selection activeCell="J211" sqref="J211"/>
      <selection pane="bottomLeft" activeCell="M473" sqref="M473"/>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28515625" bestFit="1" customWidth="1"/>
    <col min="13" max="14" width="10" bestFit="1" customWidth="1"/>
    <col min="15" max="15" width="10.85546875" bestFit="1" customWidth="1"/>
    <col min="16" max="17" width="10.28515625" bestFit="1" customWidth="1"/>
    <col min="18" max="19" width="9.5703125" bestFit="1" customWidth="1"/>
    <col min="20" max="20" width="10.28515625" bestFit="1" customWidth="1"/>
    <col min="21"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19"/>
      <c r="BL1" s="219"/>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24"/>
      <c r="BL3" s="224"/>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c r="S4" s="16"/>
      <c r="T4" s="16"/>
      <c r="U4" s="16"/>
      <c r="V4" s="16"/>
      <c r="W4" s="16"/>
      <c r="X4" s="16"/>
      <c r="Y4" s="16"/>
      <c r="Z4" s="16"/>
      <c r="AA4" s="16"/>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9"/>
      <c r="BL4" s="219"/>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9"/>
      <c r="BL5" s="219"/>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90">
        <f>SUM(G7:G36)</f>
        <v>876.96965593969333</v>
      </c>
      <c r="H6" s="138">
        <f>SUM(H7:H36)</f>
        <v>1028.4729232970931</v>
      </c>
      <c r="I6" s="138">
        <f t="shared" ref="I6:Q6" si="1">SUM(I7:I36)</f>
        <v>1264.1766710268857</v>
      </c>
      <c r="J6" s="138">
        <f t="shared" si="1"/>
        <v>1544.9628270260835</v>
      </c>
      <c r="K6" s="138">
        <f t="shared" si="1"/>
        <v>1862.8961133721868</v>
      </c>
      <c r="L6" s="138">
        <f t="shared" si="1"/>
        <v>2062.889031702352</v>
      </c>
      <c r="M6" s="138">
        <f t="shared" si="1"/>
        <v>0</v>
      </c>
      <c r="N6" s="138">
        <f t="shared" si="1"/>
        <v>0</v>
      </c>
      <c r="O6" s="138">
        <f t="shared" si="1"/>
        <v>0</v>
      </c>
      <c r="P6" s="138">
        <f t="shared" si="1"/>
        <v>0</v>
      </c>
      <c r="Q6" s="138">
        <f t="shared" si="1"/>
        <v>0</v>
      </c>
      <c r="R6" s="138"/>
      <c r="S6" s="137"/>
      <c r="T6" s="137"/>
      <c r="U6" s="137"/>
      <c r="V6" s="137"/>
      <c r="W6" s="137"/>
      <c r="X6" s="137"/>
      <c r="Y6" s="137"/>
      <c r="Z6" s="137"/>
      <c r="AA6" s="137"/>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19"/>
      <c r="BL6" s="219"/>
    </row>
    <row r="7" spans="1:256" ht="12.75" hidden="1" customHeight="1" outlineLevel="1">
      <c r="A7" s="9"/>
      <c r="B7" s="9"/>
      <c r="C7" s="9"/>
      <c r="D7" s="128" t="str">
        <f>Asset1</f>
        <v>Transmission &amp; Zone land &amp; easements</v>
      </c>
      <c r="E7" s="9"/>
      <c r="F7" s="9"/>
      <c r="G7" s="191">
        <f>'Actual RAB roll forward'!G438</f>
        <v>274.67802212915171</v>
      </c>
      <c r="H7" s="109">
        <f t="shared" ref="H7:H26" si="2">G7+G39+G71+G103+G135+G167</f>
        <v>332.15104413489365</v>
      </c>
      <c r="I7" s="109">
        <f t="shared" ref="I7:L34" si="3">H7+H39+H71</f>
        <v>341.74385407380754</v>
      </c>
      <c r="J7" s="109">
        <f t="shared" si="3"/>
        <v>367.71721018810422</v>
      </c>
      <c r="K7" s="109">
        <f t="shared" si="3"/>
        <v>376.58998499900576</v>
      </c>
      <c r="L7" s="109">
        <f t="shared" si="3"/>
        <v>387.91683367854688</v>
      </c>
      <c r="M7" s="109">
        <f>IF(Input!M$173&gt;0, L7+L39+L71, 0)</f>
        <v>0</v>
      </c>
      <c r="N7" s="109">
        <f>IF(Input!N$173&gt;0, M7+M39+M71, 0)</f>
        <v>0</v>
      </c>
      <c r="O7" s="109">
        <f>IF(Input!O$173&gt;0, N7+N39+N71, 0)</f>
        <v>0</v>
      </c>
      <c r="P7" s="109">
        <f>IF(Input!P$173&gt;0, O7+O39+O71, 0)</f>
        <v>0</v>
      </c>
      <c r="Q7" s="109">
        <f>IF(Input!Q$173&gt;0, P7+P39+P71, 0)</f>
        <v>0</v>
      </c>
      <c r="R7" s="109"/>
      <c r="S7" s="9"/>
      <c r="T7" s="9"/>
      <c r="U7" s="9"/>
      <c r="V7" s="9"/>
      <c r="W7" s="9"/>
      <c r="X7" s="9"/>
      <c r="Y7" s="9"/>
      <c r="Z7" s="9"/>
      <c r="AA7" s="9"/>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row>
    <row r="8" spans="1:256" ht="12.75" hidden="1" customHeight="1" outlineLevel="1">
      <c r="A8" s="9"/>
      <c r="B8" s="9"/>
      <c r="C8" s="44"/>
      <c r="D8" s="128" t="str">
        <f>Asset2</f>
        <v>Transmission buildings 132/66kV</v>
      </c>
      <c r="E8" s="9"/>
      <c r="F8" s="9"/>
      <c r="G8" s="191">
        <f>'Actual RAB roll forward'!G439</f>
        <v>25.232324415022465</v>
      </c>
      <c r="H8" s="109">
        <f t="shared" si="2"/>
        <v>39.756174151289621</v>
      </c>
      <c r="I8" s="109">
        <f t="shared" si="3"/>
        <v>59.36371386426336</v>
      </c>
      <c r="J8" s="109">
        <f t="shared" si="3"/>
        <v>64.725591540428269</v>
      </c>
      <c r="K8" s="109">
        <f t="shared" si="3"/>
        <v>67.458990944055145</v>
      </c>
      <c r="L8" s="109">
        <f t="shared" si="3"/>
        <v>74.114705257476672</v>
      </c>
      <c r="M8" s="109">
        <f>IF(Input!M$173&gt;0, L8+L40+L72, 0)</f>
        <v>0</v>
      </c>
      <c r="N8" s="109">
        <f>IF(Input!N$173&gt;0, M8+M40+M72, 0)</f>
        <v>0</v>
      </c>
      <c r="O8" s="109">
        <f>IF(Input!O$173&gt;0, N8+N40+N72, 0)</f>
        <v>0</v>
      </c>
      <c r="P8" s="109">
        <f>IF(Input!P$173&gt;0, O8+O40+O72, 0)</f>
        <v>0</v>
      </c>
      <c r="Q8" s="109">
        <f>IF(Input!Q$173&gt;0, P8+P40+P72, 0)</f>
        <v>0</v>
      </c>
      <c r="R8" s="109"/>
      <c r="S8" s="99"/>
      <c r="T8" s="99"/>
      <c r="U8" s="99"/>
      <c r="V8" s="99"/>
      <c r="W8" s="99"/>
      <c r="X8" s="99"/>
      <c r="Y8" s="99"/>
      <c r="Z8" s="99"/>
      <c r="AA8" s="99"/>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19"/>
      <c r="BL8" s="219"/>
    </row>
    <row r="9" spans="1:256" ht="12.75" hidden="1" customHeight="1" outlineLevel="1">
      <c r="A9" s="9"/>
      <c r="B9" s="9"/>
      <c r="C9" s="44"/>
      <c r="D9" s="128" t="str">
        <f>Asset3</f>
        <v>Zone buildings 132/66kV</v>
      </c>
      <c r="E9" s="9"/>
      <c r="F9" s="9"/>
      <c r="G9" s="191">
        <f>'Actual RAB roll forward'!G440</f>
        <v>57.644270750185285</v>
      </c>
      <c r="H9" s="109">
        <f t="shared" si="2"/>
        <v>57.805601222983462</v>
      </c>
      <c r="I9" s="109">
        <f t="shared" si="3"/>
        <v>58.604331432030868</v>
      </c>
      <c r="J9" s="109">
        <f t="shared" si="3"/>
        <v>66.065777888212835</v>
      </c>
      <c r="K9" s="109">
        <f t="shared" si="3"/>
        <v>70.638145992795614</v>
      </c>
      <c r="L9" s="109">
        <f t="shared" si="3"/>
        <v>105.44966478289518</v>
      </c>
      <c r="M9" s="109">
        <f>IF(Input!M$173&gt;0, L9+L41+L73, 0)</f>
        <v>0</v>
      </c>
      <c r="N9" s="109">
        <f>IF(Input!N$173&gt;0, M9+M41+M73, 0)</f>
        <v>0</v>
      </c>
      <c r="O9" s="109">
        <f>IF(Input!O$173&gt;0, N9+N41+N73, 0)</f>
        <v>0</v>
      </c>
      <c r="P9" s="109">
        <f>IF(Input!P$173&gt;0, O9+O41+O73, 0)</f>
        <v>0</v>
      </c>
      <c r="Q9" s="109">
        <f>IF(Input!Q$173&gt;0, P9+P41+P73, 0)</f>
        <v>0</v>
      </c>
      <c r="R9" s="109"/>
      <c r="S9" s="99"/>
      <c r="T9" s="99"/>
      <c r="U9" s="99"/>
      <c r="V9" s="99"/>
      <c r="W9" s="99"/>
      <c r="X9" s="99"/>
      <c r="Y9" s="99"/>
      <c r="Z9" s="99"/>
      <c r="AA9" s="99"/>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19"/>
      <c r="BL9" s="219"/>
    </row>
    <row r="10" spans="1:256" ht="12.75" hidden="1" customHeight="1" outlineLevel="1">
      <c r="A10" s="9"/>
      <c r="B10" s="9"/>
      <c r="C10" s="44"/>
      <c r="D10" s="128" t="str">
        <f>Asset4</f>
        <v>Transmission transformers 132/66kV</v>
      </c>
      <c r="E10" s="9"/>
      <c r="F10" s="9"/>
      <c r="G10" s="191">
        <f>'Actual RAB roll forward'!G441</f>
        <v>20.605069136113649</v>
      </c>
      <c r="H10" s="109">
        <f t="shared" si="2"/>
        <v>22.737242402904922</v>
      </c>
      <c r="I10" s="109">
        <f t="shared" si="3"/>
        <v>26.087962382826813</v>
      </c>
      <c r="J10" s="109">
        <f t="shared" si="3"/>
        <v>27.400646293445764</v>
      </c>
      <c r="K10" s="109">
        <f t="shared" si="3"/>
        <v>29.718590388685424</v>
      </c>
      <c r="L10" s="109">
        <f t="shared" si="3"/>
        <v>35.746111896405203</v>
      </c>
      <c r="M10" s="109">
        <f>IF(Input!M$173&gt;0, L10+L42+L74, 0)</f>
        <v>0</v>
      </c>
      <c r="N10" s="109">
        <f>IF(Input!N$173&gt;0, M10+M42+M74, 0)</f>
        <v>0</v>
      </c>
      <c r="O10" s="109">
        <f>IF(Input!O$173&gt;0, N10+N42+N74, 0)</f>
        <v>0</v>
      </c>
      <c r="P10" s="109">
        <f>IF(Input!P$173&gt;0, O10+O42+O74, 0)</f>
        <v>0</v>
      </c>
      <c r="Q10" s="109">
        <f>IF(Input!Q$173&gt;0, P10+P42+P74, 0)</f>
        <v>0</v>
      </c>
      <c r="R10" s="109"/>
      <c r="S10" s="99"/>
      <c r="T10" s="99"/>
      <c r="U10" s="99"/>
      <c r="V10" s="99"/>
      <c r="W10" s="99"/>
      <c r="X10" s="99"/>
      <c r="Y10" s="99"/>
      <c r="Z10" s="99"/>
      <c r="AA10" s="99"/>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19"/>
      <c r="BL10" s="219"/>
    </row>
    <row r="11" spans="1:256" ht="12.75" hidden="1" customHeight="1" outlineLevel="1">
      <c r="A11" s="9"/>
      <c r="B11" s="9"/>
      <c r="C11" s="44"/>
      <c r="D11" s="128" t="str">
        <f>Asset5</f>
        <v>Zone transformers 132/66kV</v>
      </c>
      <c r="E11" s="9"/>
      <c r="F11" s="9"/>
      <c r="G11" s="191">
        <f>'Actual RAB roll forward'!G442</f>
        <v>20.429674712181942</v>
      </c>
      <c r="H11" s="109">
        <f t="shared" si="2"/>
        <v>20.71135255837477</v>
      </c>
      <c r="I11" s="109">
        <f t="shared" si="3"/>
        <v>23.805307730840845</v>
      </c>
      <c r="J11" s="109">
        <f t="shared" si="3"/>
        <v>26.929674994489854</v>
      </c>
      <c r="K11" s="109">
        <f t="shared" si="3"/>
        <v>29.677348042907113</v>
      </c>
      <c r="L11" s="109">
        <f t="shared" si="3"/>
        <v>29.527931630960779</v>
      </c>
      <c r="M11" s="109">
        <f>IF(Input!M$173&gt;0, L11+L43+L75, 0)</f>
        <v>0</v>
      </c>
      <c r="N11" s="109">
        <f>IF(Input!N$173&gt;0, M11+M43+M75, 0)</f>
        <v>0</v>
      </c>
      <c r="O11" s="109">
        <f>IF(Input!O$173&gt;0, N11+N43+N75, 0)</f>
        <v>0</v>
      </c>
      <c r="P11" s="109">
        <f>IF(Input!P$173&gt;0, O11+O43+O75, 0)</f>
        <v>0</v>
      </c>
      <c r="Q11" s="109">
        <f>IF(Input!Q$173&gt;0, P11+P43+P75, 0)</f>
        <v>0</v>
      </c>
      <c r="R11" s="109"/>
      <c r="S11" s="99"/>
      <c r="T11" s="99"/>
      <c r="U11" s="99"/>
      <c r="V11" s="99"/>
      <c r="W11" s="99"/>
      <c r="X11" s="99"/>
      <c r="Y11" s="99"/>
      <c r="Z11" s="99"/>
      <c r="AA11" s="99"/>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19"/>
      <c r="BL11" s="219"/>
    </row>
    <row r="12" spans="1:256" ht="12.75" hidden="1" customHeight="1" outlineLevel="1">
      <c r="A12" s="9"/>
      <c r="B12" s="9"/>
      <c r="C12" s="44"/>
      <c r="D12" s="128" t="str">
        <f>Asset6</f>
        <v>Transmission substation equip 132/66kV</v>
      </c>
      <c r="E12" s="9"/>
      <c r="F12" s="9"/>
      <c r="G12" s="191">
        <f>'Actual RAB roll forward'!G443</f>
        <v>87.787549352319516</v>
      </c>
      <c r="H12" s="109">
        <f t="shared" si="2"/>
        <v>99.189836770526512</v>
      </c>
      <c r="I12" s="109">
        <f t="shared" si="3"/>
        <v>124.61480661003358</v>
      </c>
      <c r="J12" s="109">
        <f t="shared" si="3"/>
        <v>145.49043188813386</v>
      </c>
      <c r="K12" s="109">
        <f t="shared" si="3"/>
        <v>171.33261527021938</v>
      </c>
      <c r="L12" s="109">
        <f t="shared" si="3"/>
        <v>189.26442250949603</v>
      </c>
      <c r="M12" s="109">
        <f>IF(Input!M$173&gt;0, L12+L44+L76, 0)</f>
        <v>0</v>
      </c>
      <c r="N12" s="109">
        <f>IF(Input!N$173&gt;0, M12+M44+M76, 0)</f>
        <v>0</v>
      </c>
      <c r="O12" s="109">
        <f>IF(Input!O$173&gt;0, N12+N44+N76, 0)</f>
        <v>0</v>
      </c>
      <c r="P12" s="109">
        <f>IF(Input!P$173&gt;0, O12+O44+O76, 0)</f>
        <v>0</v>
      </c>
      <c r="Q12" s="109">
        <f>IF(Input!Q$173&gt;0, P12+P44+P76, 0)</f>
        <v>0</v>
      </c>
      <c r="R12" s="109"/>
      <c r="S12" s="99"/>
      <c r="T12" s="99"/>
      <c r="U12" s="99"/>
      <c r="V12" s="99"/>
      <c r="W12" s="99"/>
      <c r="X12" s="99"/>
      <c r="Y12" s="99"/>
      <c r="Z12" s="99"/>
      <c r="AA12" s="99"/>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19"/>
      <c r="BL12" s="219"/>
    </row>
    <row r="13" spans="1:256" ht="12.75" hidden="1" customHeight="1" outlineLevel="1">
      <c r="A13" s="9"/>
      <c r="B13" s="9"/>
      <c r="C13" s="44"/>
      <c r="D13" s="128" t="str">
        <f>Asset7</f>
        <v>Zone substation equip 132/66kV</v>
      </c>
      <c r="E13" s="9"/>
      <c r="F13" s="9"/>
      <c r="G13" s="191">
        <f>'Actual RAB roll forward'!G444</f>
        <v>113.14708349005643</v>
      </c>
      <c r="H13" s="109">
        <f t="shared" si="2"/>
        <v>119.55875234484482</v>
      </c>
      <c r="I13" s="109">
        <f t="shared" si="3"/>
        <v>156.35557149608007</v>
      </c>
      <c r="J13" s="109">
        <f t="shared" si="3"/>
        <v>245.71104125602758</v>
      </c>
      <c r="K13" s="109">
        <f t="shared" si="3"/>
        <v>327.38057588752974</v>
      </c>
      <c r="L13" s="109">
        <f t="shared" si="3"/>
        <v>361.20927525883332</v>
      </c>
      <c r="M13" s="109">
        <f>IF(Input!M$173&gt;0, L13+L45+L77, 0)</f>
        <v>0</v>
      </c>
      <c r="N13" s="109">
        <f>IF(Input!N$173&gt;0, M13+M45+M77, 0)</f>
        <v>0</v>
      </c>
      <c r="O13" s="109">
        <f>IF(Input!O$173&gt;0, N13+N45+N77, 0)</f>
        <v>0</v>
      </c>
      <c r="P13" s="109">
        <f>IF(Input!P$173&gt;0, O13+O45+O77, 0)</f>
        <v>0</v>
      </c>
      <c r="Q13" s="109">
        <f>IF(Input!Q$173&gt;0, P13+P45+P77, 0)</f>
        <v>0</v>
      </c>
      <c r="R13" s="109"/>
      <c r="S13" s="99"/>
      <c r="T13" s="99"/>
      <c r="U13" s="99"/>
      <c r="V13" s="99"/>
      <c r="W13" s="99"/>
      <c r="X13" s="99"/>
      <c r="Y13" s="99"/>
      <c r="Z13" s="99"/>
      <c r="AA13" s="99"/>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19"/>
      <c r="BL13" s="219"/>
    </row>
    <row r="14" spans="1:256" ht="12.75" hidden="1" customHeight="1" outlineLevel="1">
      <c r="A14" s="9"/>
      <c r="B14" s="9"/>
      <c r="C14" s="44"/>
      <c r="D14" s="128" t="str">
        <f>Asset8</f>
        <v>Transmission &amp; Zone emergency spares</v>
      </c>
      <c r="E14" s="9"/>
      <c r="F14" s="9"/>
      <c r="G14" s="191">
        <f>'Actual RAB roll forward'!G445</f>
        <v>2.1165569581876809</v>
      </c>
      <c r="H14" s="109">
        <f t="shared" si="2"/>
        <v>2.1161575869336744</v>
      </c>
      <c r="I14" s="109">
        <f t="shared" si="3"/>
        <v>2.123065452440172</v>
      </c>
      <c r="J14" s="109">
        <f t="shared" si="3"/>
        <v>2.1380601104470669</v>
      </c>
      <c r="K14" s="109">
        <f t="shared" si="3"/>
        <v>2.115227351841384</v>
      </c>
      <c r="L14" s="109">
        <f t="shared" si="3"/>
        <v>2.1095895585142945</v>
      </c>
      <c r="M14" s="109">
        <f>IF(Input!M$173&gt;0, L14+L46+L78, 0)</f>
        <v>0</v>
      </c>
      <c r="N14" s="109">
        <f>IF(Input!N$173&gt;0, M14+M46+M78, 0)</f>
        <v>0</v>
      </c>
      <c r="O14" s="109">
        <f>IF(Input!O$173&gt;0, N14+N46+N78, 0)</f>
        <v>0</v>
      </c>
      <c r="P14" s="109">
        <f>IF(Input!P$173&gt;0, O14+O46+O78, 0)</f>
        <v>0</v>
      </c>
      <c r="Q14" s="109">
        <f>IF(Input!Q$173&gt;0, P14+P46+P78, 0)</f>
        <v>0</v>
      </c>
      <c r="R14" s="109"/>
      <c r="S14" s="99"/>
      <c r="T14" s="99"/>
      <c r="U14" s="99"/>
      <c r="V14" s="99"/>
      <c r="W14" s="99"/>
      <c r="X14" s="99"/>
      <c r="Y14" s="99"/>
      <c r="Z14" s="99"/>
      <c r="AA14" s="99"/>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19"/>
      <c r="BL14" s="219"/>
    </row>
    <row r="15" spans="1:256" ht="12.75" hidden="1" customHeight="1" outlineLevel="1">
      <c r="A15" s="9"/>
      <c r="B15" s="9"/>
      <c r="C15" s="44"/>
      <c r="D15" s="128" t="str">
        <f>Asset9</f>
        <v>Ancillary substation equipment (tx)</v>
      </c>
      <c r="E15" s="9"/>
      <c r="F15" s="9"/>
      <c r="G15" s="191">
        <f>'Actual RAB roll forward'!G446</f>
        <v>0</v>
      </c>
      <c r="H15" s="109">
        <f t="shared" si="2"/>
        <v>0</v>
      </c>
      <c r="I15" s="109">
        <f t="shared" si="3"/>
        <v>1.1808068968042551</v>
      </c>
      <c r="J15" s="109">
        <f t="shared" si="3"/>
        <v>4.4076600705993458</v>
      </c>
      <c r="K15" s="109">
        <f t="shared" si="3"/>
        <v>11.009600118189903</v>
      </c>
      <c r="L15" s="109">
        <f t="shared" si="3"/>
        <v>33.359723102972552</v>
      </c>
      <c r="M15" s="109">
        <f>IF(Input!M$173&gt;0, L15+L47+L79, 0)</f>
        <v>0</v>
      </c>
      <c r="N15" s="109">
        <f>IF(Input!N$173&gt;0, M15+M47+M79, 0)</f>
        <v>0</v>
      </c>
      <c r="O15" s="109">
        <f>IF(Input!O$173&gt;0, N15+N47+N79, 0)</f>
        <v>0</v>
      </c>
      <c r="P15" s="109">
        <f>IF(Input!P$173&gt;0, O15+O47+O79, 0)</f>
        <v>0</v>
      </c>
      <c r="Q15" s="109">
        <f>IF(Input!Q$173&gt;0, P15+P47+P79, 0)</f>
        <v>0</v>
      </c>
      <c r="R15" s="109"/>
      <c r="S15" s="99"/>
      <c r="T15" s="99"/>
      <c r="U15" s="99"/>
      <c r="V15" s="99"/>
      <c r="W15" s="99"/>
      <c r="X15" s="99"/>
      <c r="Y15" s="99"/>
      <c r="Z15" s="99"/>
      <c r="AA15" s="99"/>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19"/>
      <c r="BL15" s="219"/>
    </row>
    <row r="16" spans="1:256" ht="12.75" hidden="1" customHeight="1" outlineLevel="1">
      <c r="A16" s="9"/>
      <c r="B16" s="9"/>
      <c r="C16" s="44"/>
      <c r="D16" s="128" t="str">
        <f>Asset10</f>
        <v>132kV tower lines</v>
      </c>
      <c r="E16" s="9"/>
      <c r="F16" s="9"/>
      <c r="G16" s="191">
        <f>'Actual RAB roll forward'!G447</f>
        <v>16.165889623498565</v>
      </c>
      <c r="H16" s="109">
        <f t="shared" si="2"/>
        <v>15.783904930253815</v>
      </c>
      <c r="I16" s="109">
        <f t="shared" si="3"/>
        <v>19.935818196280191</v>
      </c>
      <c r="J16" s="109">
        <f t="shared" si="3"/>
        <v>28.973449559506051</v>
      </c>
      <c r="K16" s="109">
        <f t="shared" si="3"/>
        <v>34.6311989340225</v>
      </c>
      <c r="L16" s="109">
        <f t="shared" si="3"/>
        <v>33.579306161815367</v>
      </c>
      <c r="M16" s="109">
        <f>IF(Input!M$173&gt;0, L16+L48+L80, 0)</f>
        <v>0</v>
      </c>
      <c r="N16" s="109">
        <f>IF(Input!N$173&gt;0, M16+M48+M80, 0)</f>
        <v>0</v>
      </c>
      <c r="O16" s="109">
        <f>IF(Input!O$173&gt;0, N16+N48+N80, 0)</f>
        <v>0</v>
      </c>
      <c r="P16" s="109">
        <f>IF(Input!P$173&gt;0, O16+O48+O80, 0)</f>
        <v>0</v>
      </c>
      <c r="Q16" s="109">
        <f>IF(Input!Q$173&gt;0, P16+P48+P80, 0)</f>
        <v>0</v>
      </c>
      <c r="R16" s="109"/>
      <c r="S16" s="99"/>
      <c r="T16" s="99"/>
      <c r="U16" s="99"/>
      <c r="V16" s="99"/>
      <c r="W16" s="99"/>
      <c r="X16" s="99"/>
      <c r="Y16" s="99"/>
      <c r="Z16" s="99"/>
      <c r="AA16" s="99"/>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19"/>
      <c r="BL16" s="219"/>
    </row>
    <row r="17" spans="1:64" ht="12.75" hidden="1" customHeight="1" outlineLevel="1">
      <c r="A17" s="9"/>
      <c r="B17" s="9"/>
      <c r="C17" s="44"/>
      <c r="D17" s="128" t="str">
        <f>Asset11</f>
        <v>132kV concrete &amp; steel pole lines</v>
      </c>
      <c r="E17" s="9"/>
      <c r="F17" s="9"/>
      <c r="G17" s="191">
        <f>'Actual RAB roll forward'!G448</f>
        <v>10.46856795269731</v>
      </c>
      <c r="H17" s="109">
        <f t="shared" si="2"/>
        <v>10.998490886977528</v>
      </c>
      <c r="I17" s="109">
        <f t="shared" si="3"/>
        <v>25.882886168888906</v>
      </c>
      <c r="J17" s="109">
        <f t="shared" si="3"/>
        <v>30.318541642338566</v>
      </c>
      <c r="K17" s="109">
        <f t="shared" si="3"/>
        <v>30.994977296450728</v>
      </c>
      <c r="L17" s="109">
        <f t="shared" si="3"/>
        <v>28.905140348981462</v>
      </c>
      <c r="M17" s="109">
        <f>IF(Input!M$173&gt;0, L17+L49+L81, 0)</f>
        <v>0</v>
      </c>
      <c r="N17" s="109">
        <f>IF(Input!N$173&gt;0, M17+M49+M81, 0)</f>
        <v>0</v>
      </c>
      <c r="O17" s="109">
        <f>IF(Input!O$173&gt;0, N17+N49+N81, 0)</f>
        <v>0</v>
      </c>
      <c r="P17" s="109">
        <f>IF(Input!P$173&gt;0, O17+O49+O81, 0)</f>
        <v>0</v>
      </c>
      <c r="Q17" s="109">
        <f>IF(Input!Q$173&gt;0, P17+P49+P81, 0)</f>
        <v>0</v>
      </c>
      <c r="R17" s="109"/>
      <c r="S17" s="99"/>
      <c r="T17" s="99"/>
      <c r="U17" s="99"/>
      <c r="V17" s="99"/>
      <c r="W17" s="99"/>
      <c r="X17" s="99"/>
      <c r="Y17" s="99"/>
      <c r="Z17" s="99"/>
      <c r="AA17" s="99"/>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19"/>
      <c r="BL17" s="219"/>
    </row>
    <row r="18" spans="1:64" ht="12.75" hidden="1" customHeight="1" outlineLevel="1">
      <c r="A18" s="9"/>
      <c r="B18" s="9"/>
      <c r="C18" s="44"/>
      <c r="D18" s="128" t="str">
        <f>Asset12</f>
        <v>132kV wood pole lines</v>
      </c>
      <c r="E18" s="9"/>
      <c r="F18" s="9"/>
      <c r="G18" s="191">
        <f>'Actual RAB roll forward'!G449</f>
        <v>24.007811967899354</v>
      </c>
      <c r="H18" s="109">
        <f t="shared" si="2"/>
        <v>23.622403565614938</v>
      </c>
      <c r="I18" s="109">
        <f t="shared" si="3"/>
        <v>34.022810720496338</v>
      </c>
      <c r="J18" s="109">
        <f t="shared" si="3"/>
        <v>34.49635732725762</v>
      </c>
      <c r="K18" s="109">
        <f t="shared" si="3"/>
        <v>34.27466503916078</v>
      </c>
      <c r="L18" s="109">
        <f t="shared" si="3"/>
        <v>34.569343528320346</v>
      </c>
      <c r="M18" s="109">
        <f>IF(Input!M$173&gt;0, L18+L50+L82, 0)</f>
        <v>0</v>
      </c>
      <c r="N18" s="109">
        <f>IF(Input!N$173&gt;0, M18+M50+M82, 0)</f>
        <v>0</v>
      </c>
      <c r="O18" s="109">
        <f>IF(Input!O$173&gt;0, N18+N50+N82, 0)</f>
        <v>0</v>
      </c>
      <c r="P18" s="109">
        <f>IF(Input!P$173&gt;0, O18+O50+O82, 0)</f>
        <v>0</v>
      </c>
      <c r="Q18" s="109">
        <f>IF(Input!Q$173&gt;0, P18+P50+P82, 0)</f>
        <v>0</v>
      </c>
      <c r="R18" s="109"/>
      <c r="S18" s="99"/>
      <c r="T18" s="99"/>
      <c r="U18" s="99"/>
      <c r="V18" s="99"/>
      <c r="W18" s="99"/>
      <c r="X18" s="99"/>
      <c r="Y18" s="99"/>
      <c r="Z18" s="99"/>
      <c r="AA18" s="99"/>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19"/>
      <c r="BL18" s="219"/>
    </row>
    <row r="19" spans="1:64" ht="12.75" hidden="1" customHeight="1" outlineLevel="1">
      <c r="A19" s="9"/>
      <c r="B19" s="9"/>
      <c r="C19" s="44"/>
      <c r="D19" s="128" t="str">
        <f>Asset13</f>
        <v>132kV feeders underground</v>
      </c>
      <c r="E19" s="9"/>
      <c r="F19" s="9"/>
      <c r="G19" s="191">
        <f>'Actual RAB roll forward'!G450</f>
        <v>134.85935197535869</v>
      </c>
      <c r="H19" s="109">
        <f t="shared" si="2"/>
        <v>178.46355791015472</v>
      </c>
      <c r="I19" s="109">
        <f t="shared" si="3"/>
        <v>255.89804938977014</v>
      </c>
      <c r="J19" s="109">
        <f t="shared" si="3"/>
        <v>345.71703131018643</v>
      </c>
      <c r="K19" s="109">
        <f t="shared" si="3"/>
        <v>509.31422548989553</v>
      </c>
      <c r="L19" s="109">
        <f t="shared" si="3"/>
        <v>580.06557904287229</v>
      </c>
      <c r="M19" s="109">
        <f>IF(Input!M$173&gt;0, L19+L51+L83, 0)</f>
        <v>0</v>
      </c>
      <c r="N19" s="109">
        <f>IF(Input!N$173&gt;0, M19+M51+M83, 0)</f>
        <v>0</v>
      </c>
      <c r="O19" s="109">
        <f>IF(Input!O$173&gt;0, N19+N51+N83, 0)</f>
        <v>0</v>
      </c>
      <c r="P19" s="109">
        <f>IF(Input!P$173&gt;0, O19+O51+O83, 0)</f>
        <v>0</v>
      </c>
      <c r="Q19" s="109">
        <f>IF(Input!Q$173&gt;0, P19+P51+P83, 0)</f>
        <v>0</v>
      </c>
      <c r="R19" s="109"/>
      <c r="S19" s="99"/>
      <c r="T19" s="99"/>
      <c r="U19" s="99"/>
      <c r="V19" s="99"/>
      <c r="W19" s="99"/>
      <c r="X19" s="99"/>
      <c r="Y19" s="99"/>
      <c r="Z19" s="99"/>
      <c r="AA19" s="99"/>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19"/>
      <c r="BL19" s="219"/>
    </row>
    <row r="20" spans="1:64" ht="12.75" hidden="1" customHeight="1" outlineLevel="1">
      <c r="A20" s="9"/>
      <c r="B20" s="9"/>
      <c r="C20" s="44"/>
      <c r="D20" s="128" t="str">
        <f>Asset14</f>
        <v>Cable tunnel (tx)</v>
      </c>
      <c r="E20" s="9"/>
      <c r="F20" s="9"/>
      <c r="G20" s="191">
        <f>'Actual RAB roll forward'!G451</f>
        <v>10.711449207362918</v>
      </c>
      <c r="H20" s="109">
        <f t="shared" si="2"/>
        <v>10.809156600988063</v>
      </c>
      <c r="I20" s="109">
        <f t="shared" si="3"/>
        <v>10.949855287376929</v>
      </c>
      <c r="J20" s="109">
        <f t="shared" si="3"/>
        <v>11.138418876435663</v>
      </c>
      <c r="K20" s="109">
        <f t="shared" si="3"/>
        <v>11.666681360729351</v>
      </c>
      <c r="L20" s="109">
        <f t="shared" si="3"/>
        <v>11.946350333571662</v>
      </c>
      <c r="M20" s="109">
        <f>IF(Input!M$173&gt;0, L20+L52+L84, 0)</f>
        <v>0</v>
      </c>
      <c r="N20" s="109">
        <f>IF(Input!N$173&gt;0, M20+M52+M84, 0)</f>
        <v>0</v>
      </c>
      <c r="O20" s="109">
        <f>IF(Input!O$173&gt;0, N20+N52+N84, 0)</f>
        <v>0</v>
      </c>
      <c r="P20" s="109">
        <f>IF(Input!P$173&gt;0, O20+O52+O84, 0)</f>
        <v>0</v>
      </c>
      <c r="Q20" s="109">
        <f>IF(Input!Q$173&gt;0, P20+P52+P84, 0)</f>
        <v>0</v>
      </c>
      <c r="R20" s="109"/>
      <c r="S20" s="99"/>
      <c r="T20" s="99"/>
      <c r="U20" s="99"/>
      <c r="V20" s="99"/>
      <c r="W20" s="99"/>
      <c r="X20" s="99"/>
      <c r="Y20" s="99"/>
      <c r="Z20" s="99"/>
      <c r="AA20" s="99"/>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19"/>
      <c r="BL20" s="219"/>
    </row>
    <row r="21" spans="1:64" ht="12.75" hidden="1" customHeight="1" outlineLevel="1">
      <c r="A21" s="9"/>
      <c r="B21" s="9"/>
      <c r="C21" s="44"/>
      <c r="D21" s="128" t="str">
        <f>Asset15</f>
        <v>Network control &amp; com systems</v>
      </c>
      <c r="E21" s="9"/>
      <c r="F21" s="9"/>
      <c r="G21" s="191">
        <f>'Actual RAB roll forward'!G452</f>
        <v>22.827986828751065</v>
      </c>
      <c r="H21" s="109">
        <f t="shared" si="2"/>
        <v>22.03100338356256</v>
      </c>
      <c r="I21" s="109">
        <f t="shared" si="3"/>
        <v>23.172006075518276</v>
      </c>
      <c r="J21" s="109">
        <f t="shared" si="3"/>
        <v>22.804213865105037</v>
      </c>
      <c r="K21" s="109">
        <f t="shared" si="3"/>
        <v>22.02301870555138</v>
      </c>
      <c r="L21" s="109">
        <f t="shared" si="3"/>
        <v>21.376063678326272</v>
      </c>
      <c r="M21" s="109">
        <f>IF(Input!M$173&gt;0, L21+L53+L85, 0)</f>
        <v>0</v>
      </c>
      <c r="N21" s="109">
        <f>IF(Input!N$173&gt;0, M21+M53+M85, 0)</f>
        <v>0</v>
      </c>
      <c r="O21" s="109">
        <f>IF(Input!O$173&gt;0, N21+N53+N85, 0)</f>
        <v>0</v>
      </c>
      <c r="P21" s="109">
        <f>IF(Input!P$173&gt;0, O21+O53+O85, 0)</f>
        <v>0</v>
      </c>
      <c r="Q21" s="109">
        <f>IF(Input!Q$173&gt;0, P21+P53+P85, 0)</f>
        <v>0</v>
      </c>
      <c r="R21" s="109"/>
      <c r="S21" s="99"/>
      <c r="T21" s="99"/>
      <c r="U21" s="99"/>
      <c r="V21" s="99"/>
      <c r="W21" s="99"/>
      <c r="X21" s="99"/>
      <c r="Y21" s="99"/>
      <c r="Z21" s="99"/>
      <c r="AA21" s="99"/>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19"/>
      <c r="BL21" s="219"/>
    </row>
    <row r="22" spans="1:64" ht="12.75" hidden="1" customHeight="1" outlineLevel="1">
      <c r="A22" s="9"/>
      <c r="B22" s="9"/>
      <c r="C22" s="44"/>
      <c r="D22" s="128" t="str">
        <f>Asset16</f>
        <v>Communications (digital) - tx</v>
      </c>
      <c r="E22" s="9"/>
      <c r="F22" s="9"/>
      <c r="G22" s="191">
        <f>'Actual RAB roll forward'!G453</f>
        <v>0</v>
      </c>
      <c r="H22" s="109">
        <f t="shared" si="2"/>
        <v>0</v>
      </c>
      <c r="I22" s="109">
        <f t="shared" si="3"/>
        <v>0</v>
      </c>
      <c r="J22" s="109">
        <f t="shared" si="3"/>
        <v>0.34087493634308763</v>
      </c>
      <c r="K22" s="109">
        <f t="shared" si="3"/>
        <v>0.81733090028316369</v>
      </c>
      <c r="L22" s="109">
        <f t="shared" si="3"/>
        <v>0.9328665025137064</v>
      </c>
      <c r="M22" s="109">
        <f>IF(Input!M$173&gt;0, L22+L54+L86, 0)</f>
        <v>0</v>
      </c>
      <c r="N22" s="109">
        <f>IF(Input!N$173&gt;0, M22+M54+M86, 0)</f>
        <v>0</v>
      </c>
      <c r="O22" s="109">
        <f>IF(Input!O$173&gt;0, N22+N54+N86, 0)</f>
        <v>0</v>
      </c>
      <c r="P22" s="109">
        <f>IF(Input!P$173&gt;0, O22+O54+O86, 0)</f>
        <v>0</v>
      </c>
      <c r="Q22" s="109">
        <f>IF(Input!Q$173&gt;0, P22+P54+P86, 0)</f>
        <v>0</v>
      </c>
      <c r="R22" s="109"/>
      <c r="S22" s="99"/>
      <c r="T22" s="99"/>
      <c r="U22" s="99"/>
      <c r="V22" s="99"/>
      <c r="W22" s="99"/>
      <c r="X22" s="99"/>
      <c r="Y22" s="99"/>
      <c r="Z22" s="99"/>
      <c r="AA22" s="99"/>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19"/>
      <c r="BL22" s="219"/>
    </row>
    <row r="23" spans="1:64" ht="12.75" hidden="1" customHeight="1" outlineLevel="1">
      <c r="A23" s="9"/>
      <c r="B23" s="9"/>
      <c r="C23" s="44"/>
      <c r="D23" s="128" t="str">
        <f>Asset17</f>
        <v>System IT (tx)</v>
      </c>
      <c r="E23" s="9"/>
      <c r="F23" s="9"/>
      <c r="G23" s="191">
        <f>'Actual RAB roll forward'!G454</f>
        <v>0</v>
      </c>
      <c r="H23" s="109">
        <f t="shared" si="2"/>
        <v>0</v>
      </c>
      <c r="I23" s="109">
        <f t="shared" si="3"/>
        <v>3.7335598667508916</v>
      </c>
      <c r="J23" s="109">
        <f t="shared" si="3"/>
        <v>11.758616658239434</v>
      </c>
      <c r="K23" s="109">
        <f t="shared" si="3"/>
        <v>19.929499222871531</v>
      </c>
      <c r="L23" s="109">
        <f t="shared" si="3"/>
        <v>22.378758705518518</v>
      </c>
      <c r="M23" s="109">
        <f>IF(Input!M$173&gt;0, L23+L55+L87, 0)</f>
        <v>0</v>
      </c>
      <c r="N23" s="109">
        <f>IF(Input!N$173&gt;0, M23+M55+M87, 0)</f>
        <v>0</v>
      </c>
      <c r="O23" s="109">
        <f>IF(Input!O$173&gt;0, N23+N55+N87, 0)</f>
        <v>0</v>
      </c>
      <c r="P23" s="109">
        <f>IF(Input!P$173&gt;0, O23+O55+O87, 0)</f>
        <v>0</v>
      </c>
      <c r="Q23" s="109">
        <f>IF(Input!Q$173&gt;0, P23+P55+P87, 0)</f>
        <v>0</v>
      </c>
      <c r="R23" s="109"/>
      <c r="S23" s="99"/>
      <c r="T23" s="99"/>
      <c r="U23" s="99"/>
      <c r="V23" s="99"/>
      <c r="W23" s="99"/>
      <c r="X23" s="99"/>
      <c r="Y23" s="99"/>
      <c r="Z23" s="99"/>
      <c r="AA23" s="99"/>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19"/>
      <c r="BL23" s="219"/>
    </row>
    <row r="24" spans="1:64" ht="12.75" hidden="1" customHeight="1" outlineLevel="1">
      <c r="A24" s="9"/>
      <c r="B24" s="9"/>
      <c r="C24" s="44"/>
      <c r="D24" s="128" t="str">
        <f>Asset18</f>
        <v>IT systems</v>
      </c>
      <c r="E24" s="9"/>
      <c r="F24" s="9"/>
      <c r="G24" s="191">
        <f>'Actual RAB roll forward'!G455</f>
        <v>12.911219228158838</v>
      </c>
      <c r="H24" s="109">
        <f t="shared" si="2"/>
        <v>16.684526612409858</v>
      </c>
      <c r="I24" s="109">
        <f t="shared" si="3"/>
        <v>19.61493536996511</v>
      </c>
      <c r="J24" s="109">
        <f t="shared" si="3"/>
        <v>22.102725892480681</v>
      </c>
      <c r="K24" s="109">
        <f t="shared" si="3"/>
        <v>19.902900183374499</v>
      </c>
      <c r="L24" s="109">
        <f t="shared" si="3"/>
        <v>15.688519454760886</v>
      </c>
      <c r="M24" s="109">
        <f>IF(Input!M$173&gt;0, L24+L56+L88, 0)</f>
        <v>0</v>
      </c>
      <c r="N24" s="109">
        <f>IF(Input!N$173&gt;0, M24+M56+M88, 0)</f>
        <v>0</v>
      </c>
      <c r="O24" s="109">
        <f>IF(Input!O$173&gt;0, N24+N56+N88, 0)</f>
        <v>0</v>
      </c>
      <c r="P24" s="109">
        <f>IF(Input!P$173&gt;0, O24+O56+O88, 0)</f>
        <v>0</v>
      </c>
      <c r="Q24" s="109">
        <f>IF(Input!Q$173&gt;0, P24+P56+P88, 0)</f>
        <v>0</v>
      </c>
      <c r="R24" s="109"/>
      <c r="S24" s="99"/>
      <c r="T24" s="99"/>
      <c r="U24" s="99"/>
      <c r="V24" s="99"/>
      <c r="W24" s="99"/>
      <c r="X24" s="99"/>
      <c r="Y24" s="99"/>
      <c r="Z24" s="99"/>
      <c r="AA24" s="99"/>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19"/>
      <c r="BL24" s="219"/>
    </row>
    <row r="25" spans="1:64" ht="12.75" hidden="1" customHeight="1" outlineLevel="1">
      <c r="A25" s="9"/>
      <c r="B25" s="9"/>
      <c r="C25" s="44"/>
      <c r="D25" s="128" t="str">
        <f>Asset19</f>
        <v>Furniture, fittings, plant and equipment</v>
      </c>
      <c r="E25" s="9"/>
      <c r="F25" s="9"/>
      <c r="G25" s="191">
        <f>'Actual RAB roll forward'!G456</f>
        <v>3.0430407121232892</v>
      </c>
      <c r="H25" s="109">
        <f t="shared" si="2"/>
        <v>3.9323702004328678</v>
      </c>
      <c r="I25" s="109">
        <f t="shared" si="3"/>
        <v>4.8030289502783354</v>
      </c>
      <c r="J25" s="109">
        <f t="shared" si="3"/>
        <v>5.559090791413646</v>
      </c>
      <c r="K25" s="109">
        <f t="shared" si="3"/>
        <v>6.2218890149787809</v>
      </c>
      <c r="L25" s="109">
        <f t="shared" si="3"/>
        <v>6.4992585591835468</v>
      </c>
      <c r="M25" s="109">
        <f>IF(Input!M$173&gt;0, L25+L57+L89, 0)</f>
        <v>0</v>
      </c>
      <c r="N25" s="109">
        <f>IF(Input!N$173&gt;0, M25+M57+M89, 0)</f>
        <v>0</v>
      </c>
      <c r="O25" s="109">
        <f>IF(Input!O$173&gt;0, N25+N57+N89, 0)</f>
        <v>0</v>
      </c>
      <c r="P25" s="109">
        <f>IF(Input!P$173&gt;0, O25+O57+O89, 0)</f>
        <v>0</v>
      </c>
      <c r="Q25" s="109">
        <f>IF(Input!Q$173&gt;0, P25+P57+P89, 0)</f>
        <v>0</v>
      </c>
      <c r="R25" s="109"/>
      <c r="S25" s="99"/>
      <c r="T25" s="99"/>
      <c r="U25" s="99"/>
      <c r="V25" s="99"/>
      <c r="W25" s="99"/>
      <c r="X25" s="99"/>
      <c r="Y25" s="99"/>
      <c r="Z25" s="99"/>
      <c r="AA25" s="99"/>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19"/>
      <c r="BL25" s="219"/>
    </row>
    <row r="26" spans="1:64" ht="12.75" hidden="1" customHeight="1" outlineLevel="1">
      <c r="A26" s="9"/>
      <c r="B26" s="9"/>
      <c r="C26" s="44"/>
      <c r="D26" s="128" t="str">
        <f>Asset20</f>
        <v>Motor vehicles</v>
      </c>
      <c r="E26" s="9"/>
      <c r="F26" s="9"/>
      <c r="G26" s="191">
        <f>'Actual RAB roll forward'!G457</f>
        <v>9.9306139183716944</v>
      </c>
      <c r="H26" s="109">
        <f t="shared" si="2"/>
        <v>12.832838577884454</v>
      </c>
      <c r="I26" s="109">
        <f t="shared" si="3"/>
        <v>15.044245886370904</v>
      </c>
      <c r="J26" s="109">
        <f t="shared" si="3"/>
        <v>17.254326401879396</v>
      </c>
      <c r="K26" s="109">
        <f t="shared" si="3"/>
        <v>19.118204242095938</v>
      </c>
      <c r="L26" s="109">
        <f t="shared" si="3"/>
        <v>18.544940434397894</v>
      </c>
      <c r="M26" s="109">
        <f>IF(Input!M$173&gt;0, L26+L58+L90, 0)</f>
        <v>0</v>
      </c>
      <c r="N26" s="109">
        <f>IF(Input!N$173&gt;0, M26+M58+M90, 0)</f>
        <v>0</v>
      </c>
      <c r="O26" s="109">
        <f>IF(Input!O$173&gt;0, N26+N58+N90, 0)</f>
        <v>0</v>
      </c>
      <c r="P26" s="109">
        <f>IF(Input!P$173&gt;0, O26+O58+O90, 0)</f>
        <v>0</v>
      </c>
      <c r="Q26" s="109">
        <f>IF(Input!Q$173&gt;0, P26+P58+P90, 0)</f>
        <v>0</v>
      </c>
      <c r="R26" s="109"/>
      <c r="S26" s="99"/>
      <c r="T26" s="99"/>
      <c r="U26" s="99"/>
      <c r="V26" s="99"/>
      <c r="W26" s="99"/>
      <c r="X26" s="99"/>
      <c r="Y26" s="99"/>
      <c r="Z26" s="99"/>
      <c r="AA26" s="99"/>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19"/>
      <c r="BL26" s="219"/>
    </row>
    <row r="27" spans="1:64" ht="5.25" hidden="1" customHeight="1" outlineLevel="1">
      <c r="A27" s="9"/>
      <c r="B27" s="9"/>
      <c r="C27" s="44"/>
      <c r="D27" s="128" t="str">
        <f>Asset21</f>
        <v>Buildings</v>
      </c>
      <c r="E27" s="9"/>
      <c r="F27" s="9"/>
      <c r="G27" s="191">
        <f>'Actual RAB roll forward'!G458</f>
        <v>13.556619049020277</v>
      </c>
      <c r="H27" s="109">
        <f t="shared" ref="H27:H36" si="4">G27+G59+G91+G123+G155+G187</f>
        <v>17.518544709114643</v>
      </c>
      <c r="I27" s="109">
        <f t="shared" si="3"/>
        <v>26.777777195025433</v>
      </c>
      <c r="J27" s="109">
        <f t="shared" si="3"/>
        <v>32.986657254452609</v>
      </c>
      <c r="K27" s="109">
        <f t="shared" si="3"/>
        <v>36.839208926702675</v>
      </c>
      <c r="L27" s="109">
        <f t="shared" si="3"/>
        <v>39.241689175118466</v>
      </c>
      <c r="M27" s="109">
        <f>IF(Input!M$173&gt;0, L27+L59+L91, 0)</f>
        <v>0</v>
      </c>
      <c r="N27" s="109">
        <f>IF(Input!N$173&gt;0, M27+M59+M91, 0)</f>
        <v>0</v>
      </c>
      <c r="O27" s="109">
        <f>IF(Input!O$173&gt;0, N27+N59+N91, 0)</f>
        <v>0</v>
      </c>
      <c r="P27" s="109">
        <f>IF(Input!P$173&gt;0, O27+O59+O91, 0)</f>
        <v>0</v>
      </c>
      <c r="Q27" s="109">
        <f>IF(Input!Q$173&gt;0, P27+P59+P91, 0)</f>
        <v>0</v>
      </c>
      <c r="R27" s="109"/>
      <c r="S27" s="99"/>
      <c r="T27" s="99"/>
      <c r="U27" s="99"/>
      <c r="V27" s="99"/>
      <c r="W27" s="99"/>
      <c r="X27" s="99"/>
      <c r="Y27" s="99"/>
      <c r="Z27" s="99"/>
      <c r="AA27" s="99"/>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19"/>
      <c r="BL27" s="219"/>
    </row>
    <row r="28" spans="1:64" ht="5.25" hidden="1" customHeight="1" outlineLevel="1">
      <c r="A28" s="9"/>
      <c r="B28" s="9"/>
      <c r="C28" s="44"/>
      <c r="D28" s="128" t="str">
        <f>Asset22</f>
        <v>Land (non-system)</v>
      </c>
      <c r="E28" s="9"/>
      <c r="F28" s="9"/>
      <c r="G28" s="191">
        <f>'Actual RAB roll forward'!G459</f>
        <v>5.1286823682198373</v>
      </c>
      <c r="H28" s="109">
        <f t="shared" si="4"/>
        <v>6.6275412063747812</v>
      </c>
      <c r="I28" s="109">
        <f t="shared" si="3"/>
        <v>9.5773602385844807</v>
      </c>
      <c r="J28" s="109">
        <f t="shared" si="3"/>
        <v>10.814724124621883</v>
      </c>
      <c r="K28" s="109">
        <f t="shared" si="3"/>
        <v>12.165061618264618</v>
      </c>
      <c r="L28" s="109">
        <f t="shared" si="3"/>
        <v>12.453991583454998</v>
      </c>
      <c r="M28" s="109">
        <f>IF(Input!M$173&gt;0, L28+L60+L92, 0)</f>
        <v>0</v>
      </c>
      <c r="N28" s="109">
        <f>IF(Input!N$173&gt;0, M28+M60+M92, 0)</f>
        <v>0</v>
      </c>
      <c r="O28" s="109">
        <f>IF(Input!O$173&gt;0, N28+N60+N92, 0)</f>
        <v>0</v>
      </c>
      <c r="P28" s="109">
        <f>IF(Input!P$173&gt;0, O28+O60+O92, 0)</f>
        <v>0</v>
      </c>
      <c r="Q28" s="109">
        <f>IF(Input!Q$173&gt;0, P28+P60+P92, 0)</f>
        <v>0</v>
      </c>
      <c r="R28" s="109"/>
      <c r="S28" s="99"/>
      <c r="T28" s="99"/>
      <c r="U28" s="99"/>
      <c r="V28" s="99"/>
      <c r="W28" s="99"/>
      <c r="X28" s="99"/>
      <c r="Y28" s="99"/>
      <c r="Z28" s="99"/>
      <c r="AA28" s="99"/>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19"/>
      <c r="BL28" s="219"/>
    </row>
    <row r="29" spans="1:64" ht="5.25" hidden="1" customHeight="1" outlineLevel="1">
      <c r="A29" s="9"/>
      <c r="B29" s="9"/>
      <c r="C29" s="44"/>
      <c r="D29" s="128" t="str">
        <f>Asset23</f>
        <v>Other non system assets</v>
      </c>
      <c r="E29" s="9"/>
      <c r="F29" s="9"/>
      <c r="G29" s="191">
        <f>'Actual RAB roll forward'!G460</f>
        <v>11.717872165013027</v>
      </c>
      <c r="H29" s="109">
        <f t="shared" si="4"/>
        <v>15.142423540573422</v>
      </c>
      <c r="I29" s="109">
        <f t="shared" si="3"/>
        <v>14.289086510173304</v>
      </c>
      <c r="J29" s="109">
        <f t="shared" si="3"/>
        <v>13.444384367462479</v>
      </c>
      <c r="K29" s="109">
        <f t="shared" si="3"/>
        <v>12.45364989803012</v>
      </c>
      <c r="L29" s="109">
        <f t="shared" si="3"/>
        <v>11.37652790533234</v>
      </c>
      <c r="M29" s="109">
        <f>IF(Input!M$173&gt;0, L29+L61+L93, 0)</f>
        <v>0</v>
      </c>
      <c r="N29" s="109">
        <f>IF(Input!N$173&gt;0, M29+M61+M93, 0)</f>
        <v>0</v>
      </c>
      <c r="O29" s="109">
        <f>IF(Input!O$173&gt;0, N29+N61+N93, 0)</f>
        <v>0</v>
      </c>
      <c r="P29" s="109">
        <f>IF(Input!P$173&gt;0, O29+O61+O93, 0)</f>
        <v>0</v>
      </c>
      <c r="Q29" s="109">
        <f>IF(Input!Q$173&gt;0, P29+P61+P93, 0)</f>
        <v>0</v>
      </c>
      <c r="R29" s="109"/>
      <c r="S29" s="99"/>
      <c r="T29" s="99"/>
      <c r="U29" s="99"/>
      <c r="V29" s="99"/>
      <c r="W29" s="99"/>
      <c r="X29" s="99"/>
      <c r="Y29" s="99"/>
      <c r="Z29" s="99"/>
      <c r="AA29" s="99"/>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19"/>
      <c r="BL29" s="219"/>
    </row>
    <row r="30" spans="1:64" ht="5.25" hidden="1" customHeight="1" outlineLevel="1">
      <c r="A30" s="9"/>
      <c r="B30" s="9"/>
      <c r="C30" s="44"/>
      <c r="D30" s="128" t="str">
        <f>Asset24</f>
        <v>Equity raising costs</v>
      </c>
      <c r="E30" s="9"/>
      <c r="F30" s="9"/>
      <c r="G30" s="191">
        <f>'Actual RAB roll forward'!G461</f>
        <v>0</v>
      </c>
      <c r="H30" s="109">
        <f t="shared" si="4"/>
        <v>0</v>
      </c>
      <c r="I30" s="109">
        <f t="shared" si="3"/>
        <v>6.5958312322788384</v>
      </c>
      <c r="J30" s="109">
        <f t="shared" si="3"/>
        <v>6.6673197884716187</v>
      </c>
      <c r="K30" s="109">
        <f t="shared" si="3"/>
        <v>6.6225235445455839</v>
      </c>
      <c r="L30" s="109">
        <f t="shared" si="3"/>
        <v>6.6324386120835648</v>
      </c>
      <c r="M30" s="109">
        <f>IF(Input!M$173&gt;0, L30+L62+L94, 0)</f>
        <v>0</v>
      </c>
      <c r="N30" s="109">
        <f>IF(Input!N$173&gt;0, M30+M62+M94, 0)</f>
        <v>0</v>
      </c>
      <c r="O30" s="109">
        <f>IF(Input!O$173&gt;0, N30+N62+N94, 0)</f>
        <v>0</v>
      </c>
      <c r="P30" s="109">
        <f>IF(Input!P$173&gt;0, O30+O62+O94, 0)</f>
        <v>0</v>
      </c>
      <c r="Q30" s="109">
        <f>IF(Input!Q$173&gt;0, P30+P62+P94, 0)</f>
        <v>0</v>
      </c>
      <c r="R30" s="109"/>
      <c r="S30" s="99"/>
      <c r="T30" s="99"/>
      <c r="U30" s="99"/>
      <c r="V30" s="99"/>
      <c r="W30" s="99"/>
      <c r="X30" s="99"/>
      <c r="Y30" s="99"/>
      <c r="Z30" s="99"/>
      <c r="AA30" s="99"/>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19"/>
      <c r="BL30" s="219"/>
    </row>
    <row r="31" spans="1:64" ht="5.25" hidden="1" customHeight="1" outlineLevel="1">
      <c r="A31" s="9"/>
      <c r="B31" s="9"/>
      <c r="C31" s="44"/>
      <c r="D31" s="128">
        <f>Asset25</f>
        <v>0</v>
      </c>
      <c r="E31" s="9"/>
      <c r="F31" s="9"/>
      <c r="G31" s="191">
        <f>'Actual RAB roll forward'!G462</f>
        <v>0</v>
      </c>
      <c r="H31" s="109">
        <f t="shared" si="4"/>
        <v>0</v>
      </c>
      <c r="I31" s="109">
        <f t="shared" si="3"/>
        <v>0</v>
      </c>
      <c r="J31" s="109">
        <f t="shared" si="3"/>
        <v>0</v>
      </c>
      <c r="K31" s="109">
        <f t="shared" si="3"/>
        <v>0</v>
      </c>
      <c r="L31" s="109">
        <f t="shared" si="3"/>
        <v>0</v>
      </c>
      <c r="M31" s="109">
        <f>IF(Input!M$173&gt;0, L31+L63+L95, 0)</f>
        <v>0</v>
      </c>
      <c r="N31" s="109">
        <f>IF(Input!N$173&gt;0, M31+M63+M95, 0)</f>
        <v>0</v>
      </c>
      <c r="O31" s="109">
        <f>IF(Input!O$173&gt;0, N31+N63+N95, 0)</f>
        <v>0</v>
      </c>
      <c r="P31" s="109">
        <f>IF(Input!P$173&gt;0, O31+O63+O95, 0)</f>
        <v>0</v>
      </c>
      <c r="Q31" s="109">
        <f>IF(Input!Q$173&gt;0, P31+P63+P95, 0)</f>
        <v>0</v>
      </c>
      <c r="R31" s="109"/>
      <c r="S31" s="99"/>
      <c r="T31" s="99"/>
      <c r="U31" s="99"/>
      <c r="V31" s="99"/>
      <c r="W31" s="99"/>
      <c r="X31" s="99"/>
      <c r="Y31" s="99"/>
      <c r="Z31" s="99"/>
      <c r="AA31" s="99"/>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19"/>
      <c r="BL31" s="219"/>
    </row>
    <row r="32" spans="1:64" ht="5.25" hidden="1" customHeight="1" outlineLevel="1">
      <c r="A32" s="9"/>
      <c r="B32" s="9"/>
      <c r="C32" s="44"/>
      <c r="D32" s="128">
        <f>Asset26</f>
        <v>0</v>
      </c>
      <c r="E32" s="9"/>
      <c r="F32" s="9"/>
      <c r="G32" s="191">
        <f>'Actual RAB roll forward'!G463</f>
        <v>0</v>
      </c>
      <c r="H32" s="109">
        <f t="shared" si="4"/>
        <v>0</v>
      </c>
      <c r="I32" s="109">
        <f t="shared" si="3"/>
        <v>0</v>
      </c>
      <c r="J32" s="109">
        <f t="shared" si="3"/>
        <v>0</v>
      </c>
      <c r="K32" s="109">
        <f t="shared" si="3"/>
        <v>0</v>
      </c>
      <c r="L32" s="109">
        <f t="shared" si="3"/>
        <v>0</v>
      </c>
      <c r="M32" s="109">
        <f>IF(Input!M$173&gt;0, L32+L64+L96, 0)</f>
        <v>0</v>
      </c>
      <c r="N32" s="109">
        <f>IF(Input!N$173&gt;0, M32+M64+M96, 0)</f>
        <v>0</v>
      </c>
      <c r="O32" s="109">
        <f>IF(Input!O$173&gt;0, N32+N64+N96, 0)</f>
        <v>0</v>
      </c>
      <c r="P32" s="109">
        <f>IF(Input!P$173&gt;0, O32+O64+O96, 0)</f>
        <v>0</v>
      </c>
      <c r="Q32" s="109">
        <f>IF(Input!Q$173&gt;0, P32+P64+P96, 0)</f>
        <v>0</v>
      </c>
      <c r="R32" s="109"/>
      <c r="S32" s="99"/>
      <c r="T32" s="99"/>
      <c r="U32" s="99"/>
      <c r="V32" s="99"/>
      <c r="W32" s="99"/>
      <c r="X32" s="99"/>
      <c r="Y32" s="99"/>
      <c r="Z32" s="99"/>
      <c r="AA32" s="99"/>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19"/>
      <c r="BL32" s="219"/>
    </row>
    <row r="33" spans="1:64" ht="5.25" hidden="1" customHeight="1" outlineLevel="1">
      <c r="A33" s="9"/>
      <c r="B33" s="9"/>
      <c r="C33" s="44"/>
      <c r="D33" s="128">
        <f>Asset27</f>
        <v>0</v>
      </c>
      <c r="E33" s="9"/>
      <c r="F33" s="9"/>
      <c r="G33" s="191">
        <f>'Actual RAB roll forward'!G464</f>
        <v>0</v>
      </c>
      <c r="H33" s="109">
        <f t="shared" si="4"/>
        <v>0</v>
      </c>
      <c r="I33" s="109">
        <f t="shared" si="3"/>
        <v>0</v>
      </c>
      <c r="J33" s="109">
        <f t="shared" si="3"/>
        <v>0</v>
      </c>
      <c r="K33" s="109">
        <f t="shared" si="3"/>
        <v>0</v>
      </c>
      <c r="L33" s="109">
        <f t="shared" si="3"/>
        <v>0</v>
      </c>
      <c r="M33" s="109">
        <f>IF(Input!M$173&gt;0, L33+L65+L97, 0)</f>
        <v>0</v>
      </c>
      <c r="N33" s="109">
        <f>IF(Input!N$173&gt;0, M33+M65+M97, 0)</f>
        <v>0</v>
      </c>
      <c r="O33" s="109">
        <f>IF(Input!O$173&gt;0, N33+N65+N97, 0)</f>
        <v>0</v>
      </c>
      <c r="P33" s="109">
        <f>IF(Input!P$173&gt;0, O33+O65+O97, 0)</f>
        <v>0</v>
      </c>
      <c r="Q33" s="109">
        <f>IF(Input!Q$173&gt;0, P33+P65+P97, 0)</f>
        <v>0</v>
      </c>
      <c r="R33" s="109"/>
      <c r="S33" s="99"/>
      <c r="T33" s="99"/>
      <c r="U33" s="99"/>
      <c r="V33" s="99"/>
      <c r="W33" s="99"/>
      <c r="X33" s="99"/>
      <c r="Y33" s="99"/>
      <c r="Z33" s="99"/>
      <c r="AA33" s="99"/>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19"/>
      <c r="BL33" s="219"/>
    </row>
    <row r="34" spans="1:64" ht="5.25" hidden="1" customHeight="1" outlineLevel="1">
      <c r="A34" s="9"/>
      <c r="B34" s="9"/>
      <c r="C34" s="44"/>
      <c r="D34" s="128">
        <f>Asset28</f>
        <v>0</v>
      </c>
      <c r="E34" s="9"/>
      <c r="F34" s="9"/>
      <c r="G34" s="191">
        <f>'Actual RAB roll forward'!G465</f>
        <v>0</v>
      </c>
      <c r="H34" s="109">
        <f t="shared" si="4"/>
        <v>0</v>
      </c>
      <c r="I34" s="109">
        <f t="shared" si="3"/>
        <v>0</v>
      </c>
      <c r="J34" s="109">
        <f t="shared" si="3"/>
        <v>0</v>
      </c>
      <c r="K34" s="109">
        <f t="shared" si="3"/>
        <v>0</v>
      </c>
      <c r="L34" s="109">
        <f t="shared" si="3"/>
        <v>0</v>
      </c>
      <c r="M34" s="109">
        <f>IF(Input!M$173&gt;0, L34+L66+L98, 0)</f>
        <v>0</v>
      </c>
      <c r="N34" s="109">
        <f>IF(Input!N$173&gt;0, M34+M66+M98, 0)</f>
        <v>0</v>
      </c>
      <c r="O34" s="109">
        <f>IF(Input!O$173&gt;0, N34+N66+N98, 0)</f>
        <v>0</v>
      </c>
      <c r="P34" s="109">
        <f>IF(Input!P$173&gt;0, O34+O66+O98, 0)</f>
        <v>0</v>
      </c>
      <c r="Q34" s="109">
        <f>IF(Input!Q$173&gt;0, P34+P66+P98, 0)</f>
        <v>0</v>
      </c>
      <c r="R34" s="109"/>
      <c r="S34" s="99"/>
      <c r="T34" s="99"/>
      <c r="U34" s="99"/>
      <c r="V34" s="99"/>
      <c r="W34" s="99"/>
      <c r="X34" s="99"/>
      <c r="Y34" s="99"/>
      <c r="Z34" s="99"/>
      <c r="AA34" s="99"/>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19"/>
      <c r="BL34" s="219"/>
    </row>
    <row r="35" spans="1:64" ht="5.25" hidden="1" customHeight="1" outlineLevel="1">
      <c r="A35" s="9"/>
      <c r="B35" s="9"/>
      <c r="C35" s="44"/>
      <c r="D35" s="128">
        <f>Asset29</f>
        <v>0</v>
      </c>
      <c r="E35" s="9"/>
      <c r="F35" s="9"/>
      <c r="G35" s="191">
        <f>'Actual RAB roll forward'!G466</f>
        <v>0</v>
      </c>
      <c r="H35" s="109">
        <f t="shared" si="4"/>
        <v>0</v>
      </c>
      <c r="I35" s="109">
        <f t="shared" ref="I35:L36" si="5">H35+H67+H99</f>
        <v>0</v>
      </c>
      <c r="J35" s="109">
        <f t="shared" si="5"/>
        <v>0</v>
      </c>
      <c r="K35" s="109">
        <f t="shared" si="5"/>
        <v>0</v>
      </c>
      <c r="L35" s="109">
        <f t="shared" si="5"/>
        <v>0</v>
      </c>
      <c r="M35" s="109">
        <f>IF(Input!M$173&gt;0, L35+L67+L99, 0)</f>
        <v>0</v>
      </c>
      <c r="N35" s="109">
        <f>IF(Input!N$173&gt;0, M35+M67+M99, 0)</f>
        <v>0</v>
      </c>
      <c r="O35" s="109">
        <f>IF(Input!O$173&gt;0, N35+N67+N99, 0)</f>
        <v>0</v>
      </c>
      <c r="P35" s="109">
        <f>IF(Input!P$173&gt;0, O35+O67+O99, 0)</f>
        <v>0</v>
      </c>
      <c r="Q35" s="109">
        <f>IF(Input!Q$173&gt;0, P35+P67+P99, 0)</f>
        <v>0</v>
      </c>
      <c r="R35" s="109"/>
      <c r="S35" s="99"/>
      <c r="T35" s="99"/>
      <c r="U35" s="99"/>
      <c r="V35" s="99"/>
      <c r="W35" s="99"/>
      <c r="X35" s="99"/>
      <c r="Y35" s="99"/>
      <c r="Z35" s="99"/>
      <c r="AA35" s="99"/>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19"/>
      <c r="BL35" s="219"/>
    </row>
    <row r="36" spans="1:64" ht="5.25" hidden="1" customHeight="1" outlineLevel="1">
      <c r="A36" s="9"/>
      <c r="B36" s="9"/>
      <c r="C36" s="44"/>
      <c r="D36" s="128">
        <f>Asset30</f>
        <v>0</v>
      </c>
      <c r="E36" s="9"/>
      <c r="F36" s="9"/>
      <c r="G36" s="191">
        <f>'Actual RAB roll forward'!G467</f>
        <v>0</v>
      </c>
      <c r="H36" s="109">
        <f t="shared" si="4"/>
        <v>0</v>
      </c>
      <c r="I36" s="109">
        <f t="shared" si="5"/>
        <v>0</v>
      </c>
      <c r="J36" s="109">
        <f t="shared" si="5"/>
        <v>0</v>
      </c>
      <c r="K36" s="109">
        <f t="shared" si="5"/>
        <v>0</v>
      </c>
      <c r="L36" s="109">
        <f t="shared" si="5"/>
        <v>0</v>
      </c>
      <c r="M36" s="109">
        <f>IF(Input!M$173&gt;0, L36+L68+L100, 0)</f>
        <v>0</v>
      </c>
      <c r="N36" s="109">
        <f>IF(Input!N$173&gt;0, M36+M68+M100, 0)</f>
        <v>0</v>
      </c>
      <c r="O36" s="109">
        <f>IF(Input!O$173&gt;0, N36+N68+N100, 0)</f>
        <v>0</v>
      </c>
      <c r="P36" s="109">
        <f>IF(Input!P$173&gt;0, O36+O68+O100, 0)</f>
        <v>0</v>
      </c>
      <c r="Q36" s="109">
        <f>IF(Input!Q$173&gt;0, P36+P68+P100, 0)</f>
        <v>0</v>
      </c>
      <c r="R36" s="109"/>
      <c r="S36" s="99"/>
      <c r="T36" s="99"/>
      <c r="U36" s="99"/>
      <c r="V36" s="99"/>
      <c r="W36" s="99"/>
      <c r="X36" s="99"/>
      <c r="Y36" s="99"/>
      <c r="Z36" s="99"/>
      <c r="AA36" s="99"/>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19"/>
      <c r="BL36" s="219"/>
    </row>
    <row r="37" spans="1:64" collapsed="1">
      <c r="A37" s="9"/>
      <c r="B37" s="9"/>
      <c r="C37" s="44"/>
      <c r="D37" s="112"/>
      <c r="E37" s="9"/>
      <c r="F37" s="9"/>
      <c r="G37" s="202"/>
      <c r="H37" s="36"/>
      <c r="I37" s="36"/>
      <c r="J37" s="36"/>
      <c r="K37" s="36"/>
      <c r="L37" s="36"/>
      <c r="M37" s="36"/>
      <c r="N37" s="99"/>
      <c r="O37" s="28"/>
      <c r="P37" s="28"/>
      <c r="Q37" s="28"/>
      <c r="R37" s="28"/>
      <c r="S37" s="99"/>
      <c r="T37" s="99"/>
      <c r="U37" s="99"/>
      <c r="V37" s="99"/>
      <c r="W37" s="99"/>
      <c r="X37" s="99"/>
      <c r="Y37" s="99"/>
      <c r="Z37" s="99"/>
      <c r="AA37" s="99"/>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19"/>
      <c r="BL37" s="219"/>
    </row>
    <row r="38" spans="1:64">
      <c r="A38" s="9"/>
      <c r="B38" s="9"/>
      <c r="C38" s="44" t="s">
        <v>36</v>
      </c>
      <c r="D38" s="9"/>
      <c r="E38" s="9"/>
      <c r="F38" s="9"/>
      <c r="G38" s="192">
        <f>SUM(G39:G68)</f>
        <v>167.51856958615218</v>
      </c>
      <c r="H38" s="36">
        <f>SUM(H39:H68)</f>
        <v>235.45842339818867</v>
      </c>
      <c r="I38" s="36">
        <f t="shared" ref="I38:Q38" si="6">SUM(I39:I68)</f>
        <v>276.14025449076161</v>
      </c>
      <c r="J38" s="36">
        <f t="shared" si="6"/>
        <v>340.31838019734585</v>
      </c>
      <c r="K38" s="36">
        <f t="shared" si="6"/>
        <v>211.94624032765554</v>
      </c>
      <c r="L38" s="36">
        <f>SUM(L39:L68)</f>
        <v>149.95826966700233</v>
      </c>
      <c r="M38" s="36">
        <f t="shared" si="6"/>
        <v>0</v>
      </c>
      <c r="N38" s="36">
        <f t="shared" si="6"/>
        <v>0</v>
      </c>
      <c r="O38" s="36">
        <f t="shared" si="6"/>
        <v>0</v>
      </c>
      <c r="P38" s="36">
        <f t="shared" si="6"/>
        <v>0</v>
      </c>
      <c r="Q38" s="36">
        <f t="shared" si="6"/>
        <v>0</v>
      </c>
      <c r="R38" s="28"/>
      <c r="S38" s="99"/>
      <c r="T38" s="99"/>
      <c r="U38" s="99"/>
      <c r="V38" s="99"/>
      <c r="W38" s="99"/>
      <c r="X38" s="99"/>
      <c r="Y38" s="99"/>
      <c r="Z38" s="99"/>
      <c r="AA38" s="99"/>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19"/>
      <c r="BL38" s="219"/>
    </row>
    <row r="39" spans="1:64" ht="12.75" hidden="1" customHeight="1" outlineLevel="1">
      <c r="A39" s="9"/>
      <c r="B39" s="9"/>
      <c r="C39" s="44"/>
      <c r="D39" s="128" t="str">
        <f>Asset1</f>
        <v>Transmission &amp; Zone land &amp; easements</v>
      </c>
      <c r="E39" s="9"/>
      <c r="F39" s="9"/>
      <c r="G39" s="191">
        <f>'Actual RAB roll forward'!G470</f>
        <v>52.005735832400816</v>
      </c>
      <c r="H39" s="109">
        <f>'Actual RAB roll forward'!H470</f>
        <v>0</v>
      </c>
      <c r="I39" s="109">
        <f>'Actual RAB roll forward'!I470</f>
        <v>14.581894311836512</v>
      </c>
      <c r="J39" s="109">
        <f>'Actual RAB roll forward'!J470</f>
        <v>2.8875506369343902</v>
      </c>
      <c r="K39" s="109">
        <f>'Actual RAB roll forward'!K470</f>
        <v>1.9026748807672396</v>
      </c>
      <c r="L39" s="109">
        <f>'Actual RAB roll forward'!L470</f>
        <v>1.4758561316882342</v>
      </c>
      <c r="M39" s="109">
        <f>'Actual RAB roll forward'!M470</f>
        <v>0</v>
      </c>
      <c r="N39" s="109">
        <f>'Actual RAB roll forward'!N470</f>
        <v>0</v>
      </c>
      <c r="O39" s="109">
        <f>'Actual RAB roll forward'!O470</f>
        <v>0</v>
      </c>
      <c r="P39" s="109">
        <f>'Actual RAB roll forward'!P470</f>
        <v>0</v>
      </c>
      <c r="Q39" s="109">
        <f>'Actual RAB roll forward'!Q470</f>
        <v>0</v>
      </c>
      <c r="R39" s="28"/>
      <c r="S39" s="99"/>
      <c r="T39" s="99"/>
      <c r="U39" s="99"/>
      <c r="V39" s="99"/>
      <c r="W39" s="99"/>
      <c r="X39" s="99"/>
      <c r="Y39" s="99"/>
      <c r="Z39" s="99"/>
      <c r="AA39" s="99"/>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19"/>
      <c r="BL39" s="219"/>
    </row>
    <row r="40" spans="1:64" ht="12.75" hidden="1" customHeight="1" outlineLevel="1">
      <c r="A40" s="9"/>
      <c r="B40" s="9"/>
      <c r="C40" s="44"/>
      <c r="D40" s="128" t="str">
        <f>Asset2</f>
        <v>Transmission buildings 132/66kV</v>
      </c>
      <c r="E40" s="9"/>
      <c r="F40" s="9"/>
      <c r="G40" s="191">
        <f>'Actual RAB roll forward'!G471</f>
        <v>14.828944755423525</v>
      </c>
      <c r="H40" s="109">
        <f>'Actual RAB roll forward'!H471</f>
        <v>19.466626830897496</v>
      </c>
      <c r="I40" s="109">
        <f>'Actual RAB roll forward'!I471</f>
        <v>4.7532722006925594</v>
      </c>
      <c r="J40" s="109">
        <f>'Actual RAB roll forward'!J471</f>
        <v>3.1775998406872499</v>
      </c>
      <c r="K40" s="109">
        <f>'Actual RAB roll forward'!K471</f>
        <v>6.5434710587753289</v>
      </c>
      <c r="L40" s="109">
        <f>'Actual RAB roll forward'!L471</f>
        <v>5.0302731008481372</v>
      </c>
      <c r="M40" s="109">
        <f>'Actual RAB roll forward'!M471</f>
        <v>0</v>
      </c>
      <c r="N40" s="109">
        <f>'Actual RAB roll forward'!N471</f>
        <v>0</v>
      </c>
      <c r="O40" s="109">
        <f>'Actual RAB roll forward'!O471</f>
        <v>0</v>
      </c>
      <c r="P40" s="109">
        <f>'Actual RAB roll forward'!P471</f>
        <v>0</v>
      </c>
      <c r="Q40" s="109">
        <f>'Actual RAB roll forward'!Q471</f>
        <v>0</v>
      </c>
      <c r="R40" s="28"/>
      <c r="S40" s="99"/>
      <c r="T40" s="99"/>
      <c r="U40" s="99"/>
      <c r="V40" s="99"/>
      <c r="W40" s="99"/>
      <c r="X40" s="99"/>
      <c r="Y40" s="99"/>
      <c r="Z40" s="99"/>
      <c r="AA40" s="99"/>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19"/>
      <c r="BL40" s="219"/>
    </row>
    <row r="41" spans="1:64" ht="12.75" hidden="1" customHeight="1" outlineLevel="1">
      <c r="A41" s="9"/>
      <c r="B41" s="9"/>
      <c r="C41" s="44"/>
      <c r="D41" s="128" t="str">
        <f>Asset3</f>
        <v>Zone buildings 132/66kV</v>
      </c>
      <c r="E41" s="9"/>
      <c r="F41" s="9"/>
      <c r="G41" s="191">
        <f>'Actual RAB roll forward'!G472</f>
        <v>0</v>
      </c>
      <c r="H41" s="109">
        <f>'Actual RAB roll forward'!H472</f>
        <v>0.41904595147273382</v>
      </c>
      <c r="I41" s="109">
        <f>'Actual RAB roll forward'!I472</f>
        <v>6.8421964364572672</v>
      </c>
      <c r="J41" s="109">
        <f>'Actual RAB roll forward'!J472</f>
        <v>4.9935747741995424</v>
      </c>
      <c r="K41" s="109">
        <f>'Actual RAB roll forward'!K472</f>
        <v>34.649276827752885</v>
      </c>
      <c r="L41" s="109">
        <f>'Actual RAB roll forward'!L472</f>
        <v>27.20500054652878</v>
      </c>
      <c r="M41" s="109">
        <f>'Actual RAB roll forward'!M472</f>
        <v>0</v>
      </c>
      <c r="N41" s="109">
        <f>'Actual RAB roll forward'!N472</f>
        <v>0</v>
      </c>
      <c r="O41" s="109">
        <f>'Actual RAB roll forward'!O472</f>
        <v>0</v>
      </c>
      <c r="P41" s="109">
        <f>'Actual RAB roll forward'!P472</f>
        <v>0</v>
      </c>
      <c r="Q41" s="109">
        <f>'Actual RAB roll forward'!Q472</f>
        <v>0</v>
      </c>
      <c r="R41" s="28"/>
      <c r="S41" s="99"/>
      <c r="T41" s="99"/>
      <c r="U41" s="99"/>
      <c r="V41" s="99"/>
      <c r="W41" s="99"/>
      <c r="X41" s="99"/>
      <c r="Y41" s="99"/>
      <c r="Z41" s="99"/>
      <c r="AA41" s="99"/>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19"/>
      <c r="BL41" s="219"/>
    </row>
    <row r="42" spans="1:64" ht="12.75" hidden="1" customHeight="1" outlineLevel="1">
      <c r="A42" s="9"/>
      <c r="B42" s="9"/>
      <c r="C42" s="44"/>
      <c r="D42" s="128" t="str">
        <f>Asset4</f>
        <v>Transmission transformers 132/66kV</v>
      </c>
      <c r="E42" s="9"/>
      <c r="F42" s="9"/>
      <c r="G42" s="191">
        <f>'Actual RAB roll forward'!G473</f>
        <v>2.6107297104618885</v>
      </c>
      <c r="H42" s="109">
        <f>'Actual RAB roll forward'!H473</f>
        <v>3.3750126626253012</v>
      </c>
      <c r="I42" s="109">
        <f>'Actual RAB roll forward'!I473</f>
        <v>1.2131656557035857</v>
      </c>
      <c r="J42" s="109">
        <f>'Actual RAB roll forward'!J473</f>
        <v>2.6927738181072285</v>
      </c>
      <c r="K42" s="109">
        <f>'Actual RAB roll forward'!K473</f>
        <v>6.1727273122276163</v>
      </c>
      <c r="L42" s="109">
        <f>'Actual RAB roll forward'!L473</f>
        <v>5.1805675079984015</v>
      </c>
      <c r="M42" s="109">
        <f>'Actual RAB roll forward'!M473</f>
        <v>0</v>
      </c>
      <c r="N42" s="109">
        <f>'Actual RAB roll forward'!N473</f>
        <v>0</v>
      </c>
      <c r="O42" s="109">
        <f>'Actual RAB roll forward'!O473</f>
        <v>0</v>
      </c>
      <c r="P42" s="109">
        <f>'Actual RAB roll forward'!P473</f>
        <v>0</v>
      </c>
      <c r="Q42" s="109">
        <f>'Actual RAB roll forward'!Q473</f>
        <v>0</v>
      </c>
      <c r="R42" s="28"/>
      <c r="S42" s="99"/>
      <c r="T42" s="99"/>
      <c r="U42" s="99"/>
      <c r="V42" s="99"/>
      <c r="W42" s="99"/>
      <c r="X42" s="99"/>
      <c r="Y42" s="99"/>
      <c r="Z42" s="99"/>
      <c r="AA42" s="99"/>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19"/>
      <c r="BL42" s="219"/>
    </row>
    <row r="43" spans="1:64" ht="12.75" hidden="1" customHeight="1" outlineLevel="1">
      <c r="A43" s="9"/>
      <c r="B43" s="9"/>
      <c r="C43" s="44"/>
      <c r="D43" s="128" t="str">
        <f>Asset5</f>
        <v>Zone transformers 132/66kV</v>
      </c>
      <c r="E43" s="9"/>
      <c r="F43" s="9"/>
      <c r="G43" s="191">
        <f>'Actual RAB roll forward'!G474</f>
        <v>0.41771675367390215</v>
      </c>
      <c r="H43" s="109">
        <f>'Actual RAB roll forward'!H474</f>
        <v>3.140392558570865</v>
      </c>
      <c r="I43" s="109">
        <f>'Actual RAB roll forward'!I474</f>
        <v>3.0586945783176325</v>
      </c>
      <c r="J43" s="109">
        <f>'Actual RAB roll forward'!J474</f>
        <v>3.1246585466530483</v>
      </c>
      <c r="K43" s="109">
        <f>'Actual RAB roll forward'!K474</f>
        <v>0</v>
      </c>
      <c r="L43" s="109">
        <f>'Actual RAB roll forward'!L474</f>
        <v>0</v>
      </c>
      <c r="M43" s="109">
        <f>'Actual RAB roll forward'!M474</f>
        <v>0</v>
      </c>
      <c r="N43" s="109">
        <f>'Actual RAB roll forward'!N474</f>
        <v>0</v>
      </c>
      <c r="O43" s="109">
        <f>'Actual RAB roll forward'!O474</f>
        <v>0</v>
      </c>
      <c r="P43" s="109">
        <f>'Actual RAB roll forward'!P474</f>
        <v>0</v>
      </c>
      <c r="Q43" s="109">
        <f>'Actual RAB roll forward'!Q474</f>
        <v>0</v>
      </c>
      <c r="R43" s="28"/>
      <c r="S43" s="99"/>
      <c r="T43" s="99"/>
      <c r="U43" s="99"/>
      <c r="V43" s="99"/>
      <c r="W43" s="99"/>
      <c r="X43" s="99"/>
      <c r="Y43" s="99"/>
      <c r="Z43" s="99"/>
      <c r="AA43" s="99"/>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19"/>
      <c r="BL43" s="219"/>
    </row>
    <row r="44" spans="1:64" ht="12.75" hidden="1" customHeight="1" outlineLevel="1">
      <c r="A44" s="9"/>
      <c r="B44" s="9"/>
      <c r="C44" s="44"/>
      <c r="D44" s="128" t="str">
        <f>Asset6</f>
        <v>Transmission substation equip 132/66kV</v>
      </c>
      <c r="E44" s="9"/>
      <c r="F44" s="9"/>
      <c r="G44" s="191">
        <f>'Actual RAB roll forward'!G475</f>
        <v>13.784652871238768</v>
      </c>
      <c r="H44" s="109">
        <f>'Actual RAB roll forward'!H475</f>
        <v>26.123627987226122</v>
      </c>
      <c r="I44" s="109">
        <f>'Actual RAB roll forward'!I475</f>
        <v>20.985348635127764</v>
      </c>
      <c r="J44" s="109">
        <f>'Actual RAB roll forward'!J475</f>
        <v>28.361633061115928</v>
      </c>
      <c r="K44" s="109">
        <f>'Actual RAB roll forward'!K475</f>
        <v>19.251828942794141</v>
      </c>
      <c r="L44" s="109">
        <f>'Actual RAB roll forward'!L475</f>
        <v>14.799783846097094</v>
      </c>
      <c r="M44" s="109">
        <f>'Actual RAB roll forward'!M475</f>
        <v>0</v>
      </c>
      <c r="N44" s="109">
        <f>'Actual RAB roll forward'!N475</f>
        <v>0</v>
      </c>
      <c r="O44" s="109">
        <f>'Actual RAB roll forward'!O475</f>
        <v>0</v>
      </c>
      <c r="P44" s="109">
        <f>'Actual RAB roll forward'!P475</f>
        <v>0</v>
      </c>
      <c r="Q44" s="109">
        <f>'Actual RAB roll forward'!Q475</f>
        <v>0</v>
      </c>
      <c r="R44" s="28"/>
      <c r="S44" s="99"/>
      <c r="T44" s="99"/>
      <c r="U44" s="99"/>
      <c r="V44" s="99"/>
      <c r="W44" s="99"/>
      <c r="X44" s="99"/>
      <c r="Y44" s="99"/>
      <c r="Z44" s="99"/>
      <c r="AA44" s="99"/>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19"/>
      <c r="BL44" s="219"/>
    </row>
    <row r="45" spans="1:64" ht="12.75" hidden="1" customHeight="1" outlineLevel="1">
      <c r="A45" s="9"/>
      <c r="B45" s="9"/>
      <c r="C45" s="44"/>
      <c r="D45" s="128" t="str">
        <f>Asset7</f>
        <v>Zone substation equip 132/66kV</v>
      </c>
      <c r="E45" s="9"/>
      <c r="F45" s="9"/>
      <c r="G45" s="191">
        <f>'Actual RAB roll forward'!G476</f>
        <v>7.4144723777117623</v>
      </c>
      <c r="H45" s="109">
        <f>'Actual RAB roll forward'!H476</f>
        <v>37.239203195086496</v>
      </c>
      <c r="I45" s="109">
        <f>'Actual RAB roll forward'!I476</f>
        <v>89.002900557289323</v>
      </c>
      <c r="J45" s="109">
        <f>'Actual RAB roll forward'!J476</f>
        <v>84.735198347100649</v>
      </c>
      <c r="K45" s="109">
        <f>'Actual RAB roll forward'!K476</f>
        <v>34.729670770943784</v>
      </c>
      <c r="L45" s="109">
        <f>'Actual RAB roll forward'!L476</f>
        <v>26.698326791879619</v>
      </c>
      <c r="M45" s="109">
        <f>'Actual RAB roll forward'!M476</f>
        <v>0</v>
      </c>
      <c r="N45" s="109">
        <f>'Actual RAB roll forward'!N476</f>
        <v>0</v>
      </c>
      <c r="O45" s="109">
        <f>'Actual RAB roll forward'!O476</f>
        <v>0</v>
      </c>
      <c r="P45" s="109">
        <f>'Actual RAB roll forward'!P476</f>
        <v>0</v>
      </c>
      <c r="Q45" s="109">
        <f>'Actual RAB roll forward'!Q476</f>
        <v>0</v>
      </c>
      <c r="R45" s="28"/>
      <c r="S45" s="99"/>
      <c r="T45" s="99"/>
      <c r="U45" s="99"/>
      <c r="V45" s="99"/>
      <c r="W45" s="99"/>
      <c r="X45" s="99"/>
      <c r="Y45" s="99"/>
      <c r="Z45" s="99"/>
      <c r="AA45" s="99"/>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19"/>
      <c r="BL45" s="219"/>
    </row>
    <row r="46" spans="1:64" ht="12.75" hidden="1" customHeight="1" outlineLevel="1">
      <c r="A46" s="9"/>
      <c r="B46" s="9"/>
      <c r="C46" s="44"/>
      <c r="D46" s="128" t="str">
        <f>Asset8</f>
        <v>Transmission &amp; Zone emergency spares</v>
      </c>
      <c r="E46" s="9"/>
      <c r="F46" s="9"/>
      <c r="G46" s="191">
        <f>'Actual RAB roll forward'!G477</f>
        <v>0</v>
      </c>
      <c r="H46" s="109">
        <f>'Actual RAB roll forward'!H477</f>
        <v>0</v>
      </c>
      <c r="I46" s="109">
        <f>'Actual RAB roll forward'!I477</f>
        <v>0</v>
      </c>
      <c r="J46" s="109">
        <f>'Actual RAB roll forward'!J477</f>
        <v>0</v>
      </c>
      <c r="K46" s="109">
        <f>'Actual RAB roll forward'!K477</f>
        <v>0</v>
      </c>
      <c r="L46" s="109">
        <f>'Actual RAB roll forward'!L477</f>
        <v>0</v>
      </c>
      <c r="M46" s="109">
        <f>'Actual RAB roll forward'!M477</f>
        <v>0</v>
      </c>
      <c r="N46" s="109">
        <f>'Actual RAB roll forward'!N477</f>
        <v>0</v>
      </c>
      <c r="O46" s="109">
        <f>'Actual RAB roll forward'!O477</f>
        <v>0</v>
      </c>
      <c r="P46" s="109">
        <f>'Actual RAB roll forward'!P477</f>
        <v>0</v>
      </c>
      <c r="Q46" s="109">
        <f>'Actual RAB roll forward'!Q477</f>
        <v>0</v>
      </c>
      <c r="R46" s="28"/>
      <c r="S46" s="99"/>
      <c r="T46" s="99"/>
      <c r="U46" s="99"/>
      <c r="V46" s="99"/>
      <c r="W46" s="99"/>
      <c r="X46" s="99"/>
      <c r="Y46" s="99"/>
      <c r="Z46" s="99"/>
      <c r="AA46" s="99"/>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19"/>
      <c r="BL46" s="219"/>
    </row>
    <row r="47" spans="1:64" ht="12.75" hidden="1" customHeight="1" outlineLevel="1">
      <c r="A47" s="9"/>
      <c r="B47" s="9"/>
      <c r="C47" s="44"/>
      <c r="D47" s="128" t="str">
        <f>Asset9</f>
        <v>Ancillary substation equipment (tx)</v>
      </c>
      <c r="E47" s="9"/>
      <c r="F47" s="9"/>
      <c r="G47" s="191">
        <f>'Actual RAB roll forward'!G478</f>
        <v>0</v>
      </c>
      <c r="H47" s="109">
        <f>'Actual RAB roll forward'!H478</f>
        <v>1.1808068968042551</v>
      </c>
      <c r="I47" s="109">
        <f>'Actual RAB roll forward'!I478</f>
        <v>3.2684869187726657</v>
      </c>
      <c r="J47" s="109">
        <f>'Actual RAB roll forward'!J478</f>
        <v>6.8390540756478106</v>
      </c>
      <c r="K47" s="109">
        <f>'Actual RAB roll forward'!K478</f>
        <v>22.851848922512346</v>
      </c>
      <c r="L47" s="109">
        <f>'Actual RAB roll forward'!L478</f>
        <v>17.567288050491278</v>
      </c>
      <c r="M47" s="109">
        <f>'Actual RAB roll forward'!M478</f>
        <v>0</v>
      </c>
      <c r="N47" s="109">
        <f>'Actual RAB roll forward'!N478</f>
        <v>0</v>
      </c>
      <c r="O47" s="109">
        <f>'Actual RAB roll forward'!O478</f>
        <v>0</v>
      </c>
      <c r="P47" s="109">
        <f>'Actual RAB roll forward'!P478</f>
        <v>0</v>
      </c>
      <c r="Q47" s="109">
        <f>'Actual RAB roll forward'!Q478</f>
        <v>0</v>
      </c>
      <c r="R47" s="28"/>
      <c r="S47" s="99"/>
      <c r="T47" s="99"/>
      <c r="U47" s="99"/>
      <c r="V47" s="99"/>
      <c r="W47" s="99"/>
      <c r="X47" s="99"/>
      <c r="Y47" s="99"/>
      <c r="Z47" s="99"/>
      <c r="AA47" s="99"/>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19"/>
      <c r="BL47" s="219"/>
    </row>
    <row r="48" spans="1:64" ht="12.75" hidden="1" customHeight="1" outlineLevel="1">
      <c r="A48" s="9"/>
      <c r="B48" s="9"/>
      <c r="C48" s="44"/>
      <c r="D48" s="128" t="str">
        <f>Asset10</f>
        <v>132kV tower lines</v>
      </c>
      <c r="E48" s="9"/>
      <c r="F48" s="9"/>
      <c r="G48" s="191">
        <f>'Actual RAB roll forward'!G479</f>
        <v>0</v>
      </c>
      <c r="H48" s="109">
        <f>'Actual RAB roll forward'!H479</f>
        <v>4.3680662047384082</v>
      </c>
      <c r="I48" s="109">
        <f>'Actual RAB roll forward'!I479</f>
        <v>9.1394216504758603</v>
      </c>
      <c r="J48" s="109">
        <f>'Actual RAB roll forward'!J479</f>
        <v>6.135419742909014</v>
      </c>
      <c r="K48" s="109">
        <f>'Actual RAB roll forward'!K479</f>
        <v>-0.84990449301382998</v>
      </c>
      <c r="L48" s="109">
        <f>'Actual RAB roll forward'!L479</f>
        <v>0.39762151419607933</v>
      </c>
      <c r="M48" s="109">
        <f>'Actual RAB roll forward'!M479</f>
        <v>0</v>
      </c>
      <c r="N48" s="109">
        <f>'Actual RAB roll forward'!N479</f>
        <v>0</v>
      </c>
      <c r="O48" s="109">
        <f>'Actual RAB roll forward'!O479</f>
        <v>0</v>
      </c>
      <c r="P48" s="109">
        <f>'Actual RAB roll forward'!P479</f>
        <v>0</v>
      </c>
      <c r="Q48" s="109">
        <f>'Actual RAB roll forward'!Q479</f>
        <v>0</v>
      </c>
      <c r="R48" s="28"/>
      <c r="S48" s="99"/>
      <c r="T48" s="99"/>
      <c r="U48" s="99"/>
      <c r="V48" s="99"/>
      <c r="W48" s="99"/>
      <c r="X48" s="99"/>
      <c r="Y48" s="99"/>
      <c r="Z48" s="99"/>
      <c r="AA48" s="99"/>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19"/>
      <c r="BL48" s="219"/>
    </row>
    <row r="49" spans="1:64" ht="12.75" hidden="1" customHeight="1" outlineLevel="1">
      <c r="A49" s="9"/>
      <c r="B49" s="9"/>
      <c r="C49" s="44"/>
      <c r="D49" s="128" t="str">
        <f>Asset11</f>
        <v>132kV concrete &amp; steel pole lines</v>
      </c>
      <c r="E49" s="9"/>
      <c r="F49" s="9"/>
      <c r="G49" s="191">
        <f>'Actual RAB roll forward'!G480</f>
        <v>0.52214594209237764</v>
      </c>
      <c r="H49" s="109">
        <f>'Actual RAB roll forward'!H480</f>
        <v>14.825445577206798</v>
      </c>
      <c r="I49" s="109">
        <f>'Actual RAB roll forward'!I480</f>
        <v>4.1163987104316924</v>
      </c>
      <c r="J49" s="109">
        <f>'Actual RAB roll forward'!J480</f>
        <v>0.82191110667688783</v>
      </c>
      <c r="K49" s="109">
        <f>'Actual RAB roll forward'!K480</f>
        <v>-2.2009383904034312</v>
      </c>
      <c r="L49" s="109">
        <f>'Actual RAB roll forward'!L480</f>
        <v>-0.25541369629122451</v>
      </c>
      <c r="M49" s="109">
        <f>'Actual RAB roll forward'!M480</f>
        <v>0</v>
      </c>
      <c r="N49" s="109">
        <f>'Actual RAB roll forward'!N480</f>
        <v>0</v>
      </c>
      <c r="O49" s="109">
        <f>'Actual RAB roll forward'!O480</f>
        <v>0</v>
      </c>
      <c r="P49" s="109">
        <f>'Actual RAB roll forward'!P480</f>
        <v>0</v>
      </c>
      <c r="Q49" s="109">
        <f>'Actual RAB roll forward'!Q480</f>
        <v>0</v>
      </c>
      <c r="R49" s="28"/>
      <c r="S49" s="99"/>
      <c r="T49" s="99"/>
      <c r="U49" s="99"/>
      <c r="V49" s="99"/>
      <c r="W49" s="99"/>
      <c r="X49" s="99"/>
      <c r="Y49" s="99"/>
      <c r="Z49" s="99"/>
      <c r="AA49" s="99"/>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19"/>
      <c r="BL49" s="219"/>
    </row>
    <row r="50" spans="1:64" ht="12.75" hidden="1" customHeight="1" outlineLevel="1">
      <c r="A50" s="9"/>
      <c r="B50" s="9"/>
      <c r="C50" s="44"/>
      <c r="D50" s="128" t="str">
        <f>Asset12</f>
        <v>132kV wood pole lines</v>
      </c>
      <c r="E50" s="9"/>
      <c r="F50" s="9"/>
      <c r="G50" s="191">
        <f>'Actual RAB roll forward'!G481</f>
        <v>0.41771675367390215</v>
      </c>
      <c r="H50" s="109">
        <f>'Actual RAB roll forward'!H481</f>
        <v>10.555995220378637</v>
      </c>
      <c r="I50" s="109">
        <f>'Actual RAB roll forward'!I481</f>
        <v>0.4428260115426203</v>
      </c>
      <c r="J50" s="109">
        <f>'Actual RAB roll forward'!J481</f>
        <v>0.36714151168090975</v>
      </c>
      <c r="K50" s="109">
        <f>'Actual RAB roll forward'!K481</f>
        <v>0.61428986285072562</v>
      </c>
      <c r="L50" s="109">
        <f>'Actual RAB roll forward'!L481</f>
        <v>0.472233428629243</v>
      </c>
      <c r="M50" s="109">
        <f>'Actual RAB roll forward'!M481</f>
        <v>0</v>
      </c>
      <c r="N50" s="109">
        <f>'Actual RAB roll forward'!N481</f>
        <v>0</v>
      </c>
      <c r="O50" s="109">
        <f>'Actual RAB roll forward'!O481</f>
        <v>0</v>
      </c>
      <c r="P50" s="109">
        <f>'Actual RAB roll forward'!P481</f>
        <v>0</v>
      </c>
      <c r="Q50" s="109">
        <f>'Actual RAB roll forward'!Q481</f>
        <v>0</v>
      </c>
      <c r="R50" s="28"/>
      <c r="S50" s="99"/>
      <c r="T50" s="99"/>
      <c r="U50" s="99"/>
      <c r="V50" s="99"/>
      <c r="W50" s="99"/>
      <c r="X50" s="99"/>
      <c r="Y50" s="99"/>
      <c r="Z50" s="99"/>
      <c r="AA50" s="99"/>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19"/>
      <c r="BL50" s="219"/>
    </row>
    <row r="51" spans="1:64" ht="12.75" hidden="1" customHeight="1" outlineLevel="1">
      <c r="A51" s="9"/>
      <c r="B51" s="9"/>
      <c r="C51" s="44"/>
      <c r="D51" s="128" t="str">
        <f>Asset13</f>
        <v>132kV feeders underground</v>
      </c>
      <c r="E51" s="9"/>
      <c r="F51" s="9"/>
      <c r="G51" s="191">
        <f>'Actual RAB roll forward'!G482</f>
        <v>51.379160701889965</v>
      </c>
      <c r="H51" s="109">
        <f>'Actual RAB roll forward'!H482</f>
        <v>79.785767335885836</v>
      </c>
      <c r="I51" s="109">
        <f>'Actual RAB roll forward'!I482</f>
        <v>90.835492426445143</v>
      </c>
      <c r="J51" s="109">
        <f>'Actual RAB roll forward'!J482</f>
        <v>169.9205727880904</v>
      </c>
      <c r="K51" s="109">
        <f>'Actual RAB roll forward'!K482</f>
        <v>73.988253420323858</v>
      </c>
      <c r="L51" s="109">
        <f>'Actual RAB roll forward'!L482</f>
        <v>56.878240557030502</v>
      </c>
      <c r="M51" s="109">
        <f>'Actual RAB roll forward'!M482</f>
        <v>0</v>
      </c>
      <c r="N51" s="109">
        <f>'Actual RAB roll forward'!N482</f>
        <v>0</v>
      </c>
      <c r="O51" s="109">
        <f>'Actual RAB roll forward'!O482</f>
        <v>0</v>
      </c>
      <c r="P51" s="109">
        <f>'Actual RAB roll forward'!P482</f>
        <v>0</v>
      </c>
      <c r="Q51" s="109">
        <f>'Actual RAB roll forward'!Q482</f>
        <v>0</v>
      </c>
      <c r="R51" s="28"/>
      <c r="S51" s="99"/>
      <c r="T51" s="99"/>
      <c r="U51" s="99"/>
      <c r="V51" s="99"/>
      <c r="W51" s="99"/>
      <c r="X51" s="99"/>
      <c r="Y51" s="99"/>
      <c r="Z51" s="99"/>
      <c r="AA51" s="99"/>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19"/>
      <c r="BL51" s="219"/>
    </row>
    <row r="52" spans="1:64" ht="12.75" hidden="1" customHeight="1" outlineLevel="1">
      <c r="A52" s="9"/>
      <c r="B52" s="9"/>
      <c r="C52" s="44"/>
      <c r="D52" s="128" t="str">
        <f>Asset14</f>
        <v>Cable tunnel (tx)</v>
      </c>
      <c r="E52" s="9"/>
      <c r="F52" s="9"/>
      <c r="G52" s="191">
        <f>'Actual RAB roll forward'!G483</f>
        <v>0</v>
      </c>
      <c r="H52" s="109">
        <f>'Actual RAB roll forward'!H483</f>
        <v>0</v>
      </c>
      <c r="I52" s="109">
        <f>'Actual RAB roll forward'!I483</f>
        <v>0</v>
      </c>
      <c r="J52" s="109">
        <f>'Actual RAB roll forward'!J483</f>
        <v>0.52927837766992347</v>
      </c>
      <c r="K52" s="109">
        <f>'Actual RAB roll forward'!K483</f>
        <v>0.18067425858449906</v>
      </c>
      <c r="L52" s="109">
        <f>'Actual RAB roll forward'!L483</f>
        <v>0.13889277644996328</v>
      </c>
      <c r="M52" s="109">
        <f>'Actual RAB roll forward'!M483</f>
        <v>0</v>
      </c>
      <c r="N52" s="109">
        <f>'Actual RAB roll forward'!N483</f>
        <v>0</v>
      </c>
      <c r="O52" s="109">
        <f>'Actual RAB roll forward'!O483</f>
        <v>0</v>
      </c>
      <c r="P52" s="109">
        <f>'Actual RAB roll forward'!P483</f>
        <v>0</v>
      </c>
      <c r="Q52" s="109">
        <f>'Actual RAB roll forward'!Q483</f>
        <v>0</v>
      </c>
      <c r="R52" s="28"/>
      <c r="S52" s="99"/>
      <c r="T52" s="99"/>
      <c r="U52" s="99"/>
      <c r="V52" s="99"/>
      <c r="W52" s="99"/>
      <c r="X52" s="99"/>
      <c r="Y52" s="99"/>
      <c r="Z52" s="99"/>
      <c r="AA52" s="99"/>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19"/>
      <c r="BL52" s="219"/>
    </row>
    <row r="53" spans="1:64" ht="12.75" hidden="1" customHeight="1" outlineLevel="1">
      <c r="A53" s="9"/>
      <c r="B53" s="9"/>
      <c r="C53" s="44"/>
      <c r="D53" s="128" t="str">
        <f>Asset15</f>
        <v>Network control &amp; com systems</v>
      </c>
      <c r="E53" s="9"/>
      <c r="F53" s="9"/>
      <c r="G53" s="191">
        <f>'Actual RAB roll forward'!G484</f>
        <v>0.20885837683695108</v>
      </c>
      <c r="H53" s="109">
        <f>'Actual RAB roll forward'!H484</f>
        <v>1.5706895504677505</v>
      </c>
      <c r="I53" s="109">
        <f>'Actual RAB roll forward'!I484</f>
        <v>0</v>
      </c>
      <c r="J53" s="109">
        <f>'Actual RAB roll forward'!J484</f>
        <v>2.5826228848542351E-2</v>
      </c>
      <c r="K53" s="109">
        <f>'Actual RAB roll forward'!K484</f>
        <v>0</v>
      </c>
      <c r="L53" s="109">
        <f>'Actual RAB roll forward'!L484</f>
        <v>0</v>
      </c>
      <c r="M53" s="109">
        <f>'Actual RAB roll forward'!M484</f>
        <v>0</v>
      </c>
      <c r="N53" s="109">
        <f>'Actual RAB roll forward'!N484</f>
        <v>0</v>
      </c>
      <c r="O53" s="109">
        <f>'Actual RAB roll forward'!O484</f>
        <v>0</v>
      </c>
      <c r="P53" s="109">
        <f>'Actual RAB roll forward'!P484</f>
        <v>0</v>
      </c>
      <c r="Q53" s="109">
        <f>'Actual RAB roll forward'!Q484</f>
        <v>0</v>
      </c>
      <c r="R53" s="28"/>
      <c r="S53" s="99"/>
      <c r="T53" s="99"/>
      <c r="U53" s="99"/>
      <c r="V53" s="99"/>
      <c r="W53" s="99"/>
      <c r="X53" s="99"/>
      <c r="Y53" s="99"/>
      <c r="Z53" s="99"/>
      <c r="AA53" s="99"/>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19"/>
      <c r="BL53" s="219"/>
    </row>
    <row r="54" spans="1:64" ht="12.75" hidden="1" customHeight="1" outlineLevel="1">
      <c r="A54" s="9"/>
      <c r="B54" s="9"/>
      <c r="C54" s="44"/>
      <c r="D54" s="128" t="str">
        <f>Asset16</f>
        <v>Communications (digital) - tx</v>
      </c>
      <c r="E54" s="9"/>
      <c r="F54" s="9"/>
      <c r="G54" s="191">
        <f>'Actual RAB roll forward'!G485</f>
        <v>0</v>
      </c>
      <c r="H54" s="109">
        <f>'Actual RAB roll forward'!H485</f>
        <v>0</v>
      </c>
      <c r="I54" s="109">
        <f>'Actual RAB roll forward'!I485</f>
        <v>0.34087493634308763</v>
      </c>
      <c r="J54" s="109">
        <f>'Actual RAB roll forward'!J485</f>
        <v>0.50613138693341642</v>
      </c>
      <c r="K54" s="109">
        <f>'Actual RAB roll forward'!K485</f>
        <v>0.18231589963237305</v>
      </c>
      <c r="L54" s="109">
        <f>'Actual RAB roll forward'!L485</f>
        <v>0.14015478291873099</v>
      </c>
      <c r="M54" s="109">
        <f>'Actual RAB roll forward'!M485</f>
        <v>0</v>
      </c>
      <c r="N54" s="109">
        <f>'Actual RAB roll forward'!N485</f>
        <v>0</v>
      </c>
      <c r="O54" s="109">
        <f>'Actual RAB roll forward'!O485</f>
        <v>0</v>
      </c>
      <c r="P54" s="109">
        <f>'Actual RAB roll forward'!P485</f>
        <v>0</v>
      </c>
      <c r="Q54" s="109">
        <f>'Actual RAB roll forward'!Q485</f>
        <v>0</v>
      </c>
      <c r="R54" s="28"/>
      <c r="S54" s="99"/>
      <c r="T54" s="99"/>
      <c r="U54" s="99"/>
      <c r="V54" s="99"/>
      <c r="W54" s="99"/>
      <c r="X54" s="99"/>
      <c r="Y54" s="99"/>
      <c r="Z54" s="99"/>
      <c r="AA54" s="99"/>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19"/>
      <c r="BL54" s="219"/>
    </row>
    <row r="55" spans="1:64" ht="12.75" hidden="1" customHeight="1" outlineLevel="1">
      <c r="A55" s="9"/>
      <c r="B55" s="9"/>
      <c r="C55" s="44"/>
      <c r="D55" s="128" t="str">
        <f>Asset17</f>
        <v>System IT (tx)</v>
      </c>
      <c r="E55" s="9"/>
      <c r="F55" s="9"/>
      <c r="G55" s="191">
        <f>'Actual RAB roll forward'!G486</f>
        <v>0</v>
      </c>
      <c r="H55" s="109">
        <f>'Actual RAB roll forward'!H486</f>
        <v>3.7335598667508916</v>
      </c>
      <c r="I55" s="109">
        <f>'Actual RAB roll forward'!I486</f>
        <v>8.4493745545810341</v>
      </c>
      <c r="J55" s="109">
        <f>'Actual RAB roll forward'!J486</f>
        <v>9.7938417508823257</v>
      </c>
      <c r="K55" s="109">
        <f>'Actual RAB roll forward'!K486</f>
        <v>5.216298940151737</v>
      </c>
      <c r="L55" s="109">
        <f>'Actual RAB roll forward'!L486</f>
        <v>4.0100136470289343</v>
      </c>
      <c r="M55" s="109">
        <f>'Actual RAB roll forward'!M486</f>
        <v>0</v>
      </c>
      <c r="N55" s="109">
        <f>'Actual RAB roll forward'!N486</f>
        <v>0</v>
      </c>
      <c r="O55" s="109">
        <f>'Actual RAB roll forward'!O486</f>
        <v>0</v>
      </c>
      <c r="P55" s="109">
        <f>'Actual RAB roll forward'!P486</f>
        <v>0</v>
      </c>
      <c r="Q55" s="109">
        <f>'Actual RAB roll forward'!Q486</f>
        <v>0</v>
      </c>
      <c r="R55" s="28"/>
      <c r="S55" s="99"/>
      <c r="T55" s="99"/>
      <c r="U55" s="99"/>
      <c r="V55" s="99"/>
      <c r="W55" s="99"/>
      <c r="X55" s="99"/>
      <c r="Y55" s="99"/>
      <c r="Z55" s="99"/>
      <c r="AA55" s="99"/>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19"/>
      <c r="BL55" s="219"/>
    </row>
    <row r="56" spans="1:64" ht="12.75" hidden="1" customHeight="1" outlineLevel="1">
      <c r="A56" s="9"/>
      <c r="B56" s="9"/>
      <c r="C56" s="44"/>
      <c r="D56" s="128" t="str">
        <f>Asset18</f>
        <v>IT systems</v>
      </c>
      <c r="E56" s="9"/>
      <c r="F56" s="9"/>
      <c r="G56" s="191">
        <f>'Actual RAB roll forward'!G487</f>
        <v>5.4886479583516072</v>
      </c>
      <c r="H56" s="109">
        <f>'Actual RAB roll forward'!H487</f>
        <v>6.5637603260522113</v>
      </c>
      <c r="I56" s="109">
        <f>'Actual RAB roll forward'!I487</f>
        <v>7.4186909578910285</v>
      </c>
      <c r="J56" s="109">
        <f>'Actual RAB roll forward'!J487</f>
        <v>4.7445002308192068</v>
      </c>
      <c r="K56" s="109">
        <f>'Actual RAB roll forward'!K487</f>
        <v>3.6748656105731952</v>
      </c>
      <c r="L56" s="109">
        <f>'Actual RAB roll forward'!L487</f>
        <v>2.8300487911737973</v>
      </c>
      <c r="M56" s="109">
        <f>'Actual RAB roll forward'!M487</f>
        <v>0</v>
      </c>
      <c r="N56" s="109">
        <f>'Actual RAB roll forward'!N487</f>
        <v>0</v>
      </c>
      <c r="O56" s="109">
        <f>'Actual RAB roll forward'!O487</f>
        <v>0</v>
      </c>
      <c r="P56" s="109">
        <f>'Actual RAB roll forward'!P487</f>
        <v>0</v>
      </c>
      <c r="Q56" s="109">
        <f>'Actual RAB roll forward'!Q487</f>
        <v>0</v>
      </c>
      <c r="R56" s="28"/>
      <c r="S56" s="99"/>
      <c r="T56" s="99"/>
      <c r="U56" s="99"/>
      <c r="V56" s="99"/>
      <c r="W56" s="99"/>
      <c r="X56" s="99"/>
      <c r="Y56" s="99"/>
      <c r="Z56" s="99"/>
      <c r="AA56" s="99"/>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19"/>
      <c r="BL56" s="219"/>
    </row>
    <row r="57" spans="1:64" ht="12.75" hidden="1" customHeight="1" outlineLevel="1">
      <c r="A57" s="9"/>
      <c r="B57" s="9"/>
      <c r="C57" s="44"/>
      <c r="D57" s="128" t="str">
        <f>Asset19</f>
        <v>Furniture, fittings, plant and equipment</v>
      </c>
      <c r="E57" s="9"/>
      <c r="F57" s="9"/>
      <c r="G57" s="191">
        <f>'Actual RAB roll forward'!G488</f>
        <v>1.2936175040192597</v>
      </c>
      <c r="H57" s="109">
        <f>'Actual RAB roll forward'!H488</f>
        <v>1.0469294450838382</v>
      </c>
      <c r="I57" s="109">
        <f>'Actual RAB roll forward'!I488</f>
        <v>0.95593953016768651</v>
      </c>
      <c r="J57" s="109">
        <f>'Actual RAB roll forward'!J488</f>
        <v>1.000935165928508</v>
      </c>
      <c r="K57" s="109">
        <f>'Actual RAB roll forward'!K488</f>
        <v>0.6155936080452904</v>
      </c>
      <c r="L57" s="109">
        <f>'Actual RAB roll forward'!L488</f>
        <v>0.47894081364985774</v>
      </c>
      <c r="M57" s="109">
        <f>'Actual RAB roll forward'!M488</f>
        <v>0</v>
      </c>
      <c r="N57" s="109">
        <f>'Actual RAB roll forward'!N488</f>
        <v>0</v>
      </c>
      <c r="O57" s="109">
        <f>'Actual RAB roll forward'!O488</f>
        <v>0</v>
      </c>
      <c r="P57" s="109">
        <f>'Actual RAB roll forward'!P488</f>
        <v>0</v>
      </c>
      <c r="Q57" s="109">
        <f>'Actual RAB roll forward'!Q488</f>
        <v>0</v>
      </c>
      <c r="R57" s="28"/>
      <c r="S57" s="99"/>
      <c r="T57" s="99"/>
      <c r="U57" s="99"/>
      <c r="V57" s="99"/>
      <c r="W57" s="99"/>
      <c r="X57" s="99"/>
      <c r="Y57" s="99"/>
      <c r="Z57" s="99"/>
      <c r="AA57" s="99"/>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19"/>
      <c r="BL57" s="219"/>
    </row>
    <row r="58" spans="1:64" ht="12.75" hidden="1" customHeight="1" outlineLevel="1">
      <c r="A58" s="9"/>
      <c r="B58" s="9"/>
      <c r="C58" s="44"/>
      <c r="D58" s="128" t="str">
        <f>Asset20</f>
        <v>Motor vehicles</v>
      </c>
      <c r="E58" s="9"/>
      <c r="F58" s="9"/>
      <c r="G58" s="191">
        <f>'Actual RAB roll forward'!G489</f>
        <v>4.2215721726244322</v>
      </c>
      <c r="H58" s="109">
        <f>'Actual RAB roll forward'!H489</f>
        <v>3.4125387533649629</v>
      </c>
      <c r="I58" s="109">
        <f>'Actual RAB roll forward'!I489</f>
        <v>3.6684945569472336</v>
      </c>
      <c r="J58" s="109">
        <f>'Actual RAB roll forward'!J489</f>
        <v>3.9782946507132393</v>
      </c>
      <c r="K58" s="109">
        <f>'Actual RAB roll forward'!K489</f>
        <v>1.7772175284251734</v>
      </c>
      <c r="L58" s="109">
        <f>'Actual RAB roll forward'!L489</f>
        <v>1.6084970274975294</v>
      </c>
      <c r="M58" s="109">
        <f>'Actual RAB roll forward'!M489</f>
        <v>0</v>
      </c>
      <c r="N58" s="109">
        <f>'Actual RAB roll forward'!N489</f>
        <v>0</v>
      </c>
      <c r="O58" s="109">
        <f>'Actual RAB roll forward'!O489</f>
        <v>0</v>
      </c>
      <c r="P58" s="109">
        <f>'Actual RAB roll forward'!P489</f>
        <v>0</v>
      </c>
      <c r="Q58" s="109">
        <f>'Actual RAB roll forward'!Q489</f>
        <v>0</v>
      </c>
      <c r="R58" s="28"/>
      <c r="S58" s="99"/>
      <c r="T58" s="99"/>
      <c r="U58" s="99"/>
      <c r="V58" s="99"/>
      <c r="W58" s="99"/>
      <c r="X58" s="99"/>
      <c r="Y58" s="99"/>
      <c r="Z58" s="99"/>
      <c r="AA58" s="99"/>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19"/>
      <c r="BL58" s="219"/>
    </row>
    <row r="59" spans="1:64" ht="5.25" hidden="1" customHeight="1" outlineLevel="1">
      <c r="A59" s="9"/>
      <c r="B59" s="9"/>
      <c r="C59" s="44"/>
      <c r="D59" s="128" t="str">
        <f>Asset21</f>
        <v>Buildings</v>
      </c>
      <c r="E59" s="9"/>
      <c r="F59" s="9"/>
      <c r="G59" s="191">
        <f>'Actual RAB roll forward'!G490</f>
        <v>5.7630118543162778</v>
      </c>
      <c r="H59" s="109">
        <f>'Actual RAB roll forward'!H490</f>
        <v>9.2967139034016117</v>
      </c>
      <c r="I59" s="109">
        <f>'Actual RAB roll forward'!I490</f>
        <v>6.1417295257472437</v>
      </c>
      <c r="J59" s="109">
        <f>'Actual RAB roll forward'!J490</f>
        <v>4.3452926739305946</v>
      </c>
      <c r="K59" s="109">
        <f>'Actual RAB roll forward'!K490</f>
        <v>2.6499436102391201</v>
      </c>
      <c r="L59" s="109">
        <f>'Actual RAB roll forward'!L490</f>
        <v>-6.3282953326208213</v>
      </c>
      <c r="M59" s="109">
        <f>'Actual RAB roll forward'!M490</f>
        <v>0</v>
      </c>
      <c r="N59" s="109">
        <f>'Actual RAB roll forward'!N490</f>
        <v>0</v>
      </c>
      <c r="O59" s="109">
        <f>'Actual RAB roll forward'!O490</f>
        <v>0</v>
      </c>
      <c r="P59" s="109">
        <f>'Actual RAB roll forward'!P490</f>
        <v>0</v>
      </c>
      <c r="Q59" s="109">
        <f>'Actual RAB roll forward'!Q490</f>
        <v>0</v>
      </c>
      <c r="R59" s="28"/>
      <c r="S59" s="99"/>
      <c r="T59" s="99"/>
      <c r="U59" s="99"/>
      <c r="V59" s="99"/>
      <c r="W59" s="99"/>
      <c r="X59" s="99"/>
      <c r="Y59" s="99"/>
      <c r="Z59" s="99"/>
      <c r="AA59" s="99"/>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19"/>
      <c r="BL59" s="219"/>
    </row>
    <row r="60" spans="1:64" ht="5.25" hidden="1" customHeight="1" outlineLevel="1">
      <c r="A60" s="9"/>
      <c r="B60" s="9"/>
      <c r="C60" s="44"/>
      <c r="D60" s="128" t="str">
        <f>Asset22</f>
        <v>Land (non-system)</v>
      </c>
      <c r="E60" s="9"/>
      <c r="F60" s="9"/>
      <c r="G60" s="191">
        <f>'Actual RAB roll forward'!G491</f>
        <v>2.1802380946309641</v>
      </c>
      <c r="H60" s="109">
        <f>'Actual RAB roll forward'!H491</f>
        <v>2.7584098998956277</v>
      </c>
      <c r="I60" s="109">
        <f>'Actual RAB roll forward'!I491</f>
        <v>0.91811854475125365</v>
      </c>
      <c r="J60" s="109">
        <f>'Actual RAB roll forward'!J491</f>
        <v>1.1743094305766599</v>
      </c>
      <c r="K60" s="109">
        <f>'Actual RAB roll forward'!K491</f>
        <v>-1.5501006237662752E-2</v>
      </c>
      <c r="L60" s="109">
        <f>'Actual RAB roll forward'!L491</f>
        <v>-8.3805058538413082</v>
      </c>
      <c r="M60" s="109">
        <f>'Actual RAB roll forward'!M491</f>
        <v>0</v>
      </c>
      <c r="N60" s="109">
        <f>'Actual RAB roll forward'!N491</f>
        <v>0</v>
      </c>
      <c r="O60" s="109">
        <f>'Actual RAB roll forward'!O491</f>
        <v>0</v>
      </c>
      <c r="P60" s="109">
        <f>'Actual RAB roll forward'!P491</f>
        <v>0</v>
      </c>
      <c r="Q60" s="109">
        <f>'Actual RAB roll forward'!Q491</f>
        <v>0</v>
      </c>
      <c r="R60" s="28"/>
      <c r="S60" s="99"/>
      <c r="T60" s="99"/>
      <c r="U60" s="99"/>
      <c r="V60" s="99"/>
      <c r="W60" s="99"/>
      <c r="X60" s="99"/>
      <c r="Y60" s="99"/>
      <c r="Z60" s="99"/>
      <c r="AA60" s="99"/>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19"/>
      <c r="BL60" s="219"/>
    </row>
    <row r="61" spans="1:64" ht="5.25" hidden="1" customHeight="1" outlineLevel="1">
      <c r="A61" s="9"/>
      <c r="B61" s="9"/>
      <c r="C61" s="44"/>
      <c r="D61" s="128" t="str">
        <f>Asset23</f>
        <v>Other non system assets</v>
      </c>
      <c r="E61" s="9"/>
      <c r="F61" s="9"/>
      <c r="G61" s="191">
        <f>'Actual RAB roll forward'!G492</f>
        <v>4.9813479268057739</v>
      </c>
      <c r="H61" s="109">
        <f>'Actual RAB roll forward'!H492</f>
        <v>0</v>
      </c>
      <c r="I61" s="109">
        <f>'Actual RAB roll forward'!I492</f>
        <v>6.9337912403780863E-3</v>
      </c>
      <c r="J61" s="109">
        <f>'Actual RAB roll forward'!J492</f>
        <v>0.16288205124032237</v>
      </c>
      <c r="K61" s="109">
        <f>'Actual RAB roll forward'!K492</f>
        <v>1.1632762711102213E-2</v>
      </c>
      <c r="L61" s="109">
        <f>'Actual RAB roll forward'!L492</f>
        <v>1.0745235649530194E-2</v>
      </c>
      <c r="M61" s="109">
        <f>'Actual RAB roll forward'!M492</f>
        <v>0</v>
      </c>
      <c r="N61" s="109">
        <f>'Actual RAB roll forward'!N492</f>
        <v>0</v>
      </c>
      <c r="O61" s="109">
        <f>'Actual RAB roll forward'!O492</f>
        <v>0</v>
      </c>
      <c r="P61" s="109">
        <f>'Actual RAB roll forward'!P492</f>
        <v>0</v>
      </c>
      <c r="Q61" s="109">
        <f>'Actual RAB roll forward'!Q492</f>
        <v>0</v>
      </c>
      <c r="R61" s="28"/>
      <c r="S61" s="99"/>
      <c r="T61" s="99"/>
      <c r="U61" s="99"/>
      <c r="V61" s="99"/>
      <c r="W61" s="99"/>
      <c r="X61" s="99"/>
      <c r="Y61" s="99"/>
      <c r="Z61" s="99"/>
      <c r="AA61" s="99"/>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19"/>
      <c r="BL61" s="219"/>
    </row>
    <row r="62" spans="1:64" ht="5.25" hidden="1" customHeight="1" outlineLevel="1">
      <c r="A62" s="9"/>
      <c r="B62" s="9"/>
      <c r="C62" s="44"/>
      <c r="D62" s="128" t="str">
        <f>Asset24</f>
        <v>Equity raising costs</v>
      </c>
      <c r="E62" s="9"/>
      <c r="F62" s="9"/>
      <c r="G62" s="191">
        <f>'Actual RAB roll forward'!G493</f>
        <v>0</v>
      </c>
      <c r="H62" s="109">
        <f>'Actual RAB roll forward'!H493</f>
        <v>6.5958312322788384</v>
      </c>
      <c r="I62" s="109">
        <f>'Actual RAB roll forward'!I493</f>
        <v>0</v>
      </c>
      <c r="J62" s="109">
        <f>'Actual RAB roll forward'!J493</f>
        <v>0</v>
      </c>
      <c r="K62" s="109">
        <f>'Actual RAB roll forward'!K493</f>
        <v>0</v>
      </c>
      <c r="L62" s="109">
        <f>'Actual RAB roll forward'!L493</f>
        <v>0</v>
      </c>
      <c r="M62" s="109">
        <f>'Actual RAB roll forward'!M493</f>
        <v>0</v>
      </c>
      <c r="N62" s="109">
        <f>'Actual RAB roll forward'!N493</f>
        <v>0</v>
      </c>
      <c r="O62" s="109">
        <f>'Actual RAB roll forward'!O493</f>
        <v>0</v>
      </c>
      <c r="P62" s="109">
        <f>'Actual RAB roll forward'!P493</f>
        <v>0</v>
      </c>
      <c r="Q62" s="109">
        <f>'Actual RAB roll forward'!Q493</f>
        <v>0</v>
      </c>
      <c r="R62" s="28"/>
      <c r="S62" s="99"/>
      <c r="T62" s="99"/>
      <c r="U62" s="99"/>
      <c r="V62" s="99"/>
      <c r="W62" s="99"/>
      <c r="X62" s="99"/>
      <c r="Y62" s="99"/>
      <c r="Z62" s="99"/>
      <c r="AA62" s="99"/>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19"/>
      <c r="BL62" s="219"/>
    </row>
    <row r="63" spans="1:64" ht="5.25" hidden="1" customHeight="1" outlineLevel="1">
      <c r="A63" s="9"/>
      <c r="B63" s="9"/>
      <c r="C63" s="44"/>
      <c r="D63" s="128">
        <f>Asset25</f>
        <v>0</v>
      </c>
      <c r="E63" s="9"/>
      <c r="F63" s="9"/>
      <c r="G63" s="191">
        <f>'Actual RAB roll forward'!G494</f>
        <v>0</v>
      </c>
      <c r="H63" s="109">
        <f>'Actual RAB roll forward'!H494</f>
        <v>0</v>
      </c>
      <c r="I63" s="109">
        <f>'Actual RAB roll forward'!I494</f>
        <v>0</v>
      </c>
      <c r="J63" s="109">
        <f>'Actual RAB roll forward'!J494</f>
        <v>0</v>
      </c>
      <c r="K63" s="109">
        <f>'Actual RAB roll forward'!K494</f>
        <v>0</v>
      </c>
      <c r="L63" s="109">
        <f>'Actual RAB roll forward'!L494</f>
        <v>0</v>
      </c>
      <c r="M63" s="109">
        <f>'Actual RAB roll forward'!M494</f>
        <v>0</v>
      </c>
      <c r="N63" s="109">
        <f>'Actual RAB roll forward'!N494</f>
        <v>0</v>
      </c>
      <c r="O63" s="109">
        <f>'Actual RAB roll forward'!O494</f>
        <v>0</v>
      </c>
      <c r="P63" s="109">
        <f>'Actual RAB roll forward'!P494</f>
        <v>0</v>
      </c>
      <c r="Q63" s="109">
        <f>'Actual RAB roll forward'!Q494</f>
        <v>0</v>
      </c>
      <c r="R63" s="28"/>
      <c r="S63" s="99"/>
      <c r="T63" s="99"/>
      <c r="U63" s="99"/>
      <c r="V63" s="99"/>
      <c r="W63" s="99"/>
      <c r="X63" s="99"/>
      <c r="Y63" s="99"/>
      <c r="Z63" s="99"/>
      <c r="AA63" s="99"/>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19"/>
      <c r="BL63" s="219"/>
    </row>
    <row r="64" spans="1:64" ht="5.25" hidden="1" customHeight="1" outlineLevel="1">
      <c r="A64" s="9"/>
      <c r="B64" s="9"/>
      <c r="C64" s="44"/>
      <c r="D64" s="128">
        <f>Asset26</f>
        <v>0</v>
      </c>
      <c r="E64" s="9"/>
      <c r="F64" s="9"/>
      <c r="G64" s="191">
        <f>'Actual RAB roll forward'!G495</f>
        <v>0</v>
      </c>
      <c r="H64" s="109">
        <f>'Actual RAB roll forward'!H495</f>
        <v>0</v>
      </c>
      <c r="I64" s="109">
        <f>'Actual RAB roll forward'!I495</f>
        <v>0</v>
      </c>
      <c r="J64" s="109">
        <f>'Actual RAB roll forward'!J495</f>
        <v>0</v>
      </c>
      <c r="K64" s="109">
        <f>'Actual RAB roll forward'!K495</f>
        <v>0</v>
      </c>
      <c r="L64" s="109">
        <f>'Actual RAB roll forward'!L495</f>
        <v>0</v>
      </c>
      <c r="M64" s="109">
        <f>'Actual RAB roll forward'!M495</f>
        <v>0</v>
      </c>
      <c r="N64" s="109">
        <f>'Actual RAB roll forward'!N495</f>
        <v>0</v>
      </c>
      <c r="O64" s="109">
        <f>'Actual RAB roll forward'!O495</f>
        <v>0</v>
      </c>
      <c r="P64" s="109">
        <f>'Actual RAB roll forward'!P495</f>
        <v>0</v>
      </c>
      <c r="Q64" s="109">
        <f>'Actual RAB roll forward'!Q495</f>
        <v>0</v>
      </c>
      <c r="R64" s="28"/>
      <c r="S64" s="99"/>
      <c r="T64" s="99"/>
      <c r="U64" s="99"/>
      <c r="V64" s="99"/>
      <c r="W64" s="99"/>
      <c r="X64" s="99"/>
      <c r="Y64" s="99"/>
      <c r="Z64" s="99"/>
      <c r="AA64" s="99"/>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19"/>
      <c r="BL64" s="219"/>
    </row>
    <row r="65" spans="1:64" ht="5.25" hidden="1" customHeight="1" outlineLevel="1">
      <c r="A65" s="9"/>
      <c r="B65" s="9"/>
      <c r="C65" s="44"/>
      <c r="D65" s="128">
        <f>Asset27</f>
        <v>0</v>
      </c>
      <c r="E65" s="9"/>
      <c r="F65" s="9"/>
      <c r="G65" s="191">
        <f>'Actual RAB roll forward'!G496</f>
        <v>0</v>
      </c>
      <c r="H65" s="109">
        <f>'Actual RAB roll forward'!H496</f>
        <v>0</v>
      </c>
      <c r="I65" s="109">
        <f>'Actual RAB roll forward'!I496</f>
        <v>0</v>
      </c>
      <c r="J65" s="109">
        <f>'Actual RAB roll forward'!J496</f>
        <v>0</v>
      </c>
      <c r="K65" s="109">
        <f>'Actual RAB roll forward'!K496</f>
        <v>0</v>
      </c>
      <c r="L65" s="109">
        <f>'Actual RAB roll forward'!L496</f>
        <v>0</v>
      </c>
      <c r="M65" s="109">
        <f>'Actual RAB roll forward'!M496</f>
        <v>0</v>
      </c>
      <c r="N65" s="109">
        <f>'Actual RAB roll forward'!N496</f>
        <v>0</v>
      </c>
      <c r="O65" s="109">
        <f>'Actual RAB roll forward'!O496</f>
        <v>0</v>
      </c>
      <c r="P65" s="109">
        <f>'Actual RAB roll forward'!P496</f>
        <v>0</v>
      </c>
      <c r="Q65" s="109">
        <f>'Actual RAB roll forward'!Q496</f>
        <v>0</v>
      </c>
      <c r="R65" s="28"/>
      <c r="S65" s="99"/>
      <c r="T65" s="99"/>
      <c r="U65" s="99"/>
      <c r="V65" s="99"/>
      <c r="W65" s="99"/>
      <c r="X65" s="99"/>
      <c r="Y65" s="99"/>
      <c r="Z65" s="99"/>
      <c r="AA65" s="99"/>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19"/>
      <c r="BL65" s="219"/>
    </row>
    <row r="66" spans="1:64" ht="5.25" hidden="1" customHeight="1" outlineLevel="1">
      <c r="A66" s="9"/>
      <c r="B66" s="9"/>
      <c r="C66" s="44"/>
      <c r="D66" s="128">
        <f>Asset28</f>
        <v>0</v>
      </c>
      <c r="E66" s="9"/>
      <c r="F66" s="9"/>
      <c r="G66" s="191">
        <f>'Actual RAB roll forward'!G497</f>
        <v>0</v>
      </c>
      <c r="H66" s="109">
        <f>'Actual RAB roll forward'!H497</f>
        <v>0</v>
      </c>
      <c r="I66" s="109">
        <f>'Actual RAB roll forward'!I497</f>
        <v>0</v>
      </c>
      <c r="J66" s="109">
        <f>'Actual RAB roll forward'!J497</f>
        <v>0</v>
      </c>
      <c r="K66" s="109">
        <f>'Actual RAB roll forward'!K497</f>
        <v>0</v>
      </c>
      <c r="L66" s="109">
        <f>'Actual RAB roll forward'!L497</f>
        <v>0</v>
      </c>
      <c r="M66" s="109">
        <f>'Actual RAB roll forward'!M497</f>
        <v>0</v>
      </c>
      <c r="N66" s="109">
        <f>'Actual RAB roll forward'!N497</f>
        <v>0</v>
      </c>
      <c r="O66" s="109">
        <f>'Actual RAB roll forward'!O497</f>
        <v>0</v>
      </c>
      <c r="P66" s="109">
        <f>'Actual RAB roll forward'!P497</f>
        <v>0</v>
      </c>
      <c r="Q66" s="109">
        <f>'Actual RAB roll forward'!Q497</f>
        <v>0</v>
      </c>
      <c r="R66" s="28"/>
      <c r="S66" s="99"/>
      <c r="T66" s="99"/>
      <c r="U66" s="99"/>
      <c r="V66" s="99"/>
      <c r="W66" s="99"/>
      <c r="X66" s="99"/>
      <c r="Y66" s="99"/>
      <c r="Z66" s="99"/>
      <c r="AA66" s="99"/>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19"/>
      <c r="BL66" s="219"/>
    </row>
    <row r="67" spans="1:64" ht="5.25" hidden="1" customHeight="1" outlineLevel="1">
      <c r="A67" s="9"/>
      <c r="B67" s="9"/>
      <c r="C67" s="44"/>
      <c r="D67" s="128">
        <f>Asset29</f>
        <v>0</v>
      </c>
      <c r="E67" s="9"/>
      <c r="F67" s="9"/>
      <c r="G67" s="191">
        <f>'Actual RAB roll forward'!G498</f>
        <v>0</v>
      </c>
      <c r="H67" s="109">
        <f>'Actual RAB roll forward'!H498</f>
        <v>0</v>
      </c>
      <c r="I67" s="109">
        <f>'Actual RAB roll forward'!I498</f>
        <v>0</v>
      </c>
      <c r="J67" s="109">
        <f>'Actual RAB roll forward'!J498</f>
        <v>0</v>
      </c>
      <c r="K67" s="109">
        <f>'Actual RAB roll forward'!K498</f>
        <v>0</v>
      </c>
      <c r="L67" s="109">
        <f>'Actual RAB roll forward'!L498</f>
        <v>0</v>
      </c>
      <c r="M67" s="109">
        <f>'Actual RAB roll forward'!M498</f>
        <v>0</v>
      </c>
      <c r="N67" s="109">
        <f>'Actual RAB roll forward'!N498</f>
        <v>0</v>
      </c>
      <c r="O67" s="109">
        <f>'Actual RAB roll forward'!O498</f>
        <v>0</v>
      </c>
      <c r="P67" s="109">
        <f>'Actual RAB roll forward'!P498</f>
        <v>0</v>
      </c>
      <c r="Q67" s="109">
        <f>'Actual RAB roll forward'!Q498</f>
        <v>0</v>
      </c>
      <c r="R67" s="28"/>
      <c r="S67" s="99"/>
      <c r="T67" s="99"/>
      <c r="U67" s="99"/>
      <c r="V67" s="99"/>
      <c r="W67" s="99"/>
      <c r="X67" s="99"/>
      <c r="Y67" s="99"/>
      <c r="Z67" s="99"/>
      <c r="AA67" s="99"/>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19"/>
      <c r="BL67" s="219"/>
    </row>
    <row r="68" spans="1:64" ht="5.25" hidden="1" customHeight="1" outlineLevel="1">
      <c r="A68" s="9"/>
      <c r="B68" s="9"/>
      <c r="C68" s="44"/>
      <c r="D68" s="128">
        <f>Asset30</f>
        <v>0</v>
      </c>
      <c r="E68" s="9"/>
      <c r="F68" s="9"/>
      <c r="G68" s="191">
        <f>'Actual RAB roll forward'!G499</f>
        <v>0</v>
      </c>
      <c r="H68" s="109">
        <f>'Actual RAB roll forward'!H499</f>
        <v>0</v>
      </c>
      <c r="I68" s="109">
        <f>'Actual RAB roll forward'!I499</f>
        <v>0</v>
      </c>
      <c r="J68" s="109">
        <f>'Actual RAB roll forward'!J499</f>
        <v>0</v>
      </c>
      <c r="K68" s="109">
        <f>'Actual RAB roll forward'!K499</f>
        <v>0</v>
      </c>
      <c r="L68" s="109">
        <f>'Actual RAB roll forward'!L499</f>
        <v>0</v>
      </c>
      <c r="M68" s="109">
        <f>'Actual RAB roll forward'!M499</f>
        <v>0</v>
      </c>
      <c r="N68" s="109">
        <f>'Actual RAB roll forward'!N499</f>
        <v>0</v>
      </c>
      <c r="O68" s="109">
        <f>'Actual RAB roll forward'!O499</f>
        <v>0</v>
      </c>
      <c r="P68" s="109">
        <f>'Actual RAB roll forward'!P499</f>
        <v>0</v>
      </c>
      <c r="Q68" s="109">
        <f>'Actual RAB roll forward'!Q499</f>
        <v>0</v>
      </c>
      <c r="R68" s="28"/>
      <c r="S68" s="99"/>
      <c r="T68" s="99"/>
      <c r="U68" s="99"/>
      <c r="V68" s="99"/>
      <c r="W68" s="99"/>
      <c r="X68" s="99"/>
      <c r="Y68" s="99"/>
      <c r="Z68" s="99"/>
      <c r="AA68" s="99"/>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19"/>
      <c r="BL68" s="219"/>
    </row>
    <row r="69" spans="1:64" collapsed="1">
      <c r="A69" s="9"/>
      <c r="B69" s="9"/>
      <c r="C69" s="44"/>
      <c r="D69" s="112"/>
      <c r="E69" s="9"/>
      <c r="F69" s="9"/>
      <c r="G69" s="202"/>
      <c r="H69" s="36"/>
      <c r="I69" s="36"/>
      <c r="J69" s="36"/>
      <c r="K69" s="36"/>
      <c r="L69" s="36"/>
      <c r="M69" s="36"/>
      <c r="N69" s="99"/>
      <c r="O69" s="28"/>
      <c r="P69" s="28"/>
      <c r="Q69" s="28"/>
      <c r="R69" s="28"/>
      <c r="S69" s="99"/>
      <c r="T69" s="99"/>
      <c r="U69" s="99"/>
      <c r="V69" s="99"/>
      <c r="W69" s="99"/>
      <c r="X69" s="99"/>
      <c r="Y69" s="99"/>
      <c r="Z69" s="99"/>
      <c r="AA69" s="99"/>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19"/>
      <c r="BL69" s="219"/>
    </row>
    <row r="70" spans="1:64">
      <c r="A70" s="9"/>
      <c r="B70" s="9"/>
      <c r="C70" s="224" t="s">
        <v>74</v>
      </c>
      <c r="D70" s="219"/>
      <c r="E70" s="9"/>
      <c r="F70" s="9"/>
      <c r="G70" s="192">
        <f>SUM(G71:G100)</f>
        <v>-16.015302228752656</v>
      </c>
      <c r="H70" s="36">
        <f>SUM(H71:H100)</f>
        <v>0.24532433160384171</v>
      </c>
      <c r="I70" s="36">
        <f t="shared" ref="I70:Q70" si="7">SUM(I71:I100)</f>
        <v>4.6459015084358617</v>
      </c>
      <c r="J70" s="36">
        <f t="shared" si="7"/>
        <v>-22.385093851242118</v>
      </c>
      <c r="K70" s="36">
        <f t="shared" si="7"/>
        <v>-11.953321997489869</v>
      </c>
      <c r="L70" s="36">
        <f>SUM(L71:L100)</f>
        <v>-11.653809969317232</v>
      </c>
      <c r="M70" s="36">
        <f>SUM(M71:M100)</f>
        <v>0</v>
      </c>
      <c r="N70" s="36">
        <f t="shared" si="7"/>
        <v>0</v>
      </c>
      <c r="O70" s="36">
        <f t="shared" si="7"/>
        <v>0</v>
      </c>
      <c r="P70" s="36">
        <f t="shared" si="7"/>
        <v>0</v>
      </c>
      <c r="Q70" s="36">
        <f t="shared" si="7"/>
        <v>0</v>
      </c>
      <c r="R70" s="28"/>
      <c r="S70" s="99"/>
      <c r="T70" s="99"/>
      <c r="U70" s="99"/>
      <c r="V70" s="99"/>
      <c r="W70" s="99"/>
      <c r="X70" s="99"/>
      <c r="Y70" s="99"/>
      <c r="Z70" s="99"/>
      <c r="AA70" s="99"/>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19"/>
      <c r="BL70" s="219"/>
    </row>
    <row r="71" spans="1:64" ht="12.75" hidden="1" customHeight="1" outlineLevel="1">
      <c r="A71" s="9"/>
      <c r="B71" s="9"/>
      <c r="C71" s="44"/>
      <c r="D71" s="128" t="str">
        <f>Asset1</f>
        <v>Transmission &amp; Zone land &amp; easements</v>
      </c>
      <c r="E71" s="9"/>
      <c r="F71" s="9"/>
      <c r="G71" s="191">
        <f>'Actual RAB roll forward'!G502</f>
        <v>5.4672861733410851</v>
      </c>
      <c r="H71" s="109">
        <f>'Actual RAB roll forward'!H502</f>
        <v>9.5928099389138843</v>
      </c>
      <c r="I71" s="109">
        <f>'Actual RAB roll forward'!I502</f>
        <v>11.391461802460212</v>
      </c>
      <c r="J71" s="109">
        <f>'Actual RAB roll forward'!J502</f>
        <v>5.9852241739671621</v>
      </c>
      <c r="K71" s="109">
        <f>'Actual RAB roll forward'!K502</f>
        <v>9.4241737987739143</v>
      </c>
      <c r="L71" s="109">
        <f>'Actual RAB roll forward'!L502</f>
        <v>9.707628470434102</v>
      </c>
      <c r="M71" s="109">
        <f>'Actual RAB roll forward'!M502</f>
        <v>0</v>
      </c>
      <c r="N71" s="109">
        <f>'Actual RAB roll forward'!N502</f>
        <v>0</v>
      </c>
      <c r="O71" s="109">
        <f>'Actual RAB roll forward'!O502</f>
        <v>0</v>
      </c>
      <c r="P71" s="109">
        <f>'Actual RAB roll forward'!P502</f>
        <v>0</v>
      </c>
      <c r="Q71" s="109">
        <f>'Actual RAB roll forward'!Q502</f>
        <v>0</v>
      </c>
      <c r="R71" s="28"/>
      <c r="S71" s="99"/>
      <c r="T71" s="99"/>
      <c r="U71" s="99"/>
      <c r="V71" s="99"/>
      <c r="W71" s="99"/>
      <c r="X71" s="99"/>
      <c r="Y71" s="99"/>
      <c r="Z71" s="99"/>
      <c r="AA71" s="99"/>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19"/>
      <c r="BL71" s="219"/>
    </row>
    <row r="72" spans="1:64" ht="12.75" hidden="1" customHeight="1" outlineLevel="1">
      <c r="A72" s="9"/>
      <c r="B72" s="9"/>
      <c r="C72" s="44"/>
      <c r="D72" s="128" t="str">
        <f>Asset2</f>
        <v>Transmission buildings 132/66kV</v>
      </c>
      <c r="E72" s="9"/>
      <c r="F72" s="9"/>
      <c r="G72" s="191">
        <f>'Actual RAB roll forward'!G503</f>
        <v>-0.30509501915637138</v>
      </c>
      <c r="H72" s="109">
        <f>'Actual RAB roll forward'!H503</f>
        <v>0.14091288207624597</v>
      </c>
      <c r="I72" s="109">
        <f>'Actual RAB roll forward'!I503</f>
        <v>0.60860547547234045</v>
      </c>
      <c r="J72" s="109">
        <f>'Actual RAB roll forward'!J503</f>
        <v>-0.44420043706036938</v>
      </c>
      <c r="K72" s="109">
        <f>'Actual RAB roll forward'!K503</f>
        <v>0.11224325464620044</v>
      </c>
      <c r="L72" s="109">
        <f>'Actual RAB roll forward'!L503</f>
        <v>0.12757821599269326</v>
      </c>
      <c r="M72" s="109">
        <f>'Actual RAB roll forward'!M503</f>
        <v>0</v>
      </c>
      <c r="N72" s="109">
        <f>'Actual RAB roll forward'!N503</f>
        <v>0</v>
      </c>
      <c r="O72" s="109">
        <f>'Actual RAB roll forward'!O503</f>
        <v>0</v>
      </c>
      <c r="P72" s="109">
        <f>'Actual RAB roll forward'!P503</f>
        <v>0</v>
      </c>
      <c r="Q72" s="109">
        <f>'Actual RAB roll forward'!Q503</f>
        <v>0</v>
      </c>
      <c r="R72" s="28"/>
      <c r="S72" s="99"/>
      <c r="T72" s="99"/>
      <c r="U72" s="99"/>
      <c r="V72" s="99"/>
      <c r="W72" s="99"/>
      <c r="X72" s="99"/>
      <c r="Y72" s="99"/>
      <c r="Z72" s="99"/>
      <c r="AA72" s="99"/>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19"/>
      <c r="BL72" s="219"/>
    </row>
    <row r="73" spans="1:64" ht="12.75" hidden="1" customHeight="1" outlineLevel="1">
      <c r="A73" s="9"/>
      <c r="B73" s="9"/>
      <c r="C73" s="44"/>
      <c r="D73" s="128" t="str">
        <f>Asset3</f>
        <v>Zone buildings 132/66kV</v>
      </c>
      <c r="E73" s="9"/>
      <c r="F73" s="9"/>
      <c r="G73" s="191">
        <f>'Actual RAB roll forward'!G504</f>
        <v>0.1613304727981788</v>
      </c>
      <c r="H73" s="109">
        <f>'Actual RAB roll forward'!H504</f>
        <v>0.37968425757467683</v>
      </c>
      <c r="I73" s="109">
        <f>'Actual RAB roll forward'!I504</f>
        <v>0.61925001972469973</v>
      </c>
      <c r="J73" s="109">
        <f>'Actual RAB roll forward'!J504</f>
        <v>-0.42120666961676823</v>
      </c>
      <c r="K73" s="109">
        <f>'Actual RAB roll forward'!K504</f>
        <v>0.16224196234668908</v>
      </c>
      <c r="L73" s="109">
        <f>'Actual RAB roll forward'!L504</f>
        <v>0.4012843313867922</v>
      </c>
      <c r="M73" s="109">
        <f>'Actual RAB roll forward'!M504</f>
        <v>0</v>
      </c>
      <c r="N73" s="109">
        <f>'Actual RAB roll forward'!N504</f>
        <v>0</v>
      </c>
      <c r="O73" s="109">
        <f>'Actual RAB roll forward'!O504</f>
        <v>0</v>
      </c>
      <c r="P73" s="109">
        <f>'Actual RAB roll forward'!P504</f>
        <v>0</v>
      </c>
      <c r="Q73" s="109">
        <f>'Actual RAB roll forward'!Q504</f>
        <v>0</v>
      </c>
      <c r="R73" s="28"/>
      <c r="S73" s="99"/>
      <c r="T73" s="99"/>
      <c r="U73" s="99"/>
      <c r="V73" s="99"/>
      <c r="W73" s="99"/>
      <c r="X73" s="99"/>
      <c r="Y73" s="99"/>
      <c r="Z73" s="99"/>
      <c r="AA73" s="99"/>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19"/>
      <c r="BL73" s="219"/>
    </row>
    <row r="74" spans="1:64" ht="12.75" hidden="1" customHeight="1" outlineLevel="1">
      <c r="A74" s="9"/>
      <c r="B74" s="9"/>
      <c r="C74" s="44"/>
      <c r="D74" s="128" t="str">
        <f>Asset4</f>
        <v>Transmission transformers 132/66kV</v>
      </c>
      <c r="E74" s="9"/>
      <c r="F74" s="9"/>
      <c r="G74" s="191">
        <f>'Actual RAB roll forward'!G505</f>
        <v>-0.478556443670617</v>
      </c>
      <c r="H74" s="109">
        <f>'Actual RAB roll forward'!H505</f>
        <v>-2.4292682703409896E-2</v>
      </c>
      <c r="I74" s="109">
        <f>'Actual RAB roll forward'!I505</f>
        <v>9.9518254915361593E-2</v>
      </c>
      <c r="J74" s="109">
        <f>'Actual RAB roll forward'!J505</f>
        <v>-0.37482972286756522</v>
      </c>
      <c r="K74" s="109">
        <f>'Actual RAB roll forward'!K505</f>
        <v>-0.14520580450784171</v>
      </c>
      <c r="L74" s="109">
        <f>'Actual RAB roll forward'!L505</f>
        <v>-0.14315602921130122</v>
      </c>
      <c r="M74" s="109">
        <f>'Actual RAB roll forward'!M505</f>
        <v>0</v>
      </c>
      <c r="N74" s="109">
        <f>'Actual RAB roll forward'!N505</f>
        <v>0</v>
      </c>
      <c r="O74" s="109">
        <f>'Actual RAB roll forward'!O505</f>
        <v>0</v>
      </c>
      <c r="P74" s="109">
        <f>'Actual RAB roll forward'!P505</f>
        <v>0</v>
      </c>
      <c r="Q74" s="109">
        <f>'Actual RAB roll forward'!Q505</f>
        <v>0</v>
      </c>
      <c r="R74" s="28"/>
      <c r="S74" s="99"/>
      <c r="T74" s="99"/>
      <c r="U74" s="99"/>
      <c r="V74" s="99"/>
      <c r="W74" s="99"/>
      <c r="X74" s="99"/>
      <c r="Y74" s="99"/>
      <c r="Z74" s="99"/>
      <c r="AA74" s="99"/>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19"/>
      <c r="BL74" s="219"/>
    </row>
    <row r="75" spans="1:64" ht="12.75" hidden="1" customHeight="1" outlineLevel="1">
      <c r="A75" s="9"/>
      <c r="B75" s="9"/>
      <c r="C75" s="44"/>
      <c r="D75" s="128" t="str">
        <f>Asset5</f>
        <v>Zone transformers 132/66kV</v>
      </c>
      <c r="E75" s="9"/>
      <c r="F75" s="9"/>
      <c r="G75" s="191">
        <f>'Actual RAB roll forward'!G506</f>
        <v>-0.13603890748107211</v>
      </c>
      <c r="H75" s="109">
        <f>'Actual RAB roll forward'!H506</f>
        <v>-4.6437386104790312E-2</v>
      </c>
      <c r="I75" s="109">
        <f>'Actual RAB roll forward'!I506</f>
        <v>6.5672685331379155E-2</v>
      </c>
      <c r="J75" s="109">
        <f>'Actual RAB roll forward'!J506</f>
        <v>-0.37698549823579014</v>
      </c>
      <c r="K75" s="109">
        <f>'Actual RAB roll forward'!K506</f>
        <v>-0.14941641194633382</v>
      </c>
      <c r="L75" s="109">
        <f>'Actual RAB roll forward'!L506</f>
        <v>-0.17548020577373113</v>
      </c>
      <c r="M75" s="109">
        <f>'Actual RAB roll forward'!M506</f>
        <v>0</v>
      </c>
      <c r="N75" s="109">
        <f>'Actual RAB roll forward'!N506</f>
        <v>0</v>
      </c>
      <c r="O75" s="109">
        <f>'Actual RAB roll forward'!O506</f>
        <v>0</v>
      </c>
      <c r="P75" s="109">
        <f>'Actual RAB roll forward'!P506</f>
        <v>0</v>
      </c>
      <c r="Q75" s="109">
        <f>'Actual RAB roll forward'!Q506</f>
        <v>0</v>
      </c>
      <c r="R75" s="28"/>
      <c r="S75" s="99"/>
      <c r="T75" s="99"/>
      <c r="U75" s="99"/>
      <c r="V75" s="99"/>
      <c r="W75" s="99"/>
      <c r="X75" s="99"/>
      <c r="Y75" s="99"/>
      <c r="Z75" s="99"/>
      <c r="AA75" s="99"/>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19"/>
      <c r="BL75" s="219"/>
    </row>
    <row r="76" spans="1:64" ht="12.75" hidden="1" customHeight="1" outlineLevel="1">
      <c r="A76" s="9"/>
      <c r="B76" s="9"/>
      <c r="C76" s="44"/>
      <c r="D76" s="128" t="str">
        <f>Asset6</f>
        <v>Transmission substation equip 132/66kV</v>
      </c>
      <c r="E76" s="9"/>
      <c r="F76" s="9"/>
      <c r="G76" s="191">
        <f>'Actual RAB roll forward'!G507</f>
        <v>-2.3823654530317628</v>
      </c>
      <c r="H76" s="109">
        <f>'Actual RAB roll forward'!H507</f>
        <v>-0.69865814771904766</v>
      </c>
      <c r="I76" s="109">
        <f>'Actual RAB roll forward'!I507</f>
        <v>-0.10972335702749891</v>
      </c>
      <c r="J76" s="109">
        <f>'Actual RAB roll forward'!J507</f>
        <v>-2.5194496790304006</v>
      </c>
      <c r="K76" s="109">
        <f>'Actual RAB roll forward'!K507</f>
        <v>-1.3200217035174902</v>
      </c>
      <c r="L76" s="109">
        <f>'Actual RAB roll forward'!L507</f>
        <v>-1.4501333144067114</v>
      </c>
      <c r="M76" s="109">
        <f>'Actual RAB roll forward'!M507</f>
        <v>0</v>
      </c>
      <c r="N76" s="109">
        <f>'Actual RAB roll forward'!N507</f>
        <v>0</v>
      </c>
      <c r="O76" s="109">
        <f>'Actual RAB roll forward'!O507</f>
        <v>0</v>
      </c>
      <c r="P76" s="109">
        <f>'Actual RAB roll forward'!P507</f>
        <v>0</v>
      </c>
      <c r="Q76" s="109">
        <f>'Actual RAB roll forward'!Q507</f>
        <v>0</v>
      </c>
      <c r="R76" s="28"/>
      <c r="S76" s="99"/>
      <c r="T76" s="99"/>
      <c r="U76" s="99"/>
      <c r="V76" s="99"/>
      <c r="W76" s="99"/>
      <c r="X76" s="99"/>
      <c r="Y76" s="99"/>
      <c r="Z76" s="99"/>
      <c r="AA76" s="99"/>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19"/>
      <c r="BL76" s="219"/>
    </row>
    <row r="77" spans="1:64" ht="12.75" hidden="1" customHeight="1" outlineLevel="1">
      <c r="A77" s="9"/>
      <c r="B77" s="9"/>
      <c r="C77" s="44"/>
      <c r="D77" s="128" t="str">
        <f>Asset7</f>
        <v>Zone substation equip 132/66kV</v>
      </c>
      <c r="E77" s="9"/>
      <c r="F77" s="9"/>
      <c r="G77" s="191">
        <f>'Actual RAB roll forward'!G508</f>
        <v>-1.0028035229233665</v>
      </c>
      <c r="H77" s="109">
        <f>'Actual RAB roll forward'!H508</f>
        <v>-0.44238404385123831</v>
      </c>
      <c r="I77" s="109">
        <f>'Actual RAB roll forward'!I508</f>
        <v>0.35256920265819858</v>
      </c>
      <c r="J77" s="109">
        <f>'Actual RAB roll forward'!J508</f>
        <v>-3.0656637155984572</v>
      </c>
      <c r="K77" s="109">
        <f>'Actual RAB roll forward'!K508</f>
        <v>-0.90097139964021444</v>
      </c>
      <c r="L77" s="109">
        <f>'Actual RAB roll forward'!L508</f>
        <v>-1.0730609201307999</v>
      </c>
      <c r="M77" s="109">
        <f>'Actual RAB roll forward'!M508</f>
        <v>0</v>
      </c>
      <c r="N77" s="109">
        <f>'Actual RAB roll forward'!N508</f>
        <v>0</v>
      </c>
      <c r="O77" s="109">
        <f>'Actual RAB roll forward'!O508</f>
        <v>0</v>
      </c>
      <c r="P77" s="109">
        <f>'Actual RAB roll forward'!P508</f>
        <v>0</v>
      </c>
      <c r="Q77" s="109">
        <f>'Actual RAB roll forward'!Q508</f>
        <v>0</v>
      </c>
      <c r="R77" s="28"/>
      <c r="S77" s="99"/>
      <c r="T77" s="99"/>
      <c r="U77" s="99"/>
      <c r="V77" s="99"/>
      <c r="W77" s="99"/>
      <c r="X77" s="99"/>
      <c r="Y77" s="99"/>
      <c r="Z77" s="99"/>
      <c r="AA77" s="99"/>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19"/>
      <c r="BL77" s="219"/>
    </row>
    <row r="78" spans="1:64" ht="12.75" hidden="1" customHeight="1" outlineLevel="1">
      <c r="A78" s="9"/>
      <c r="B78" s="9"/>
      <c r="C78" s="44"/>
      <c r="D78" s="128" t="str">
        <f>Asset8</f>
        <v>Transmission &amp; Zone emergency spares</v>
      </c>
      <c r="E78" s="9"/>
      <c r="F78" s="9"/>
      <c r="G78" s="191">
        <f>'Actual RAB roll forward'!G509</f>
        <v>-3.9937125400649198E-4</v>
      </c>
      <c r="H78" s="109">
        <f>'Actual RAB roll forward'!H509</f>
        <v>6.9078655064973918E-3</v>
      </c>
      <c r="I78" s="109">
        <f>'Actual RAB roll forward'!I509</f>
        <v>1.4994658006894972E-2</v>
      </c>
      <c r="J78" s="109">
        <f>'Actual RAB roll forward'!J509</f>
        <v>-2.2832758605683033E-2</v>
      </c>
      <c r="K78" s="109">
        <f>'Actual RAB roll forward'!K509</f>
        <v>-5.6377933270894964E-3</v>
      </c>
      <c r="L78" s="109">
        <f>'Actual RAB roll forward'!L509</f>
        <v>-7.2446302657187961E-3</v>
      </c>
      <c r="M78" s="109">
        <f>'Actual RAB roll forward'!M509</f>
        <v>0</v>
      </c>
      <c r="N78" s="109">
        <f>'Actual RAB roll forward'!N509</f>
        <v>0</v>
      </c>
      <c r="O78" s="109">
        <f>'Actual RAB roll forward'!O509</f>
        <v>0</v>
      </c>
      <c r="P78" s="109">
        <f>'Actual RAB roll forward'!P509</f>
        <v>0</v>
      </c>
      <c r="Q78" s="109">
        <f>'Actual RAB roll forward'!Q509</f>
        <v>0</v>
      </c>
      <c r="R78" s="28"/>
      <c r="S78" s="99"/>
      <c r="T78" s="99"/>
      <c r="U78" s="99"/>
      <c r="V78" s="99"/>
      <c r="W78" s="99"/>
      <c r="X78" s="99"/>
      <c r="Y78" s="99"/>
      <c r="Z78" s="99"/>
      <c r="AA78" s="99"/>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19"/>
      <c r="BL78" s="219"/>
    </row>
    <row r="79" spans="1:64" ht="12.75" hidden="1" customHeight="1" outlineLevel="1">
      <c r="A79" s="9"/>
      <c r="B79" s="9"/>
      <c r="C79" s="44"/>
      <c r="D79" s="128" t="str">
        <f>Asset9</f>
        <v>Ancillary substation equipment (tx)</v>
      </c>
      <c r="E79" s="9"/>
      <c r="F79" s="9"/>
      <c r="G79" s="191">
        <f>'Actual RAB roll forward'!G510</f>
        <v>0</v>
      </c>
      <c r="H79" s="109">
        <f>'Actual RAB roll forward'!H510</f>
        <v>0</v>
      </c>
      <c r="I79" s="109">
        <f>'Actual RAB roll forward'!I510</f>
        <v>-4.1633744977574959E-2</v>
      </c>
      <c r="J79" s="109">
        <f>'Actual RAB roll forward'!J510</f>
        <v>-0.2371140280572544</v>
      </c>
      <c r="K79" s="109">
        <f>'Actual RAB roll forward'!K510</f>
        <v>-0.50172593772969298</v>
      </c>
      <c r="L79" s="109">
        <f>'Actual RAB roll forward'!L510</f>
        <v>-1.5234451718595057</v>
      </c>
      <c r="M79" s="109">
        <f>'Actual RAB roll forward'!M510</f>
        <v>0</v>
      </c>
      <c r="N79" s="109">
        <f>'Actual RAB roll forward'!N510</f>
        <v>0</v>
      </c>
      <c r="O79" s="109">
        <f>'Actual RAB roll forward'!O510</f>
        <v>0</v>
      </c>
      <c r="P79" s="109">
        <f>'Actual RAB roll forward'!P510</f>
        <v>0</v>
      </c>
      <c r="Q79" s="109">
        <f>'Actual RAB roll forward'!Q510</f>
        <v>0</v>
      </c>
      <c r="R79" s="28"/>
      <c r="S79" s="99"/>
      <c r="T79" s="99"/>
      <c r="U79" s="99"/>
      <c r="V79" s="99"/>
      <c r="W79" s="99"/>
      <c r="X79" s="99"/>
      <c r="Y79" s="99"/>
      <c r="Z79" s="99"/>
      <c r="AA79" s="99"/>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19"/>
      <c r="BL79" s="219"/>
    </row>
    <row r="80" spans="1:64" ht="12.75" hidden="1" customHeight="1" outlineLevel="1">
      <c r="A80" s="9"/>
      <c r="B80" s="9"/>
      <c r="C80" s="44"/>
      <c r="D80" s="128" t="str">
        <f>Asset10</f>
        <v>132kV tower lines</v>
      </c>
      <c r="E80" s="9"/>
      <c r="F80" s="9"/>
      <c r="G80" s="191">
        <f>'Actual RAB roll forward'!G511</f>
        <v>-0.38198469324474921</v>
      </c>
      <c r="H80" s="109">
        <f>'Actual RAB roll forward'!H511</f>
        <v>-0.21615293871203023</v>
      </c>
      <c r="I80" s="109">
        <f>'Actual RAB roll forward'!I511</f>
        <v>-0.10179028724999917</v>
      </c>
      <c r="J80" s="109">
        <f>'Actual RAB roll forward'!J511</f>
        <v>-0.47767036839256855</v>
      </c>
      <c r="K80" s="109">
        <f>'Actual RAB roll forward'!K511</f>
        <v>-0.20198827919329787</v>
      </c>
      <c r="L80" s="109">
        <f>'Actual RAB roll forward'!L511</f>
        <v>-0.24053498099860771</v>
      </c>
      <c r="M80" s="109">
        <f>'Actual RAB roll forward'!M511</f>
        <v>0</v>
      </c>
      <c r="N80" s="109">
        <f>'Actual RAB roll forward'!N511</f>
        <v>0</v>
      </c>
      <c r="O80" s="109">
        <f>'Actual RAB roll forward'!O511</f>
        <v>0</v>
      </c>
      <c r="P80" s="109">
        <f>'Actual RAB roll forward'!P511</f>
        <v>0</v>
      </c>
      <c r="Q80" s="109">
        <f>'Actual RAB roll forward'!Q511</f>
        <v>0</v>
      </c>
      <c r="R80" s="28"/>
      <c r="S80" s="99"/>
      <c r="T80" s="99"/>
      <c r="U80" s="99"/>
      <c r="V80" s="99"/>
      <c r="W80" s="99"/>
      <c r="X80" s="99"/>
      <c r="Y80" s="99"/>
      <c r="Z80" s="99"/>
      <c r="AA80" s="99"/>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19"/>
      <c r="BL80" s="219"/>
    </row>
    <row r="81" spans="1:64" ht="12.75" hidden="1" customHeight="1" outlineLevel="1">
      <c r="A81" s="9"/>
      <c r="B81" s="9"/>
      <c r="C81" s="44"/>
      <c r="D81" s="128" t="str">
        <f>Asset11</f>
        <v>132kV concrete &amp; steel pole lines</v>
      </c>
      <c r="E81" s="9"/>
      <c r="F81" s="9"/>
      <c r="G81" s="191">
        <f>'Actual RAB roll forward'!G512</f>
        <v>7.7769921878411419E-3</v>
      </c>
      <c r="H81" s="109">
        <f>'Actual RAB roll forward'!H512</f>
        <v>5.8949704704576111E-2</v>
      </c>
      <c r="I81" s="109">
        <f>'Actual RAB roll forward'!I512</f>
        <v>0.31925676301796735</v>
      </c>
      <c r="J81" s="109">
        <f>'Actual RAB roll forward'!J512</f>
        <v>-0.14547545256472388</v>
      </c>
      <c r="K81" s="109">
        <f>'Actual RAB roll forward'!K512</f>
        <v>0.11110144293416202</v>
      </c>
      <c r="L81" s="109">
        <f>'Actual RAB roll forward'!L512</f>
        <v>8.3191364302956816E-2</v>
      </c>
      <c r="M81" s="109">
        <f>'Actual RAB roll forward'!M512</f>
        <v>0</v>
      </c>
      <c r="N81" s="109">
        <f>'Actual RAB roll forward'!N512</f>
        <v>0</v>
      </c>
      <c r="O81" s="109">
        <f>'Actual RAB roll forward'!O512</f>
        <v>0</v>
      </c>
      <c r="P81" s="109">
        <f>'Actual RAB roll forward'!P512</f>
        <v>0</v>
      </c>
      <c r="Q81" s="109">
        <f>'Actual RAB roll forward'!Q512</f>
        <v>0</v>
      </c>
      <c r="R81" s="28"/>
      <c r="S81" s="99"/>
      <c r="T81" s="99"/>
      <c r="U81" s="99"/>
      <c r="V81" s="99"/>
      <c r="W81" s="99"/>
      <c r="X81" s="99"/>
      <c r="Y81" s="99"/>
      <c r="Z81" s="99"/>
      <c r="AA81" s="99"/>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19"/>
      <c r="BL81" s="219"/>
    </row>
    <row r="82" spans="1:64" ht="12.75" hidden="1" customHeight="1" outlineLevel="1">
      <c r="A82" s="9"/>
      <c r="B82" s="9"/>
      <c r="C82" s="44"/>
      <c r="D82" s="128" t="str">
        <f>Asset12</f>
        <v>132kV wood pole lines</v>
      </c>
      <c r="E82" s="9"/>
      <c r="F82" s="9"/>
      <c r="G82" s="191">
        <f>'Actual RAB roll forward'!G513</f>
        <v>-0.80312515595831624</v>
      </c>
      <c r="H82" s="109">
        <f>'Actual RAB roll forward'!H513</f>
        <v>-0.15558806549724147</v>
      </c>
      <c r="I82" s="109">
        <f>'Actual RAB roll forward'!I513</f>
        <v>3.072059521865933E-2</v>
      </c>
      <c r="J82" s="109">
        <f>'Actual RAB roll forward'!J513</f>
        <v>-0.58883379977775507</v>
      </c>
      <c r="K82" s="109">
        <f>'Actual RAB roll forward'!K513</f>
        <v>-0.31961137369115722</v>
      </c>
      <c r="L82" s="109">
        <f>'Actual RAB roll forward'!L513</f>
        <v>-0.35569239268298658</v>
      </c>
      <c r="M82" s="109">
        <f>'Actual RAB roll forward'!M513</f>
        <v>0</v>
      </c>
      <c r="N82" s="109">
        <f>'Actual RAB roll forward'!N513</f>
        <v>0</v>
      </c>
      <c r="O82" s="109">
        <f>'Actual RAB roll forward'!O513</f>
        <v>0</v>
      </c>
      <c r="P82" s="109">
        <f>'Actual RAB roll forward'!P513</f>
        <v>0</v>
      </c>
      <c r="Q82" s="109">
        <f>'Actual RAB roll forward'!Q513</f>
        <v>0</v>
      </c>
      <c r="R82" s="28"/>
      <c r="S82" s="99"/>
      <c r="T82" s="99"/>
      <c r="U82" s="99"/>
      <c r="V82" s="99"/>
      <c r="W82" s="99"/>
      <c r="X82" s="99"/>
      <c r="Y82" s="99"/>
      <c r="Z82" s="99"/>
      <c r="AA82" s="99"/>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19"/>
      <c r="BL82" s="219"/>
    </row>
    <row r="83" spans="1:64" ht="12.75" hidden="1" customHeight="1" outlineLevel="1">
      <c r="A83" s="9"/>
      <c r="B83" s="9"/>
      <c r="C83" s="44"/>
      <c r="D83" s="128" t="str">
        <f>Asset13</f>
        <v>132kV feeders underground</v>
      </c>
      <c r="E83" s="9"/>
      <c r="F83" s="9"/>
      <c r="G83" s="191">
        <f>'Actual RAB roll forward'!G514</f>
        <v>-7.7749547670939325</v>
      </c>
      <c r="H83" s="109">
        <f>'Actual RAB roll forward'!H514</f>
        <v>-2.3512758562704086</v>
      </c>
      <c r="I83" s="109">
        <f>'Actual RAB roll forward'!I514</f>
        <v>-1.0165105060288635</v>
      </c>
      <c r="J83" s="109">
        <f>'Actual RAB roll forward'!J514</f>
        <v>-6.3233786083813088</v>
      </c>
      <c r="K83" s="109">
        <f>'Actual RAB roll forward'!K514</f>
        <v>-3.2368998673471054</v>
      </c>
      <c r="L83" s="109">
        <f>'Actual RAB roll forward'!L514</f>
        <v>-3.5516371045704389</v>
      </c>
      <c r="M83" s="109">
        <f>'Actual RAB roll forward'!M514</f>
        <v>0</v>
      </c>
      <c r="N83" s="109">
        <f>'Actual RAB roll forward'!N514</f>
        <v>0</v>
      </c>
      <c r="O83" s="109">
        <f>'Actual RAB roll forward'!O514</f>
        <v>0</v>
      </c>
      <c r="P83" s="109">
        <f>'Actual RAB roll forward'!P514</f>
        <v>0</v>
      </c>
      <c r="Q83" s="109">
        <f>'Actual RAB roll forward'!Q514</f>
        <v>0</v>
      </c>
      <c r="R83" s="28"/>
      <c r="S83" s="99"/>
      <c r="T83" s="99"/>
      <c r="U83" s="99"/>
      <c r="V83" s="99"/>
      <c r="W83" s="99"/>
      <c r="X83" s="99"/>
      <c r="Y83" s="99"/>
      <c r="Z83" s="99"/>
      <c r="AA83" s="99"/>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19"/>
      <c r="BL83" s="219"/>
    </row>
    <row r="84" spans="1:64" ht="12.75" hidden="1" customHeight="1" outlineLevel="1">
      <c r="A84" s="9"/>
      <c r="B84" s="9"/>
      <c r="C84" s="44"/>
      <c r="D84" s="128" t="str">
        <f>Asset14</f>
        <v>Cable tunnel (tx)</v>
      </c>
      <c r="E84" s="9"/>
      <c r="F84" s="9"/>
      <c r="G84" s="191">
        <f>'Actual RAB roll forward'!G515</f>
        <v>9.7707393625144773E-2</v>
      </c>
      <c r="H84" s="109">
        <f>'Actual RAB roll forward'!H515</f>
        <v>0.14069868638886657</v>
      </c>
      <c r="I84" s="109">
        <f>'Actual RAB roll forward'!I515</f>
        <v>0.18856358905873527</v>
      </c>
      <c r="J84" s="109">
        <f>'Actual RAB roll forward'!J515</f>
        <v>-1.0158933762357547E-3</v>
      </c>
      <c r="K84" s="109">
        <f>'Actual RAB roll forward'!K515</f>
        <v>9.8994714257812255E-2</v>
      </c>
      <c r="L84" s="109">
        <f>'Actual RAB roll forward'!L515</f>
        <v>9.8518849448217066E-2</v>
      </c>
      <c r="M84" s="109">
        <f>'Actual RAB roll forward'!M515</f>
        <v>0</v>
      </c>
      <c r="N84" s="109">
        <f>'Actual RAB roll forward'!N515</f>
        <v>0</v>
      </c>
      <c r="O84" s="109">
        <f>'Actual RAB roll forward'!O515</f>
        <v>0</v>
      </c>
      <c r="P84" s="109">
        <f>'Actual RAB roll forward'!P515</f>
        <v>0</v>
      </c>
      <c r="Q84" s="109">
        <f>'Actual RAB roll forward'!Q515</f>
        <v>0</v>
      </c>
      <c r="R84" s="28"/>
      <c r="S84" s="99"/>
      <c r="T84" s="99"/>
      <c r="U84" s="99"/>
      <c r="V84" s="99"/>
      <c r="W84" s="99"/>
      <c r="X84" s="99"/>
      <c r="Y84" s="99"/>
      <c r="Z84" s="99"/>
      <c r="AA84" s="99"/>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19"/>
      <c r="BL84" s="219"/>
    </row>
    <row r="85" spans="1:64" ht="12.75" hidden="1" customHeight="1" outlineLevel="1">
      <c r="A85" s="9"/>
      <c r="B85" s="9"/>
      <c r="C85" s="44"/>
      <c r="D85" s="128" t="str">
        <f>Asset15</f>
        <v>Network control &amp; com systems</v>
      </c>
      <c r="E85" s="9"/>
      <c r="F85" s="9"/>
      <c r="G85" s="191">
        <f>'Actual RAB roll forward'!G516</f>
        <v>-1.0058418220254572</v>
      </c>
      <c r="H85" s="109">
        <f>'Actual RAB roll forward'!H516</f>
        <v>-0.42968685851203614</v>
      </c>
      <c r="I85" s="109">
        <f>'Actual RAB roll forward'!I516</f>
        <v>-0.36779221041323829</v>
      </c>
      <c r="J85" s="109">
        <f>'Actual RAB roll forward'!J516</f>
        <v>-0.80702138840220272</v>
      </c>
      <c r="K85" s="109">
        <f>'Actual RAB roll forward'!K516</f>
        <v>-0.64695502722510867</v>
      </c>
      <c r="L85" s="109">
        <f>'Actual RAB roll forward'!L516</f>
        <v>-0.69312711553049489</v>
      </c>
      <c r="M85" s="109">
        <f>'Actual RAB roll forward'!M516</f>
        <v>0</v>
      </c>
      <c r="N85" s="109">
        <f>'Actual RAB roll forward'!N516</f>
        <v>0</v>
      </c>
      <c r="O85" s="109">
        <f>'Actual RAB roll forward'!O516</f>
        <v>0</v>
      </c>
      <c r="P85" s="109">
        <f>'Actual RAB roll forward'!P516</f>
        <v>0</v>
      </c>
      <c r="Q85" s="109">
        <f>'Actual RAB roll forward'!Q516</f>
        <v>0</v>
      </c>
      <c r="R85" s="28"/>
      <c r="S85" s="99"/>
      <c r="T85" s="99"/>
      <c r="U85" s="99"/>
      <c r="V85" s="99"/>
      <c r="W85" s="99"/>
      <c r="X85" s="99"/>
      <c r="Y85" s="99"/>
      <c r="Z85" s="99"/>
      <c r="AA85" s="99"/>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19"/>
      <c r="BL85" s="219"/>
    </row>
    <row r="86" spans="1:64" ht="12.75" hidden="1" customHeight="1" outlineLevel="1">
      <c r="A86" s="9"/>
      <c r="B86" s="9"/>
      <c r="C86" s="44"/>
      <c r="D86" s="128" t="str">
        <f>Asset16</f>
        <v>Communications (digital) - tx</v>
      </c>
      <c r="E86" s="9"/>
      <c r="F86" s="9"/>
      <c r="G86" s="191">
        <f>'Actual RAB roll forward'!G517</f>
        <v>0</v>
      </c>
      <c r="H86" s="109">
        <f>'Actual RAB roll forward'!H517</f>
        <v>0</v>
      </c>
      <c r="I86" s="109">
        <f>'Actual RAB roll forward'!I517</f>
        <v>0</v>
      </c>
      <c r="J86" s="109">
        <f>'Actual RAB roll forward'!J517</f>
        <v>-2.9675422993340368E-2</v>
      </c>
      <c r="K86" s="109">
        <f>'Actual RAB roll forward'!K517</f>
        <v>-6.678029740183028E-2</v>
      </c>
      <c r="L86" s="109">
        <f>'Actual RAB roll forward'!L517</f>
        <v>-8.4759885647545982E-2</v>
      </c>
      <c r="M86" s="109">
        <f>'Actual RAB roll forward'!M517</f>
        <v>0</v>
      </c>
      <c r="N86" s="109">
        <f>'Actual RAB roll forward'!N517</f>
        <v>0</v>
      </c>
      <c r="O86" s="109">
        <f>'Actual RAB roll forward'!O517</f>
        <v>0</v>
      </c>
      <c r="P86" s="109">
        <f>'Actual RAB roll forward'!P517</f>
        <v>0</v>
      </c>
      <c r="Q86" s="109">
        <f>'Actual RAB roll forward'!Q517</f>
        <v>0</v>
      </c>
      <c r="R86" s="28"/>
      <c r="S86" s="99"/>
      <c r="T86" s="99"/>
      <c r="U86" s="99"/>
      <c r="V86" s="99"/>
      <c r="W86" s="99"/>
      <c r="X86" s="99"/>
      <c r="Y86" s="99"/>
      <c r="Z86" s="99"/>
      <c r="AA86" s="99"/>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19"/>
      <c r="BL86" s="219"/>
    </row>
    <row r="87" spans="1:64" ht="12.75" hidden="1" customHeight="1" outlineLevel="1">
      <c r="A87" s="9"/>
      <c r="B87" s="9"/>
      <c r="C87" s="44"/>
      <c r="D87" s="128" t="str">
        <f>Asset17</f>
        <v>System IT (tx)</v>
      </c>
      <c r="E87" s="9"/>
      <c r="F87" s="9"/>
      <c r="G87" s="191">
        <f>'Actual RAB roll forward'!G518</f>
        <v>0</v>
      </c>
      <c r="H87" s="109">
        <f>'Actual RAB roll forward'!H518</f>
        <v>0</v>
      </c>
      <c r="I87" s="109">
        <f>'Actual RAB roll forward'!I518</f>
        <v>-0.42431776309249036</v>
      </c>
      <c r="J87" s="109">
        <f>'Actual RAB roll forward'!J518</f>
        <v>-1.6229591862502306</v>
      </c>
      <c r="K87" s="109">
        <f>'Actual RAB roll forward'!K518</f>
        <v>-2.7670394575047501</v>
      </c>
      <c r="L87" s="109">
        <f>'Actual RAB roll forward'!L518</f>
        <v>-3.5513066458721867</v>
      </c>
      <c r="M87" s="109">
        <f>'Actual RAB roll forward'!M518</f>
        <v>0</v>
      </c>
      <c r="N87" s="109">
        <f>'Actual RAB roll forward'!N518</f>
        <v>0</v>
      </c>
      <c r="O87" s="109">
        <f>'Actual RAB roll forward'!O518</f>
        <v>0</v>
      </c>
      <c r="P87" s="109">
        <f>'Actual RAB roll forward'!P518</f>
        <v>0</v>
      </c>
      <c r="Q87" s="109">
        <f>'Actual RAB roll forward'!Q518</f>
        <v>0</v>
      </c>
      <c r="R87" s="28"/>
      <c r="S87" s="99"/>
      <c r="T87" s="99"/>
      <c r="U87" s="99"/>
      <c r="V87" s="99"/>
      <c r="W87" s="99"/>
      <c r="X87" s="99"/>
      <c r="Y87" s="99"/>
      <c r="Z87" s="99"/>
      <c r="AA87" s="99"/>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19"/>
      <c r="BL87" s="219"/>
    </row>
    <row r="88" spans="1:64" ht="12.75" hidden="1" customHeight="1" outlineLevel="1">
      <c r="A88" s="9"/>
      <c r="B88" s="9"/>
      <c r="C88" s="44"/>
      <c r="D88" s="128" t="str">
        <f>Asset18</f>
        <v>IT systems</v>
      </c>
      <c r="E88" s="9"/>
      <c r="F88" s="9"/>
      <c r="G88" s="191">
        <f>'Actual RAB roll forward'!G519</f>
        <v>-1.7153405741005863</v>
      </c>
      <c r="H88" s="109">
        <f>'Actual RAB roll forward'!H519</f>
        <v>-3.6333515684969582</v>
      </c>
      <c r="I88" s="109">
        <f>'Actual RAB roll forward'!I519</f>
        <v>-4.9309004353754595</v>
      </c>
      <c r="J88" s="109">
        <f>'Actual RAB roll forward'!J519</f>
        <v>-6.9443259399253874</v>
      </c>
      <c r="K88" s="109">
        <f>'Actual RAB roll forward'!K519</f>
        <v>-7.8892463391868084</v>
      </c>
      <c r="L88" s="109">
        <f>'Actual RAB roll forward'!L519</f>
        <v>-5.1036933529701907</v>
      </c>
      <c r="M88" s="109">
        <f>'Actual RAB roll forward'!M519</f>
        <v>0</v>
      </c>
      <c r="N88" s="109">
        <f>'Actual RAB roll forward'!N519</f>
        <v>0</v>
      </c>
      <c r="O88" s="109">
        <f>'Actual RAB roll forward'!O519</f>
        <v>0</v>
      </c>
      <c r="P88" s="109">
        <f>'Actual RAB roll forward'!P519</f>
        <v>0</v>
      </c>
      <c r="Q88" s="109">
        <f>'Actual RAB roll forward'!Q519</f>
        <v>0</v>
      </c>
      <c r="R88" s="28"/>
      <c r="S88" s="99"/>
      <c r="T88" s="99"/>
      <c r="U88" s="99"/>
      <c r="V88" s="99"/>
      <c r="W88" s="99"/>
      <c r="X88" s="99"/>
      <c r="Y88" s="99"/>
      <c r="Z88" s="99"/>
      <c r="AA88" s="99"/>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19"/>
      <c r="BL88" s="219"/>
    </row>
    <row r="89" spans="1:64" ht="12.75" hidden="1" customHeight="1" outlineLevel="1">
      <c r="A89" s="9"/>
      <c r="B89" s="9"/>
      <c r="C89" s="44"/>
      <c r="D89" s="128" t="str">
        <f>Asset19</f>
        <v>Furniture, fittings, plant and equipment</v>
      </c>
      <c r="E89" s="9"/>
      <c r="F89" s="9"/>
      <c r="G89" s="191">
        <f>'Actual RAB roll forward'!G520</f>
        <v>-0.40428801570968126</v>
      </c>
      <c r="H89" s="109">
        <f>'Actual RAB roll forward'!H520</f>
        <v>-0.17627069523837091</v>
      </c>
      <c r="I89" s="109">
        <f>'Actual RAB roll forward'!I520</f>
        <v>-0.19987768903237563</v>
      </c>
      <c r="J89" s="109">
        <f>'Actual RAB roll forward'!J520</f>
        <v>-0.33813694236337244</v>
      </c>
      <c r="K89" s="109">
        <f>'Actual RAB roll forward'!K520</f>
        <v>-0.33822406384052417</v>
      </c>
      <c r="L89" s="109">
        <f>'Actual RAB roll forward'!L520</f>
        <v>-0.37982616052979556</v>
      </c>
      <c r="M89" s="109">
        <f>'Actual RAB roll forward'!M520</f>
        <v>0</v>
      </c>
      <c r="N89" s="109">
        <f>'Actual RAB roll forward'!N520</f>
        <v>0</v>
      </c>
      <c r="O89" s="109">
        <f>'Actual RAB roll forward'!O520</f>
        <v>0</v>
      </c>
      <c r="P89" s="109">
        <f>'Actual RAB roll forward'!P520</f>
        <v>0</v>
      </c>
      <c r="Q89" s="109">
        <f>'Actual RAB roll forward'!Q520</f>
        <v>0</v>
      </c>
      <c r="R89" s="28"/>
      <c r="S89" s="99"/>
      <c r="T89" s="99"/>
      <c r="U89" s="99"/>
      <c r="V89" s="99"/>
      <c r="W89" s="99"/>
      <c r="X89" s="99"/>
      <c r="Y89" s="99"/>
      <c r="Z89" s="99"/>
      <c r="AA89" s="99"/>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19"/>
      <c r="BL89" s="219"/>
    </row>
    <row r="90" spans="1:64" ht="12.75" hidden="1" customHeight="1" outlineLevel="1">
      <c r="A90" s="9"/>
      <c r="B90" s="9"/>
      <c r="C90" s="44"/>
      <c r="D90" s="128" t="str">
        <f>Asset20</f>
        <v>Motor vehicles</v>
      </c>
      <c r="E90" s="9"/>
      <c r="F90" s="9"/>
      <c r="G90" s="191">
        <f>'Actual RAB roll forward'!G521</f>
        <v>-1.3193475131116728</v>
      </c>
      <c r="H90" s="109">
        <f>'Actual RAB roll forward'!H521</f>
        <v>-1.2011314448785113</v>
      </c>
      <c r="I90" s="109">
        <f>'Actual RAB roll forward'!I521</f>
        <v>-1.4584140414387385</v>
      </c>
      <c r="J90" s="109">
        <f>'Actual RAB roll forward'!J521</f>
        <v>-2.1144168104966949</v>
      </c>
      <c r="K90" s="109">
        <f>'Actual RAB roll forward'!K521</f>
        <v>-2.3504813361232162</v>
      </c>
      <c r="L90" s="109">
        <f>'Actual RAB roll forward'!L521</f>
        <v>-2.6134478883667951</v>
      </c>
      <c r="M90" s="109">
        <f>'Actual RAB roll forward'!M521</f>
        <v>0</v>
      </c>
      <c r="N90" s="109">
        <f>'Actual RAB roll forward'!N521</f>
        <v>0</v>
      </c>
      <c r="O90" s="109">
        <f>'Actual RAB roll forward'!O521</f>
        <v>0</v>
      </c>
      <c r="P90" s="109">
        <f>'Actual RAB roll forward'!P521</f>
        <v>0</v>
      </c>
      <c r="Q90" s="109">
        <f>'Actual RAB roll forward'!Q521</f>
        <v>0</v>
      </c>
      <c r="R90" s="28"/>
      <c r="S90" s="99"/>
      <c r="T90" s="99"/>
      <c r="U90" s="99"/>
      <c r="V90" s="99"/>
      <c r="W90" s="99"/>
      <c r="X90" s="99"/>
      <c r="Y90" s="99"/>
      <c r="Z90" s="99"/>
      <c r="AA90" s="99"/>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19"/>
      <c r="BL90" s="219"/>
    </row>
    <row r="91" spans="1:64" ht="4.5" hidden="1" customHeight="1" outlineLevel="1">
      <c r="A91" s="9"/>
      <c r="B91" s="9"/>
      <c r="C91" s="44"/>
      <c r="D91" s="128" t="str">
        <f>Asset21</f>
        <v>Buildings</v>
      </c>
      <c r="E91" s="9"/>
      <c r="F91" s="9"/>
      <c r="G91" s="191">
        <f>'Actual RAB roll forward'!G522</f>
        <v>-1.801086194221913</v>
      </c>
      <c r="H91" s="109">
        <f>'Actual RAB roll forward'!H522</f>
        <v>-3.7481417490820013E-2</v>
      </c>
      <c r="I91" s="109">
        <f>'Actual RAB roll forward'!I522</f>
        <v>6.7150533679932067E-2</v>
      </c>
      <c r="J91" s="109">
        <f>'Actual RAB roll forward'!J522</f>
        <v>-0.49274100168052781</v>
      </c>
      <c r="K91" s="109">
        <f>'Actual RAB roll forward'!K522</f>
        <v>-0.24746336182332707</v>
      </c>
      <c r="L91" s="109">
        <f>'Actual RAB roll forward'!L522</f>
        <v>-0.29223083831587726</v>
      </c>
      <c r="M91" s="109">
        <f>'Actual RAB roll forward'!M522</f>
        <v>0</v>
      </c>
      <c r="N91" s="109">
        <f>'Actual RAB roll forward'!N522</f>
        <v>0</v>
      </c>
      <c r="O91" s="109">
        <f>'Actual RAB roll forward'!O522</f>
        <v>0</v>
      </c>
      <c r="P91" s="109">
        <f>'Actual RAB roll forward'!P522</f>
        <v>0</v>
      </c>
      <c r="Q91" s="109">
        <f>'Actual RAB roll forward'!Q522</f>
        <v>0</v>
      </c>
      <c r="R91" s="28"/>
      <c r="S91" s="99"/>
      <c r="T91" s="99"/>
      <c r="U91" s="99"/>
      <c r="V91" s="99"/>
      <c r="W91" s="99"/>
      <c r="X91" s="99"/>
      <c r="Y91" s="99"/>
      <c r="Z91" s="99"/>
      <c r="AA91" s="99"/>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19"/>
      <c r="BL91" s="219"/>
    </row>
    <row r="92" spans="1:64" ht="4.5" hidden="1" customHeight="1" outlineLevel="1">
      <c r="A92" s="9"/>
      <c r="B92" s="9"/>
      <c r="C92" s="44"/>
      <c r="D92" s="128" t="str">
        <f>Asset22</f>
        <v>Land (non-system)</v>
      </c>
      <c r="E92" s="9"/>
      <c r="F92" s="9"/>
      <c r="G92" s="191">
        <f>'Actual RAB roll forward'!G523</f>
        <v>-0.6813792564760206</v>
      </c>
      <c r="H92" s="109">
        <f>'Actual RAB roll forward'!H523</f>
        <v>0.19140913231407289</v>
      </c>
      <c r="I92" s="109">
        <f>'Actual RAB roll forward'!I523</f>
        <v>0.31924534128614823</v>
      </c>
      <c r="J92" s="109">
        <f>'Actual RAB roll forward'!J523</f>
        <v>0.17602806306607494</v>
      </c>
      <c r="K92" s="109">
        <f>'Actual RAB roll forward'!K523</f>
        <v>0.30443097142804337</v>
      </c>
      <c r="L92" s="109">
        <f>'Actual RAB roll forward'!L523</f>
        <v>0.31166145103741227</v>
      </c>
      <c r="M92" s="109">
        <f>'Actual RAB roll forward'!M523</f>
        <v>0</v>
      </c>
      <c r="N92" s="109">
        <f>'Actual RAB roll forward'!N523</f>
        <v>0</v>
      </c>
      <c r="O92" s="109">
        <f>'Actual RAB roll forward'!O523</f>
        <v>0</v>
      </c>
      <c r="P92" s="109">
        <f>'Actual RAB roll forward'!P523</f>
        <v>0</v>
      </c>
      <c r="Q92" s="109">
        <f>'Actual RAB roll forward'!Q523</f>
        <v>0</v>
      </c>
      <c r="R92" s="28"/>
      <c r="S92" s="99"/>
      <c r="T92" s="99"/>
      <c r="U92" s="99"/>
      <c r="V92" s="99"/>
      <c r="W92" s="99"/>
      <c r="X92" s="99"/>
      <c r="Y92" s="99"/>
      <c r="Z92" s="99"/>
      <c r="AA92" s="99"/>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19"/>
      <c r="BL92" s="219"/>
    </row>
    <row r="93" spans="1:64" ht="4.5" hidden="1" customHeight="1" outlineLevel="1">
      <c r="A93" s="9"/>
      <c r="B93" s="9"/>
      <c r="C93" s="44"/>
      <c r="D93" s="128" t="str">
        <f>Asset23</f>
        <v>Other non system assets</v>
      </c>
      <c r="E93" s="9"/>
      <c r="F93" s="9"/>
      <c r="G93" s="191">
        <f>'Actual RAB roll forward'!G524</f>
        <v>-1.5567965512453807</v>
      </c>
      <c r="H93" s="109">
        <f>'Actual RAB roll forward'!H524</f>
        <v>-0.85333703040011721</v>
      </c>
      <c r="I93" s="109">
        <f>'Actual RAB roll forward'!I524</f>
        <v>-0.85163593395120263</v>
      </c>
      <c r="J93" s="109">
        <f>'Actual RAB roll forward'!J524</f>
        <v>-1.1536165206726814</v>
      </c>
      <c r="K93" s="109">
        <f>'Actual RAB roll forward'!K524</f>
        <v>-1.0887547554088812</v>
      </c>
      <c r="L93" s="109">
        <f>'Actual RAB roll forward'!L524</f>
        <v>-1.1511599641476458</v>
      </c>
      <c r="M93" s="109">
        <f>'Actual RAB roll forward'!M524</f>
        <v>0</v>
      </c>
      <c r="N93" s="109">
        <f>'Actual RAB roll forward'!N524</f>
        <v>0</v>
      </c>
      <c r="O93" s="109">
        <f>'Actual RAB roll forward'!O524</f>
        <v>0</v>
      </c>
      <c r="P93" s="109">
        <f>'Actual RAB roll forward'!P524</f>
        <v>0</v>
      </c>
      <c r="Q93" s="109">
        <f>'Actual RAB roll forward'!Q524</f>
        <v>0</v>
      </c>
      <c r="R93" s="28"/>
      <c r="S93" s="99"/>
      <c r="T93" s="99"/>
      <c r="U93" s="99"/>
      <c r="V93" s="99"/>
      <c r="W93" s="99"/>
      <c r="X93" s="99"/>
      <c r="Y93" s="99"/>
      <c r="Z93" s="99"/>
      <c r="AA93" s="99"/>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19"/>
      <c r="BL93" s="219"/>
    </row>
    <row r="94" spans="1:64" ht="4.5" hidden="1" customHeight="1" outlineLevel="1">
      <c r="A94" s="9"/>
      <c r="B94" s="9"/>
      <c r="C94" s="44"/>
      <c r="D94" s="128" t="str">
        <f>Asset24</f>
        <v>Equity raising costs</v>
      </c>
      <c r="E94" s="9"/>
      <c r="F94" s="9"/>
      <c r="G94" s="191">
        <f>'Actual RAB roll forward'!G525</f>
        <v>0</v>
      </c>
      <c r="H94" s="109">
        <f>'Actual RAB roll forward'!H525</f>
        <v>0</v>
      </c>
      <c r="I94" s="109">
        <f>'Actual RAB roll forward'!I525</f>
        <v>7.1488556192779967E-2</v>
      </c>
      <c r="J94" s="109">
        <f>'Actual RAB roll forward'!J525</f>
        <v>-4.4796243926034374E-2</v>
      </c>
      <c r="K94" s="109">
        <f>'Actual RAB roll forward'!K525</f>
        <v>9.9150675379807984E-3</v>
      </c>
      <c r="L94" s="109">
        <f>'Actual RAB roll forward'!L525</f>
        <v>6.2639493609260577E-3</v>
      </c>
      <c r="M94" s="109">
        <f>'Actual RAB roll forward'!M525</f>
        <v>0</v>
      </c>
      <c r="N94" s="109">
        <f>'Actual RAB roll forward'!N525</f>
        <v>0</v>
      </c>
      <c r="O94" s="109">
        <f>'Actual RAB roll forward'!O525</f>
        <v>0</v>
      </c>
      <c r="P94" s="109">
        <f>'Actual RAB roll forward'!P525</f>
        <v>0</v>
      </c>
      <c r="Q94" s="109">
        <f>'Actual RAB roll forward'!Q525</f>
        <v>0</v>
      </c>
      <c r="R94" s="28"/>
      <c r="S94" s="99"/>
      <c r="T94" s="99"/>
      <c r="U94" s="99"/>
      <c r="V94" s="99"/>
      <c r="W94" s="99"/>
      <c r="X94" s="99"/>
      <c r="Y94" s="99"/>
      <c r="Z94" s="99"/>
      <c r="AA94" s="99"/>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19"/>
      <c r="BL94" s="219"/>
    </row>
    <row r="95" spans="1:64" ht="4.5" hidden="1" customHeight="1" outlineLevel="1">
      <c r="A95" s="9"/>
      <c r="B95" s="9"/>
      <c r="C95" s="44"/>
      <c r="D95" s="128">
        <f>Asset25</f>
        <v>0</v>
      </c>
      <c r="E95" s="9"/>
      <c r="F95" s="9"/>
      <c r="G95" s="191">
        <f>'Actual RAB roll forward'!G526</f>
        <v>0</v>
      </c>
      <c r="H95" s="109">
        <f>'Actual RAB roll forward'!H526</f>
        <v>0</v>
      </c>
      <c r="I95" s="109">
        <f>'Actual RAB roll forward'!I526</f>
        <v>0</v>
      </c>
      <c r="J95" s="109">
        <f>'Actual RAB roll forward'!J526</f>
        <v>0</v>
      </c>
      <c r="K95" s="109">
        <f>'Actual RAB roll forward'!K526</f>
        <v>0</v>
      </c>
      <c r="L95" s="109">
        <f>'Actual RAB roll forward'!L526</f>
        <v>0</v>
      </c>
      <c r="M95" s="109">
        <f>'Actual RAB roll forward'!M526</f>
        <v>0</v>
      </c>
      <c r="N95" s="109">
        <f>'Actual RAB roll forward'!N526</f>
        <v>0</v>
      </c>
      <c r="O95" s="109">
        <f>'Actual RAB roll forward'!O526</f>
        <v>0</v>
      </c>
      <c r="P95" s="109">
        <f>'Actual RAB roll forward'!P526</f>
        <v>0</v>
      </c>
      <c r="Q95" s="109">
        <f>'Actual RAB roll forward'!Q526</f>
        <v>0</v>
      </c>
      <c r="R95" s="28"/>
      <c r="S95" s="99"/>
      <c r="T95" s="99"/>
      <c r="U95" s="99"/>
      <c r="V95" s="99"/>
      <c r="W95" s="99"/>
      <c r="X95" s="99"/>
      <c r="Y95" s="99"/>
      <c r="Z95" s="99"/>
      <c r="AA95" s="99"/>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19"/>
      <c r="BL95" s="219"/>
    </row>
    <row r="96" spans="1:64" ht="4.5" hidden="1" customHeight="1" outlineLevel="1">
      <c r="A96" s="9"/>
      <c r="B96" s="9"/>
      <c r="C96" s="44"/>
      <c r="D96" s="128">
        <f>Asset26</f>
        <v>0</v>
      </c>
      <c r="E96" s="9"/>
      <c r="F96" s="9"/>
      <c r="G96" s="191">
        <f>'Actual RAB roll forward'!G527</f>
        <v>0</v>
      </c>
      <c r="H96" s="109">
        <f>'Actual RAB roll forward'!H527</f>
        <v>0</v>
      </c>
      <c r="I96" s="109">
        <f>'Actual RAB roll forward'!I527</f>
        <v>0</v>
      </c>
      <c r="J96" s="109">
        <f>'Actual RAB roll forward'!J527</f>
        <v>0</v>
      </c>
      <c r="K96" s="109">
        <f>'Actual RAB roll forward'!K527</f>
        <v>0</v>
      </c>
      <c r="L96" s="109">
        <f>'Actual RAB roll forward'!L527</f>
        <v>0</v>
      </c>
      <c r="M96" s="109">
        <f>'Actual RAB roll forward'!M527</f>
        <v>0</v>
      </c>
      <c r="N96" s="109">
        <f>'Actual RAB roll forward'!N527</f>
        <v>0</v>
      </c>
      <c r="O96" s="109">
        <f>'Actual RAB roll forward'!O527</f>
        <v>0</v>
      </c>
      <c r="P96" s="109">
        <f>'Actual RAB roll forward'!P527</f>
        <v>0</v>
      </c>
      <c r="Q96" s="109">
        <f>'Actual RAB roll forward'!Q527</f>
        <v>0</v>
      </c>
      <c r="R96" s="28"/>
      <c r="S96" s="99"/>
      <c r="T96" s="99"/>
      <c r="U96" s="99"/>
      <c r="V96" s="99"/>
      <c r="W96" s="99"/>
      <c r="X96" s="99"/>
      <c r="Y96" s="99"/>
      <c r="Z96" s="99"/>
      <c r="AA96" s="99"/>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19"/>
      <c r="BL96" s="219"/>
    </row>
    <row r="97" spans="1:64" ht="4.5" hidden="1" customHeight="1" outlineLevel="1">
      <c r="A97" s="9"/>
      <c r="B97" s="9"/>
      <c r="C97" s="44"/>
      <c r="D97" s="128">
        <f>Asset27</f>
        <v>0</v>
      </c>
      <c r="E97" s="9"/>
      <c r="F97" s="9"/>
      <c r="G97" s="191">
        <f>'Actual RAB roll forward'!G528</f>
        <v>0</v>
      </c>
      <c r="H97" s="109">
        <f>'Actual RAB roll forward'!H528</f>
        <v>0</v>
      </c>
      <c r="I97" s="109">
        <f>'Actual RAB roll forward'!I528</f>
        <v>0</v>
      </c>
      <c r="J97" s="109">
        <f>'Actual RAB roll forward'!J528</f>
        <v>0</v>
      </c>
      <c r="K97" s="109">
        <f>'Actual RAB roll forward'!K528</f>
        <v>0</v>
      </c>
      <c r="L97" s="109">
        <f>'Actual RAB roll forward'!L528</f>
        <v>0</v>
      </c>
      <c r="M97" s="109">
        <f>'Actual RAB roll forward'!M528</f>
        <v>0</v>
      </c>
      <c r="N97" s="109">
        <f>'Actual RAB roll forward'!N528</f>
        <v>0</v>
      </c>
      <c r="O97" s="109">
        <f>'Actual RAB roll forward'!O528</f>
        <v>0</v>
      </c>
      <c r="P97" s="109">
        <f>'Actual RAB roll forward'!P528</f>
        <v>0</v>
      </c>
      <c r="Q97" s="109">
        <f>'Actual RAB roll forward'!Q528</f>
        <v>0</v>
      </c>
      <c r="R97" s="28"/>
      <c r="S97" s="99"/>
      <c r="T97" s="99"/>
      <c r="U97" s="99"/>
      <c r="V97" s="99"/>
      <c r="W97" s="99"/>
      <c r="X97" s="99"/>
      <c r="Y97" s="99"/>
      <c r="Z97" s="99"/>
      <c r="AA97" s="99"/>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19"/>
      <c r="BL97" s="219"/>
    </row>
    <row r="98" spans="1:64" ht="4.5" hidden="1" customHeight="1" outlineLevel="1">
      <c r="A98" s="9"/>
      <c r="B98" s="9"/>
      <c r="C98" s="44"/>
      <c r="D98" s="128">
        <f>Asset28</f>
        <v>0</v>
      </c>
      <c r="E98" s="9"/>
      <c r="F98" s="9"/>
      <c r="G98" s="191">
        <f>'Actual RAB roll forward'!G529</f>
        <v>0</v>
      </c>
      <c r="H98" s="109">
        <f>'Actual RAB roll forward'!H529</f>
        <v>0</v>
      </c>
      <c r="I98" s="109">
        <f>'Actual RAB roll forward'!I529</f>
        <v>0</v>
      </c>
      <c r="J98" s="109">
        <f>'Actual RAB roll forward'!J529</f>
        <v>0</v>
      </c>
      <c r="K98" s="109">
        <f>'Actual RAB roll forward'!K529</f>
        <v>0</v>
      </c>
      <c r="L98" s="109">
        <f>'Actual RAB roll forward'!L529</f>
        <v>0</v>
      </c>
      <c r="M98" s="109">
        <f>'Actual RAB roll forward'!M529</f>
        <v>0</v>
      </c>
      <c r="N98" s="109">
        <f>'Actual RAB roll forward'!N529</f>
        <v>0</v>
      </c>
      <c r="O98" s="109">
        <f>'Actual RAB roll forward'!O529</f>
        <v>0</v>
      </c>
      <c r="P98" s="109">
        <f>'Actual RAB roll forward'!P529</f>
        <v>0</v>
      </c>
      <c r="Q98" s="109">
        <f>'Actual RAB roll forward'!Q529</f>
        <v>0</v>
      </c>
      <c r="R98" s="28"/>
      <c r="S98" s="99"/>
      <c r="T98" s="99"/>
      <c r="U98" s="99"/>
      <c r="V98" s="99"/>
      <c r="W98" s="99"/>
      <c r="X98" s="99"/>
      <c r="Y98" s="99"/>
      <c r="Z98" s="99"/>
      <c r="AA98" s="99"/>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19"/>
      <c r="BL98" s="219"/>
    </row>
    <row r="99" spans="1:64" ht="4.5" hidden="1" customHeight="1" outlineLevel="1">
      <c r="A99" s="9"/>
      <c r="B99" s="9"/>
      <c r="C99" s="44"/>
      <c r="D99" s="128">
        <f>Asset29</f>
        <v>0</v>
      </c>
      <c r="E99" s="9"/>
      <c r="F99" s="9"/>
      <c r="G99" s="191">
        <f>'Actual RAB roll forward'!G530</f>
        <v>0</v>
      </c>
      <c r="H99" s="109">
        <f>'Actual RAB roll forward'!H530</f>
        <v>0</v>
      </c>
      <c r="I99" s="109">
        <f>'Actual RAB roll forward'!I530</f>
        <v>0</v>
      </c>
      <c r="J99" s="109">
        <f>'Actual RAB roll forward'!J530</f>
        <v>0</v>
      </c>
      <c r="K99" s="109">
        <f>'Actual RAB roll forward'!K530</f>
        <v>0</v>
      </c>
      <c r="L99" s="109">
        <f>'Actual RAB roll forward'!L530</f>
        <v>0</v>
      </c>
      <c r="M99" s="109">
        <f>'Actual RAB roll forward'!M530</f>
        <v>0</v>
      </c>
      <c r="N99" s="109">
        <f>'Actual RAB roll forward'!N530</f>
        <v>0</v>
      </c>
      <c r="O99" s="109">
        <f>'Actual RAB roll forward'!O530</f>
        <v>0</v>
      </c>
      <c r="P99" s="109">
        <f>'Actual RAB roll forward'!P530</f>
        <v>0</v>
      </c>
      <c r="Q99" s="109">
        <f>'Actual RAB roll forward'!Q530</f>
        <v>0</v>
      </c>
      <c r="R99" s="28"/>
      <c r="S99" s="99"/>
      <c r="T99" s="99"/>
      <c r="U99" s="99"/>
      <c r="V99" s="99"/>
      <c r="W99" s="99"/>
      <c r="X99" s="99"/>
      <c r="Y99" s="99"/>
      <c r="Z99" s="99"/>
      <c r="AA99" s="99"/>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19"/>
      <c r="BL99" s="219"/>
    </row>
    <row r="100" spans="1:64" ht="4.5" hidden="1" customHeight="1" outlineLevel="1">
      <c r="A100" s="9"/>
      <c r="B100" s="9"/>
      <c r="C100" s="44"/>
      <c r="D100" s="128">
        <f>Asset30</f>
        <v>0</v>
      </c>
      <c r="E100" s="9"/>
      <c r="F100" s="9"/>
      <c r="G100" s="191">
        <f>'Actual RAB roll forward'!G531</f>
        <v>0</v>
      </c>
      <c r="H100" s="109">
        <f>'Actual RAB roll forward'!H531</f>
        <v>0</v>
      </c>
      <c r="I100" s="109">
        <f>'Actual RAB roll forward'!I531</f>
        <v>0</v>
      </c>
      <c r="J100" s="109">
        <f>'Actual RAB roll forward'!J531</f>
        <v>0</v>
      </c>
      <c r="K100" s="109">
        <f>'Actual RAB roll forward'!K531</f>
        <v>0</v>
      </c>
      <c r="L100" s="109">
        <f>'Actual RAB roll forward'!L531</f>
        <v>0</v>
      </c>
      <c r="M100" s="109">
        <f>'Actual RAB roll forward'!M531</f>
        <v>0</v>
      </c>
      <c r="N100" s="109">
        <f>'Actual RAB roll forward'!N531</f>
        <v>0</v>
      </c>
      <c r="O100" s="109">
        <f>'Actual RAB roll forward'!O531</f>
        <v>0</v>
      </c>
      <c r="P100" s="109">
        <f>'Actual RAB roll forward'!P531</f>
        <v>0</v>
      </c>
      <c r="Q100" s="109">
        <f>'Actual RAB roll forward'!Q531</f>
        <v>0</v>
      </c>
      <c r="R100" s="28"/>
      <c r="S100" s="99"/>
      <c r="T100" s="99"/>
      <c r="U100" s="99"/>
      <c r="V100" s="99"/>
      <c r="W100" s="99"/>
      <c r="X100" s="99"/>
      <c r="Y100" s="99"/>
      <c r="Z100" s="99"/>
      <c r="AA100" s="99"/>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19"/>
      <c r="BL100" s="219"/>
    </row>
    <row r="101" spans="1:64" collapsed="1">
      <c r="A101" s="9"/>
      <c r="B101" s="9"/>
      <c r="C101" s="44"/>
      <c r="D101" s="128"/>
      <c r="E101" s="9"/>
      <c r="F101" s="9"/>
      <c r="G101" s="202"/>
      <c r="H101" s="109"/>
      <c r="I101" s="109"/>
      <c r="J101" s="109"/>
      <c r="K101" s="109"/>
      <c r="L101" s="109"/>
      <c r="M101" s="109"/>
      <c r="N101" s="99"/>
      <c r="O101" s="28"/>
      <c r="P101" s="28"/>
      <c r="Q101" s="28"/>
      <c r="R101" s="28"/>
      <c r="S101" s="99"/>
      <c r="T101" s="99"/>
      <c r="U101" s="99"/>
      <c r="V101" s="99"/>
      <c r="W101" s="99"/>
      <c r="X101" s="99"/>
      <c r="Y101" s="99"/>
      <c r="Z101" s="99"/>
      <c r="AA101" s="99"/>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19"/>
      <c r="BL101" s="219"/>
    </row>
    <row r="102" spans="1:64">
      <c r="A102" s="9"/>
      <c r="B102" s="9"/>
      <c r="C102" s="44" t="s">
        <v>53</v>
      </c>
      <c r="D102" s="112"/>
      <c r="E102" s="9"/>
      <c r="F102" s="9"/>
      <c r="G102" s="198">
        <f>SUM(G103:G132)</f>
        <v>0</v>
      </c>
      <c r="H102" s="36"/>
      <c r="I102" s="36"/>
      <c r="J102" s="36"/>
      <c r="K102" s="36"/>
      <c r="L102" s="36"/>
      <c r="M102" s="36"/>
      <c r="N102" s="99"/>
      <c r="O102" s="28"/>
      <c r="P102" s="28"/>
      <c r="Q102" s="28"/>
      <c r="R102" s="28"/>
      <c r="S102" s="99"/>
      <c r="T102" s="99"/>
      <c r="U102" s="99"/>
      <c r="V102" s="99"/>
      <c r="W102" s="99"/>
      <c r="X102" s="99"/>
      <c r="Y102" s="99"/>
      <c r="Z102" s="99"/>
      <c r="AA102" s="99"/>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19"/>
      <c r="BL102" s="219"/>
    </row>
    <row r="103" spans="1:64" ht="12.75" hidden="1" customHeight="1" outlineLevel="1">
      <c r="A103" s="9"/>
      <c r="B103" s="9"/>
      <c r="C103" s="9"/>
      <c r="D103" s="128" t="str">
        <f>Asset1</f>
        <v>Transmission &amp; Zone land &amp; easements</v>
      </c>
      <c r="E103" s="9"/>
      <c r="F103" s="9"/>
      <c r="G103" s="194">
        <f>'Actual RAB roll forward'!G534</f>
        <v>0</v>
      </c>
      <c r="H103" s="36"/>
      <c r="I103" s="36"/>
      <c r="J103" s="36"/>
      <c r="K103" s="36"/>
      <c r="L103" s="36"/>
      <c r="M103" s="36"/>
      <c r="N103" s="99"/>
      <c r="O103" s="28"/>
      <c r="P103" s="28"/>
      <c r="Q103" s="28"/>
      <c r="R103" s="28"/>
      <c r="S103" s="99"/>
      <c r="T103" s="99"/>
      <c r="U103" s="99"/>
      <c r="V103" s="99"/>
      <c r="W103" s="99"/>
      <c r="X103" s="99"/>
      <c r="Y103" s="99"/>
      <c r="Z103" s="99"/>
      <c r="AA103" s="99"/>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19"/>
      <c r="BL103" s="219"/>
    </row>
    <row r="104" spans="1:64" ht="12.75" hidden="1" customHeight="1" outlineLevel="1">
      <c r="A104" s="9"/>
      <c r="B104" s="9"/>
      <c r="C104" s="44"/>
      <c r="D104" s="128" t="str">
        <f>Asset2</f>
        <v>Transmission buildings 132/66kV</v>
      </c>
      <c r="E104" s="9"/>
      <c r="F104" s="9"/>
      <c r="G104" s="194">
        <f>'Actual RAB roll forward'!G535</f>
        <v>0</v>
      </c>
      <c r="H104" s="36"/>
      <c r="I104" s="36"/>
      <c r="J104" s="36"/>
      <c r="K104" s="36"/>
      <c r="L104" s="36"/>
      <c r="M104" s="36"/>
      <c r="N104" s="99"/>
      <c r="O104" s="28"/>
      <c r="P104" s="28"/>
      <c r="Q104" s="28"/>
      <c r="R104" s="28"/>
      <c r="S104" s="99"/>
      <c r="T104" s="99"/>
      <c r="U104" s="99"/>
      <c r="V104" s="99"/>
      <c r="W104" s="99"/>
      <c r="X104" s="99"/>
      <c r="Y104" s="99"/>
      <c r="Z104" s="99"/>
      <c r="AA104" s="99"/>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19"/>
      <c r="BL104" s="219"/>
    </row>
    <row r="105" spans="1:64" ht="12.75" hidden="1" customHeight="1" outlineLevel="1">
      <c r="A105" s="9"/>
      <c r="B105" s="9"/>
      <c r="C105" s="44"/>
      <c r="D105" s="128" t="str">
        <f>Asset3</f>
        <v>Zone buildings 132/66kV</v>
      </c>
      <c r="E105" s="9"/>
      <c r="F105" s="9"/>
      <c r="G105" s="194">
        <f>'Actual RAB roll forward'!G536</f>
        <v>0</v>
      </c>
      <c r="H105" s="36"/>
      <c r="I105" s="36"/>
      <c r="J105" s="36"/>
      <c r="K105" s="36"/>
      <c r="L105" s="36"/>
      <c r="M105" s="36"/>
      <c r="N105" s="99"/>
      <c r="O105" s="28"/>
      <c r="P105" s="28"/>
      <c r="Q105" s="28"/>
      <c r="R105" s="28"/>
      <c r="S105" s="99"/>
      <c r="T105" s="99"/>
      <c r="U105" s="99"/>
      <c r="V105" s="99"/>
      <c r="W105" s="99"/>
      <c r="X105" s="99"/>
      <c r="Y105" s="99"/>
      <c r="Z105" s="99"/>
      <c r="AA105" s="99"/>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19"/>
      <c r="BL105" s="219"/>
    </row>
    <row r="106" spans="1:64" ht="12.75" hidden="1" customHeight="1" outlineLevel="1">
      <c r="A106" s="9"/>
      <c r="B106" s="9"/>
      <c r="C106" s="44"/>
      <c r="D106" s="128" t="str">
        <f>Asset4</f>
        <v>Transmission transformers 132/66kV</v>
      </c>
      <c r="E106" s="9"/>
      <c r="F106" s="9"/>
      <c r="G106" s="194">
        <f>'Actual RAB roll forward'!G537</f>
        <v>0</v>
      </c>
      <c r="H106" s="36"/>
      <c r="I106" s="36"/>
      <c r="J106" s="36"/>
      <c r="K106" s="36"/>
      <c r="L106" s="36"/>
      <c r="M106" s="36"/>
      <c r="N106" s="99"/>
      <c r="O106" s="28"/>
      <c r="P106" s="28"/>
      <c r="Q106" s="28"/>
      <c r="R106" s="28"/>
      <c r="S106" s="99"/>
      <c r="T106" s="99"/>
      <c r="U106" s="99"/>
      <c r="V106" s="99"/>
      <c r="W106" s="99"/>
      <c r="X106" s="99"/>
      <c r="Y106" s="99"/>
      <c r="Z106" s="99"/>
      <c r="AA106" s="99"/>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19"/>
      <c r="BL106" s="219"/>
    </row>
    <row r="107" spans="1:64" ht="12.75" hidden="1" customHeight="1" outlineLevel="1">
      <c r="A107" s="9"/>
      <c r="B107" s="9"/>
      <c r="C107" s="44"/>
      <c r="D107" s="128" t="str">
        <f>Asset5</f>
        <v>Zone transformers 132/66kV</v>
      </c>
      <c r="E107" s="9"/>
      <c r="F107" s="9"/>
      <c r="G107" s="194">
        <f>'Actual RAB roll forward'!G538</f>
        <v>0</v>
      </c>
      <c r="H107" s="36"/>
      <c r="I107" s="36"/>
      <c r="J107" s="36"/>
      <c r="K107" s="36"/>
      <c r="L107" s="36"/>
      <c r="M107" s="36"/>
      <c r="N107" s="99"/>
      <c r="O107" s="28"/>
      <c r="P107" s="28"/>
      <c r="Q107" s="28"/>
      <c r="R107" s="28"/>
      <c r="S107" s="99"/>
      <c r="T107" s="99"/>
      <c r="U107" s="99"/>
      <c r="V107" s="99"/>
      <c r="W107" s="99"/>
      <c r="X107" s="99"/>
      <c r="Y107" s="99"/>
      <c r="Z107" s="99"/>
      <c r="AA107" s="99"/>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19"/>
      <c r="BL107" s="219"/>
    </row>
    <row r="108" spans="1:64" ht="12.75" hidden="1" customHeight="1" outlineLevel="1">
      <c r="A108" s="9"/>
      <c r="B108" s="9"/>
      <c r="C108" s="44"/>
      <c r="D108" s="128" t="str">
        <f>Asset6</f>
        <v>Transmission substation equip 132/66kV</v>
      </c>
      <c r="E108" s="9"/>
      <c r="F108" s="9"/>
      <c r="G108" s="194">
        <f>'Actual RAB roll forward'!G539</f>
        <v>0</v>
      </c>
      <c r="H108" s="36"/>
      <c r="I108" s="36"/>
      <c r="J108" s="36"/>
      <c r="K108" s="36"/>
      <c r="L108" s="36"/>
      <c r="M108" s="36"/>
      <c r="N108" s="99"/>
      <c r="O108" s="28"/>
      <c r="P108" s="28"/>
      <c r="Q108" s="28"/>
      <c r="R108" s="28"/>
      <c r="S108" s="99"/>
      <c r="T108" s="99"/>
      <c r="U108" s="99"/>
      <c r="V108" s="99"/>
      <c r="W108" s="99"/>
      <c r="X108" s="99"/>
      <c r="Y108" s="99"/>
      <c r="Z108" s="99"/>
      <c r="AA108" s="99"/>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19"/>
      <c r="BL108" s="219"/>
    </row>
    <row r="109" spans="1:64" ht="12.75" hidden="1" customHeight="1" outlineLevel="1">
      <c r="A109" s="9"/>
      <c r="B109" s="9"/>
      <c r="C109" s="44"/>
      <c r="D109" s="128" t="str">
        <f>Asset7</f>
        <v>Zone substation equip 132/66kV</v>
      </c>
      <c r="E109" s="9"/>
      <c r="F109" s="9"/>
      <c r="G109" s="194">
        <f>'Actual RAB roll forward'!G540</f>
        <v>0</v>
      </c>
      <c r="H109" s="36"/>
      <c r="I109" s="36"/>
      <c r="J109" s="36"/>
      <c r="K109" s="36"/>
      <c r="L109" s="36"/>
      <c r="M109" s="36"/>
      <c r="N109" s="99"/>
      <c r="O109" s="28"/>
      <c r="P109" s="28"/>
      <c r="Q109" s="28"/>
      <c r="R109" s="28"/>
      <c r="S109" s="99"/>
      <c r="T109" s="99"/>
      <c r="U109" s="99"/>
      <c r="V109" s="99"/>
      <c r="W109" s="99"/>
      <c r="X109" s="99"/>
      <c r="Y109" s="99"/>
      <c r="Z109" s="99"/>
      <c r="AA109" s="99"/>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19"/>
      <c r="BL109" s="219"/>
    </row>
    <row r="110" spans="1:64" ht="12.75" hidden="1" customHeight="1" outlineLevel="1">
      <c r="A110" s="9"/>
      <c r="B110" s="9"/>
      <c r="C110" s="44"/>
      <c r="D110" s="128" t="str">
        <f>Asset8</f>
        <v>Transmission &amp; Zone emergency spares</v>
      </c>
      <c r="E110" s="9"/>
      <c r="F110" s="9"/>
      <c r="G110" s="194">
        <f>'Actual RAB roll forward'!G541</f>
        <v>0</v>
      </c>
      <c r="H110" s="36"/>
      <c r="I110" s="36"/>
      <c r="J110" s="36"/>
      <c r="K110" s="36"/>
      <c r="L110" s="36"/>
      <c r="M110" s="36"/>
      <c r="N110" s="99"/>
      <c r="O110" s="28"/>
      <c r="P110" s="28"/>
      <c r="Q110" s="28"/>
      <c r="R110" s="28"/>
      <c r="S110" s="99"/>
      <c r="T110" s="99"/>
      <c r="U110" s="99"/>
      <c r="V110" s="99"/>
      <c r="W110" s="99"/>
      <c r="X110" s="99"/>
      <c r="Y110" s="99"/>
      <c r="Z110" s="99"/>
      <c r="AA110" s="99"/>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19"/>
      <c r="BL110" s="219"/>
    </row>
    <row r="111" spans="1:64" ht="12.75" hidden="1" customHeight="1" outlineLevel="1">
      <c r="A111" s="9"/>
      <c r="B111" s="9"/>
      <c r="C111" s="44"/>
      <c r="D111" s="128" t="str">
        <f>Asset9</f>
        <v>Ancillary substation equipment (tx)</v>
      </c>
      <c r="E111" s="9"/>
      <c r="F111" s="9"/>
      <c r="G111" s="194">
        <f>'Actual RAB roll forward'!G542</f>
        <v>0</v>
      </c>
      <c r="H111" s="36"/>
      <c r="I111" s="36"/>
      <c r="J111" s="36"/>
      <c r="K111" s="36"/>
      <c r="L111" s="36"/>
      <c r="M111" s="36"/>
      <c r="N111" s="99"/>
      <c r="O111" s="28"/>
      <c r="P111" s="28"/>
      <c r="Q111" s="28"/>
      <c r="R111" s="28"/>
      <c r="S111" s="99"/>
      <c r="T111" s="99"/>
      <c r="U111" s="99"/>
      <c r="V111" s="99"/>
      <c r="W111" s="99"/>
      <c r="X111" s="99"/>
      <c r="Y111" s="99"/>
      <c r="Z111" s="99"/>
      <c r="AA111" s="99"/>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19"/>
      <c r="BL111" s="219"/>
    </row>
    <row r="112" spans="1:64" ht="12.75" hidden="1" customHeight="1" outlineLevel="1">
      <c r="A112" s="9"/>
      <c r="B112" s="9"/>
      <c r="C112" s="44"/>
      <c r="D112" s="128" t="str">
        <f>Asset10</f>
        <v>132kV tower lines</v>
      </c>
      <c r="E112" s="9"/>
      <c r="F112" s="9"/>
      <c r="G112" s="194">
        <f>'Actual RAB roll forward'!G543</f>
        <v>0</v>
      </c>
      <c r="H112" s="36"/>
      <c r="I112" s="36"/>
      <c r="J112" s="36"/>
      <c r="K112" s="36"/>
      <c r="L112" s="36"/>
      <c r="M112" s="36"/>
      <c r="N112" s="99"/>
      <c r="O112" s="28"/>
      <c r="P112" s="28"/>
      <c r="Q112" s="28"/>
      <c r="R112" s="28"/>
      <c r="S112" s="99"/>
      <c r="T112" s="99"/>
      <c r="U112" s="99"/>
      <c r="V112" s="99"/>
      <c r="W112" s="99"/>
      <c r="X112" s="99"/>
      <c r="Y112" s="99"/>
      <c r="Z112" s="99"/>
      <c r="AA112" s="99"/>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19"/>
      <c r="BL112" s="219"/>
    </row>
    <row r="113" spans="1:64" ht="12.75" hidden="1" customHeight="1" outlineLevel="1">
      <c r="A113" s="9"/>
      <c r="B113" s="9"/>
      <c r="C113" s="44"/>
      <c r="D113" s="128" t="str">
        <f>Asset11</f>
        <v>132kV concrete &amp; steel pole lines</v>
      </c>
      <c r="E113" s="9"/>
      <c r="F113" s="9"/>
      <c r="G113" s="194">
        <f>'Actual RAB roll forward'!G544</f>
        <v>0</v>
      </c>
      <c r="H113" s="36"/>
      <c r="I113" s="36"/>
      <c r="J113" s="36"/>
      <c r="K113" s="36"/>
      <c r="L113" s="36"/>
      <c r="M113" s="36"/>
      <c r="N113" s="99"/>
      <c r="O113" s="28"/>
      <c r="P113" s="28"/>
      <c r="Q113" s="28"/>
      <c r="R113" s="28"/>
      <c r="S113" s="99"/>
      <c r="T113" s="99"/>
      <c r="U113" s="99"/>
      <c r="V113" s="99"/>
      <c r="W113" s="99"/>
      <c r="X113" s="99"/>
      <c r="Y113" s="99"/>
      <c r="Z113" s="99"/>
      <c r="AA113" s="99"/>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19"/>
      <c r="BL113" s="219"/>
    </row>
    <row r="114" spans="1:64" ht="12.75" hidden="1" customHeight="1" outlineLevel="1">
      <c r="A114" s="9"/>
      <c r="B114" s="9"/>
      <c r="C114" s="44"/>
      <c r="D114" s="128" t="str">
        <f>Asset12</f>
        <v>132kV wood pole lines</v>
      </c>
      <c r="E114" s="9"/>
      <c r="F114" s="9"/>
      <c r="G114" s="194">
        <f>'Actual RAB roll forward'!G545</f>
        <v>0</v>
      </c>
      <c r="H114" s="36"/>
      <c r="I114" s="36"/>
      <c r="J114" s="36"/>
      <c r="K114" s="36"/>
      <c r="L114" s="36"/>
      <c r="M114" s="36"/>
      <c r="N114" s="99"/>
      <c r="O114" s="28"/>
      <c r="P114" s="28"/>
      <c r="Q114" s="28"/>
      <c r="R114" s="28"/>
      <c r="S114" s="99"/>
      <c r="T114" s="99"/>
      <c r="U114" s="99"/>
      <c r="V114" s="99"/>
      <c r="W114" s="99"/>
      <c r="X114" s="99"/>
      <c r="Y114" s="99"/>
      <c r="Z114" s="99"/>
      <c r="AA114" s="99"/>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19"/>
      <c r="BL114" s="219"/>
    </row>
    <row r="115" spans="1:64" ht="12.75" hidden="1" customHeight="1" outlineLevel="1">
      <c r="A115" s="9"/>
      <c r="B115" s="9"/>
      <c r="C115" s="44"/>
      <c r="D115" s="128" t="str">
        <f>Asset13</f>
        <v>132kV feeders underground</v>
      </c>
      <c r="E115" s="9"/>
      <c r="F115" s="9"/>
      <c r="G115" s="194">
        <f>'Actual RAB roll forward'!G546</f>
        <v>0</v>
      </c>
      <c r="H115" s="36"/>
      <c r="I115" s="36"/>
      <c r="J115" s="36"/>
      <c r="K115" s="36"/>
      <c r="L115" s="36"/>
      <c r="M115" s="36"/>
      <c r="N115" s="99"/>
      <c r="O115" s="28"/>
      <c r="P115" s="28"/>
      <c r="Q115" s="28"/>
      <c r="R115" s="28"/>
      <c r="S115" s="99"/>
      <c r="T115" s="99"/>
      <c r="U115" s="99"/>
      <c r="V115" s="99"/>
      <c r="W115" s="99"/>
      <c r="X115" s="99"/>
      <c r="Y115" s="99"/>
      <c r="Z115" s="99"/>
      <c r="AA115" s="99"/>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19"/>
      <c r="BL115" s="219"/>
    </row>
    <row r="116" spans="1:64" ht="12.75" hidden="1" customHeight="1" outlineLevel="1">
      <c r="A116" s="9"/>
      <c r="B116" s="9"/>
      <c r="C116" s="44"/>
      <c r="D116" s="128" t="str">
        <f>Asset14</f>
        <v>Cable tunnel (tx)</v>
      </c>
      <c r="E116" s="9"/>
      <c r="F116" s="9"/>
      <c r="G116" s="194">
        <f>'Actual RAB roll forward'!G547</f>
        <v>0</v>
      </c>
      <c r="H116" s="36"/>
      <c r="I116" s="36"/>
      <c r="J116" s="36"/>
      <c r="K116" s="36"/>
      <c r="L116" s="36"/>
      <c r="M116" s="36"/>
      <c r="N116" s="99"/>
      <c r="O116" s="28"/>
      <c r="P116" s="28"/>
      <c r="Q116" s="28"/>
      <c r="R116" s="28"/>
      <c r="S116" s="99"/>
      <c r="T116" s="99"/>
      <c r="U116" s="99"/>
      <c r="V116" s="99"/>
      <c r="W116" s="99"/>
      <c r="X116" s="99"/>
      <c r="Y116" s="99"/>
      <c r="Z116" s="99"/>
      <c r="AA116" s="99"/>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19"/>
      <c r="BL116" s="219"/>
    </row>
    <row r="117" spans="1:64" ht="12.75" hidden="1" customHeight="1" outlineLevel="1">
      <c r="A117" s="9"/>
      <c r="B117" s="9"/>
      <c r="C117" s="44"/>
      <c r="D117" s="128" t="str">
        <f>Asset15</f>
        <v>Network control &amp; com systems</v>
      </c>
      <c r="E117" s="9"/>
      <c r="F117" s="9"/>
      <c r="G117" s="194">
        <f>'Actual RAB roll forward'!G548</f>
        <v>0</v>
      </c>
      <c r="H117" s="36"/>
      <c r="I117" s="36"/>
      <c r="J117" s="36"/>
      <c r="K117" s="36"/>
      <c r="L117" s="36"/>
      <c r="M117" s="36"/>
      <c r="N117" s="99"/>
      <c r="O117" s="28"/>
      <c r="P117" s="28"/>
      <c r="Q117" s="28"/>
      <c r="R117" s="28"/>
      <c r="S117" s="99"/>
      <c r="T117" s="99"/>
      <c r="U117" s="99"/>
      <c r="V117" s="99"/>
      <c r="W117" s="99"/>
      <c r="X117" s="99"/>
      <c r="Y117" s="99"/>
      <c r="Z117" s="99"/>
      <c r="AA117" s="99"/>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19"/>
      <c r="BL117" s="219"/>
    </row>
    <row r="118" spans="1:64" ht="12.75" hidden="1" customHeight="1" outlineLevel="1">
      <c r="A118" s="9"/>
      <c r="B118" s="9"/>
      <c r="C118" s="44"/>
      <c r="D118" s="128" t="str">
        <f>Asset16</f>
        <v>Communications (digital) - tx</v>
      </c>
      <c r="E118" s="9"/>
      <c r="F118" s="9"/>
      <c r="G118" s="194">
        <f>'Actual RAB roll forward'!G549</f>
        <v>0</v>
      </c>
      <c r="H118" s="36"/>
      <c r="I118" s="36"/>
      <c r="J118" s="36"/>
      <c r="K118" s="36"/>
      <c r="L118" s="36"/>
      <c r="M118" s="36"/>
      <c r="N118" s="99"/>
      <c r="O118" s="28"/>
      <c r="P118" s="28"/>
      <c r="Q118" s="28"/>
      <c r="R118" s="28"/>
      <c r="S118" s="99"/>
      <c r="T118" s="99"/>
      <c r="U118" s="99"/>
      <c r="V118" s="99"/>
      <c r="W118" s="99"/>
      <c r="X118" s="99"/>
      <c r="Y118" s="99"/>
      <c r="Z118" s="99"/>
      <c r="AA118" s="99"/>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19"/>
      <c r="BL118" s="219"/>
    </row>
    <row r="119" spans="1:64" ht="12.75" hidden="1" customHeight="1" outlineLevel="1">
      <c r="A119" s="9"/>
      <c r="B119" s="9"/>
      <c r="C119" s="44"/>
      <c r="D119" s="128" t="str">
        <f>Asset17</f>
        <v>System IT (tx)</v>
      </c>
      <c r="E119" s="9"/>
      <c r="F119" s="9"/>
      <c r="G119" s="194">
        <f>'Actual RAB roll forward'!G550</f>
        <v>0</v>
      </c>
      <c r="H119" s="36"/>
      <c r="I119" s="36"/>
      <c r="J119" s="36"/>
      <c r="K119" s="36"/>
      <c r="L119" s="36"/>
      <c r="M119" s="36"/>
      <c r="N119" s="99"/>
      <c r="O119" s="28"/>
      <c r="P119" s="28"/>
      <c r="Q119" s="28"/>
      <c r="R119" s="28"/>
      <c r="S119" s="99"/>
      <c r="T119" s="99"/>
      <c r="U119" s="99"/>
      <c r="V119" s="99"/>
      <c r="W119" s="99"/>
      <c r="X119" s="99"/>
      <c r="Y119" s="99"/>
      <c r="Z119" s="99"/>
      <c r="AA119" s="99"/>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19"/>
      <c r="BL119" s="219"/>
    </row>
    <row r="120" spans="1:64" ht="12.75" hidden="1" customHeight="1" outlineLevel="1">
      <c r="A120" s="9"/>
      <c r="B120" s="9"/>
      <c r="C120" s="44"/>
      <c r="D120" s="128" t="str">
        <f>Asset18</f>
        <v>IT systems</v>
      </c>
      <c r="E120" s="9"/>
      <c r="F120" s="9"/>
      <c r="G120" s="194">
        <f>'Actual RAB roll forward'!G551</f>
        <v>0</v>
      </c>
      <c r="H120" s="36"/>
      <c r="I120" s="36"/>
      <c r="J120" s="36"/>
      <c r="K120" s="36"/>
      <c r="L120" s="36"/>
      <c r="M120" s="36"/>
      <c r="N120" s="99"/>
      <c r="O120" s="28"/>
      <c r="P120" s="28"/>
      <c r="Q120" s="28"/>
      <c r="R120" s="28"/>
      <c r="S120" s="99"/>
      <c r="T120" s="99"/>
      <c r="U120" s="99"/>
      <c r="V120" s="99"/>
      <c r="W120" s="99"/>
      <c r="X120" s="99"/>
      <c r="Y120" s="99"/>
      <c r="Z120" s="99"/>
      <c r="AA120" s="99"/>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19"/>
      <c r="BL120" s="219"/>
    </row>
    <row r="121" spans="1:64" ht="12.75" hidden="1" customHeight="1" outlineLevel="1">
      <c r="A121" s="9"/>
      <c r="B121" s="9"/>
      <c r="C121" s="44"/>
      <c r="D121" s="128" t="str">
        <f>Asset19</f>
        <v>Furniture, fittings, plant and equipment</v>
      </c>
      <c r="E121" s="9"/>
      <c r="F121" s="9"/>
      <c r="G121" s="194">
        <f>'Actual RAB roll forward'!G552</f>
        <v>0</v>
      </c>
      <c r="H121" s="36"/>
      <c r="I121" s="36"/>
      <c r="J121" s="36"/>
      <c r="K121" s="36"/>
      <c r="L121" s="36"/>
      <c r="M121" s="36"/>
      <c r="N121" s="99"/>
      <c r="O121" s="28"/>
      <c r="P121" s="28"/>
      <c r="Q121" s="28"/>
      <c r="R121" s="28"/>
      <c r="S121" s="99"/>
      <c r="T121" s="99"/>
      <c r="U121" s="99"/>
      <c r="V121" s="99"/>
      <c r="W121" s="99"/>
      <c r="X121" s="99"/>
      <c r="Y121" s="99"/>
      <c r="Z121" s="99"/>
      <c r="AA121" s="99"/>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19"/>
      <c r="BL121" s="219"/>
    </row>
    <row r="122" spans="1:64" ht="17.25" hidden="1" customHeight="1" outlineLevel="1">
      <c r="A122" s="9"/>
      <c r="B122" s="9"/>
      <c r="C122" s="44"/>
      <c r="D122" s="128" t="str">
        <f>Asset20</f>
        <v>Motor vehicles</v>
      </c>
      <c r="E122" s="9"/>
      <c r="F122" s="9"/>
      <c r="G122" s="194">
        <f>'Actual RAB roll forward'!G553</f>
        <v>0</v>
      </c>
      <c r="H122" s="36"/>
      <c r="I122" s="36"/>
      <c r="J122" s="36"/>
      <c r="K122" s="36"/>
      <c r="L122" s="36"/>
      <c r="M122" s="36"/>
      <c r="N122" s="99"/>
      <c r="O122" s="28"/>
      <c r="P122" s="28"/>
      <c r="Q122" s="28"/>
      <c r="R122" s="28"/>
      <c r="S122" s="99"/>
      <c r="T122" s="99"/>
      <c r="U122" s="99"/>
      <c r="V122" s="99"/>
      <c r="W122" s="99"/>
      <c r="X122" s="99"/>
      <c r="Y122" s="99"/>
      <c r="Z122" s="99"/>
      <c r="AA122" s="99"/>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19"/>
      <c r="BL122" s="219"/>
    </row>
    <row r="123" spans="1:64" ht="17.25" hidden="1" customHeight="1" outlineLevel="1">
      <c r="A123" s="9"/>
      <c r="B123" s="9"/>
      <c r="C123" s="44"/>
      <c r="D123" s="128" t="str">
        <f>Asset21</f>
        <v>Buildings</v>
      </c>
      <c r="E123" s="9"/>
      <c r="F123" s="9"/>
      <c r="G123" s="194">
        <f>'Actual RAB roll forward'!G554</f>
        <v>0</v>
      </c>
      <c r="H123" s="36"/>
      <c r="I123" s="36"/>
      <c r="J123" s="36"/>
      <c r="K123" s="36"/>
      <c r="L123" s="36"/>
      <c r="M123" s="36"/>
      <c r="N123" s="99"/>
      <c r="O123" s="28"/>
      <c r="P123" s="28"/>
      <c r="Q123" s="28"/>
      <c r="R123" s="28"/>
      <c r="S123" s="99"/>
      <c r="T123" s="99"/>
      <c r="U123" s="99"/>
      <c r="V123" s="99"/>
      <c r="W123" s="99"/>
      <c r="X123" s="99"/>
      <c r="Y123" s="99"/>
      <c r="Z123" s="99"/>
      <c r="AA123" s="99"/>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19"/>
      <c r="BL123" s="219"/>
    </row>
    <row r="124" spans="1:64" ht="17.25" hidden="1" customHeight="1" outlineLevel="1">
      <c r="A124" s="9"/>
      <c r="B124" s="9"/>
      <c r="C124" s="44"/>
      <c r="D124" s="128" t="str">
        <f>Asset22</f>
        <v>Land (non-system)</v>
      </c>
      <c r="E124" s="9"/>
      <c r="F124" s="9"/>
      <c r="G124" s="194">
        <f>'Actual RAB roll forward'!G555</f>
        <v>0</v>
      </c>
      <c r="H124" s="36"/>
      <c r="I124" s="36"/>
      <c r="J124" s="36"/>
      <c r="K124" s="36"/>
      <c r="L124" s="36"/>
      <c r="M124" s="36"/>
      <c r="N124" s="99"/>
      <c r="O124" s="28"/>
      <c r="P124" s="28"/>
      <c r="Q124" s="28"/>
      <c r="R124" s="28"/>
      <c r="S124" s="99"/>
      <c r="T124" s="99"/>
      <c r="U124" s="99"/>
      <c r="V124" s="99"/>
      <c r="W124" s="99"/>
      <c r="X124" s="99"/>
      <c r="Y124" s="99"/>
      <c r="Z124" s="99"/>
      <c r="AA124" s="99"/>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19"/>
      <c r="BL124" s="219"/>
    </row>
    <row r="125" spans="1:64" ht="17.25" hidden="1" customHeight="1" outlineLevel="1">
      <c r="A125" s="9"/>
      <c r="B125" s="9"/>
      <c r="C125" s="44"/>
      <c r="D125" s="128" t="str">
        <f>Asset23</f>
        <v>Other non system assets</v>
      </c>
      <c r="E125" s="9"/>
      <c r="F125" s="9"/>
      <c r="G125" s="194">
        <f>'Actual RAB roll forward'!G556</f>
        <v>0</v>
      </c>
      <c r="H125" s="36"/>
      <c r="I125" s="36"/>
      <c r="J125" s="36"/>
      <c r="K125" s="36"/>
      <c r="L125" s="36"/>
      <c r="M125" s="36"/>
      <c r="N125" s="99"/>
      <c r="O125" s="28"/>
      <c r="P125" s="28"/>
      <c r="Q125" s="28"/>
      <c r="R125" s="28"/>
      <c r="S125" s="99"/>
      <c r="T125" s="99"/>
      <c r="U125" s="99"/>
      <c r="V125" s="99"/>
      <c r="W125" s="99"/>
      <c r="X125" s="99"/>
      <c r="Y125" s="99"/>
      <c r="Z125" s="99"/>
      <c r="AA125" s="99"/>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19"/>
      <c r="BL125" s="219"/>
    </row>
    <row r="126" spans="1:64" ht="17.25" hidden="1" customHeight="1" outlineLevel="1">
      <c r="A126" s="9"/>
      <c r="B126" s="9"/>
      <c r="C126" s="44"/>
      <c r="D126" s="128" t="str">
        <f>Asset24</f>
        <v>Equity raising costs</v>
      </c>
      <c r="E126" s="9"/>
      <c r="F126" s="9"/>
      <c r="G126" s="194">
        <f>'Actual RAB roll forward'!G557</f>
        <v>0</v>
      </c>
      <c r="H126" s="36"/>
      <c r="I126" s="36"/>
      <c r="J126" s="36"/>
      <c r="K126" s="36"/>
      <c r="L126" s="36"/>
      <c r="M126" s="36"/>
      <c r="N126" s="99"/>
      <c r="O126" s="28"/>
      <c r="P126" s="28"/>
      <c r="Q126" s="28"/>
      <c r="R126" s="28"/>
      <c r="S126" s="99"/>
      <c r="T126" s="99"/>
      <c r="U126" s="99"/>
      <c r="V126" s="99"/>
      <c r="W126" s="99"/>
      <c r="X126" s="99"/>
      <c r="Y126" s="99"/>
      <c r="Z126" s="99"/>
      <c r="AA126" s="99"/>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19"/>
      <c r="BL126" s="219"/>
    </row>
    <row r="127" spans="1:64" ht="17.25" hidden="1" customHeight="1" outlineLevel="1">
      <c r="A127" s="9"/>
      <c r="B127" s="9"/>
      <c r="C127" s="44"/>
      <c r="D127" s="128">
        <f>Asset25</f>
        <v>0</v>
      </c>
      <c r="E127" s="9"/>
      <c r="F127" s="9"/>
      <c r="G127" s="194">
        <f>'Actual RAB roll forward'!G558</f>
        <v>0</v>
      </c>
      <c r="H127" s="36"/>
      <c r="I127" s="36"/>
      <c r="J127" s="36"/>
      <c r="K127" s="36"/>
      <c r="L127" s="36"/>
      <c r="M127" s="36"/>
      <c r="N127" s="99"/>
      <c r="O127" s="28"/>
      <c r="P127" s="28"/>
      <c r="Q127" s="28"/>
      <c r="R127" s="28"/>
      <c r="S127" s="99"/>
      <c r="T127" s="99"/>
      <c r="U127" s="99"/>
      <c r="V127" s="99"/>
      <c r="W127" s="99"/>
      <c r="X127" s="99"/>
      <c r="Y127" s="99"/>
      <c r="Z127" s="99"/>
      <c r="AA127" s="99"/>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19"/>
      <c r="BL127" s="219"/>
    </row>
    <row r="128" spans="1:64" ht="17.25" hidden="1" customHeight="1" outlineLevel="1">
      <c r="A128" s="9"/>
      <c r="B128" s="9"/>
      <c r="C128" s="44"/>
      <c r="D128" s="128">
        <f>Asset26</f>
        <v>0</v>
      </c>
      <c r="E128" s="9"/>
      <c r="F128" s="9"/>
      <c r="G128" s="194">
        <f>'Actual RAB roll forward'!G559</f>
        <v>0</v>
      </c>
      <c r="H128" s="36"/>
      <c r="I128" s="36"/>
      <c r="J128" s="36"/>
      <c r="K128" s="36"/>
      <c r="L128" s="36"/>
      <c r="M128" s="36"/>
      <c r="N128" s="99"/>
      <c r="O128" s="28"/>
      <c r="P128" s="28"/>
      <c r="Q128" s="28"/>
      <c r="R128" s="28"/>
      <c r="S128" s="99"/>
      <c r="T128" s="99"/>
      <c r="U128" s="99"/>
      <c r="V128" s="99"/>
      <c r="W128" s="99"/>
      <c r="X128" s="99"/>
      <c r="Y128" s="99"/>
      <c r="Z128" s="99"/>
      <c r="AA128" s="99"/>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19"/>
      <c r="BL128" s="219"/>
    </row>
    <row r="129" spans="1:64" ht="17.25" hidden="1" customHeight="1" outlineLevel="1">
      <c r="A129" s="9"/>
      <c r="B129" s="9"/>
      <c r="C129" s="44"/>
      <c r="D129" s="128">
        <f>Asset27</f>
        <v>0</v>
      </c>
      <c r="E129" s="9"/>
      <c r="F129" s="9"/>
      <c r="G129" s="194">
        <f>'Actual RAB roll forward'!G560</f>
        <v>0</v>
      </c>
      <c r="H129" s="36"/>
      <c r="I129" s="36"/>
      <c r="J129" s="36"/>
      <c r="K129" s="36"/>
      <c r="L129" s="36"/>
      <c r="M129" s="36"/>
      <c r="N129" s="99"/>
      <c r="O129" s="28"/>
      <c r="P129" s="28"/>
      <c r="Q129" s="28"/>
      <c r="R129" s="28"/>
      <c r="S129" s="99"/>
      <c r="T129" s="99"/>
      <c r="U129" s="99"/>
      <c r="V129" s="99"/>
      <c r="W129" s="99"/>
      <c r="X129" s="99"/>
      <c r="Y129" s="99"/>
      <c r="Z129" s="99"/>
      <c r="AA129" s="99"/>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19"/>
      <c r="BL129" s="219"/>
    </row>
    <row r="130" spans="1:64" ht="17.25" hidden="1" customHeight="1" outlineLevel="1">
      <c r="A130" s="9"/>
      <c r="B130" s="9"/>
      <c r="C130" s="44"/>
      <c r="D130" s="128">
        <f>Asset28</f>
        <v>0</v>
      </c>
      <c r="E130" s="9"/>
      <c r="F130" s="9"/>
      <c r="G130" s="194">
        <f>'Actual RAB roll forward'!G561</f>
        <v>0</v>
      </c>
      <c r="H130" s="36"/>
      <c r="I130" s="36"/>
      <c r="J130" s="36"/>
      <c r="K130" s="36"/>
      <c r="L130" s="36"/>
      <c r="M130" s="36"/>
      <c r="N130" s="99"/>
      <c r="O130" s="28"/>
      <c r="P130" s="28"/>
      <c r="Q130" s="28"/>
      <c r="R130" s="28"/>
      <c r="S130" s="99"/>
      <c r="T130" s="99"/>
      <c r="U130" s="99"/>
      <c r="V130" s="99"/>
      <c r="W130" s="99"/>
      <c r="X130" s="99"/>
      <c r="Y130" s="99"/>
      <c r="Z130" s="99"/>
      <c r="AA130" s="99"/>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19"/>
      <c r="BL130" s="219"/>
    </row>
    <row r="131" spans="1:64" ht="17.25" hidden="1" customHeight="1" outlineLevel="1">
      <c r="A131" s="9"/>
      <c r="B131" s="9"/>
      <c r="C131" s="44"/>
      <c r="D131" s="128">
        <f>Asset29</f>
        <v>0</v>
      </c>
      <c r="E131" s="9"/>
      <c r="F131" s="9"/>
      <c r="G131" s="194">
        <f>'Actual RAB roll forward'!G562</f>
        <v>0</v>
      </c>
      <c r="H131" s="36"/>
      <c r="I131" s="36"/>
      <c r="J131" s="36"/>
      <c r="K131" s="36"/>
      <c r="L131" s="36"/>
      <c r="M131" s="36"/>
      <c r="N131" s="99"/>
      <c r="O131" s="28"/>
      <c r="P131" s="28"/>
      <c r="Q131" s="28"/>
      <c r="R131" s="28"/>
      <c r="S131" s="99"/>
      <c r="T131" s="99"/>
      <c r="U131" s="99"/>
      <c r="V131" s="99"/>
      <c r="W131" s="99"/>
      <c r="X131" s="99"/>
      <c r="Y131" s="99"/>
      <c r="Z131" s="99"/>
      <c r="AA131" s="99"/>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19"/>
      <c r="BL131" s="219"/>
    </row>
    <row r="132" spans="1:64" ht="17.25" hidden="1" customHeight="1" outlineLevel="1">
      <c r="A132" s="9"/>
      <c r="B132" s="9"/>
      <c r="C132" s="44"/>
      <c r="D132" s="128">
        <f>Asset30</f>
        <v>0</v>
      </c>
      <c r="E132" s="9"/>
      <c r="F132" s="9"/>
      <c r="G132" s="194">
        <f>'Actual RAB roll forward'!G563</f>
        <v>0</v>
      </c>
      <c r="H132" s="36"/>
      <c r="I132" s="36"/>
      <c r="J132" s="36"/>
      <c r="K132" s="36"/>
      <c r="L132" s="36"/>
      <c r="M132" s="36"/>
      <c r="N132" s="99"/>
      <c r="O132" s="28"/>
      <c r="P132" s="28"/>
      <c r="Q132" s="28"/>
      <c r="R132" s="28"/>
      <c r="S132" s="99"/>
      <c r="T132" s="99"/>
      <c r="U132" s="99"/>
      <c r="V132" s="99"/>
      <c r="W132" s="99"/>
      <c r="X132" s="99"/>
      <c r="Y132" s="99"/>
      <c r="Z132" s="99"/>
      <c r="AA132" s="99"/>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19"/>
      <c r="BL132" s="219"/>
    </row>
    <row r="133" spans="1:64" s="9" customFormat="1" collapsed="1">
      <c r="G133" s="201"/>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row>
    <row r="134" spans="1:64">
      <c r="A134" s="9"/>
      <c r="B134" s="9"/>
      <c r="C134" s="44" t="s">
        <v>65</v>
      </c>
      <c r="D134" s="112"/>
      <c r="E134" s="9"/>
      <c r="F134" s="9"/>
      <c r="G134" s="198">
        <f>SUM(G135:G164)</f>
        <v>0</v>
      </c>
      <c r="H134" s="36"/>
      <c r="I134" s="36"/>
      <c r="J134" s="36"/>
      <c r="K134" s="36"/>
      <c r="L134" s="36"/>
      <c r="M134" s="36"/>
      <c r="N134" s="99"/>
      <c r="O134" s="28"/>
      <c r="P134" s="28"/>
      <c r="Q134" s="28"/>
      <c r="R134" s="28"/>
      <c r="S134" s="99"/>
      <c r="T134" s="99"/>
      <c r="U134" s="99"/>
      <c r="V134" s="99"/>
      <c r="W134" s="99"/>
      <c r="X134" s="99"/>
      <c r="Y134" s="99"/>
      <c r="Z134" s="99"/>
      <c r="AA134" s="99"/>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19"/>
      <c r="BL134" s="219"/>
    </row>
    <row r="135" spans="1:64" ht="12.75" hidden="1" customHeight="1" outlineLevel="1">
      <c r="A135" s="9"/>
      <c r="B135" s="9"/>
      <c r="C135" s="9"/>
      <c r="D135" s="128" t="str">
        <f>Asset1</f>
        <v>Transmission &amp; Zone land &amp; easements</v>
      </c>
      <c r="E135" s="9"/>
      <c r="F135" s="9"/>
      <c r="G135" s="194">
        <f>'Actual RAB roll forward'!G566</f>
        <v>0</v>
      </c>
      <c r="H135" s="36"/>
      <c r="I135" s="36"/>
      <c r="J135" s="36"/>
      <c r="K135" s="36"/>
      <c r="L135" s="36"/>
      <c r="M135" s="36"/>
      <c r="N135" s="99"/>
      <c r="O135" s="28"/>
      <c r="P135" s="28"/>
      <c r="Q135" s="28"/>
      <c r="R135" s="28"/>
      <c r="S135" s="99"/>
      <c r="T135" s="99"/>
      <c r="U135" s="99"/>
      <c r="V135" s="99"/>
      <c r="W135" s="99"/>
      <c r="X135" s="99"/>
      <c r="Y135" s="99"/>
      <c r="Z135" s="99"/>
      <c r="AA135" s="99"/>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19"/>
      <c r="BL135" s="219"/>
    </row>
    <row r="136" spans="1:64" ht="12.75" hidden="1" customHeight="1" outlineLevel="1">
      <c r="A136" s="9"/>
      <c r="B136" s="9"/>
      <c r="C136" s="44"/>
      <c r="D136" s="128" t="str">
        <f>Asset2</f>
        <v>Transmission buildings 132/66kV</v>
      </c>
      <c r="E136" s="9"/>
      <c r="F136" s="9"/>
      <c r="G136" s="194">
        <f>'Actual RAB roll forward'!G567</f>
        <v>0</v>
      </c>
      <c r="H136" s="36"/>
      <c r="I136" s="36"/>
      <c r="J136" s="36"/>
      <c r="K136" s="36"/>
      <c r="L136" s="36"/>
      <c r="M136" s="36"/>
      <c r="N136" s="99"/>
      <c r="O136" s="28"/>
      <c r="P136" s="28"/>
      <c r="Q136" s="28"/>
      <c r="R136" s="28"/>
      <c r="S136" s="99"/>
      <c r="T136" s="99"/>
      <c r="U136" s="99"/>
      <c r="V136" s="99"/>
      <c r="W136" s="99"/>
      <c r="X136" s="99"/>
      <c r="Y136" s="99"/>
      <c r="Z136" s="99"/>
      <c r="AA136" s="99"/>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19"/>
      <c r="BL136" s="219"/>
    </row>
    <row r="137" spans="1:64" ht="12.75" hidden="1" customHeight="1" outlineLevel="1">
      <c r="A137" s="9"/>
      <c r="B137" s="9"/>
      <c r="C137" s="44"/>
      <c r="D137" s="128" t="str">
        <f>Asset3</f>
        <v>Zone buildings 132/66kV</v>
      </c>
      <c r="E137" s="9"/>
      <c r="F137" s="9"/>
      <c r="G137" s="194">
        <f>'Actual RAB roll forward'!G568</f>
        <v>0</v>
      </c>
      <c r="H137" s="36"/>
      <c r="I137" s="36"/>
      <c r="J137" s="36"/>
      <c r="K137" s="36"/>
      <c r="L137" s="36"/>
      <c r="M137" s="36"/>
      <c r="N137" s="99"/>
      <c r="O137" s="28"/>
      <c r="P137" s="28"/>
      <c r="Q137" s="28"/>
      <c r="R137" s="28"/>
      <c r="S137" s="99"/>
      <c r="T137" s="99"/>
      <c r="U137" s="99"/>
      <c r="V137" s="99"/>
      <c r="W137" s="99"/>
      <c r="X137" s="99"/>
      <c r="Y137" s="99"/>
      <c r="Z137" s="99"/>
      <c r="AA137" s="99"/>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19"/>
      <c r="BL137" s="219"/>
    </row>
    <row r="138" spans="1:64" ht="12.75" hidden="1" customHeight="1" outlineLevel="1">
      <c r="A138" s="9"/>
      <c r="B138" s="9"/>
      <c r="C138" s="44"/>
      <c r="D138" s="128" t="str">
        <f>Asset4</f>
        <v>Transmission transformers 132/66kV</v>
      </c>
      <c r="E138" s="9"/>
      <c r="F138" s="9"/>
      <c r="G138" s="194">
        <f>'Actual RAB roll forward'!G569</f>
        <v>0</v>
      </c>
      <c r="H138" s="36"/>
      <c r="I138" s="36"/>
      <c r="J138" s="36"/>
      <c r="K138" s="36"/>
      <c r="L138" s="36"/>
      <c r="M138" s="36"/>
      <c r="N138" s="99"/>
      <c r="O138" s="28"/>
      <c r="P138" s="28"/>
      <c r="Q138" s="28"/>
      <c r="R138" s="28"/>
      <c r="S138" s="99"/>
      <c r="T138" s="99"/>
      <c r="U138" s="99"/>
      <c r="V138" s="99"/>
      <c r="W138" s="99"/>
      <c r="X138" s="99"/>
      <c r="Y138" s="99"/>
      <c r="Z138" s="99"/>
      <c r="AA138" s="99"/>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19"/>
      <c r="BL138" s="219"/>
    </row>
    <row r="139" spans="1:64" ht="12.75" hidden="1" customHeight="1" outlineLevel="1">
      <c r="A139" s="9"/>
      <c r="B139" s="9"/>
      <c r="C139" s="44"/>
      <c r="D139" s="128" t="str">
        <f>Asset5</f>
        <v>Zone transformers 132/66kV</v>
      </c>
      <c r="E139" s="9"/>
      <c r="F139" s="9"/>
      <c r="G139" s="194">
        <f>'Actual RAB roll forward'!G570</f>
        <v>0</v>
      </c>
      <c r="H139" s="36"/>
      <c r="I139" s="36"/>
      <c r="J139" s="36"/>
      <c r="K139" s="36"/>
      <c r="L139" s="36"/>
      <c r="M139" s="36"/>
      <c r="N139" s="99"/>
      <c r="O139" s="28"/>
      <c r="P139" s="28"/>
      <c r="Q139" s="28"/>
      <c r="R139" s="28"/>
      <c r="S139" s="99"/>
      <c r="T139" s="99"/>
      <c r="U139" s="99"/>
      <c r="V139" s="99"/>
      <c r="W139" s="99"/>
      <c r="X139" s="99"/>
      <c r="Y139" s="99"/>
      <c r="Z139" s="99"/>
      <c r="AA139" s="99"/>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19"/>
      <c r="BL139" s="219"/>
    </row>
    <row r="140" spans="1:64" ht="12.75" hidden="1" customHeight="1" outlineLevel="1">
      <c r="A140" s="9"/>
      <c r="B140" s="9"/>
      <c r="C140" s="44"/>
      <c r="D140" s="128" t="str">
        <f>Asset6</f>
        <v>Transmission substation equip 132/66kV</v>
      </c>
      <c r="E140" s="9"/>
      <c r="F140" s="9"/>
      <c r="G140" s="194">
        <f>'Actual RAB roll forward'!G571</f>
        <v>0</v>
      </c>
      <c r="H140" s="36"/>
      <c r="I140" s="36"/>
      <c r="J140" s="36"/>
      <c r="K140" s="36"/>
      <c r="L140" s="36"/>
      <c r="M140" s="36"/>
      <c r="N140" s="99"/>
      <c r="O140" s="28"/>
      <c r="P140" s="28"/>
      <c r="Q140" s="28"/>
      <c r="R140" s="28"/>
      <c r="S140" s="99"/>
      <c r="T140" s="99"/>
      <c r="U140" s="99"/>
      <c r="V140" s="99"/>
      <c r="W140" s="99"/>
      <c r="X140" s="99"/>
      <c r="Y140" s="99"/>
      <c r="Z140" s="99"/>
      <c r="AA140" s="99"/>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19"/>
      <c r="BL140" s="219"/>
    </row>
    <row r="141" spans="1:64" ht="12.75" hidden="1" customHeight="1" outlineLevel="1">
      <c r="A141" s="9"/>
      <c r="B141" s="9"/>
      <c r="C141" s="44"/>
      <c r="D141" s="128" t="str">
        <f>Asset7</f>
        <v>Zone substation equip 132/66kV</v>
      </c>
      <c r="E141" s="9"/>
      <c r="F141" s="9"/>
      <c r="G141" s="194">
        <f>'Actual RAB roll forward'!G572</f>
        <v>0</v>
      </c>
      <c r="H141" s="36"/>
      <c r="I141" s="36"/>
      <c r="J141" s="36"/>
      <c r="K141" s="36"/>
      <c r="L141" s="36"/>
      <c r="M141" s="36"/>
      <c r="N141" s="99"/>
      <c r="O141" s="28"/>
      <c r="P141" s="28"/>
      <c r="Q141" s="28"/>
      <c r="R141" s="28"/>
      <c r="S141" s="99"/>
      <c r="T141" s="99"/>
      <c r="U141" s="99"/>
      <c r="V141" s="99"/>
      <c r="W141" s="99"/>
      <c r="X141" s="99"/>
      <c r="Y141" s="99"/>
      <c r="Z141" s="99"/>
      <c r="AA141" s="99"/>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19"/>
      <c r="BL141" s="219"/>
    </row>
    <row r="142" spans="1:64" ht="12.75" hidden="1" customHeight="1" outlineLevel="1">
      <c r="A142" s="9"/>
      <c r="B142" s="9"/>
      <c r="C142" s="44"/>
      <c r="D142" s="128" t="str">
        <f>Asset8</f>
        <v>Transmission &amp; Zone emergency spares</v>
      </c>
      <c r="E142" s="9"/>
      <c r="F142" s="9"/>
      <c r="G142" s="194">
        <f>'Actual RAB roll forward'!G573</f>
        <v>0</v>
      </c>
      <c r="H142" s="36"/>
      <c r="I142" s="36"/>
      <c r="J142" s="36"/>
      <c r="K142" s="36"/>
      <c r="L142" s="36"/>
      <c r="M142" s="36"/>
      <c r="N142" s="99"/>
      <c r="O142" s="28"/>
      <c r="P142" s="28"/>
      <c r="Q142" s="28"/>
      <c r="R142" s="28"/>
      <c r="S142" s="99"/>
      <c r="T142" s="99"/>
      <c r="U142" s="99"/>
      <c r="V142" s="99"/>
      <c r="W142" s="99"/>
      <c r="X142" s="99"/>
      <c r="Y142" s="99"/>
      <c r="Z142" s="99"/>
      <c r="AA142" s="99"/>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19"/>
      <c r="BL142" s="219"/>
    </row>
    <row r="143" spans="1:64" ht="12.75" hidden="1" customHeight="1" outlineLevel="1">
      <c r="A143" s="9"/>
      <c r="B143" s="9"/>
      <c r="C143" s="44"/>
      <c r="D143" s="128" t="str">
        <f>Asset9</f>
        <v>Ancillary substation equipment (tx)</v>
      </c>
      <c r="E143" s="9"/>
      <c r="F143" s="9"/>
      <c r="G143" s="194">
        <f>'Actual RAB roll forward'!G574</f>
        <v>0</v>
      </c>
      <c r="H143" s="36"/>
      <c r="I143" s="36"/>
      <c r="J143" s="36"/>
      <c r="K143" s="36"/>
      <c r="L143" s="36"/>
      <c r="M143" s="36"/>
      <c r="N143" s="99"/>
      <c r="O143" s="28"/>
      <c r="P143" s="28"/>
      <c r="Q143" s="28"/>
      <c r="R143" s="28"/>
      <c r="S143" s="99"/>
      <c r="T143" s="99"/>
      <c r="U143" s="99"/>
      <c r="V143" s="99"/>
      <c r="W143" s="99"/>
      <c r="X143" s="99"/>
      <c r="Y143" s="99"/>
      <c r="Z143" s="99"/>
      <c r="AA143" s="99"/>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19"/>
      <c r="BL143" s="219"/>
    </row>
    <row r="144" spans="1:64" ht="12.75" hidden="1" customHeight="1" outlineLevel="1">
      <c r="A144" s="9"/>
      <c r="B144" s="9"/>
      <c r="C144" s="44"/>
      <c r="D144" s="128" t="str">
        <f>Asset10</f>
        <v>132kV tower lines</v>
      </c>
      <c r="E144" s="9"/>
      <c r="F144" s="9"/>
      <c r="G144" s="194">
        <f>'Actual RAB roll forward'!G575</f>
        <v>0</v>
      </c>
      <c r="H144" s="36"/>
      <c r="I144" s="36"/>
      <c r="J144" s="36"/>
      <c r="K144" s="36"/>
      <c r="L144" s="36"/>
      <c r="M144" s="36"/>
      <c r="N144" s="99"/>
      <c r="O144" s="28"/>
      <c r="P144" s="28"/>
      <c r="Q144" s="28"/>
      <c r="R144" s="28"/>
      <c r="S144" s="99"/>
      <c r="T144" s="99"/>
      <c r="U144" s="99"/>
      <c r="V144" s="99"/>
      <c r="W144" s="99"/>
      <c r="X144" s="99"/>
      <c r="Y144" s="99"/>
      <c r="Z144" s="99"/>
      <c r="AA144" s="99"/>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6"/>
      <c r="AY144" s="226"/>
      <c r="AZ144" s="226"/>
      <c r="BA144" s="226"/>
      <c r="BB144" s="226"/>
      <c r="BC144" s="226"/>
      <c r="BD144" s="226"/>
      <c r="BE144" s="226"/>
      <c r="BF144" s="226"/>
      <c r="BG144" s="226"/>
      <c r="BH144" s="226"/>
      <c r="BI144" s="226"/>
      <c r="BJ144" s="226"/>
      <c r="BK144" s="219"/>
      <c r="BL144" s="219"/>
    </row>
    <row r="145" spans="1:64" ht="12.75" hidden="1" customHeight="1" outlineLevel="1">
      <c r="A145" s="9"/>
      <c r="B145" s="9"/>
      <c r="C145" s="44"/>
      <c r="D145" s="128" t="str">
        <f>Asset11</f>
        <v>132kV concrete &amp; steel pole lines</v>
      </c>
      <c r="E145" s="9"/>
      <c r="F145" s="9"/>
      <c r="G145" s="194">
        <f>'Actual RAB roll forward'!G576</f>
        <v>0</v>
      </c>
      <c r="H145" s="36"/>
      <c r="I145" s="36"/>
      <c r="J145" s="36"/>
      <c r="K145" s="36"/>
      <c r="L145" s="36"/>
      <c r="M145" s="36"/>
      <c r="N145" s="99"/>
      <c r="O145" s="28"/>
      <c r="P145" s="28"/>
      <c r="Q145" s="28"/>
      <c r="R145" s="28"/>
      <c r="S145" s="99"/>
      <c r="T145" s="99"/>
      <c r="U145" s="99"/>
      <c r="V145" s="99"/>
      <c r="W145" s="99"/>
      <c r="X145" s="99"/>
      <c r="Y145" s="99"/>
      <c r="Z145" s="99"/>
      <c r="AA145" s="99"/>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19"/>
      <c r="BL145" s="219"/>
    </row>
    <row r="146" spans="1:64" ht="12.75" hidden="1" customHeight="1" outlineLevel="1">
      <c r="A146" s="9"/>
      <c r="B146" s="9"/>
      <c r="C146" s="44"/>
      <c r="D146" s="128" t="str">
        <f>Asset12</f>
        <v>132kV wood pole lines</v>
      </c>
      <c r="E146" s="9"/>
      <c r="F146" s="9"/>
      <c r="G146" s="194">
        <f>'Actual RAB roll forward'!G577</f>
        <v>0</v>
      </c>
      <c r="H146" s="36"/>
      <c r="I146" s="36"/>
      <c r="J146" s="36"/>
      <c r="K146" s="36"/>
      <c r="L146" s="36"/>
      <c r="M146" s="36"/>
      <c r="N146" s="99"/>
      <c r="O146" s="28"/>
      <c r="P146" s="28"/>
      <c r="Q146" s="28"/>
      <c r="R146" s="28"/>
      <c r="S146" s="99"/>
      <c r="T146" s="99"/>
      <c r="U146" s="99"/>
      <c r="V146" s="99"/>
      <c r="W146" s="99"/>
      <c r="X146" s="99"/>
      <c r="Y146" s="99"/>
      <c r="Z146" s="99"/>
      <c r="AA146" s="99"/>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19"/>
      <c r="BL146" s="219"/>
    </row>
    <row r="147" spans="1:64" ht="12.75" hidden="1" customHeight="1" outlineLevel="1">
      <c r="A147" s="9"/>
      <c r="B147" s="9"/>
      <c r="C147" s="44"/>
      <c r="D147" s="128" t="str">
        <f>Asset13</f>
        <v>132kV feeders underground</v>
      </c>
      <c r="E147" s="9"/>
      <c r="F147" s="9"/>
      <c r="G147" s="194">
        <f>'Actual RAB roll forward'!G578</f>
        <v>0</v>
      </c>
      <c r="H147" s="36"/>
      <c r="I147" s="36"/>
      <c r="J147" s="36"/>
      <c r="K147" s="36"/>
      <c r="L147" s="36"/>
      <c r="M147" s="36"/>
      <c r="N147" s="99"/>
      <c r="O147" s="28"/>
      <c r="P147" s="28"/>
      <c r="Q147" s="28"/>
      <c r="R147" s="28"/>
      <c r="S147" s="99"/>
      <c r="T147" s="99"/>
      <c r="U147" s="99"/>
      <c r="V147" s="99"/>
      <c r="W147" s="99"/>
      <c r="X147" s="99"/>
      <c r="Y147" s="99"/>
      <c r="Z147" s="99"/>
      <c r="AA147" s="99"/>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19"/>
      <c r="BL147" s="219"/>
    </row>
    <row r="148" spans="1:64" ht="12.75" hidden="1" customHeight="1" outlineLevel="1">
      <c r="A148" s="9"/>
      <c r="B148" s="9"/>
      <c r="C148" s="44"/>
      <c r="D148" s="128" t="str">
        <f>Asset14</f>
        <v>Cable tunnel (tx)</v>
      </c>
      <c r="E148" s="9"/>
      <c r="F148" s="9"/>
      <c r="G148" s="194">
        <f>'Actual RAB roll forward'!G579</f>
        <v>0</v>
      </c>
      <c r="H148" s="36"/>
      <c r="I148" s="36"/>
      <c r="J148" s="36"/>
      <c r="K148" s="36"/>
      <c r="L148" s="36"/>
      <c r="M148" s="36"/>
      <c r="N148" s="99"/>
      <c r="O148" s="28"/>
      <c r="P148" s="28"/>
      <c r="Q148" s="28"/>
      <c r="R148" s="28"/>
      <c r="S148" s="99"/>
      <c r="T148" s="99"/>
      <c r="U148" s="99"/>
      <c r="V148" s="99"/>
      <c r="W148" s="99"/>
      <c r="X148" s="99"/>
      <c r="Y148" s="99"/>
      <c r="Z148" s="99"/>
      <c r="AA148" s="99"/>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19"/>
      <c r="BL148" s="219"/>
    </row>
    <row r="149" spans="1:64" ht="12.75" hidden="1" customHeight="1" outlineLevel="1">
      <c r="A149" s="9"/>
      <c r="B149" s="9"/>
      <c r="C149" s="44"/>
      <c r="D149" s="128" t="str">
        <f>Asset15</f>
        <v>Network control &amp; com systems</v>
      </c>
      <c r="E149" s="9"/>
      <c r="F149" s="9"/>
      <c r="G149" s="194">
        <f>'Actual RAB roll forward'!G580</f>
        <v>0</v>
      </c>
      <c r="H149" s="36"/>
      <c r="I149" s="36"/>
      <c r="J149" s="36"/>
      <c r="K149" s="36"/>
      <c r="L149" s="36"/>
      <c r="M149" s="36"/>
      <c r="N149" s="99"/>
      <c r="O149" s="28"/>
      <c r="P149" s="28"/>
      <c r="Q149" s="28"/>
      <c r="R149" s="28"/>
      <c r="S149" s="99"/>
      <c r="T149" s="99"/>
      <c r="U149" s="99"/>
      <c r="V149" s="99"/>
      <c r="W149" s="99"/>
      <c r="X149" s="99"/>
      <c r="Y149" s="99"/>
      <c r="Z149" s="99"/>
      <c r="AA149" s="99"/>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19"/>
      <c r="BL149" s="219"/>
    </row>
    <row r="150" spans="1:64" ht="12.75" hidden="1" customHeight="1" outlineLevel="1">
      <c r="A150" s="9"/>
      <c r="B150" s="9"/>
      <c r="C150" s="44"/>
      <c r="D150" s="128" t="str">
        <f>Asset16</f>
        <v>Communications (digital) - tx</v>
      </c>
      <c r="E150" s="9"/>
      <c r="F150" s="9"/>
      <c r="G150" s="194">
        <f>'Actual RAB roll forward'!G581</f>
        <v>0</v>
      </c>
      <c r="H150" s="36"/>
      <c r="I150" s="36"/>
      <c r="J150" s="36"/>
      <c r="K150" s="36"/>
      <c r="L150" s="36"/>
      <c r="M150" s="36"/>
      <c r="N150" s="99"/>
      <c r="O150" s="28"/>
      <c r="P150" s="28"/>
      <c r="Q150" s="28"/>
      <c r="R150" s="28"/>
      <c r="S150" s="99"/>
      <c r="T150" s="99"/>
      <c r="U150" s="99"/>
      <c r="V150" s="99"/>
      <c r="W150" s="99"/>
      <c r="X150" s="99"/>
      <c r="Y150" s="99"/>
      <c r="Z150" s="99"/>
      <c r="AA150" s="99"/>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19"/>
      <c r="BL150" s="219"/>
    </row>
    <row r="151" spans="1:64" ht="12.75" hidden="1" customHeight="1" outlineLevel="1">
      <c r="A151" s="9"/>
      <c r="B151" s="9"/>
      <c r="C151" s="44"/>
      <c r="D151" s="128" t="str">
        <f>Asset17</f>
        <v>System IT (tx)</v>
      </c>
      <c r="E151" s="9"/>
      <c r="F151" s="9"/>
      <c r="G151" s="194">
        <f>'Actual RAB roll forward'!G582</f>
        <v>0</v>
      </c>
      <c r="H151" s="36"/>
      <c r="I151" s="36"/>
      <c r="J151" s="36"/>
      <c r="K151" s="36"/>
      <c r="L151" s="36"/>
      <c r="M151" s="36"/>
      <c r="N151" s="99"/>
      <c r="O151" s="28"/>
      <c r="P151" s="28"/>
      <c r="Q151" s="28"/>
      <c r="R151" s="28"/>
      <c r="S151" s="99"/>
      <c r="T151" s="99"/>
      <c r="U151" s="99"/>
      <c r="V151" s="99"/>
      <c r="W151" s="99"/>
      <c r="X151" s="99"/>
      <c r="Y151" s="99"/>
      <c r="Z151" s="99"/>
      <c r="AA151" s="99"/>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19"/>
      <c r="BL151" s="219"/>
    </row>
    <row r="152" spans="1:64" ht="12.75" hidden="1" customHeight="1" outlineLevel="1">
      <c r="A152" s="9"/>
      <c r="B152" s="9"/>
      <c r="C152" s="44"/>
      <c r="D152" s="128" t="str">
        <f>Asset18</f>
        <v>IT systems</v>
      </c>
      <c r="E152" s="9"/>
      <c r="F152" s="9"/>
      <c r="G152" s="194">
        <f>'Actual RAB roll forward'!G583</f>
        <v>0</v>
      </c>
      <c r="H152" s="36"/>
      <c r="I152" s="36"/>
      <c r="J152" s="36"/>
      <c r="K152" s="36"/>
      <c r="L152" s="36"/>
      <c r="M152" s="36"/>
      <c r="N152" s="99"/>
      <c r="O152" s="28"/>
      <c r="P152" s="28"/>
      <c r="Q152" s="28"/>
      <c r="R152" s="28"/>
      <c r="S152" s="99"/>
      <c r="T152" s="99"/>
      <c r="U152" s="99"/>
      <c r="V152" s="99"/>
      <c r="W152" s="99"/>
      <c r="X152" s="99"/>
      <c r="Y152" s="99"/>
      <c r="Z152" s="99"/>
      <c r="AA152" s="99"/>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19"/>
      <c r="BL152" s="219"/>
    </row>
    <row r="153" spans="1:64" ht="12" hidden="1" customHeight="1" outlineLevel="1">
      <c r="A153" s="9"/>
      <c r="B153" s="9"/>
      <c r="C153" s="44"/>
      <c r="D153" s="128" t="str">
        <f>Asset19</f>
        <v>Furniture, fittings, plant and equipment</v>
      </c>
      <c r="E153" s="9"/>
      <c r="F153" s="9"/>
      <c r="G153" s="194">
        <f>'Actual RAB roll forward'!G584</f>
        <v>0</v>
      </c>
      <c r="H153" s="36"/>
      <c r="I153" s="36"/>
      <c r="J153" s="36"/>
      <c r="K153" s="36"/>
      <c r="L153" s="36"/>
      <c r="M153" s="36"/>
      <c r="N153" s="99"/>
      <c r="O153" s="28"/>
      <c r="P153" s="28"/>
      <c r="Q153" s="28"/>
      <c r="R153" s="28"/>
      <c r="S153" s="99"/>
      <c r="T153" s="99"/>
      <c r="U153" s="99"/>
      <c r="V153" s="99"/>
      <c r="W153" s="99"/>
      <c r="X153" s="99"/>
      <c r="Y153" s="99"/>
      <c r="Z153" s="99"/>
      <c r="AA153" s="99"/>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19"/>
      <c r="BL153" s="219"/>
    </row>
    <row r="154" spans="1:64" ht="12" hidden="1" customHeight="1" outlineLevel="1">
      <c r="A154" s="9"/>
      <c r="B154" s="9"/>
      <c r="C154" s="44"/>
      <c r="D154" s="128" t="str">
        <f>Asset20</f>
        <v>Motor vehicles</v>
      </c>
      <c r="E154" s="9"/>
      <c r="F154" s="9"/>
      <c r="G154" s="194">
        <f>'Actual RAB roll forward'!G585</f>
        <v>0</v>
      </c>
      <c r="H154" s="36"/>
      <c r="I154" s="36"/>
      <c r="J154" s="36"/>
      <c r="K154" s="36"/>
      <c r="L154" s="36"/>
      <c r="M154" s="36"/>
      <c r="N154" s="99"/>
      <c r="O154" s="28"/>
      <c r="P154" s="28"/>
      <c r="Q154" s="28"/>
      <c r="R154" s="28"/>
      <c r="S154" s="99"/>
      <c r="T154" s="99"/>
      <c r="U154" s="99"/>
      <c r="V154" s="99"/>
      <c r="W154" s="99"/>
      <c r="X154" s="99"/>
      <c r="Y154" s="99"/>
      <c r="Z154" s="99"/>
      <c r="AA154" s="99"/>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19"/>
      <c r="BL154" s="219"/>
    </row>
    <row r="155" spans="1:64" ht="12" hidden="1" customHeight="1" outlineLevel="1">
      <c r="A155" s="9"/>
      <c r="B155" s="9"/>
      <c r="C155" s="44"/>
      <c r="D155" s="128" t="str">
        <f>Asset21</f>
        <v>Buildings</v>
      </c>
      <c r="E155" s="9"/>
      <c r="F155" s="9"/>
      <c r="G155" s="194">
        <f>'Actual RAB roll forward'!G586</f>
        <v>0</v>
      </c>
      <c r="H155" s="36"/>
      <c r="I155" s="36"/>
      <c r="J155" s="36"/>
      <c r="K155" s="36"/>
      <c r="L155" s="36"/>
      <c r="M155" s="36"/>
      <c r="N155" s="99"/>
      <c r="O155" s="28"/>
      <c r="P155" s="28"/>
      <c r="Q155" s="28"/>
      <c r="R155" s="28"/>
      <c r="S155" s="99"/>
      <c r="T155" s="99"/>
      <c r="U155" s="99"/>
      <c r="V155" s="99"/>
      <c r="W155" s="99"/>
      <c r="X155" s="99"/>
      <c r="Y155" s="99"/>
      <c r="Z155" s="99"/>
      <c r="AA155" s="99"/>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19"/>
      <c r="BL155" s="219"/>
    </row>
    <row r="156" spans="1:64" ht="12" hidden="1" customHeight="1" outlineLevel="1">
      <c r="A156" s="9"/>
      <c r="B156" s="9"/>
      <c r="C156" s="44"/>
      <c r="D156" s="128" t="str">
        <f>Asset22</f>
        <v>Land (non-system)</v>
      </c>
      <c r="E156" s="9"/>
      <c r="F156" s="9"/>
      <c r="G156" s="194">
        <f>'Actual RAB roll forward'!G587</f>
        <v>0</v>
      </c>
      <c r="H156" s="36"/>
      <c r="I156" s="36"/>
      <c r="J156" s="36"/>
      <c r="K156" s="36"/>
      <c r="L156" s="36"/>
      <c r="M156" s="36"/>
      <c r="N156" s="99"/>
      <c r="O156" s="28"/>
      <c r="P156" s="28"/>
      <c r="Q156" s="28"/>
      <c r="R156" s="28"/>
      <c r="S156" s="99"/>
      <c r="T156" s="99"/>
      <c r="U156" s="99"/>
      <c r="V156" s="99"/>
      <c r="W156" s="99"/>
      <c r="X156" s="99"/>
      <c r="Y156" s="99"/>
      <c r="Z156" s="99"/>
      <c r="AA156" s="99"/>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19"/>
      <c r="BL156" s="219"/>
    </row>
    <row r="157" spans="1:64" ht="12" hidden="1" customHeight="1" outlineLevel="1">
      <c r="A157" s="9"/>
      <c r="B157" s="9"/>
      <c r="C157" s="44"/>
      <c r="D157" s="128" t="str">
        <f>Asset23</f>
        <v>Other non system assets</v>
      </c>
      <c r="E157" s="9"/>
      <c r="F157" s="9"/>
      <c r="G157" s="194">
        <f>'Actual RAB roll forward'!G588</f>
        <v>0</v>
      </c>
      <c r="H157" s="36"/>
      <c r="I157" s="36"/>
      <c r="J157" s="36"/>
      <c r="K157" s="36"/>
      <c r="L157" s="36"/>
      <c r="M157" s="36"/>
      <c r="N157" s="99"/>
      <c r="O157" s="28"/>
      <c r="P157" s="28"/>
      <c r="Q157" s="28"/>
      <c r="R157" s="28"/>
      <c r="S157" s="99"/>
      <c r="T157" s="99"/>
      <c r="U157" s="99"/>
      <c r="V157" s="99"/>
      <c r="W157" s="99"/>
      <c r="X157" s="99"/>
      <c r="Y157" s="99"/>
      <c r="Z157" s="99"/>
      <c r="AA157" s="99"/>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26"/>
      <c r="BK157" s="219"/>
      <c r="BL157" s="219"/>
    </row>
    <row r="158" spans="1:64" ht="12" hidden="1" customHeight="1" outlineLevel="1">
      <c r="A158" s="9"/>
      <c r="B158" s="9"/>
      <c r="C158" s="44"/>
      <c r="D158" s="128" t="str">
        <f>Asset24</f>
        <v>Equity raising costs</v>
      </c>
      <c r="E158" s="9"/>
      <c r="F158" s="9"/>
      <c r="G158" s="194">
        <f>'Actual RAB roll forward'!G589</f>
        <v>0</v>
      </c>
      <c r="H158" s="36"/>
      <c r="I158" s="36"/>
      <c r="J158" s="36"/>
      <c r="K158" s="36"/>
      <c r="L158" s="36"/>
      <c r="M158" s="36"/>
      <c r="N158" s="99"/>
      <c r="O158" s="28"/>
      <c r="P158" s="28"/>
      <c r="Q158" s="28"/>
      <c r="R158" s="28"/>
      <c r="S158" s="99"/>
      <c r="T158" s="99"/>
      <c r="U158" s="99"/>
      <c r="V158" s="99"/>
      <c r="W158" s="99"/>
      <c r="X158" s="99"/>
      <c r="Y158" s="99"/>
      <c r="Z158" s="99"/>
      <c r="AA158" s="99"/>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19"/>
      <c r="BL158" s="219"/>
    </row>
    <row r="159" spans="1:64" ht="12" hidden="1" customHeight="1" outlineLevel="1">
      <c r="A159" s="9"/>
      <c r="B159" s="9"/>
      <c r="C159" s="44"/>
      <c r="D159" s="128">
        <f>Asset25</f>
        <v>0</v>
      </c>
      <c r="E159" s="9"/>
      <c r="F159" s="9"/>
      <c r="G159" s="194">
        <f>'Actual RAB roll forward'!G590</f>
        <v>0</v>
      </c>
      <c r="H159" s="36"/>
      <c r="I159" s="36"/>
      <c r="J159" s="36"/>
      <c r="K159" s="36"/>
      <c r="L159" s="36"/>
      <c r="M159" s="36"/>
      <c r="N159" s="99"/>
      <c r="O159" s="28"/>
      <c r="P159" s="28"/>
      <c r="Q159" s="28"/>
      <c r="R159" s="28"/>
      <c r="S159" s="99"/>
      <c r="T159" s="99"/>
      <c r="U159" s="99"/>
      <c r="V159" s="99"/>
      <c r="W159" s="99"/>
      <c r="X159" s="99"/>
      <c r="Y159" s="99"/>
      <c r="Z159" s="99"/>
      <c r="AA159" s="99"/>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19"/>
      <c r="BL159" s="219"/>
    </row>
    <row r="160" spans="1:64" ht="12" hidden="1" customHeight="1" outlineLevel="1">
      <c r="A160" s="9"/>
      <c r="B160" s="9"/>
      <c r="C160" s="44"/>
      <c r="D160" s="128">
        <f>Asset26</f>
        <v>0</v>
      </c>
      <c r="E160" s="9"/>
      <c r="F160" s="9"/>
      <c r="G160" s="194">
        <f>'Actual RAB roll forward'!G591</f>
        <v>0</v>
      </c>
      <c r="H160" s="36"/>
      <c r="I160" s="36"/>
      <c r="J160" s="36"/>
      <c r="K160" s="36"/>
      <c r="L160" s="36"/>
      <c r="M160" s="36"/>
      <c r="N160" s="99"/>
      <c r="O160" s="28"/>
      <c r="P160" s="28"/>
      <c r="Q160" s="28"/>
      <c r="R160" s="28"/>
      <c r="S160" s="99"/>
      <c r="T160" s="99"/>
      <c r="U160" s="99"/>
      <c r="V160" s="99"/>
      <c r="W160" s="99"/>
      <c r="X160" s="99"/>
      <c r="Y160" s="99"/>
      <c r="Z160" s="99"/>
      <c r="AA160" s="99"/>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19"/>
      <c r="BL160" s="219"/>
    </row>
    <row r="161" spans="1:64" ht="12" hidden="1" customHeight="1" outlineLevel="1">
      <c r="A161" s="9"/>
      <c r="B161" s="9"/>
      <c r="C161" s="44"/>
      <c r="D161" s="128">
        <f>Asset27</f>
        <v>0</v>
      </c>
      <c r="E161" s="9"/>
      <c r="F161" s="9"/>
      <c r="G161" s="194">
        <f>'Actual RAB roll forward'!G592</f>
        <v>0</v>
      </c>
      <c r="H161" s="36"/>
      <c r="I161" s="36"/>
      <c r="J161" s="36"/>
      <c r="K161" s="36"/>
      <c r="L161" s="36"/>
      <c r="M161" s="36"/>
      <c r="N161" s="99"/>
      <c r="O161" s="28"/>
      <c r="P161" s="28"/>
      <c r="Q161" s="28"/>
      <c r="R161" s="28"/>
      <c r="S161" s="99"/>
      <c r="T161" s="99"/>
      <c r="U161" s="99"/>
      <c r="V161" s="99"/>
      <c r="W161" s="99"/>
      <c r="X161" s="99"/>
      <c r="Y161" s="99"/>
      <c r="Z161" s="99"/>
      <c r="AA161" s="99"/>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19"/>
      <c r="BL161" s="219"/>
    </row>
    <row r="162" spans="1:64" ht="12" hidden="1" customHeight="1" outlineLevel="1">
      <c r="A162" s="9"/>
      <c r="B162" s="9"/>
      <c r="C162" s="44"/>
      <c r="D162" s="128">
        <f>Asset28</f>
        <v>0</v>
      </c>
      <c r="E162" s="9"/>
      <c r="F162" s="9"/>
      <c r="G162" s="194">
        <f>'Actual RAB roll forward'!G593</f>
        <v>0</v>
      </c>
      <c r="H162" s="36"/>
      <c r="I162" s="36"/>
      <c r="J162" s="36"/>
      <c r="K162" s="36"/>
      <c r="L162" s="36"/>
      <c r="M162" s="36"/>
      <c r="N162" s="99"/>
      <c r="O162" s="28"/>
      <c r="P162" s="28"/>
      <c r="Q162" s="28"/>
      <c r="R162" s="28"/>
      <c r="S162" s="99"/>
      <c r="T162" s="99"/>
      <c r="U162" s="99"/>
      <c r="V162" s="99"/>
      <c r="W162" s="99"/>
      <c r="X162" s="99"/>
      <c r="Y162" s="99"/>
      <c r="Z162" s="99"/>
      <c r="AA162" s="99"/>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19"/>
      <c r="BL162" s="219"/>
    </row>
    <row r="163" spans="1:64" ht="12" hidden="1" customHeight="1" outlineLevel="1">
      <c r="A163" s="9"/>
      <c r="B163" s="9"/>
      <c r="C163" s="44"/>
      <c r="D163" s="128">
        <f>Asset29</f>
        <v>0</v>
      </c>
      <c r="E163" s="9"/>
      <c r="F163" s="9"/>
      <c r="G163" s="194">
        <f>'Actual RAB roll forward'!G594</f>
        <v>0</v>
      </c>
      <c r="H163" s="36"/>
      <c r="I163" s="36"/>
      <c r="J163" s="36"/>
      <c r="K163" s="36"/>
      <c r="L163" s="36"/>
      <c r="M163" s="36"/>
      <c r="N163" s="99"/>
      <c r="O163" s="28"/>
      <c r="P163" s="28"/>
      <c r="Q163" s="28"/>
      <c r="R163" s="28"/>
      <c r="S163" s="99"/>
      <c r="T163" s="99"/>
      <c r="U163" s="99"/>
      <c r="V163" s="99"/>
      <c r="W163" s="99"/>
      <c r="X163" s="99"/>
      <c r="Y163" s="99"/>
      <c r="Z163" s="99"/>
      <c r="AA163" s="99"/>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19"/>
      <c r="BL163" s="219"/>
    </row>
    <row r="164" spans="1:64" ht="12" hidden="1" customHeight="1" outlineLevel="1">
      <c r="A164" s="9"/>
      <c r="B164" s="9"/>
      <c r="C164" s="44"/>
      <c r="D164" s="128">
        <f>Asset30</f>
        <v>0</v>
      </c>
      <c r="E164" s="9"/>
      <c r="F164" s="9"/>
      <c r="G164" s="194">
        <f>'Actual RAB roll forward'!G595</f>
        <v>0</v>
      </c>
      <c r="H164" s="36"/>
      <c r="I164" s="36"/>
      <c r="J164" s="36"/>
      <c r="K164" s="36"/>
      <c r="L164" s="36"/>
      <c r="M164" s="36"/>
      <c r="N164" s="99"/>
      <c r="O164" s="28"/>
      <c r="P164" s="28"/>
      <c r="Q164" s="28"/>
      <c r="R164" s="28"/>
      <c r="S164" s="99"/>
      <c r="T164" s="99"/>
      <c r="U164" s="99"/>
      <c r="V164" s="99"/>
      <c r="W164" s="99"/>
      <c r="X164" s="99"/>
      <c r="Y164" s="99"/>
      <c r="Z164" s="99"/>
      <c r="AA164" s="99"/>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19"/>
      <c r="BL164" s="219"/>
    </row>
    <row r="165" spans="1:64" collapsed="1">
      <c r="A165" s="9"/>
      <c r="B165" s="9"/>
      <c r="C165" s="44"/>
      <c r="D165" s="112"/>
      <c r="E165" s="9"/>
      <c r="F165" s="9"/>
      <c r="G165" s="202"/>
      <c r="H165" s="36"/>
      <c r="I165" s="36"/>
      <c r="J165" s="36"/>
      <c r="K165" s="36"/>
      <c r="L165" s="36"/>
      <c r="M165" s="36"/>
      <c r="N165" s="99"/>
      <c r="O165" s="28"/>
      <c r="P165" s="28"/>
      <c r="Q165" s="28"/>
      <c r="R165" s="28"/>
      <c r="S165" s="99"/>
      <c r="T165" s="99"/>
      <c r="U165" s="99"/>
      <c r="V165" s="99"/>
      <c r="W165" s="99"/>
      <c r="X165" s="99"/>
      <c r="Y165" s="99"/>
      <c r="Z165" s="99"/>
      <c r="AA165" s="99"/>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19"/>
      <c r="BL165" s="219"/>
    </row>
    <row r="166" spans="1:64">
      <c r="A166" s="9"/>
      <c r="B166" s="9"/>
      <c r="C166" s="44" t="s">
        <v>62</v>
      </c>
      <c r="D166" s="128"/>
      <c r="E166" s="9"/>
      <c r="F166" s="9"/>
      <c r="G166" s="198">
        <f>SUM(G167:G196)</f>
        <v>0</v>
      </c>
      <c r="H166" s="109"/>
      <c r="I166" s="109"/>
      <c r="J166" s="109"/>
      <c r="K166" s="109"/>
      <c r="L166" s="109"/>
      <c r="M166" s="109"/>
      <c r="N166" s="99"/>
      <c r="O166" s="28"/>
      <c r="P166" s="28"/>
      <c r="Q166" s="28"/>
      <c r="R166" s="28"/>
      <c r="S166" s="99"/>
      <c r="T166" s="99"/>
      <c r="U166" s="99"/>
      <c r="V166" s="99"/>
      <c r="W166" s="99"/>
      <c r="X166" s="99"/>
      <c r="Y166" s="99"/>
      <c r="Z166" s="99"/>
      <c r="AA166" s="99"/>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26"/>
      <c r="BK166" s="219"/>
      <c r="BL166" s="219"/>
    </row>
    <row r="167" spans="1:64" ht="12.75" hidden="1" customHeight="1" outlineLevel="1">
      <c r="A167" s="9"/>
      <c r="B167" s="9"/>
      <c r="C167" s="44"/>
      <c r="D167" s="128" t="str">
        <f>Asset1</f>
        <v>Transmission &amp; Zone land &amp; easements</v>
      </c>
      <c r="E167" s="9"/>
      <c r="F167" s="9"/>
      <c r="G167" s="194">
        <f>'Actual RAB roll forward'!G598</f>
        <v>0</v>
      </c>
      <c r="H167" s="109"/>
      <c r="I167" s="109"/>
      <c r="J167" s="109"/>
      <c r="K167" s="109"/>
      <c r="L167" s="109"/>
      <c r="M167" s="109"/>
      <c r="N167" s="99"/>
      <c r="O167" s="28"/>
      <c r="P167" s="28"/>
      <c r="Q167" s="28"/>
      <c r="R167" s="28"/>
      <c r="S167" s="99"/>
      <c r="T167" s="99"/>
      <c r="U167" s="99"/>
      <c r="V167" s="99"/>
      <c r="W167" s="99"/>
      <c r="X167" s="99"/>
      <c r="Y167" s="99"/>
      <c r="Z167" s="99"/>
      <c r="AA167" s="99"/>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19"/>
      <c r="BL167" s="219"/>
    </row>
    <row r="168" spans="1:64" ht="12.75" hidden="1" customHeight="1" outlineLevel="1">
      <c r="A168" s="9"/>
      <c r="B168" s="9"/>
      <c r="C168" s="44"/>
      <c r="D168" s="128" t="str">
        <f>Asset2</f>
        <v>Transmission buildings 132/66kV</v>
      </c>
      <c r="E168" s="9"/>
      <c r="F168" s="9"/>
      <c r="G168" s="194">
        <f>'Actual RAB roll forward'!G599</f>
        <v>0</v>
      </c>
      <c r="H168" s="109"/>
      <c r="I168" s="109"/>
      <c r="J168" s="109"/>
      <c r="K168" s="109"/>
      <c r="L168" s="109"/>
      <c r="M168" s="109"/>
      <c r="N168" s="99"/>
      <c r="O168" s="28"/>
      <c r="P168" s="28"/>
      <c r="Q168" s="28"/>
      <c r="R168" s="28"/>
      <c r="S168" s="99"/>
      <c r="T168" s="99"/>
      <c r="U168" s="99"/>
      <c r="V168" s="99"/>
      <c r="W168" s="99"/>
      <c r="X168" s="99"/>
      <c r="Y168" s="99"/>
      <c r="Z168" s="99"/>
      <c r="AA168" s="99"/>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19"/>
      <c r="BL168" s="219"/>
    </row>
    <row r="169" spans="1:64" ht="12.75" hidden="1" customHeight="1" outlineLevel="1">
      <c r="A169" s="9"/>
      <c r="B169" s="9"/>
      <c r="C169" s="44"/>
      <c r="D169" s="128" t="str">
        <f>Asset3</f>
        <v>Zone buildings 132/66kV</v>
      </c>
      <c r="E169" s="9"/>
      <c r="F169" s="9"/>
      <c r="G169" s="194">
        <f>'Actual RAB roll forward'!G600</f>
        <v>0</v>
      </c>
      <c r="H169" s="109"/>
      <c r="I169" s="109"/>
      <c r="J169" s="109"/>
      <c r="K169" s="109"/>
      <c r="L169" s="109"/>
      <c r="M169" s="109"/>
      <c r="N169" s="99"/>
      <c r="O169" s="28"/>
      <c r="P169" s="28"/>
      <c r="Q169" s="28"/>
      <c r="R169" s="28"/>
      <c r="S169" s="99"/>
      <c r="T169" s="99"/>
      <c r="U169" s="99"/>
      <c r="V169" s="99"/>
      <c r="W169" s="99"/>
      <c r="X169" s="99"/>
      <c r="Y169" s="99"/>
      <c r="Z169" s="99"/>
      <c r="AA169" s="99"/>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19"/>
      <c r="BL169" s="219"/>
    </row>
    <row r="170" spans="1:64" ht="12.75" hidden="1" customHeight="1" outlineLevel="1">
      <c r="A170" s="9"/>
      <c r="B170" s="9"/>
      <c r="C170" s="44"/>
      <c r="D170" s="128" t="str">
        <f>Asset4</f>
        <v>Transmission transformers 132/66kV</v>
      </c>
      <c r="E170" s="9"/>
      <c r="F170" s="9"/>
      <c r="G170" s="194">
        <f>'Actual RAB roll forward'!G601</f>
        <v>0</v>
      </c>
      <c r="H170" s="109"/>
      <c r="I170" s="109"/>
      <c r="J170" s="109"/>
      <c r="K170" s="109"/>
      <c r="L170" s="109"/>
      <c r="M170" s="109"/>
      <c r="N170" s="99"/>
      <c r="O170" s="28"/>
      <c r="P170" s="28"/>
      <c r="Q170" s="28"/>
      <c r="R170" s="28"/>
      <c r="S170" s="99"/>
      <c r="T170" s="99"/>
      <c r="U170" s="99"/>
      <c r="V170" s="99"/>
      <c r="W170" s="99"/>
      <c r="X170" s="99"/>
      <c r="Y170" s="99"/>
      <c r="Z170" s="99"/>
      <c r="AA170" s="99"/>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19"/>
      <c r="BL170" s="219"/>
    </row>
    <row r="171" spans="1:64" ht="12.75" hidden="1" customHeight="1" outlineLevel="1">
      <c r="A171" s="9"/>
      <c r="B171" s="9"/>
      <c r="C171" s="44"/>
      <c r="D171" s="128" t="str">
        <f>Asset5</f>
        <v>Zone transformers 132/66kV</v>
      </c>
      <c r="E171" s="9"/>
      <c r="F171" s="9"/>
      <c r="G171" s="194">
        <f>'Actual RAB roll forward'!G602</f>
        <v>0</v>
      </c>
      <c r="H171" s="109"/>
      <c r="I171" s="109"/>
      <c r="J171" s="109"/>
      <c r="K171" s="109"/>
      <c r="L171" s="109"/>
      <c r="M171" s="109"/>
      <c r="N171" s="99"/>
      <c r="O171" s="28"/>
      <c r="P171" s="28"/>
      <c r="Q171" s="28"/>
      <c r="R171" s="28"/>
      <c r="S171" s="99"/>
      <c r="T171" s="99"/>
      <c r="U171" s="99"/>
      <c r="V171" s="99"/>
      <c r="W171" s="99"/>
      <c r="X171" s="99"/>
      <c r="Y171" s="99"/>
      <c r="Z171" s="99"/>
      <c r="AA171" s="99"/>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19"/>
      <c r="BL171" s="219"/>
    </row>
    <row r="172" spans="1:64" ht="12.75" hidden="1" customHeight="1" outlineLevel="1">
      <c r="A172" s="9"/>
      <c r="B172" s="9"/>
      <c r="C172" s="44"/>
      <c r="D172" s="128" t="str">
        <f>Asset6</f>
        <v>Transmission substation equip 132/66kV</v>
      </c>
      <c r="E172" s="9"/>
      <c r="F172" s="9"/>
      <c r="G172" s="194">
        <f>'Actual RAB roll forward'!G603</f>
        <v>0</v>
      </c>
      <c r="H172" s="109"/>
      <c r="I172" s="109"/>
      <c r="J172" s="109"/>
      <c r="K172" s="109"/>
      <c r="L172" s="109"/>
      <c r="M172" s="109"/>
      <c r="N172" s="99"/>
      <c r="O172" s="28"/>
      <c r="P172" s="28"/>
      <c r="Q172" s="28"/>
      <c r="R172" s="28"/>
      <c r="S172" s="99"/>
      <c r="T172" s="99"/>
      <c r="U172" s="99"/>
      <c r="V172" s="99"/>
      <c r="W172" s="99"/>
      <c r="X172" s="99"/>
      <c r="Y172" s="99"/>
      <c r="Z172" s="99"/>
      <c r="AA172" s="99"/>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19"/>
      <c r="BL172" s="219"/>
    </row>
    <row r="173" spans="1:64" ht="12.75" hidden="1" customHeight="1" outlineLevel="1">
      <c r="A173" s="9"/>
      <c r="B173" s="9"/>
      <c r="C173" s="44"/>
      <c r="D173" s="128" t="str">
        <f>Asset7</f>
        <v>Zone substation equip 132/66kV</v>
      </c>
      <c r="E173" s="9"/>
      <c r="F173" s="9"/>
      <c r="G173" s="194">
        <f>'Actual RAB roll forward'!G604</f>
        <v>0</v>
      </c>
      <c r="H173" s="109"/>
      <c r="I173" s="109"/>
      <c r="J173" s="109"/>
      <c r="K173" s="109"/>
      <c r="L173" s="109"/>
      <c r="M173" s="109"/>
      <c r="N173" s="99"/>
      <c r="O173" s="28"/>
      <c r="P173" s="28"/>
      <c r="Q173" s="28"/>
      <c r="R173" s="28"/>
      <c r="S173" s="99"/>
      <c r="T173" s="99"/>
      <c r="U173" s="99"/>
      <c r="V173" s="99"/>
      <c r="W173" s="99"/>
      <c r="X173" s="99"/>
      <c r="Y173" s="99"/>
      <c r="Z173" s="99"/>
      <c r="AA173" s="99"/>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19"/>
      <c r="BL173" s="219"/>
    </row>
    <row r="174" spans="1:64" ht="12.75" hidden="1" customHeight="1" outlineLevel="1">
      <c r="A174" s="9"/>
      <c r="B174" s="9"/>
      <c r="C174" s="44"/>
      <c r="D174" s="128" t="str">
        <f>Asset8</f>
        <v>Transmission &amp; Zone emergency spares</v>
      </c>
      <c r="E174" s="9"/>
      <c r="F174" s="9"/>
      <c r="G174" s="194">
        <f>'Actual RAB roll forward'!G605</f>
        <v>0</v>
      </c>
      <c r="H174" s="109"/>
      <c r="I174" s="109"/>
      <c r="J174" s="109"/>
      <c r="K174" s="109"/>
      <c r="L174" s="109"/>
      <c r="M174" s="109"/>
      <c r="N174" s="99"/>
      <c r="O174" s="28"/>
      <c r="P174" s="28"/>
      <c r="Q174" s="28"/>
      <c r="R174" s="28"/>
      <c r="S174" s="99"/>
      <c r="T174" s="99"/>
      <c r="U174" s="99"/>
      <c r="V174" s="99"/>
      <c r="W174" s="99"/>
      <c r="X174" s="99"/>
      <c r="Y174" s="99"/>
      <c r="Z174" s="99"/>
      <c r="AA174" s="99"/>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19"/>
      <c r="BL174" s="219"/>
    </row>
    <row r="175" spans="1:64" ht="12.75" hidden="1" customHeight="1" outlineLevel="1">
      <c r="A175" s="9"/>
      <c r="B175" s="9"/>
      <c r="C175" s="44"/>
      <c r="D175" s="128" t="str">
        <f>Asset9</f>
        <v>Ancillary substation equipment (tx)</v>
      </c>
      <c r="E175" s="9"/>
      <c r="F175" s="9"/>
      <c r="G175" s="194">
        <f>'Actual RAB roll forward'!G606</f>
        <v>0</v>
      </c>
      <c r="H175" s="109"/>
      <c r="I175" s="109"/>
      <c r="J175" s="109"/>
      <c r="K175" s="109"/>
      <c r="L175" s="109"/>
      <c r="M175" s="109"/>
      <c r="N175" s="99"/>
      <c r="O175" s="28"/>
      <c r="P175" s="28"/>
      <c r="Q175" s="28"/>
      <c r="R175" s="28"/>
      <c r="S175" s="99"/>
      <c r="T175" s="99"/>
      <c r="U175" s="99"/>
      <c r="V175" s="99"/>
      <c r="W175" s="99"/>
      <c r="X175" s="99"/>
      <c r="Y175" s="99"/>
      <c r="Z175" s="99"/>
      <c r="AA175" s="99"/>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19"/>
      <c r="BL175" s="219"/>
    </row>
    <row r="176" spans="1:64" ht="12.75" hidden="1" customHeight="1" outlineLevel="1">
      <c r="A176" s="9"/>
      <c r="B176" s="9"/>
      <c r="C176" s="44"/>
      <c r="D176" s="128" t="str">
        <f>Asset10</f>
        <v>132kV tower lines</v>
      </c>
      <c r="E176" s="9"/>
      <c r="F176" s="9"/>
      <c r="G176" s="194">
        <f>'Actual RAB roll forward'!G607</f>
        <v>0</v>
      </c>
      <c r="H176" s="109"/>
      <c r="I176" s="109"/>
      <c r="J176" s="109"/>
      <c r="K176" s="109"/>
      <c r="L176" s="109"/>
      <c r="M176" s="109"/>
      <c r="N176" s="99"/>
      <c r="O176" s="28"/>
      <c r="P176" s="28"/>
      <c r="Q176" s="28"/>
      <c r="R176" s="28"/>
      <c r="S176" s="99"/>
      <c r="T176" s="99"/>
      <c r="U176" s="99"/>
      <c r="V176" s="99"/>
      <c r="W176" s="99"/>
      <c r="X176" s="99"/>
      <c r="Y176" s="99"/>
      <c r="Z176" s="99"/>
      <c r="AA176" s="99"/>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19"/>
      <c r="BL176" s="219"/>
    </row>
    <row r="177" spans="1:64" ht="12.75" hidden="1" customHeight="1" outlineLevel="1">
      <c r="A177" s="9"/>
      <c r="B177" s="9"/>
      <c r="C177" s="44"/>
      <c r="D177" s="128" t="str">
        <f>Asset11</f>
        <v>132kV concrete &amp; steel pole lines</v>
      </c>
      <c r="E177" s="9"/>
      <c r="F177" s="9"/>
      <c r="G177" s="194">
        <f>'Actual RAB roll forward'!G608</f>
        <v>0</v>
      </c>
      <c r="H177" s="109"/>
      <c r="I177" s="109"/>
      <c r="J177" s="109"/>
      <c r="K177" s="109"/>
      <c r="L177" s="109"/>
      <c r="M177" s="109"/>
      <c r="N177" s="99"/>
      <c r="O177" s="28"/>
      <c r="P177" s="28"/>
      <c r="Q177" s="28"/>
      <c r="R177" s="28"/>
      <c r="S177" s="99"/>
      <c r="T177" s="99"/>
      <c r="U177" s="99"/>
      <c r="V177" s="99"/>
      <c r="W177" s="99"/>
      <c r="X177" s="99"/>
      <c r="Y177" s="99"/>
      <c r="Z177" s="99"/>
      <c r="AA177" s="99"/>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19"/>
      <c r="BL177" s="219"/>
    </row>
    <row r="178" spans="1:64" ht="12.75" hidden="1" customHeight="1" outlineLevel="1">
      <c r="A178" s="9"/>
      <c r="B178" s="9"/>
      <c r="C178" s="44"/>
      <c r="D178" s="128" t="str">
        <f>Asset12</f>
        <v>132kV wood pole lines</v>
      </c>
      <c r="E178" s="9"/>
      <c r="F178" s="9"/>
      <c r="G178" s="194">
        <f>'Actual RAB roll forward'!G609</f>
        <v>0</v>
      </c>
      <c r="H178" s="109"/>
      <c r="I178" s="109"/>
      <c r="J178" s="109"/>
      <c r="K178" s="109"/>
      <c r="L178" s="109"/>
      <c r="M178" s="109"/>
      <c r="N178" s="99"/>
      <c r="O178" s="28"/>
      <c r="P178" s="28"/>
      <c r="Q178" s="28"/>
      <c r="R178" s="28"/>
      <c r="S178" s="99"/>
      <c r="T178" s="99"/>
      <c r="U178" s="99"/>
      <c r="V178" s="99"/>
      <c r="W178" s="99"/>
      <c r="X178" s="99"/>
      <c r="Y178" s="99"/>
      <c r="Z178" s="99"/>
      <c r="AA178" s="99"/>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19"/>
      <c r="BL178" s="219"/>
    </row>
    <row r="179" spans="1:64" ht="12.75" hidden="1" customHeight="1" outlineLevel="1">
      <c r="A179" s="9"/>
      <c r="B179" s="9"/>
      <c r="C179" s="44"/>
      <c r="D179" s="128" t="str">
        <f>Asset13</f>
        <v>132kV feeders underground</v>
      </c>
      <c r="E179" s="9"/>
      <c r="F179" s="9"/>
      <c r="G179" s="194">
        <f>'Actual RAB roll forward'!G610</f>
        <v>0</v>
      </c>
      <c r="H179" s="109"/>
      <c r="I179" s="109"/>
      <c r="J179" s="109"/>
      <c r="K179" s="109"/>
      <c r="L179" s="109"/>
      <c r="M179" s="109"/>
      <c r="N179" s="99"/>
      <c r="O179" s="28"/>
      <c r="P179" s="28"/>
      <c r="Q179" s="28"/>
      <c r="R179" s="28"/>
      <c r="S179" s="99"/>
      <c r="T179" s="99"/>
      <c r="U179" s="99"/>
      <c r="V179" s="99"/>
      <c r="W179" s="99"/>
      <c r="X179" s="99"/>
      <c r="Y179" s="99"/>
      <c r="Z179" s="99"/>
      <c r="AA179" s="99"/>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19"/>
      <c r="BL179" s="219"/>
    </row>
    <row r="180" spans="1:64" ht="12.75" hidden="1" customHeight="1" outlineLevel="1">
      <c r="A180" s="9"/>
      <c r="B180" s="9"/>
      <c r="C180" s="44"/>
      <c r="D180" s="128" t="str">
        <f>Asset14</f>
        <v>Cable tunnel (tx)</v>
      </c>
      <c r="E180" s="9"/>
      <c r="F180" s="9"/>
      <c r="G180" s="194">
        <f>'Actual RAB roll forward'!G611</f>
        <v>0</v>
      </c>
      <c r="H180" s="109"/>
      <c r="I180" s="109"/>
      <c r="J180" s="109"/>
      <c r="K180" s="109"/>
      <c r="L180" s="109"/>
      <c r="M180" s="109"/>
      <c r="N180" s="99"/>
      <c r="O180" s="28"/>
      <c r="P180" s="28"/>
      <c r="Q180" s="28"/>
      <c r="R180" s="28"/>
      <c r="S180" s="99"/>
      <c r="T180" s="99"/>
      <c r="U180" s="99"/>
      <c r="V180" s="99"/>
      <c r="W180" s="99"/>
      <c r="X180" s="99"/>
      <c r="Y180" s="99"/>
      <c r="Z180" s="99"/>
      <c r="AA180" s="99"/>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19"/>
      <c r="BL180" s="219"/>
    </row>
    <row r="181" spans="1:64" ht="12.75" hidden="1" customHeight="1" outlineLevel="1">
      <c r="A181" s="9"/>
      <c r="B181" s="9"/>
      <c r="C181" s="44"/>
      <c r="D181" s="128" t="str">
        <f>Asset15</f>
        <v>Network control &amp; com systems</v>
      </c>
      <c r="E181" s="9"/>
      <c r="F181" s="9"/>
      <c r="G181" s="194">
        <f>'Actual RAB roll forward'!G612</f>
        <v>0</v>
      </c>
      <c r="H181" s="109"/>
      <c r="I181" s="109"/>
      <c r="J181" s="109"/>
      <c r="K181" s="109"/>
      <c r="L181" s="109"/>
      <c r="M181" s="109"/>
      <c r="N181" s="99"/>
      <c r="O181" s="28"/>
      <c r="P181" s="28"/>
      <c r="Q181" s="28"/>
      <c r="R181" s="28"/>
      <c r="S181" s="99"/>
      <c r="T181" s="99"/>
      <c r="U181" s="99"/>
      <c r="V181" s="99"/>
      <c r="W181" s="99"/>
      <c r="X181" s="99"/>
      <c r="Y181" s="99"/>
      <c r="Z181" s="99"/>
      <c r="AA181" s="99"/>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19"/>
      <c r="BL181" s="219"/>
    </row>
    <row r="182" spans="1:64" ht="12.75" hidden="1" customHeight="1" outlineLevel="1">
      <c r="A182" s="9"/>
      <c r="B182" s="9"/>
      <c r="C182" s="44"/>
      <c r="D182" s="128" t="str">
        <f>Asset16</f>
        <v>Communications (digital) - tx</v>
      </c>
      <c r="E182" s="9"/>
      <c r="F182" s="9"/>
      <c r="G182" s="194">
        <f>'Actual RAB roll forward'!G613</f>
        <v>0</v>
      </c>
      <c r="H182" s="109"/>
      <c r="I182" s="109"/>
      <c r="J182" s="109"/>
      <c r="K182" s="109"/>
      <c r="L182" s="109"/>
      <c r="M182" s="109"/>
      <c r="N182" s="99"/>
      <c r="O182" s="28"/>
      <c r="P182" s="28"/>
      <c r="Q182" s="28"/>
      <c r="R182" s="28"/>
      <c r="S182" s="99"/>
      <c r="T182" s="99"/>
      <c r="U182" s="99"/>
      <c r="V182" s="99"/>
      <c r="W182" s="99"/>
      <c r="X182" s="99"/>
      <c r="Y182" s="99"/>
      <c r="Z182" s="99"/>
      <c r="AA182" s="99"/>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19"/>
      <c r="BL182" s="219"/>
    </row>
    <row r="183" spans="1:64" ht="12.75" hidden="1" customHeight="1" outlineLevel="1">
      <c r="A183" s="9"/>
      <c r="B183" s="9"/>
      <c r="C183" s="44"/>
      <c r="D183" s="128" t="str">
        <f>Asset17</f>
        <v>System IT (tx)</v>
      </c>
      <c r="E183" s="9"/>
      <c r="F183" s="9"/>
      <c r="G183" s="194">
        <f>'Actual RAB roll forward'!G614</f>
        <v>0</v>
      </c>
      <c r="H183" s="109"/>
      <c r="I183" s="109"/>
      <c r="J183" s="109"/>
      <c r="K183" s="109"/>
      <c r="L183" s="109"/>
      <c r="M183" s="109"/>
      <c r="N183" s="99"/>
      <c r="O183" s="28"/>
      <c r="P183" s="28"/>
      <c r="Q183" s="28"/>
      <c r="R183" s="28"/>
      <c r="S183" s="99"/>
      <c r="T183" s="99"/>
      <c r="U183" s="99"/>
      <c r="V183" s="99"/>
      <c r="W183" s="99"/>
      <c r="X183" s="99"/>
      <c r="Y183" s="99"/>
      <c r="Z183" s="99"/>
      <c r="AA183" s="99"/>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19"/>
      <c r="BL183" s="219"/>
    </row>
    <row r="184" spans="1:64" ht="12.75" hidden="1" customHeight="1" outlineLevel="1">
      <c r="A184" s="9"/>
      <c r="B184" s="9"/>
      <c r="C184" s="44"/>
      <c r="D184" s="128" t="str">
        <f>Asset18</f>
        <v>IT systems</v>
      </c>
      <c r="E184" s="9"/>
      <c r="F184" s="9"/>
      <c r="G184" s="194">
        <f>'Actual RAB roll forward'!G615</f>
        <v>0</v>
      </c>
      <c r="H184" s="109"/>
      <c r="I184" s="109"/>
      <c r="J184" s="109"/>
      <c r="K184" s="109"/>
      <c r="L184" s="109"/>
      <c r="M184" s="109"/>
      <c r="N184" s="99"/>
      <c r="O184" s="28"/>
      <c r="P184" s="28"/>
      <c r="Q184" s="28"/>
      <c r="R184" s="28"/>
      <c r="S184" s="99"/>
      <c r="T184" s="99"/>
      <c r="U184" s="99"/>
      <c r="V184" s="99"/>
      <c r="W184" s="99"/>
      <c r="X184" s="99"/>
      <c r="Y184" s="99"/>
      <c r="Z184" s="99"/>
      <c r="AA184" s="99"/>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19"/>
      <c r="BL184" s="219"/>
    </row>
    <row r="185" spans="1:64" ht="12.75" hidden="1" customHeight="1" outlineLevel="1">
      <c r="A185" s="9"/>
      <c r="B185" s="9"/>
      <c r="C185" s="44"/>
      <c r="D185" s="128" t="str">
        <f>Asset19</f>
        <v>Furniture, fittings, plant and equipment</v>
      </c>
      <c r="E185" s="9"/>
      <c r="F185" s="9"/>
      <c r="G185" s="194">
        <f>'Actual RAB roll forward'!G616</f>
        <v>0</v>
      </c>
      <c r="H185" s="109"/>
      <c r="I185" s="109"/>
      <c r="J185" s="109"/>
      <c r="K185" s="109"/>
      <c r="L185" s="109"/>
      <c r="M185" s="109"/>
      <c r="N185" s="99"/>
      <c r="O185" s="28"/>
      <c r="P185" s="28"/>
      <c r="Q185" s="28"/>
      <c r="R185" s="28"/>
      <c r="S185" s="99"/>
      <c r="T185" s="99"/>
      <c r="U185" s="99"/>
      <c r="V185" s="99"/>
      <c r="W185" s="99"/>
      <c r="X185" s="99"/>
      <c r="Y185" s="99"/>
      <c r="Z185" s="99"/>
      <c r="AA185" s="99"/>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19"/>
      <c r="BL185" s="219"/>
    </row>
    <row r="186" spans="1:64" ht="9.75" hidden="1" customHeight="1" outlineLevel="1">
      <c r="A186" s="9"/>
      <c r="B186" s="9"/>
      <c r="C186" s="44"/>
      <c r="D186" s="128" t="str">
        <f>Asset20</f>
        <v>Motor vehicles</v>
      </c>
      <c r="E186" s="9"/>
      <c r="F186" s="9"/>
      <c r="G186" s="194">
        <f>'Actual RAB roll forward'!G617</f>
        <v>0</v>
      </c>
      <c r="H186" s="109"/>
      <c r="I186" s="109"/>
      <c r="J186" s="109"/>
      <c r="K186" s="109"/>
      <c r="L186" s="109"/>
      <c r="M186" s="109"/>
      <c r="N186" s="99"/>
      <c r="O186" s="28"/>
      <c r="P186" s="28"/>
      <c r="Q186" s="28"/>
      <c r="R186" s="28"/>
      <c r="S186" s="99"/>
      <c r="T186" s="99"/>
      <c r="U186" s="99"/>
      <c r="V186" s="99"/>
      <c r="W186" s="99"/>
      <c r="X186" s="99"/>
      <c r="Y186" s="99"/>
      <c r="Z186" s="99"/>
      <c r="AA186" s="99"/>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19"/>
      <c r="BL186" s="219"/>
    </row>
    <row r="187" spans="1:64" ht="9.75" hidden="1" customHeight="1" outlineLevel="1">
      <c r="A187" s="9"/>
      <c r="B187" s="9"/>
      <c r="C187" s="44"/>
      <c r="D187" s="128" t="str">
        <f>Asset21</f>
        <v>Buildings</v>
      </c>
      <c r="E187" s="9"/>
      <c r="F187" s="9"/>
      <c r="G187" s="194">
        <f>'Actual RAB roll forward'!G618</f>
        <v>0</v>
      </c>
      <c r="H187" s="109"/>
      <c r="I187" s="109"/>
      <c r="J187" s="109"/>
      <c r="K187" s="109"/>
      <c r="L187" s="109"/>
      <c r="M187" s="109"/>
      <c r="N187" s="99"/>
      <c r="O187" s="28"/>
      <c r="P187" s="28"/>
      <c r="Q187" s="28"/>
      <c r="R187" s="28"/>
      <c r="S187" s="99"/>
      <c r="T187" s="99"/>
      <c r="U187" s="99"/>
      <c r="V187" s="99"/>
      <c r="W187" s="99"/>
      <c r="X187" s="99"/>
      <c r="Y187" s="99"/>
      <c r="Z187" s="99"/>
      <c r="AA187" s="99"/>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26"/>
      <c r="BK187" s="219"/>
      <c r="BL187" s="219"/>
    </row>
    <row r="188" spans="1:64" ht="9.75" hidden="1" customHeight="1" outlineLevel="1">
      <c r="A188" s="9"/>
      <c r="B188" s="9"/>
      <c r="C188" s="44"/>
      <c r="D188" s="128" t="str">
        <f>Asset22</f>
        <v>Land (non-system)</v>
      </c>
      <c r="E188" s="9"/>
      <c r="F188" s="9"/>
      <c r="G188" s="194">
        <f>'Actual RAB roll forward'!G619</f>
        <v>0</v>
      </c>
      <c r="H188" s="109"/>
      <c r="I188" s="109"/>
      <c r="J188" s="109"/>
      <c r="K188" s="109"/>
      <c r="L188" s="109"/>
      <c r="M188" s="109"/>
      <c r="N188" s="99"/>
      <c r="O188" s="28"/>
      <c r="P188" s="28"/>
      <c r="Q188" s="28"/>
      <c r="R188" s="28"/>
      <c r="S188" s="99"/>
      <c r="T188" s="99"/>
      <c r="U188" s="99"/>
      <c r="V188" s="99"/>
      <c r="W188" s="99"/>
      <c r="X188" s="99"/>
      <c r="Y188" s="99"/>
      <c r="Z188" s="99"/>
      <c r="AA188" s="99"/>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19"/>
      <c r="BL188" s="219"/>
    </row>
    <row r="189" spans="1:64" ht="9.75" hidden="1" customHeight="1" outlineLevel="1">
      <c r="A189" s="9"/>
      <c r="B189" s="9"/>
      <c r="C189" s="44"/>
      <c r="D189" s="128" t="str">
        <f>Asset23</f>
        <v>Other non system assets</v>
      </c>
      <c r="E189" s="9"/>
      <c r="F189" s="9"/>
      <c r="G189" s="194">
        <f>'Actual RAB roll forward'!G620</f>
        <v>0</v>
      </c>
      <c r="H189" s="109"/>
      <c r="I189" s="109"/>
      <c r="J189" s="109"/>
      <c r="K189" s="109"/>
      <c r="L189" s="109"/>
      <c r="M189" s="109"/>
      <c r="N189" s="99"/>
      <c r="O189" s="28"/>
      <c r="P189" s="28"/>
      <c r="Q189" s="28"/>
      <c r="R189" s="28"/>
      <c r="S189" s="99"/>
      <c r="T189" s="99"/>
      <c r="U189" s="99"/>
      <c r="V189" s="99"/>
      <c r="W189" s="99"/>
      <c r="X189" s="99"/>
      <c r="Y189" s="99"/>
      <c r="Z189" s="99"/>
      <c r="AA189" s="99"/>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26"/>
      <c r="BK189" s="219"/>
      <c r="BL189" s="219"/>
    </row>
    <row r="190" spans="1:64" ht="9.75" hidden="1" customHeight="1" outlineLevel="1">
      <c r="A190" s="9"/>
      <c r="B190" s="9"/>
      <c r="C190" s="44"/>
      <c r="D190" s="128" t="str">
        <f>Asset24</f>
        <v>Equity raising costs</v>
      </c>
      <c r="E190" s="9"/>
      <c r="F190" s="9"/>
      <c r="G190" s="194">
        <f>'Actual RAB roll forward'!G621</f>
        <v>0</v>
      </c>
      <c r="H190" s="109"/>
      <c r="I190" s="109"/>
      <c r="J190" s="109"/>
      <c r="K190" s="109"/>
      <c r="L190" s="109"/>
      <c r="M190" s="109"/>
      <c r="N190" s="99"/>
      <c r="O190" s="28"/>
      <c r="P190" s="28"/>
      <c r="Q190" s="28"/>
      <c r="R190" s="28"/>
      <c r="S190" s="99"/>
      <c r="T190" s="99"/>
      <c r="U190" s="99"/>
      <c r="V190" s="99"/>
      <c r="W190" s="99"/>
      <c r="X190" s="99"/>
      <c r="Y190" s="99"/>
      <c r="Z190" s="99"/>
      <c r="AA190" s="99"/>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19"/>
      <c r="BL190" s="219"/>
    </row>
    <row r="191" spans="1:64" ht="9.75" hidden="1" customHeight="1" outlineLevel="1">
      <c r="A191" s="9"/>
      <c r="B191" s="9"/>
      <c r="C191" s="44"/>
      <c r="D191" s="128">
        <f>Asset25</f>
        <v>0</v>
      </c>
      <c r="E191" s="9"/>
      <c r="F191" s="9"/>
      <c r="G191" s="194">
        <f>'Actual RAB roll forward'!G622</f>
        <v>0</v>
      </c>
      <c r="H191" s="109"/>
      <c r="I191" s="109"/>
      <c r="J191" s="109"/>
      <c r="K191" s="109"/>
      <c r="L191" s="109"/>
      <c r="M191" s="109"/>
      <c r="N191" s="99"/>
      <c r="O191" s="28"/>
      <c r="P191" s="28"/>
      <c r="Q191" s="28"/>
      <c r="R191" s="28"/>
      <c r="S191" s="99"/>
      <c r="T191" s="99"/>
      <c r="U191" s="99"/>
      <c r="V191" s="99"/>
      <c r="W191" s="99"/>
      <c r="X191" s="99"/>
      <c r="Y191" s="99"/>
      <c r="Z191" s="99"/>
      <c r="AA191" s="99"/>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19"/>
      <c r="BL191" s="219"/>
    </row>
    <row r="192" spans="1:64" ht="9.75" hidden="1" customHeight="1" outlineLevel="1">
      <c r="A192" s="9"/>
      <c r="B192" s="9"/>
      <c r="C192" s="44"/>
      <c r="D192" s="128">
        <f>Asset26</f>
        <v>0</v>
      </c>
      <c r="E192" s="9"/>
      <c r="F192" s="9"/>
      <c r="G192" s="194">
        <f>'Actual RAB roll forward'!G623</f>
        <v>0</v>
      </c>
      <c r="H192" s="109"/>
      <c r="I192" s="109"/>
      <c r="J192" s="109"/>
      <c r="K192" s="109"/>
      <c r="L192" s="109"/>
      <c r="M192" s="109"/>
      <c r="N192" s="99"/>
      <c r="O192" s="28"/>
      <c r="P192" s="28"/>
      <c r="Q192" s="28"/>
      <c r="R192" s="28"/>
      <c r="S192" s="99"/>
      <c r="T192" s="99"/>
      <c r="U192" s="99"/>
      <c r="V192" s="99"/>
      <c r="W192" s="99"/>
      <c r="X192" s="99"/>
      <c r="Y192" s="99"/>
      <c r="Z192" s="99"/>
      <c r="AA192" s="99"/>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19"/>
      <c r="BL192" s="219"/>
    </row>
    <row r="193" spans="1:64" ht="9.75" hidden="1" customHeight="1" outlineLevel="1">
      <c r="A193" s="9"/>
      <c r="B193" s="9"/>
      <c r="C193" s="44"/>
      <c r="D193" s="128">
        <f>Asset27</f>
        <v>0</v>
      </c>
      <c r="E193" s="9"/>
      <c r="F193" s="9"/>
      <c r="G193" s="194">
        <f>'Actual RAB roll forward'!G624</f>
        <v>0</v>
      </c>
      <c r="H193" s="109"/>
      <c r="I193" s="109"/>
      <c r="J193" s="109"/>
      <c r="K193" s="109"/>
      <c r="L193" s="109"/>
      <c r="M193" s="109"/>
      <c r="N193" s="99"/>
      <c r="O193" s="28"/>
      <c r="P193" s="28"/>
      <c r="Q193" s="28"/>
      <c r="R193" s="28"/>
      <c r="S193" s="99"/>
      <c r="T193" s="99"/>
      <c r="U193" s="99"/>
      <c r="V193" s="99"/>
      <c r="W193" s="99"/>
      <c r="X193" s="99"/>
      <c r="Y193" s="99"/>
      <c r="Z193" s="99"/>
      <c r="AA193" s="99"/>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19"/>
      <c r="BL193" s="219"/>
    </row>
    <row r="194" spans="1:64" ht="9.75" hidden="1" customHeight="1" outlineLevel="1">
      <c r="A194" s="9"/>
      <c r="B194" s="9"/>
      <c r="C194" s="44"/>
      <c r="D194" s="128">
        <f>Asset28</f>
        <v>0</v>
      </c>
      <c r="E194" s="9"/>
      <c r="F194" s="9"/>
      <c r="G194" s="194">
        <f>'Actual RAB roll forward'!G625</f>
        <v>0</v>
      </c>
      <c r="H194" s="109"/>
      <c r="I194" s="109"/>
      <c r="J194" s="109"/>
      <c r="K194" s="109"/>
      <c r="L194" s="109"/>
      <c r="M194" s="109"/>
      <c r="N194" s="99"/>
      <c r="O194" s="28"/>
      <c r="P194" s="28"/>
      <c r="Q194" s="28"/>
      <c r="R194" s="28"/>
      <c r="S194" s="99"/>
      <c r="T194" s="99"/>
      <c r="U194" s="99"/>
      <c r="V194" s="99"/>
      <c r="W194" s="99"/>
      <c r="X194" s="99"/>
      <c r="Y194" s="99"/>
      <c r="Z194" s="99"/>
      <c r="AA194" s="99"/>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26"/>
      <c r="BK194" s="219"/>
      <c r="BL194" s="219"/>
    </row>
    <row r="195" spans="1:64" ht="9.75" hidden="1" customHeight="1" outlineLevel="1">
      <c r="A195" s="9"/>
      <c r="B195" s="9"/>
      <c r="C195" s="44"/>
      <c r="D195" s="128">
        <f>Asset29</f>
        <v>0</v>
      </c>
      <c r="E195" s="9"/>
      <c r="F195" s="9"/>
      <c r="G195" s="194">
        <f>'Actual RAB roll forward'!G626</f>
        <v>0</v>
      </c>
      <c r="H195" s="109"/>
      <c r="I195" s="109"/>
      <c r="J195" s="109"/>
      <c r="K195" s="109"/>
      <c r="L195" s="109"/>
      <c r="M195" s="109"/>
      <c r="N195" s="99"/>
      <c r="O195" s="28"/>
      <c r="P195" s="28"/>
      <c r="Q195" s="28"/>
      <c r="R195" s="28"/>
      <c r="S195" s="99"/>
      <c r="T195" s="99"/>
      <c r="U195" s="99"/>
      <c r="V195" s="99"/>
      <c r="W195" s="99"/>
      <c r="X195" s="99"/>
      <c r="Y195" s="99"/>
      <c r="Z195" s="99"/>
      <c r="AA195" s="99"/>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19"/>
      <c r="BL195" s="219"/>
    </row>
    <row r="196" spans="1:64" ht="9.75" hidden="1" customHeight="1" outlineLevel="1">
      <c r="A196" s="9"/>
      <c r="B196" s="9"/>
      <c r="C196" s="44"/>
      <c r="D196" s="128">
        <f>Asset30</f>
        <v>0</v>
      </c>
      <c r="E196" s="9"/>
      <c r="F196" s="9"/>
      <c r="G196" s="194">
        <f>'Actual RAB roll forward'!G627</f>
        <v>0</v>
      </c>
      <c r="H196" s="109"/>
      <c r="I196" s="109"/>
      <c r="J196" s="109"/>
      <c r="K196" s="109"/>
      <c r="L196" s="109"/>
      <c r="M196" s="109"/>
      <c r="N196" s="99"/>
      <c r="O196" s="28"/>
      <c r="P196" s="28"/>
      <c r="Q196" s="28"/>
      <c r="R196" s="28"/>
      <c r="S196" s="99"/>
      <c r="T196" s="99"/>
      <c r="U196" s="99"/>
      <c r="V196" s="99"/>
      <c r="W196" s="99"/>
      <c r="X196" s="99"/>
      <c r="Y196" s="99"/>
      <c r="Z196" s="99"/>
      <c r="AA196" s="99"/>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19"/>
      <c r="BL196" s="219"/>
    </row>
    <row r="197" spans="1:64" ht="9.75" customHeight="1" collapsed="1">
      <c r="A197" s="9"/>
      <c r="B197" s="9"/>
      <c r="C197" s="44"/>
      <c r="D197" s="128"/>
      <c r="E197" s="9"/>
      <c r="F197" s="9"/>
      <c r="G197" s="139"/>
      <c r="H197" s="109"/>
      <c r="I197" s="109"/>
      <c r="J197" s="109"/>
      <c r="K197" s="109"/>
      <c r="L197" s="109"/>
      <c r="M197" s="109"/>
      <c r="N197" s="99"/>
      <c r="O197" s="28"/>
      <c r="P197" s="28"/>
      <c r="Q197" s="28"/>
      <c r="R197" s="28"/>
      <c r="S197" s="99"/>
      <c r="T197" s="99"/>
      <c r="U197" s="99"/>
      <c r="V197" s="99"/>
      <c r="W197" s="99"/>
      <c r="X197" s="99"/>
      <c r="Y197" s="99"/>
      <c r="Z197" s="99"/>
      <c r="AA197" s="99"/>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26"/>
      <c r="BK197" s="219"/>
      <c r="BL197" s="219"/>
    </row>
    <row r="198" spans="1:64">
      <c r="A198" s="72"/>
      <c r="B198" s="72"/>
      <c r="C198" s="79" t="s">
        <v>49</v>
      </c>
      <c r="D198" s="156"/>
      <c r="E198" s="79"/>
      <c r="F198" s="79"/>
      <c r="G198" s="223">
        <f>SUM(G199:G228)</f>
        <v>1028.4729232970931</v>
      </c>
      <c r="H198" s="223">
        <f>SUM(H199:H228)</f>
        <v>1264.1766710268857</v>
      </c>
      <c r="I198" s="155">
        <f t="shared" ref="I198:Q198" si="8">SUM(I199:I228)</f>
        <v>1544.9628270260835</v>
      </c>
      <c r="J198" s="155">
        <f t="shared" si="8"/>
        <v>1862.8961133721868</v>
      </c>
      <c r="K198" s="155">
        <f t="shared" si="8"/>
        <v>2062.889031702352</v>
      </c>
      <c r="L198" s="155">
        <f t="shared" si="8"/>
        <v>2201.1934914000376</v>
      </c>
      <c r="M198" s="155">
        <f t="shared" si="8"/>
        <v>0</v>
      </c>
      <c r="N198" s="155">
        <f t="shared" si="8"/>
        <v>0</v>
      </c>
      <c r="O198" s="155">
        <f t="shared" si="8"/>
        <v>0</v>
      </c>
      <c r="P198" s="155">
        <f t="shared" si="8"/>
        <v>0</v>
      </c>
      <c r="Q198" s="155">
        <f t="shared" si="8"/>
        <v>0</v>
      </c>
      <c r="R198" s="155"/>
      <c r="S198" s="99"/>
      <c r="T198" s="99"/>
      <c r="U198" s="99"/>
      <c r="V198" s="99"/>
      <c r="W198" s="99"/>
      <c r="X198" s="99"/>
      <c r="Y198" s="99"/>
      <c r="Z198" s="99"/>
      <c r="AA198" s="99"/>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19"/>
      <c r="BL198" s="219"/>
    </row>
    <row r="199" spans="1:64" ht="12.75" customHeight="1" outlineLevel="1">
      <c r="A199" s="9"/>
      <c r="B199" s="11"/>
      <c r="C199" s="44"/>
      <c r="D199" s="128" t="str">
        <f>Asset1</f>
        <v>Transmission &amp; Zone land &amp; easements</v>
      </c>
      <c r="E199" s="11"/>
      <c r="F199" s="11"/>
      <c r="G199" s="191">
        <f t="shared" ref="G199:G218" si="9">G7+G39+G71+G103+G135+G167</f>
        <v>332.15104413489365</v>
      </c>
      <c r="H199" s="191">
        <f t="shared" ref="H199:H228" si="10">H7+H39+H71</f>
        <v>341.74385407380754</v>
      </c>
      <c r="I199" s="154">
        <f t="shared" ref="I199:L208" si="11">I7+I39+I71</f>
        <v>367.71721018810422</v>
      </c>
      <c r="J199" s="154">
        <f t="shared" si="11"/>
        <v>376.58998499900576</v>
      </c>
      <c r="K199" s="154">
        <f t="shared" si="11"/>
        <v>387.91683367854688</v>
      </c>
      <c r="L199" s="154">
        <f t="shared" si="11"/>
        <v>399.10031828066923</v>
      </c>
      <c r="M199" s="154">
        <f>IF(Input!M$173&gt;0, M7+M39+M71, 0)</f>
        <v>0</v>
      </c>
      <c r="N199" s="154">
        <f>IF(Input!N$173&gt;0, N7+N39+N71, 0)</f>
        <v>0</v>
      </c>
      <c r="O199" s="154">
        <f>IF(Input!O$173&gt;0, O7+O39+O71, 0)</f>
        <v>0</v>
      </c>
      <c r="P199" s="154">
        <f>IF(Input!P$173&gt;0, P7+P39+P71, 0)</f>
        <v>0</v>
      </c>
      <c r="Q199" s="154">
        <f>IF(Input!Q$173&gt;0, Q7+Q39+Q71, 0)</f>
        <v>0</v>
      </c>
      <c r="R199" s="99"/>
      <c r="S199" s="99"/>
      <c r="T199" s="99"/>
      <c r="U199" s="99"/>
      <c r="V199" s="99"/>
      <c r="W199" s="99"/>
      <c r="X199" s="99"/>
      <c r="Y199" s="99"/>
      <c r="Z199" s="99"/>
      <c r="AA199" s="99"/>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19"/>
      <c r="BL199" s="219"/>
    </row>
    <row r="200" spans="1:64" ht="12.75" customHeight="1" outlineLevel="1">
      <c r="A200" s="9"/>
      <c r="B200" s="11"/>
      <c r="C200" s="44"/>
      <c r="D200" s="128" t="str">
        <f>Asset2</f>
        <v>Transmission buildings 132/66kV</v>
      </c>
      <c r="E200" s="11"/>
      <c r="F200" s="11"/>
      <c r="G200" s="191">
        <f t="shared" si="9"/>
        <v>39.756174151289621</v>
      </c>
      <c r="H200" s="191">
        <f t="shared" si="10"/>
        <v>59.36371386426336</v>
      </c>
      <c r="I200" s="154">
        <f t="shared" si="11"/>
        <v>64.725591540428269</v>
      </c>
      <c r="J200" s="154">
        <f t="shared" si="11"/>
        <v>67.458990944055145</v>
      </c>
      <c r="K200" s="154">
        <f t="shared" si="11"/>
        <v>74.114705257476672</v>
      </c>
      <c r="L200" s="154">
        <f t="shared" si="11"/>
        <v>79.272556574317505</v>
      </c>
      <c r="M200" s="154">
        <f>IF(Input!M$173&gt;0, M8+M40+M72, 0)</f>
        <v>0</v>
      </c>
      <c r="N200" s="154">
        <f>IF(Input!N$173&gt;0, N8+N40+N72, 0)</f>
        <v>0</v>
      </c>
      <c r="O200" s="154">
        <f>IF(Input!O$173&gt;0, O8+O40+O72, 0)</f>
        <v>0</v>
      </c>
      <c r="P200" s="154">
        <f>IF(Input!P$173&gt;0, P8+P40+P72, 0)</f>
        <v>0</v>
      </c>
      <c r="Q200" s="154">
        <f>IF(Input!Q$173&gt;0, Q8+Q40+Q72, 0)</f>
        <v>0</v>
      </c>
      <c r="R200" s="99"/>
      <c r="S200" s="99"/>
      <c r="T200" s="99"/>
      <c r="U200" s="99"/>
      <c r="V200" s="99"/>
      <c r="W200" s="99"/>
      <c r="X200" s="99"/>
      <c r="Y200" s="99"/>
      <c r="Z200" s="99"/>
      <c r="AA200" s="99"/>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6"/>
      <c r="BC200" s="226"/>
      <c r="BD200" s="226"/>
      <c r="BE200" s="226"/>
      <c r="BF200" s="226"/>
      <c r="BG200" s="226"/>
      <c r="BH200" s="226"/>
      <c r="BI200" s="226"/>
      <c r="BJ200" s="226"/>
      <c r="BK200" s="219"/>
      <c r="BL200" s="219"/>
    </row>
    <row r="201" spans="1:64" ht="12.75" customHeight="1" outlineLevel="1">
      <c r="A201" s="9"/>
      <c r="B201" s="11"/>
      <c r="C201" s="44"/>
      <c r="D201" s="128" t="str">
        <f>Asset3</f>
        <v>Zone buildings 132/66kV</v>
      </c>
      <c r="E201" s="11"/>
      <c r="F201" s="11"/>
      <c r="G201" s="191">
        <f t="shared" si="9"/>
        <v>57.805601222983462</v>
      </c>
      <c r="H201" s="193">
        <f t="shared" si="10"/>
        <v>58.604331432030868</v>
      </c>
      <c r="I201" s="154">
        <f t="shared" si="11"/>
        <v>66.065777888212835</v>
      </c>
      <c r="J201" s="154">
        <f t="shared" si="11"/>
        <v>70.638145992795614</v>
      </c>
      <c r="K201" s="154">
        <f t="shared" si="11"/>
        <v>105.44966478289518</v>
      </c>
      <c r="L201" s="154">
        <f t="shared" si="11"/>
        <v>133.05594966081074</v>
      </c>
      <c r="M201" s="154">
        <f>IF(Input!M$173&gt;0, M9+M41+M73, 0)</f>
        <v>0</v>
      </c>
      <c r="N201" s="154">
        <f>IF(Input!N$173&gt;0, N9+N41+N73, 0)</f>
        <v>0</v>
      </c>
      <c r="O201" s="154">
        <f>IF(Input!O$173&gt;0, O9+O41+O73, 0)</f>
        <v>0</v>
      </c>
      <c r="P201" s="154">
        <f>IF(Input!P$173&gt;0, P9+P41+P73, 0)</f>
        <v>0</v>
      </c>
      <c r="Q201" s="154">
        <f>IF(Input!Q$173&gt;0, Q9+Q41+Q73, 0)</f>
        <v>0</v>
      </c>
      <c r="R201" s="99"/>
      <c r="S201" s="99"/>
      <c r="T201" s="99"/>
      <c r="U201" s="99"/>
      <c r="V201" s="99"/>
      <c r="W201" s="99"/>
      <c r="X201" s="99"/>
      <c r="Y201" s="99"/>
      <c r="Z201" s="99"/>
      <c r="AA201" s="99"/>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26"/>
      <c r="BK201" s="219"/>
      <c r="BL201" s="219"/>
    </row>
    <row r="202" spans="1:64" ht="12.75" customHeight="1" outlineLevel="1">
      <c r="A202" s="9"/>
      <c r="B202" s="11"/>
      <c r="C202" s="44"/>
      <c r="D202" s="128" t="str">
        <f>Asset4</f>
        <v>Transmission transformers 132/66kV</v>
      </c>
      <c r="E202" s="11"/>
      <c r="F202" s="11"/>
      <c r="G202" s="191">
        <f t="shared" si="9"/>
        <v>22.737242402904922</v>
      </c>
      <c r="H202" s="191">
        <f t="shared" si="10"/>
        <v>26.087962382826813</v>
      </c>
      <c r="I202" s="154">
        <f t="shared" si="11"/>
        <v>27.400646293445764</v>
      </c>
      <c r="J202" s="154">
        <f t="shared" si="11"/>
        <v>29.718590388685424</v>
      </c>
      <c r="K202" s="154">
        <f t="shared" si="11"/>
        <v>35.746111896405203</v>
      </c>
      <c r="L202" s="154">
        <f t="shared" si="11"/>
        <v>40.783523375192303</v>
      </c>
      <c r="M202" s="154">
        <f>IF(Input!M$173&gt;0, M10+M42+M74, 0)</f>
        <v>0</v>
      </c>
      <c r="N202" s="154">
        <f>IF(Input!N$173&gt;0, N10+N42+N74, 0)</f>
        <v>0</v>
      </c>
      <c r="O202" s="154">
        <f>IF(Input!O$173&gt;0, O10+O42+O74, 0)</f>
        <v>0</v>
      </c>
      <c r="P202" s="154">
        <f>IF(Input!P$173&gt;0, P10+P42+P74, 0)</f>
        <v>0</v>
      </c>
      <c r="Q202" s="154">
        <f>IF(Input!Q$173&gt;0, Q10+Q42+Q74, 0)</f>
        <v>0</v>
      </c>
      <c r="R202" s="99"/>
      <c r="S202" s="99"/>
      <c r="T202" s="99"/>
      <c r="U202" s="99"/>
      <c r="V202" s="99"/>
      <c r="W202" s="99"/>
      <c r="X202" s="99"/>
      <c r="Y202" s="99"/>
      <c r="Z202" s="99"/>
      <c r="AA202" s="99"/>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19"/>
      <c r="BL202" s="219"/>
    </row>
    <row r="203" spans="1:64" ht="12.75" customHeight="1" outlineLevel="1">
      <c r="A203" s="9"/>
      <c r="B203" s="11"/>
      <c r="C203" s="44"/>
      <c r="D203" s="128" t="str">
        <f>Asset5</f>
        <v>Zone transformers 132/66kV</v>
      </c>
      <c r="E203" s="11"/>
      <c r="F203" s="11"/>
      <c r="G203" s="191">
        <f t="shared" si="9"/>
        <v>20.71135255837477</v>
      </c>
      <c r="H203" s="191">
        <f t="shared" si="10"/>
        <v>23.805307730840845</v>
      </c>
      <c r="I203" s="154">
        <f t="shared" si="11"/>
        <v>26.929674994489854</v>
      </c>
      <c r="J203" s="154">
        <f t="shared" si="11"/>
        <v>29.677348042907113</v>
      </c>
      <c r="K203" s="154">
        <f t="shared" si="11"/>
        <v>29.527931630960779</v>
      </c>
      <c r="L203" s="154">
        <f t="shared" si="11"/>
        <v>29.352451425187049</v>
      </c>
      <c r="M203" s="154">
        <f>IF(Input!M$173&gt;0, M11+M43+M75, 0)</f>
        <v>0</v>
      </c>
      <c r="N203" s="154">
        <f>IF(Input!N$173&gt;0, N11+N43+N75, 0)</f>
        <v>0</v>
      </c>
      <c r="O203" s="154">
        <f>IF(Input!O$173&gt;0, O11+O43+O75, 0)</f>
        <v>0</v>
      </c>
      <c r="P203" s="154">
        <f>IF(Input!P$173&gt;0, P11+P43+P75, 0)</f>
        <v>0</v>
      </c>
      <c r="Q203" s="154">
        <f>IF(Input!Q$173&gt;0, Q11+Q43+Q75, 0)</f>
        <v>0</v>
      </c>
      <c r="R203" s="99"/>
      <c r="S203" s="99"/>
      <c r="T203" s="99"/>
      <c r="U203" s="99"/>
      <c r="V203" s="99"/>
      <c r="W203" s="99"/>
      <c r="X203" s="99"/>
      <c r="Y203" s="99"/>
      <c r="Z203" s="99"/>
      <c r="AA203" s="99"/>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19"/>
      <c r="BL203" s="219"/>
    </row>
    <row r="204" spans="1:64" ht="12.75" customHeight="1" outlineLevel="1">
      <c r="A204" s="9"/>
      <c r="B204" s="11"/>
      <c r="C204" s="44"/>
      <c r="D204" s="128" t="str">
        <f>Asset6</f>
        <v>Transmission substation equip 132/66kV</v>
      </c>
      <c r="E204" s="11"/>
      <c r="F204" s="11"/>
      <c r="G204" s="191">
        <f t="shared" si="9"/>
        <v>99.189836770526512</v>
      </c>
      <c r="H204" s="191">
        <f t="shared" si="10"/>
        <v>124.61480661003358</v>
      </c>
      <c r="I204" s="154">
        <f t="shared" si="11"/>
        <v>145.49043188813386</v>
      </c>
      <c r="J204" s="154">
        <f t="shared" si="11"/>
        <v>171.33261527021938</v>
      </c>
      <c r="K204" s="154">
        <f t="shared" si="11"/>
        <v>189.26442250949603</v>
      </c>
      <c r="L204" s="154">
        <f t="shared" si="11"/>
        <v>202.6140730411864</v>
      </c>
      <c r="M204" s="154">
        <f>IF(Input!M$173&gt;0, M12+M44+M76, 0)</f>
        <v>0</v>
      </c>
      <c r="N204" s="154">
        <f>IF(Input!N$173&gt;0, N12+N44+N76, 0)</f>
        <v>0</v>
      </c>
      <c r="O204" s="154">
        <f>IF(Input!O$173&gt;0, O12+O44+O76, 0)</f>
        <v>0</v>
      </c>
      <c r="P204" s="154">
        <f>IF(Input!P$173&gt;0, P12+P44+P76, 0)</f>
        <v>0</v>
      </c>
      <c r="Q204" s="154">
        <f>IF(Input!Q$173&gt;0, Q12+Q44+Q76, 0)</f>
        <v>0</v>
      </c>
      <c r="R204" s="99"/>
      <c r="S204" s="99"/>
      <c r="T204" s="99"/>
      <c r="U204" s="99"/>
      <c r="V204" s="99"/>
      <c r="W204" s="99"/>
      <c r="X204" s="99"/>
      <c r="Y204" s="99"/>
      <c r="Z204" s="99"/>
      <c r="AA204" s="99"/>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19"/>
      <c r="BL204" s="219"/>
    </row>
    <row r="205" spans="1:64" ht="12.75" customHeight="1" outlineLevel="1">
      <c r="A205" s="9"/>
      <c r="B205" s="11"/>
      <c r="C205" s="44"/>
      <c r="D205" s="128" t="str">
        <f>Asset7</f>
        <v>Zone substation equip 132/66kV</v>
      </c>
      <c r="E205" s="11"/>
      <c r="F205" s="11"/>
      <c r="G205" s="191">
        <f t="shared" si="9"/>
        <v>119.55875234484482</v>
      </c>
      <c r="H205" s="191">
        <f t="shared" si="10"/>
        <v>156.35557149608007</v>
      </c>
      <c r="I205" s="154">
        <f t="shared" si="11"/>
        <v>245.71104125602758</v>
      </c>
      <c r="J205" s="154">
        <f t="shared" si="11"/>
        <v>327.38057588752974</v>
      </c>
      <c r="K205" s="154">
        <f t="shared" si="11"/>
        <v>361.20927525883332</v>
      </c>
      <c r="L205" s="154">
        <f t="shared" si="11"/>
        <v>386.83454113058212</v>
      </c>
      <c r="M205" s="154">
        <f>IF(Input!M$173&gt;0, M13+M45+M77, 0)</f>
        <v>0</v>
      </c>
      <c r="N205" s="154">
        <f>IF(Input!N$173&gt;0, N13+N45+N77, 0)</f>
        <v>0</v>
      </c>
      <c r="O205" s="154">
        <f>IF(Input!O$173&gt;0, O13+O45+O77, 0)</f>
        <v>0</v>
      </c>
      <c r="P205" s="154">
        <f>IF(Input!P$173&gt;0, P13+P45+P77, 0)</f>
        <v>0</v>
      </c>
      <c r="Q205" s="154">
        <f>IF(Input!Q$173&gt;0, Q13+Q45+Q77, 0)</f>
        <v>0</v>
      </c>
      <c r="R205" s="99"/>
      <c r="S205" s="99"/>
      <c r="T205" s="99"/>
      <c r="U205" s="99"/>
      <c r="V205" s="99"/>
      <c r="W205" s="99"/>
      <c r="X205" s="99"/>
      <c r="Y205" s="99"/>
      <c r="Z205" s="99"/>
      <c r="AA205" s="99"/>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19"/>
      <c r="BL205" s="219"/>
    </row>
    <row r="206" spans="1:64" ht="12.75" customHeight="1" outlineLevel="1">
      <c r="A206" s="9"/>
      <c r="B206" s="11"/>
      <c r="C206" s="44"/>
      <c r="D206" s="128" t="str">
        <f>Asset8</f>
        <v>Transmission &amp; Zone emergency spares</v>
      </c>
      <c r="E206" s="11"/>
      <c r="F206" s="11"/>
      <c r="G206" s="191">
        <f t="shared" si="9"/>
        <v>2.1161575869336744</v>
      </c>
      <c r="H206" s="191">
        <f t="shared" si="10"/>
        <v>2.123065452440172</v>
      </c>
      <c r="I206" s="154">
        <f t="shared" si="11"/>
        <v>2.1380601104470669</v>
      </c>
      <c r="J206" s="154">
        <f t="shared" si="11"/>
        <v>2.115227351841384</v>
      </c>
      <c r="K206" s="154">
        <f t="shared" si="11"/>
        <v>2.1095895585142945</v>
      </c>
      <c r="L206" s="154">
        <f t="shared" si="11"/>
        <v>2.1023449282485758</v>
      </c>
      <c r="M206" s="154">
        <f>IF(Input!M$173&gt;0, M14+M46+M78, 0)</f>
        <v>0</v>
      </c>
      <c r="N206" s="154">
        <f>IF(Input!N$173&gt;0, N14+N46+N78, 0)</f>
        <v>0</v>
      </c>
      <c r="O206" s="154">
        <f>IF(Input!O$173&gt;0, O14+O46+O78, 0)</f>
        <v>0</v>
      </c>
      <c r="P206" s="154">
        <f>IF(Input!P$173&gt;0, P14+P46+P78, 0)</f>
        <v>0</v>
      </c>
      <c r="Q206" s="154">
        <f>IF(Input!Q$173&gt;0, Q14+Q46+Q78, 0)</f>
        <v>0</v>
      </c>
      <c r="R206" s="99"/>
      <c r="S206" s="99"/>
      <c r="T206" s="99"/>
      <c r="U206" s="99"/>
      <c r="V206" s="99"/>
      <c r="W206" s="99"/>
      <c r="X206" s="99"/>
      <c r="Y206" s="99"/>
      <c r="Z206" s="99"/>
      <c r="AA206" s="99"/>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26"/>
      <c r="BK206" s="219"/>
      <c r="BL206" s="219"/>
    </row>
    <row r="207" spans="1:64" ht="12.75" customHeight="1" outlineLevel="1">
      <c r="A207" s="9"/>
      <c r="B207" s="11"/>
      <c r="C207" s="44"/>
      <c r="D207" s="128" t="str">
        <f>Asset9</f>
        <v>Ancillary substation equipment (tx)</v>
      </c>
      <c r="E207" s="11"/>
      <c r="F207" s="11"/>
      <c r="G207" s="191">
        <f t="shared" si="9"/>
        <v>0</v>
      </c>
      <c r="H207" s="191">
        <f t="shared" si="10"/>
        <v>1.1808068968042551</v>
      </c>
      <c r="I207" s="154">
        <f t="shared" si="11"/>
        <v>4.4076600705993458</v>
      </c>
      <c r="J207" s="154">
        <f t="shared" si="11"/>
        <v>11.009600118189903</v>
      </c>
      <c r="K207" s="154">
        <f t="shared" si="11"/>
        <v>33.359723102972552</v>
      </c>
      <c r="L207" s="154">
        <f t="shared" si="11"/>
        <v>49.403565981604324</v>
      </c>
      <c r="M207" s="154">
        <f>IF(Input!M$173&gt;0, M15+M47+M79, 0)</f>
        <v>0</v>
      </c>
      <c r="N207" s="154">
        <f>IF(Input!N$173&gt;0, N15+N47+N79, 0)</f>
        <v>0</v>
      </c>
      <c r="O207" s="154">
        <f>IF(Input!O$173&gt;0, O15+O47+O79, 0)</f>
        <v>0</v>
      </c>
      <c r="P207" s="154">
        <f>IF(Input!P$173&gt;0, P15+P47+P79, 0)</f>
        <v>0</v>
      </c>
      <c r="Q207" s="154">
        <f>IF(Input!Q$173&gt;0, Q15+Q47+Q79, 0)</f>
        <v>0</v>
      </c>
      <c r="R207" s="99"/>
      <c r="S207" s="99"/>
      <c r="T207" s="99"/>
      <c r="U207" s="99"/>
      <c r="V207" s="99"/>
      <c r="W207" s="99"/>
      <c r="X207" s="99"/>
      <c r="Y207" s="99"/>
      <c r="Z207" s="99"/>
      <c r="AA207" s="99"/>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26"/>
      <c r="BF207" s="226"/>
      <c r="BG207" s="226"/>
      <c r="BH207" s="226"/>
      <c r="BI207" s="226"/>
      <c r="BJ207" s="226"/>
      <c r="BK207" s="219"/>
      <c r="BL207" s="219"/>
    </row>
    <row r="208" spans="1:64" ht="12.75" customHeight="1" outlineLevel="1">
      <c r="A208" s="9"/>
      <c r="B208" s="11"/>
      <c r="C208" s="44"/>
      <c r="D208" s="128" t="str">
        <f>Asset10</f>
        <v>132kV tower lines</v>
      </c>
      <c r="E208" s="11"/>
      <c r="F208" s="11"/>
      <c r="G208" s="191">
        <f t="shared" si="9"/>
        <v>15.783904930253815</v>
      </c>
      <c r="H208" s="191">
        <f t="shared" si="10"/>
        <v>19.935818196280191</v>
      </c>
      <c r="I208" s="154">
        <f t="shared" si="11"/>
        <v>28.973449559506051</v>
      </c>
      <c r="J208" s="154">
        <f t="shared" si="11"/>
        <v>34.6311989340225</v>
      </c>
      <c r="K208" s="154">
        <f t="shared" si="11"/>
        <v>33.579306161815367</v>
      </c>
      <c r="L208" s="154">
        <f t="shared" si="11"/>
        <v>33.736392695012839</v>
      </c>
      <c r="M208" s="154">
        <f>IF(Input!M$173&gt;0, M16+M48+M80, 0)</f>
        <v>0</v>
      </c>
      <c r="N208" s="154">
        <f>IF(Input!N$173&gt;0, N16+N48+N80, 0)</f>
        <v>0</v>
      </c>
      <c r="O208" s="154">
        <f>IF(Input!O$173&gt;0, O16+O48+O80, 0)</f>
        <v>0</v>
      </c>
      <c r="P208" s="154">
        <f>IF(Input!P$173&gt;0, P16+P48+P80, 0)</f>
        <v>0</v>
      </c>
      <c r="Q208" s="154">
        <f>IF(Input!Q$173&gt;0, Q16+Q48+Q80, 0)</f>
        <v>0</v>
      </c>
      <c r="R208" s="99"/>
      <c r="S208" s="99"/>
      <c r="T208" s="99"/>
      <c r="U208" s="99"/>
      <c r="V208" s="99"/>
      <c r="W208" s="99"/>
      <c r="X208" s="99"/>
      <c r="Y208" s="99"/>
      <c r="Z208" s="99"/>
      <c r="AA208" s="99"/>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c r="BD208" s="226"/>
      <c r="BE208" s="226"/>
      <c r="BF208" s="226"/>
      <c r="BG208" s="226"/>
      <c r="BH208" s="226"/>
      <c r="BI208" s="226"/>
      <c r="BJ208" s="226"/>
      <c r="BK208" s="219"/>
      <c r="BL208" s="219"/>
    </row>
    <row r="209" spans="1:64" ht="12.75" customHeight="1" outlineLevel="1">
      <c r="A209" s="9"/>
      <c r="B209" s="11"/>
      <c r="C209" s="44"/>
      <c r="D209" s="128" t="str">
        <f>Asset11</f>
        <v>132kV concrete &amp; steel pole lines</v>
      </c>
      <c r="E209" s="11"/>
      <c r="F209" s="11"/>
      <c r="G209" s="191">
        <f t="shared" si="9"/>
        <v>10.998490886977528</v>
      </c>
      <c r="H209" s="191">
        <f t="shared" si="10"/>
        <v>25.882886168888906</v>
      </c>
      <c r="I209" s="154">
        <f t="shared" ref="I209:L218" si="12">I17+I49+I81</f>
        <v>30.318541642338566</v>
      </c>
      <c r="J209" s="154">
        <f t="shared" si="12"/>
        <v>30.994977296450728</v>
      </c>
      <c r="K209" s="154">
        <f t="shared" si="12"/>
        <v>28.905140348981462</v>
      </c>
      <c r="L209" s="154">
        <f t="shared" si="12"/>
        <v>28.732918016993192</v>
      </c>
      <c r="M209" s="154">
        <f>IF(Input!M$173&gt;0, M17+M49+M81, 0)</f>
        <v>0</v>
      </c>
      <c r="N209" s="154">
        <f>IF(Input!N$173&gt;0, N17+N49+N81, 0)</f>
        <v>0</v>
      </c>
      <c r="O209" s="154">
        <f>IF(Input!O$173&gt;0, O17+O49+O81, 0)</f>
        <v>0</v>
      </c>
      <c r="P209" s="154">
        <f>IF(Input!P$173&gt;0, P17+P49+P81, 0)</f>
        <v>0</v>
      </c>
      <c r="Q209" s="154">
        <f>IF(Input!Q$173&gt;0, Q17+Q49+Q81, 0)</f>
        <v>0</v>
      </c>
      <c r="R209" s="99"/>
      <c r="S209" s="99"/>
      <c r="T209" s="99"/>
      <c r="U209" s="99"/>
      <c r="V209" s="99"/>
      <c r="W209" s="99"/>
      <c r="X209" s="99"/>
      <c r="Y209" s="99"/>
      <c r="Z209" s="99"/>
      <c r="AA209" s="99"/>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19"/>
      <c r="BL209" s="219"/>
    </row>
    <row r="210" spans="1:64" ht="12.75" customHeight="1" outlineLevel="1">
      <c r="A210" s="9"/>
      <c r="B210" s="11"/>
      <c r="C210" s="44"/>
      <c r="D210" s="128" t="str">
        <f>Asset12</f>
        <v>132kV wood pole lines</v>
      </c>
      <c r="E210" s="11"/>
      <c r="F210" s="11"/>
      <c r="G210" s="191">
        <f t="shared" si="9"/>
        <v>23.622403565614938</v>
      </c>
      <c r="H210" s="191">
        <f t="shared" si="10"/>
        <v>34.022810720496338</v>
      </c>
      <c r="I210" s="154">
        <f t="shared" si="12"/>
        <v>34.49635732725762</v>
      </c>
      <c r="J210" s="154">
        <f t="shared" si="12"/>
        <v>34.27466503916078</v>
      </c>
      <c r="K210" s="154">
        <f t="shared" si="12"/>
        <v>34.569343528320346</v>
      </c>
      <c r="L210" s="154">
        <f t="shared" si="12"/>
        <v>34.685884564266601</v>
      </c>
      <c r="M210" s="154">
        <f>IF(Input!M$173&gt;0, M18+M50+M82, 0)</f>
        <v>0</v>
      </c>
      <c r="N210" s="154">
        <f>IF(Input!N$173&gt;0, N18+N50+N82, 0)</f>
        <v>0</v>
      </c>
      <c r="O210" s="154">
        <f>IF(Input!O$173&gt;0, O18+O50+O82, 0)</f>
        <v>0</v>
      </c>
      <c r="P210" s="154">
        <f>IF(Input!P$173&gt;0, P18+P50+P82, 0)</f>
        <v>0</v>
      </c>
      <c r="Q210" s="154">
        <f>IF(Input!Q$173&gt;0, Q18+Q50+Q82, 0)</f>
        <v>0</v>
      </c>
      <c r="R210" s="99"/>
      <c r="S210" s="99"/>
      <c r="T210" s="99"/>
      <c r="U210" s="99"/>
      <c r="V210" s="99"/>
      <c r="W210" s="99"/>
      <c r="X210" s="99"/>
      <c r="Y210" s="99"/>
      <c r="Z210" s="99"/>
      <c r="AA210" s="99"/>
      <c r="AB210" s="226"/>
      <c r="AC210" s="226"/>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19"/>
      <c r="BL210" s="219"/>
    </row>
    <row r="211" spans="1:64" ht="12.75" customHeight="1" outlineLevel="1">
      <c r="A211" s="9"/>
      <c r="B211" s="11"/>
      <c r="C211" s="44"/>
      <c r="D211" s="128" t="str">
        <f>Asset13</f>
        <v>132kV feeders underground</v>
      </c>
      <c r="E211" s="11"/>
      <c r="F211" s="11"/>
      <c r="G211" s="191">
        <f t="shared" si="9"/>
        <v>178.46355791015472</v>
      </c>
      <c r="H211" s="191">
        <f t="shared" si="10"/>
        <v>255.89804938977014</v>
      </c>
      <c r="I211" s="154">
        <f t="shared" si="12"/>
        <v>345.71703131018643</v>
      </c>
      <c r="J211" s="154">
        <f t="shared" si="12"/>
        <v>509.31422548989553</v>
      </c>
      <c r="K211" s="154">
        <f t="shared" si="12"/>
        <v>580.06557904287229</v>
      </c>
      <c r="L211" s="154">
        <f t="shared" si="12"/>
        <v>633.39218249533235</v>
      </c>
      <c r="M211" s="154">
        <f>IF(Input!M$173&gt;0, M19+M51+M83, 0)</f>
        <v>0</v>
      </c>
      <c r="N211" s="154">
        <f>IF(Input!N$173&gt;0, N19+N51+N83, 0)</f>
        <v>0</v>
      </c>
      <c r="O211" s="154">
        <f>IF(Input!O$173&gt;0, O19+O51+O83, 0)</f>
        <v>0</v>
      </c>
      <c r="P211" s="154">
        <f>IF(Input!P$173&gt;0, P19+P51+P83, 0)</f>
        <v>0</v>
      </c>
      <c r="Q211" s="154">
        <f>IF(Input!Q$173&gt;0, Q19+Q51+Q83, 0)</f>
        <v>0</v>
      </c>
      <c r="R211" s="99"/>
      <c r="S211" s="99"/>
      <c r="T211" s="99"/>
      <c r="U211" s="99"/>
      <c r="V211" s="99"/>
      <c r="W211" s="99"/>
      <c r="X211" s="99"/>
      <c r="Y211" s="99"/>
      <c r="Z211" s="99"/>
      <c r="AA211" s="99"/>
      <c r="AB211" s="226"/>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226"/>
      <c r="AY211" s="226"/>
      <c r="AZ211" s="226"/>
      <c r="BA211" s="226"/>
      <c r="BB211" s="226"/>
      <c r="BC211" s="226"/>
      <c r="BD211" s="226"/>
      <c r="BE211" s="226"/>
      <c r="BF211" s="226"/>
      <c r="BG211" s="226"/>
      <c r="BH211" s="226"/>
      <c r="BI211" s="226"/>
      <c r="BJ211" s="226"/>
      <c r="BK211" s="219"/>
      <c r="BL211" s="219"/>
    </row>
    <row r="212" spans="1:64" ht="12.75" customHeight="1" outlineLevel="1">
      <c r="A212" s="9"/>
      <c r="B212" s="11"/>
      <c r="C212" s="44"/>
      <c r="D212" s="128" t="str">
        <f>Asset14</f>
        <v>Cable tunnel (tx)</v>
      </c>
      <c r="E212" s="11"/>
      <c r="F212" s="11"/>
      <c r="G212" s="191">
        <f t="shared" si="9"/>
        <v>10.809156600988063</v>
      </c>
      <c r="H212" s="191">
        <f t="shared" si="10"/>
        <v>10.949855287376929</v>
      </c>
      <c r="I212" s="154">
        <f t="shared" si="12"/>
        <v>11.138418876435663</v>
      </c>
      <c r="J212" s="154">
        <f t="shared" si="12"/>
        <v>11.666681360729351</v>
      </c>
      <c r="K212" s="154">
        <f t="shared" si="12"/>
        <v>11.946350333571662</v>
      </c>
      <c r="L212" s="154">
        <f t="shared" si="12"/>
        <v>12.183761959469843</v>
      </c>
      <c r="M212" s="154">
        <f>IF(Input!M$173&gt;0, M20+M52+M84, 0)</f>
        <v>0</v>
      </c>
      <c r="N212" s="154">
        <f>IF(Input!N$173&gt;0, N20+N52+N84, 0)</f>
        <v>0</v>
      </c>
      <c r="O212" s="154">
        <f>IF(Input!O$173&gt;0, O20+O52+O84, 0)</f>
        <v>0</v>
      </c>
      <c r="P212" s="154">
        <f>IF(Input!P$173&gt;0, P20+P52+P84, 0)</f>
        <v>0</v>
      </c>
      <c r="Q212" s="154">
        <f>IF(Input!Q$173&gt;0, Q20+Q52+Q84, 0)</f>
        <v>0</v>
      </c>
      <c r="R212" s="99"/>
      <c r="S212" s="99"/>
      <c r="T212" s="99"/>
      <c r="U212" s="99"/>
      <c r="V212" s="99"/>
      <c r="W212" s="99"/>
      <c r="X212" s="99"/>
      <c r="Y212" s="99"/>
      <c r="Z212" s="99"/>
      <c r="AA212" s="99"/>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26"/>
      <c r="BK212" s="219"/>
      <c r="BL212" s="219"/>
    </row>
    <row r="213" spans="1:64" ht="12.75" customHeight="1" outlineLevel="1">
      <c r="A213" s="9"/>
      <c r="B213" s="11"/>
      <c r="C213" s="44"/>
      <c r="D213" s="128" t="str">
        <f>Asset15</f>
        <v>Network control &amp; com systems</v>
      </c>
      <c r="E213" s="11"/>
      <c r="F213" s="11"/>
      <c r="G213" s="191">
        <f t="shared" si="9"/>
        <v>22.03100338356256</v>
      </c>
      <c r="H213" s="191">
        <f t="shared" si="10"/>
        <v>23.172006075518276</v>
      </c>
      <c r="I213" s="154">
        <f t="shared" si="12"/>
        <v>22.804213865105037</v>
      </c>
      <c r="J213" s="154">
        <f t="shared" si="12"/>
        <v>22.02301870555138</v>
      </c>
      <c r="K213" s="154">
        <f t="shared" si="12"/>
        <v>21.376063678326272</v>
      </c>
      <c r="L213" s="154">
        <f t="shared" si="12"/>
        <v>20.682936562795778</v>
      </c>
      <c r="M213" s="154">
        <f>IF(Input!M$173&gt;0, M21+M53+M85, 0)</f>
        <v>0</v>
      </c>
      <c r="N213" s="154">
        <f>IF(Input!N$173&gt;0, N21+N53+N85, 0)</f>
        <v>0</v>
      </c>
      <c r="O213" s="154">
        <f>IF(Input!O$173&gt;0, O21+O53+O85, 0)</f>
        <v>0</v>
      </c>
      <c r="P213" s="154">
        <f>IF(Input!P$173&gt;0, P21+P53+P85, 0)</f>
        <v>0</v>
      </c>
      <c r="Q213" s="154">
        <f>IF(Input!Q$173&gt;0, Q21+Q53+Q85, 0)</f>
        <v>0</v>
      </c>
      <c r="R213" s="99"/>
      <c r="S213" s="99"/>
      <c r="T213" s="99"/>
      <c r="U213" s="99"/>
      <c r="V213" s="99"/>
      <c r="W213" s="99"/>
      <c r="X213" s="99"/>
      <c r="Y213" s="99"/>
      <c r="Z213" s="99"/>
      <c r="AA213" s="99"/>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c r="BA213" s="226"/>
      <c r="BB213" s="226"/>
      <c r="BC213" s="226"/>
      <c r="BD213" s="226"/>
      <c r="BE213" s="226"/>
      <c r="BF213" s="226"/>
      <c r="BG213" s="226"/>
      <c r="BH213" s="226"/>
      <c r="BI213" s="226"/>
      <c r="BJ213" s="226"/>
      <c r="BK213" s="219"/>
      <c r="BL213" s="219"/>
    </row>
    <row r="214" spans="1:64" ht="12.75" customHeight="1" outlineLevel="1">
      <c r="A214" s="9"/>
      <c r="B214" s="11"/>
      <c r="C214" s="44"/>
      <c r="D214" s="128" t="str">
        <f>Asset16</f>
        <v>Communications (digital) - tx</v>
      </c>
      <c r="E214" s="11"/>
      <c r="F214" s="11"/>
      <c r="G214" s="191">
        <f t="shared" si="9"/>
        <v>0</v>
      </c>
      <c r="H214" s="191">
        <f t="shared" si="10"/>
        <v>0</v>
      </c>
      <c r="I214" s="154">
        <f t="shared" si="12"/>
        <v>0.34087493634308763</v>
      </c>
      <c r="J214" s="154">
        <f t="shared" si="12"/>
        <v>0.81733090028316369</v>
      </c>
      <c r="K214" s="154">
        <f t="shared" si="12"/>
        <v>0.9328665025137064</v>
      </c>
      <c r="L214" s="154">
        <f t="shared" si="12"/>
        <v>0.98826139978489147</v>
      </c>
      <c r="M214" s="154">
        <f>IF(Input!M$173&gt;0, M22+M54+M86, 0)</f>
        <v>0</v>
      </c>
      <c r="N214" s="154">
        <f>IF(Input!N$173&gt;0, N22+N54+N86, 0)</f>
        <v>0</v>
      </c>
      <c r="O214" s="154">
        <f>IF(Input!O$173&gt;0, O22+O54+O86, 0)</f>
        <v>0</v>
      </c>
      <c r="P214" s="154">
        <f>IF(Input!P$173&gt;0, P22+P54+P86, 0)</f>
        <v>0</v>
      </c>
      <c r="Q214" s="154">
        <f>IF(Input!Q$173&gt;0, Q22+Q54+Q86, 0)</f>
        <v>0</v>
      </c>
      <c r="R214" s="99"/>
      <c r="S214" s="99"/>
      <c r="T214" s="99"/>
      <c r="U214" s="99"/>
      <c r="V214" s="99"/>
      <c r="W214" s="99"/>
      <c r="X214" s="99"/>
      <c r="Y214" s="99"/>
      <c r="Z214" s="99"/>
      <c r="AA214" s="99"/>
      <c r="AB214" s="226"/>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226"/>
      <c r="AY214" s="226"/>
      <c r="AZ214" s="226"/>
      <c r="BA214" s="226"/>
      <c r="BB214" s="226"/>
      <c r="BC214" s="226"/>
      <c r="BD214" s="226"/>
      <c r="BE214" s="226"/>
      <c r="BF214" s="226"/>
      <c r="BG214" s="226"/>
      <c r="BH214" s="226"/>
      <c r="BI214" s="226"/>
      <c r="BJ214" s="226"/>
      <c r="BK214" s="219"/>
      <c r="BL214" s="219"/>
    </row>
    <row r="215" spans="1:64" ht="12.75" customHeight="1" outlineLevel="1">
      <c r="A215" s="9"/>
      <c r="B215" s="11"/>
      <c r="C215" s="44"/>
      <c r="D215" s="128" t="str">
        <f>Asset17</f>
        <v>System IT (tx)</v>
      </c>
      <c r="E215" s="11"/>
      <c r="F215" s="11"/>
      <c r="G215" s="191">
        <f t="shared" si="9"/>
        <v>0</v>
      </c>
      <c r="H215" s="191">
        <f t="shared" si="10"/>
        <v>3.7335598667508916</v>
      </c>
      <c r="I215" s="154">
        <f t="shared" si="12"/>
        <v>11.758616658239434</v>
      </c>
      <c r="J215" s="154">
        <f t="shared" si="12"/>
        <v>19.929499222871531</v>
      </c>
      <c r="K215" s="154">
        <f t="shared" si="12"/>
        <v>22.378758705518518</v>
      </c>
      <c r="L215" s="154">
        <f t="shared" si="12"/>
        <v>22.837465706675264</v>
      </c>
      <c r="M215" s="154">
        <f>IF(Input!M$173&gt;0, M23+M55+M87, 0)</f>
        <v>0</v>
      </c>
      <c r="N215" s="154">
        <f>IF(Input!N$173&gt;0, N23+N55+N87, 0)</f>
        <v>0</v>
      </c>
      <c r="O215" s="154">
        <f>IF(Input!O$173&gt;0, O23+O55+O87, 0)</f>
        <v>0</v>
      </c>
      <c r="P215" s="154">
        <f>IF(Input!P$173&gt;0, P23+P55+P87, 0)</f>
        <v>0</v>
      </c>
      <c r="Q215" s="154">
        <f>IF(Input!Q$173&gt;0, Q23+Q55+Q87, 0)</f>
        <v>0</v>
      </c>
      <c r="R215" s="99"/>
      <c r="S215" s="99"/>
      <c r="T215" s="99"/>
      <c r="U215" s="99"/>
      <c r="V215" s="99"/>
      <c r="W215" s="99"/>
      <c r="X215" s="99"/>
      <c r="Y215" s="99"/>
      <c r="Z215" s="99"/>
      <c r="AA215" s="99"/>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26"/>
      <c r="BK215" s="219"/>
      <c r="BL215" s="219"/>
    </row>
    <row r="216" spans="1:64" ht="12.75" customHeight="1" outlineLevel="1">
      <c r="A216" s="9"/>
      <c r="B216" s="11"/>
      <c r="C216" s="44"/>
      <c r="D216" s="128" t="str">
        <f>Asset18</f>
        <v>IT systems</v>
      </c>
      <c r="E216" s="11"/>
      <c r="F216" s="11"/>
      <c r="G216" s="191">
        <f t="shared" si="9"/>
        <v>16.684526612409858</v>
      </c>
      <c r="H216" s="191">
        <f t="shared" si="10"/>
        <v>19.61493536996511</v>
      </c>
      <c r="I216" s="154">
        <f t="shared" si="12"/>
        <v>22.102725892480681</v>
      </c>
      <c r="J216" s="154">
        <f t="shared" si="12"/>
        <v>19.902900183374499</v>
      </c>
      <c r="K216" s="154">
        <f t="shared" si="12"/>
        <v>15.688519454760886</v>
      </c>
      <c r="L216" s="154">
        <f t="shared" si="12"/>
        <v>13.414874892964495</v>
      </c>
      <c r="M216" s="154">
        <f>IF(Input!M$173&gt;0, M24+M56+M88, 0)</f>
        <v>0</v>
      </c>
      <c r="N216" s="154">
        <f>IF(Input!N$173&gt;0, N24+N56+N88, 0)</f>
        <v>0</v>
      </c>
      <c r="O216" s="154">
        <f>IF(Input!O$173&gt;0, O24+O56+O88, 0)</f>
        <v>0</v>
      </c>
      <c r="P216" s="154">
        <f>IF(Input!P$173&gt;0, P24+P56+P88, 0)</f>
        <v>0</v>
      </c>
      <c r="Q216" s="154">
        <f>IF(Input!Q$173&gt;0, Q24+Q56+Q88, 0)</f>
        <v>0</v>
      </c>
      <c r="R216" s="99"/>
      <c r="S216" s="99"/>
      <c r="T216" s="99"/>
      <c r="U216" s="99"/>
      <c r="V216" s="99"/>
      <c r="W216" s="99"/>
      <c r="X216" s="99"/>
      <c r="Y216" s="99"/>
      <c r="Z216" s="99"/>
      <c r="AA216" s="99"/>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c r="BI216" s="226"/>
      <c r="BJ216" s="226"/>
      <c r="BK216" s="219"/>
      <c r="BL216" s="219"/>
    </row>
    <row r="217" spans="1:64" ht="12.75" customHeight="1" outlineLevel="1">
      <c r="A217" s="9"/>
      <c r="B217" s="11"/>
      <c r="C217" s="44"/>
      <c r="D217" s="128" t="str">
        <f>Asset19</f>
        <v>Furniture, fittings, plant and equipment</v>
      </c>
      <c r="E217" s="11"/>
      <c r="F217" s="11"/>
      <c r="G217" s="191">
        <f t="shared" si="9"/>
        <v>3.9323702004328678</v>
      </c>
      <c r="H217" s="191">
        <f t="shared" si="10"/>
        <v>4.8030289502783354</v>
      </c>
      <c r="I217" s="154">
        <f t="shared" si="12"/>
        <v>5.559090791413646</v>
      </c>
      <c r="J217" s="154">
        <f t="shared" si="12"/>
        <v>6.2218890149787809</v>
      </c>
      <c r="K217" s="154">
        <f t="shared" si="12"/>
        <v>6.4992585591835468</v>
      </c>
      <c r="L217" s="154">
        <f t="shared" si="12"/>
        <v>6.598373212303609</v>
      </c>
      <c r="M217" s="154">
        <f>IF(Input!M$173&gt;0, M25+M57+M89, 0)</f>
        <v>0</v>
      </c>
      <c r="N217" s="154">
        <f>IF(Input!N$173&gt;0, N25+N57+N89, 0)</f>
        <v>0</v>
      </c>
      <c r="O217" s="154">
        <f>IF(Input!O$173&gt;0, O25+O57+O89, 0)</f>
        <v>0</v>
      </c>
      <c r="P217" s="154">
        <f>IF(Input!P$173&gt;0, P25+P57+P89, 0)</f>
        <v>0</v>
      </c>
      <c r="Q217" s="154">
        <f>IF(Input!Q$173&gt;0, Q25+Q57+Q89, 0)</f>
        <v>0</v>
      </c>
      <c r="R217" s="99"/>
      <c r="S217" s="99"/>
      <c r="T217" s="99"/>
      <c r="U217" s="99"/>
      <c r="V217" s="99"/>
      <c r="W217" s="99"/>
      <c r="X217" s="99"/>
      <c r="Y217" s="99"/>
      <c r="Z217" s="99"/>
      <c r="AA217" s="99"/>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19"/>
      <c r="BL217" s="219"/>
    </row>
    <row r="218" spans="1:64" ht="12.75" customHeight="1" outlineLevel="1">
      <c r="A218" s="9"/>
      <c r="B218" s="11"/>
      <c r="C218" s="44"/>
      <c r="D218" s="128" t="str">
        <f>Asset20</f>
        <v>Motor vehicles</v>
      </c>
      <c r="E218" s="11"/>
      <c r="F218" s="11"/>
      <c r="G218" s="191">
        <f t="shared" si="9"/>
        <v>12.832838577884454</v>
      </c>
      <c r="H218" s="191">
        <f t="shared" si="10"/>
        <v>15.044245886370904</v>
      </c>
      <c r="I218" s="154">
        <f t="shared" si="12"/>
        <v>17.254326401879396</v>
      </c>
      <c r="J218" s="154">
        <f t="shared" si="12"/>
        <v>19.118204242095938</v>
      </c>
      <c r="K218" s="154">
        <f t="shared" si="12"/>
        <v>18.544940434397894</v>
      </c>
      <c r="L218" s="154">
        <f t="shared" si="12"/>
        <v>17.539989573528626</v>
      </c>
      <c r="M218" s="154">
        <f>IF(Input!M$173&gt;0, M26+M58+M90, 0)</f>
        <v>0</v>
      </c>
      <c r="N218" s="154">
        <f>IF(Input!N$173&gt;0, N26+N58+N90, 0)</f>
        <v>0</v>
      </c>
      <c r="O218" s="154">
        <f>IF(Input!O$173&gt;0, O26+O58+O90, 0)</f>
        <v>0</v>
      </c>
      <c r="P218" s="154">
        <f>IF(Input!P$173&gt;0, P26+P58+P90, 0)</f>
        <v>0</v>
      </c>
      <c r="Q218" s="154">
        <f>IF(Input!Q$173&gt;0, Q26+Q58+Q90, 0)</f>
        <v>0</v>
      </c>
      <c r="R218" s="99"/>
      <c r="S218" s="99"/>
      <c r="T218" s="99"/>
      <c r="U218" s="99"/>
      <c r="V218" s="99"/>
      <c r="W218" s="99"/>
      <c r="X218" s="99"/>
      <c r="Y218" s="99"/>
      <c r="Z218" s="99"/>
      <c r="AA218" s="99"/>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19"/>
      <c r="BL218" s="219"/>
    </row>
    <row r="219" spans="1:64" outlineLevel="1">
      <c r="A219" s="9"/>
      <c r="B219" s="11"/>
      <c r="C219" s="44"/>
      <c r="D219" s="128" t="str">
        <f>Asset21</f>
        <v>Buildings</v>
      </c>
      <c r="E219" s="11"/>
      <c r="F219" s="11"/>
      <c r="G219" s="191">
        <f t="shared" ref="G219:G228" si="13">G27+G59+G91+G123+G155+G187</f>
        <v>17.518544709114643</v>
      </c>
      <c r="H219" s="154">
        <f t="shared" si="10"/>
        <v>26.777777195025433</v>
      </c>
      <c r="I219" s="154">
        <f t="shared" ref="I219:L226" si="14">I27+I59+I91</f>
        <v>32.986657254452609</v>
      </c>
      <c r="J219" s="154">
        <f t="shared" si="14"/>
        <v>36.839208926702675</v>
      </c>
      <c r="K219" s="154">
        <f t="shared" si="14"/>
        <v>39.241689175118466</v>
      </c>
      <c r="L219" s="154">
        <f t="shared" si="14"/>
        <v>32.621163004181767</v>
      </c>
      <c r="M219" s="154">
        <f>IF(Input!M$173&gt;0, M27+M59+M91, 0)</f>
        <v>0</v>
      </c>
      <c r="N219" s="154">
        <f>IF(Input!N$173&gt;0, N27+N59+N91, 0)</f>
        <v>0</v>
      </c>
      <c r="O219" s="154">
        <f>IF(Input!O$173&gt;0, O27+O59+O91, 0)</f>
        <v>0</v>
      </c>
      <c r="P219" s="154">
        <f>IF(Input!P$173&gt;0, P27+P59+P91, 0)</f>
        <v>0</v>
      </c>
      <c r="Q219" s="154">
        <f>IF(Input!Q$173&gt;0, Q27+Q59+Q91, 0)</f>
        <v>0</v>
      </c>
      <c r="R219" s="99"/>
      <c r="S219" s="99"/>
      <c r="T219" s="99"/>
      <c r="U219" s="99"/>
      <c r="V219" s="99"/>
      <c r="W219" s="99"/>
      <c r="X219" s="99"/>
      <c r="Y219" s="99"/>
      <c r="Z219" s="99"/>
      <c r="AA219" s="99"/>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19"/>
      <c r="BL219" s="219"/>
    </row>
    <row r="220" spans="1:64" outlineLevel="1">
      <c r="A220" s="9"/>
      <c r="B220" s="11"/>
      <c r="C220" s="44"/>
      <c r="D220" s="128" t="str">
        <f>Asset22</f>
        <v>Land (non-system)</v>
      </c>
      <c r="E220" s="11"/>
      <c r="F220" s="11"/>
      <c r="G220" s="191">
        <f t="shared" si="13"/>
        <v>6.6275412063747812</v>
      </c>
      <c r="H220" s="154">
        <f t="shared" si="10"/>
        <v>9.5773602385844807</v>
      </c>
      <c r="I220" s="154">
        <f t="shared" si="14"/>
        <v>10.814724124621883</v>
      </c>
      <c r="J220" s="154">
        <f t="shared" si="14"/>
        <v>12.165061618264618</v>
      </c>
      <c r="K220" s="154">
        <f t="shared" si="14"/>
        <v>12.453991583454998</v>
      </c>
      <c r="L220" s="154">
        <f t="shared" si="14"/>
        <v>4.3851471806511029</v>
      </c>
      <c r="M220" s="154">
        <f>IF(Input!M$173&gt;0, M28+M60+M92, 0)</f>
        <v>0</v>
      </c>
      <c r="N220" s="154">
        <f>IF(Input!N$173&gt;0, N28+N60+N92, 0)</f>
        <v>0</v>
      </c>
      <c r="O220" s="154">
        <f>IF(Input!O$173&gt;0, O28+O60+O92, 0)</f>
        <v>0</v>
      </c>
      <c r="P220" s="154">
        <f>IF(Input!P$173&gt;0, P28+P60+P92, 0)</f>
        <v>0</v>
      </c>
      <c r="Q220" s="154">
        <f>IF(Input!Q$173&gt;0, Q28+Q60+Q92, 0)</f>
        <v>0</v>
      </c>
      <c r="R220" s="99"/>
      <c r="S220" s="99"/>
      <c r="T220" s="99"/>
      <c r="U220" s="99"/>
      <c r="V220" s="99"/>
      <c r="W220" s="99"/>
      <c r="X220" s="99"/>
      <c r="Y220" s="99"/>
      <c r="Z220" s="99"/>
      <c r="AA220" s="99"/>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19"/>
      <c r="BL220" s="219"/>
    </row>
    <row r="221" spans="1:64" outlineLevel="1">
      <c r="A221" s="9"/>
      <c r="B221" s="11"/>
      <c r="C221" s="44"/>
      <c r="D221" s="128" t="str">
        <f>Asset23</f>
        <v>Other non system assets</v>
      </c>
      <c r="E221" s="11"/>
      <c r="F221" s="11"/>
      <c r="G221" s="191">
        <f t="shared" si="13"/>
        <v>15.142423540573422</v>
      </c>
      <c r="H221" s="154">
        <f t="shared" si="10"/>
        <v>14.289086510173304</v>
      </c>
      <c r="I221" s="154">
        <f t="shared" si="14"/>
        <v>13.444384367462479</v>
      </c>
      <c r="J221" s="154">
        <f t="shared" si="14"/>
        <v>12.45364989803012</v>
      </c>
      <c r="K221" s="154">
        <f t="shared" si="14"/>
        <v>11.37652790533234</v>
      </c>
      <c r="L221" s="154">
        <f t="shared" si="14"/>
        <v>10.236113176834225</v>
      </c>
      <c r="M221" s="154">
        <f>IF(Input!M$173&gt;0, M29+M61+M93, 0)</f>
        <v>0</v>
      </c>
      <c r="N221" s="154">
        <f>IF(Input!N$173&gt;0, N29+N61+N93, 0)</f>
        <v>0</v>
      </c>
      <c r="O221" s="154">
        <f>IF(Input!O$173&gt;0, O29+O61+O93, 0)</f>
        <v>0</v>
      </c>
      <c r="P221" s="154">
        <f>IF(Input!P$173&gt;0, P29+P61+P93, 0)</f>
        <v>0</v>
      </c>
      <c r="Q221" s="154">
        <f>IF(Input!Q$173&gt;0, Q29+Q61+Q93, 0)</f>
        <v>0</v>
      </c>
      <c r="R221" s="99"/>
      <c r="S221" s="99"/>
      <c r="T221" s="99"/>
      <c r="U221" s="99"/>
      <c r="V221" s="99"/>
      <c r="W221" s="99"/>
      <c r="X221" s="99"/>
      <c r="Y221" s="99"/>
      <c r="Z221" s="99"/>
      <c r="AA221" s="99"/>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19"/>
      <c r="BL221" s="219"/>
    </row>
    <row r="222" spans="1:64" outlineLevel="1">
      <c r="A222" s="9"/>
      <c r="B222" s="11"/>
      <c r="C222" s="44"/>
      <c r="D222" s="128" t="str">
        <f>Asset24</f>
        <v>Equity raising costs</v>
      </c>
      <c r="E222" s="11"/>
      <c r="F222" s="11"/>
      <c r="G222" s="191">
        <f t="shared" si="13"/>
        <v>0</v>
      </c>
      <c r="H222" s="154">
        <f t="shared" si="10"/>
        <v>6.5958312322788384</v>
      </c>
      <c r="I222" s="154">
        <f t="shared" si="14"/>
        <v>6.6673197884716187</v>
      </c>
      <c r="J222" s="154">
        <f t="shared" si="14"/>
        <v>6.6225235445455839</v>
      </c>
      <c r="K222" s="154">
        <f t="shared" si="14"/>
        <v>6.6324386120835648</v>
      </c>
      <c r="L222" s="154">
        <f t="shared" si="14"/>
        <v>6.6387025614444912</v>
      </c>
      <c r="M222" s="154">
        <f>IF(Input!M$173&gt;0, M30+M62+M94, 0)</f>
        <v>0</v>
      </c>
      <c r="N222" s="154">
        <f>IF(Input!N$173&gt;0, N30+N62+N94, 0)</f>
        <v>0</v>
      </c>
      <c r="O222" s="154">
        <f>IF(Input!O$173&gt;0, O30+O62+O94, 0)</f>
        <v>0</v>
      </c>
      <c r="P222" s="154">
        <f>IF(Input!P$173&gt;0, P30+P62+P94, 0)</f>
        <v>0</v>
      </c>
      <c r="Q222" s="154">
        <f>IF(Input!Q$173&gt;0, Q30+Q62+Q94, 0)</f>
        <v>0</v>
      </c>
      <c r="R222" s="99"/>
      <c r="S222" s="99"/>
      <c r="T222" s="99"/>
      <c r="U222" s="99"/>
      <c r="V222" s="99"/>
      <c r="W222" s="99"/>
      <c r="X222" s="99"/>
      <c r="Y222" s="99"/>
      <c r="Z222" s="99"/>
      <c r="AA222" s="99"/>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19"/>
      <c r="BL222" s="219"/>
    </row>
    <row r="223" spans="1:64" ht="4.5" customHeight="1" outlineLevel="1">
      <c r="A223" s="9"/>
      <c r="B223" s="11"/>
      <c r="C223" s="44"/>
      <c r="D223" s="128">
        <f>Asset25</f>
        <v>0</v>
      </c>
      <c r="E223" s="11"/>
      <c r="F223" s="11"/>
      <c r="G223" s="191">
        <f t="shared" si="13"/>
        <v>0</v>
      </c>
      <c r="H223" s="154">
        <f t="shared" si="10"/>
        <v>0</v>
      </c>
      <c r="I223" s="154">
        <f t="shared" si="14"/>
        <v>0</v>
      </c>
      <c r="J223" s="154">
        <f t="shared" si="14"/>
        <v>0</v>
      </c>
      <c r="K223" s="154">
        <f t="shared" si="14"/>
        <v>0</v>
      </c>
      <c r="L223" s="154">
        <f t="shared" si="14"/>
        <v>0</v>
      </c>
      <c r="M223" s="154">
        <f>IF(Input!M$173&gt;0, M31+M63+M95, 0)</f>
        <v>0</v>
      </c>
      <c r="N223" s="154">
        <f>IF(Input!N$173&gt;0, N31+N63+N95, 0)</f>
        <v>0</v>
      </c>
      <c r="O223" s="154">
        <f>IF(Input!O$173&gt;0, O31+O63+O95, 0)</f>
        <v>0</v>
      </c>
      <c r="P223" s="154">
        <f>IF(Input!P$173&gt;0, P31+P63+P95, 0)</f>
        <v>0</v>
      </c>
      <c r="Q223" s="154">
        <f>IF(Input!Q$173&gt;0, Q31+Q63+Q95, 0)</f>
        <v>0</v>
      </c>
      <c r="R223" s="99"/>
      <c r="S223" s="99"/>
      <c r="T223" s="99"/>
      <c r="U223" s="99"/>
      <c r="V223" s="99"/>
      <c r="W223" s="99"/>
      <c r="X223" s="99"/>
      <c r="Y223" s="99"/>
      <c r="Z223" s="99"/>
      <c r="AA223" s="99"/>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19"/>
      <c r="BL223" s="219"/>
    </row>
    <row r="224" spans="1:64" ht="4.5" customHeight="1" outlineLevel="1">
      <c r="A224" s="9"/>
      <c r="B224" s="11"/>
      <c r="C224" s="44"/>
      <c r="D224" s="128">
        <f>Asset26</f>
        <v>0</v>
      </c>
      <c r="E224" s="11"/>
      <c r="F224" s="11"/>
      <c r="G224" s="191">
        <f t="shared" si="13"/>
        <v>0</v>
      </c>
      <c r="H224" s="154">
        <f t="shared" si="10"/>
        <v>0</v>
      </c>
      <c r="I224" s="154">
        <f t="shared" si="14"/>
        <v>0</v>
      </c>
      <c r="J224" s="154">
        <f t="shared" si="14"/>
        <v>0</v>
      </c>
      <c r="K224" s="154">
        <f t="shared" si="14"/>
        <v>0</v>
      </c>
      <c r="L224" s="154">
        <f t="shared" si="14"/>
        <v>0</v>
      </c>
      <c r="M224" s="154">
        <f>IF(Input!M$173&gt;0, M32+M64+M96, 0)</f>
        <v>0</v>
      </c>
      <c r="N224" s="154">
        <f>IF(Input!N$173&gt;0, N32+N64+N96, 0)</f>
        <v>0</v>
      </c>
      <c r="O224" s="154">
        <f>IF(Input!O$173&gt;0, O32+O64+O96, 0)</f>
        <v>0</v>
      </c>
      <c r="P224" s="154">
        <f>IF(Input!P$173&gt;0, P32+P64+P96, 0)</f>
        <v>0</v>
      </c>
      <c r="Q224" s="154">
        <f>IF(Input!Q$173&gt;0, Q32+Q64+Q96, 0)</f>
        <v>0</v>
      </c>
      <c r="R224" s="99"/>
      <c r="S224" s="99"/>
      <c r="T224" s="99"/>
      <c r="U224" s="99"/>
      <c r="V224" s="99"/>
      <c r="W224" s="99"/>
      <c r="X224" s="99"/>
      <c r="Y224" s="99"/>
      <c r="Z224" s="99"/>
      <c r="AA224" s="99"/>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19"/>
      <c r="BL224" s="219"/>
    </row>
    <row r="225" spans="1:64" ht="4.5" customHeight="1" outlineLevel="1">
      <c r="A225" s="9"/>
      <c r="B225" s="11"/>
      <c r="C225" s="44"/>
      <c r="D225" s="128">
        <f>Asset27</f>
        <v>0</v>
      </c>
      <c r="E225" s="11"/>
      <c r="F225" s="11"/>
      <c r="G225" s="191">
        <f t="shared" si="13"/>
        <v>0</v>
      </c>
      <c r="H225" s="154">
        <f t="shared" si="10"/>
        <v>0</v>
      </c>
      <c r="I225" s="154">
        <f t="shared" si="14"/>
        <v>0</v>
      </c>
      <c r="J225" s="154">
        <f t="shared" si="14"/>
        <v>0</v>
      </c>
      <c r="K225" s="154">
        <f t="shared" si="14"/>
        <v>0</v>
      </c>
      <c r="L225" s="154">
        <f t="shared" si="14"/>
        <v>0</v>
      </c>
      <c r="M225" s="154">
        <f>IF(Input!M$173&gt;0, M33+M65+M97, 0)</f>
        <v>0</v>
      </c>
      <c r="N225" s="154">
        <f>IF(Input!N$173&gt;0, N33+N65+N97, 0)</f>
        <v>0</v>
      </c>
      <c r="O225" s="154">
        <f>IF(Input!O$173&gt;0, O33+O65+O97, 0)</f>
        <v>0</v>
      </c>
      <c r="P225" s="154">
        <f>IF(Input!P$173&gt;0, P33+P65+P97, 0)</f>
        <v>0</v>
      </c>
      <c r="Q225" s="154">
        <f>IF(Input!Q$173&gt;0, Q33+Q65+Q97, 0)</f>
        <v>0</v>
      </c>
      <c r="R225" s="99"/>
      <c r="S225" s="99"/>
      <c r="T225" s="99"/>
      <c r="U225" s="99"/>
      <c r="V225" s="99"/>
      <c r="W225" s="99"/>
      <c r="X225" s="99"/>
      <c r="Y225" s="99"/>
      <c r="Z225" s="99"/>
      <c r="AA225" s="99"/>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19"/>
      <c r="BL225" s="219"/>
    </row>
    <row r="226" spans="1:64" ht="4.5" customHeight="1" outlineLevel="1">
      <c r="A226" s="9"/>
      <c r="B226" s="11"/>
      <c r="C226" s="44"/>
      <c r="D226" s="128">
        <f>Asset28</f>
        <v>0</v>
      </c>
      <c r="E226" s="11"/>
      <c r="F226" s="11"/>
      <c r="G226" s="191">
        <f t="shared" si="13"/>
        <v>0</v>
      </c>
      <c r="H226" s="154">
        <f t="shared" si="10"/>
        <v>0</v>
      </c>
      <c r="I226" s="154">
        <f t="shared" si="14"/>
        <v>0</v>
      </c>
      <c r="J226" s="154">
        <f t="shared" si="14"/>
        <v>0</v>
      </c>
      <c r="K226" s="154">
        <f t="shared" si="14"/>
        <v>0</v>
      </c>
      <c r="L226" s="154">
        <f t="shared" si="14"/>
        <v>0</v>
      </c>
      <c r="M226" s="154">
        <f>IF(Input!M$173&gt;0, M34+M66+M98, 0)</f>
        <v>0</v>
      </c>
      <c r="N226" s="154">
        <f>IF(Input!N$173&gt;0, N34+N66+N98, 0)</f>
        <v>0</v>
      </c>
      <c r="O226" s="154">
        <f>IF(Input!O$173&gt;0, O34+O66+O98, 0)</f>
        <v>0</v>
      </c>
      <c r="P226" s="154">
        <f>IF(Input!P$173&gt;0, P34+P66+P98, 0)</f>
        <v>0</v>
      </c>
      <c r="Q226" s="154">
        <f>IF(Input!Q$173&gt;0, Q34+Q66+Q98, 0)</f>
        <v>0</v>
      </c>
      <c r="R226" s="99"/>
      <c r="S226" s="99"/>
      <c r="T226" s="99"/>
      <c r="U226" s="99"/>
      <c r="V226" s="99"/>
      <c r="W226" s="99"/>
      <c r="X226" s="99"/>
      <c r="Y226" s="99"/>
      <c r="Z226" s="99"/>
      <c r="AA226" s="99"/>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19"/>
      <c r="BL226" s="219"/>
    </row>
    <row r="227" spans="1:64" ht="4.5" customHeight="1" outlineLevel="1">
      <c r="A227" s="9"/>
      <c r="B227" s="11"/>
      <c r="C227" s="44"/>
      <c r="D227" s="128">
        <f>Asset29</f>
        <v>0</v>
      </c>
      <c r="E227" s="11"/>
      <c r="F227" s="11"/>
      <c r="G227" s="191">
        <f t="shared" si="13"/>
        <v>0</v>
      </c>
      <c r="H227" s="154">
        <f t="shared" si="10"/>
        <v>0</v>
      </c>
      <c r="I227" s="154">
        <f t="shared" ref="I227:L228" si="15">I35+I67+I99</f>
        <v>0</v>
      </c>
      <c r="J227" s="154">
        <f t="shared" si="15"/>
        <v>0</v>
      </c>
      <c r="K227" s="154">
        <f t="shared" si="15"/>
        <v>0</v>
      </c>
      <c r="L227" s="154">
        <f t="shared" si="15"/>
        <v>0</v>
      </c>
      <c r="M227" s="154">
        <f>IF(Input!M$173&gt;0, M35+M67+M99, 0)</f>
        <v>0</v>
      </c>
      <c r="N227" s="154">
        <f>IF(Input!N$173&gt;0, N35+N67+N99, 0)</f>
        <v>0</v>
      </c>
      <c r="O227" s="154">
        <f>IF(Input!O$173&gt;0, O35+O67+O99, 0)</f>
        <v>0</v>
      </c>
      <c r="P227" s="154">
        <f>IF(Input!P$173&gt;0, P35+P67+P99, 0)</f>
        <v>0</v>
      </c>
      <c r="Q227" s="154">
        <f>IF(Input!Q$173&gt;0, Q35+Q67+Q99, 0)</f>
        <v>0</v>
      </c>
      <c r="R227" s="99"/>
      <c r="S227" s="99"/>
      <c r="T227" s="99"/>
      <c r="U227" s="99"/>
      <c r="V227" s="99"/>
      <c r="W227" s="99"/>
      <c r="X227" s="99"/>
      <c r="Y227" s="99"/>
      <c r="Z227" s="99"/>
      <c r="AA227" s="99"/>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26"/>
      <c r="BK227" s="219"/>
      <c r="BL227" s="219"/>
    </row>
    <row r="228" spans="1:64" ht="4.5" customHeight="1" outlineLevel="1">
      <c r="A228" s="9"/>
      <c r="B228" s="11"/>
      <c r="C228" s="44"/>
      <c r="D228" s="128">
        <f>Asset30</f>
        <v>0</v>
      </c>
      <c r="E228" s="11"/>
      <c r="F228" s="11"/>
      <c r="G228" s="191">
        <f t="shared" si="13"/>
        <v>0</v>
      </c>
      <c r="H228" s="154">
        <f t="shared" si="10"/>
        <v>0</v>
      </c>
      <c r="I228" s="154">
        <f t="shared" si="15"/>
        <v>0</v>
      </c>
      <c r="J228" s="154">
        <f t="shared" si="15"/>
        <v>0</v>
      </c>
      <c r="K228" s="154">
        <f t="shared" si="15"/>
        <v>0</v>
      </c>
      <c r="L228" s="154">
        <f t="shared" si="15"/>
        <v>0</v>
      </c>
      <c r="M228" s="154">
        <f>IF(Input!M$173&gt;0, M36+M68+M100, 0)</f>
        <v>0</v>
      </c>
      <c r="N228" s="154">
        <f>IF(Input!N$173&gt;0, N36+N68+N100, 0)</f>
        <v>0</v>
      </c>
      <c r="O228" s="154">
        <f>IF(Input!O$173&gt;0, O36+O68+O100, 0)</f>
        <v>0</v>
      </c>
      <c r="P228" s="154">
        <f>IF(Input!P$173&gt;0, P36+P68+P100, 0)</f>
        <v>0</v>
      </c>
      <c r="Q228" s="154">
        <f>IF(Input!Q$173&gt;0, Q36+Q68+Q100, 0)</f>
        <v>0</v>
      </c>
      <c r="R228" s="99"/>
      <c r="S228" s="99"/>
      <c r="T228" s="99"/>
      <c r="U228" s="99"/>
      <c r="V228" s="99"/>
      <c r="W228" s="99"/>
      <c r="X228" s="99"/>
      <c r="Y228" s="99"/>
      <c r="Z228" s="99"/>
      <c r="AA228" s="99"/>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226"/>
      <c r="BE228" s="226"/>
      <c r="BF228" s="226"/>
      <c r="BG228" s="226"/>
      <c r="BH228" s="226"/>
      <c r="BI228" s="226"/>
      <c r="BJ228" s="226"/>
      <c r="BK228" s="219"/>
      <c r="BL228" s="219"/>
    </row>
    <row r="229" spans="1:64">
      <c r="A229" s="9"/>
      <c r="B229" s="11"/>
      <c r="C229" s="88"/>
      <c r="D229" s="112"/>
      <c r="E229" s="11"/>
      <c r="F229" s="11"/>
      <c r="G229" s="153"/>
      <c r="H229" s="141"/>
      <c r="I229" s="141"/>
      <c r="J229" s="141"/>
      <c r="K229" s="141"/>
      <c r="L229" s="141"/>
      <c r="M229" s="141"/>
      <c r="N229" s="99"/>
      <c r="O229" s="99"/>
      <c r="P229" s="99"/>
      <c r="Q229" s="99"/>
      <c r="R229" s="99"/>
      <c r="S229" s="99"/>
      <c r="T229" s="99"/>
      <c r="U229" s="99"/>
      <c r="V229" s="99"/>
      <c r="W229" s="99"/>
      <c r="X229" s="99"/>
      <c r="Y229" s="99"/>
      <c r="Z229" s="99"/>
      <c r="AA229" s="99"/>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26"/>
      <c r="BK229" s="219"/>
      <c r="BL229" s="219"/>
    </row>
    <row r="230" spans="1:64" s="9" customFormat="1">
      <c r="B230" s="11"/>
      <c r="C230" s="88" t="s">
        <v>38</v>
      </c>
      <c r="D230" s="11"/>
      <c r="E230" s="11"/>
      <c r="F230" s="11"/>
      <c r="G230" s="113"/>
      <c r="H230" s="115"/>
      <c r="I230" s="115"/>
      <c r="J230" s="115"/>
      <c r="K230" s="115"/>
      <c r="L230" s="115">
        <f t="shared" ref="L230:Q230" si="16">SUM(L231:L260)</f>
        <v>-66.112600128695803</v>
      </c>
      <c r="M230" s="115">
        <f t="shared" si="16"/>
        <v>0</v>
      </c>
      <c r="N230" s="115">
        <f t="shared" si="16"/>
        <v>0</v>
      </c>
      <c r="O230" s="115">
        <f t="shared" si="16"/>
        <v>0</v>
      </c>
      <c r="P230" s="115">
        <f t="shared" si="16"/>
        <v>0</v>
      </c>
      <c r="Q230" s="115">
        <f t="shared" si="16"/>
        <v>0</v>
      </c>
      <c r="R230" s="105"/>
      <c r="S230" s="105"/>
      <c r="T230" s="105"/>
      <c r="U230" s="105"/>
      <c r="V230" s="105"/>
      <c r="W230" s="105"/>
      <c r="X230" s="105"/>
      <c r="Y230" s="105"/>
      <c r="Z230" s="105"/>
      <c r="AA230" s="105"/>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9"/>
      <c r="BL230" s="219"/>
    </row>
    <row r="231" spans="1:64" ht="12.75" customHeight="1" outlineLevel="1">
      <c r="A231" s="9"/>
      <c r="B231" s="9"/>
      <c r="C231" s="9"/>
      <c r="D231" s="128" t="str">
        <f>Asset1</f>
        <v>Transmission &amp; Zone land &amp; easements</v>
      </c>
      <c r="E231" s="9"/>
      <c r="F231" s="9"/>
      <c r="G231" s="9"/>
      <c r="H231" s="109"/>
      <c r="I231" s="109"/>
      <c r="J231" s="109"/>
      <c r="K231" s="109"/>
      <c r="L231" s="109">
        <f>IF(L$198&gt;0, IF(M$198=0, 'Adjustment for previous period'!$G76, 0), 0)</f>
        <v>-48.664286733568872</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11"/>
      <c r="T231" s="11"/>
      <c r="U231" s="11"/>
      <c r="V231" s="11"/>
      <c r="W231" s="11"/>
      <c r="X231" s="11"/>
      <c r="Y231" s="11"/>
      <c r="Z231" s="11"/>
      <c r="AA231" s="11"/>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9"/>
      <c r="BK231" s="219"/>
      <c r="BL231" s="219"/>
    </row>
    <row r="232" spans="1:64" ht="12.75" customHeight="1" outlineLevel="1">
      <c r="A232" s="9"/>
      <c r="B232" s="9"/>
      <c r="C232" s="9"/>
      <c r="D232" s="128" t="str">
        <f>Asset2</f>
        <v>Transmission buildings 132/66kV</v>
      </c>
      <c r="E232" s="9"/>
      <c r="F232" s="9"/>
      <c r="G232" s="9"/>
      <c r="H232" s="109"/>
      <c r="I232" s="109"/>
      <c r="J232" s="109"/>
      <c r="K232" s="109"/>
      <c r="L232" s="109">
        <f>IF(L$198&gt;0, IF(M$198=0, 'Adjustment for previous period'!$G77, 0), 0)</f>
        <v>-12.08359202948143</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11"/>
      <c r="T232" s="11"/>
      <c r="U232" s="11"/>
      <c r="V232" s="11"/>
      <c r="W232" s="11"/>
      <c r="X232" s="11"/>
      <c r="Y232" s="11"/>
      <c r="Z232" s="11"/>
      <c r="AA232" s="11"/>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row>
    <row r="233" spans="1:64" ht="12.75" customHeight="1" outlineLevel="1">
      <c r="A233" s="9"/>
      <c r="B233" s="9"/>
      <c r="C233" s="9"/>
      <c r="D233" s="128" t="str">
        <f>Asset3</f>
        <v>Zone buildings 132/66kV</v>
      </c>
      <c r="E233" s="9"/>
      <c r="F233" s="9"/>
      <c r="G233" s="9"/>
      <c r="H233" s="109"/>
      <c r="I233" s="109"/>
      <c r="J233" s="109"/>
      <c r="K233" s="109"/>
      <c r="L233" s="109">
        <f>IF(L$198&gt;0, IF(M$198=0, 'Adjustment for previous period'!$G78, 0), 0)</f>
        <v>6.1746840950592213E-2</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11"/>
      <c r="T233" s="11"/>
      <c r="U233" s="11"/>
      <c r="V233" s="11"/>
      <c r="W233" s="11"/>
      <c r="X233" s="11"/>
      <c r="Y233" s="11"/>
      <c r="Z233" s="11"/>
      <c r="AA233" s="11"/>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row>
    <row r="234" spans="1:64" ht="12.75" customHeight="1" outlineLevel="1">
      <c r="A234" s="9"/>
      <c r="B234" s="9"/>
      <c r="C234" s="9"/>
      <c r="D234" s="128" t="str">
        <f>Asset4</f>
        <v>Transmission transformers 132/66kV</v>
      </c>
      <c r="E234" s="9"/>
      <c r="F234" s="9"/>
      <c r="G234" s="9"/>
      <c r="H234" s="109"/>
      <c r="I234" s="109"/>
      <c r="J234" s="109"/>
      <c r="K234" s="109"/>
      <c r="L234" s="109">
        <f>IF(L$198&gt;0, IF(M$198=0, 'Adjustment for previous period'!$G79, 0), 0)</f>
        <v>1.0527350540133691</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11"/>
      <c r="T234" s="11"/>
      <c r="U234" s="11"/>
      <c r="V234" s="11"/>
      <c r="W234" s="11"/>
      <c r="X234" s="11"/>
      <c r="Y234" s="11"/>
      <c r="Z234" s="11"/>
      <c r="AA234" s="11"/>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row>
    <row r="235" spans="1:64" ht="12.75" customHeight="1" outlineLevel="1">
      <c r="A235" s="9"/>
      <c r="B235" s="9"/>
      <c r="C235" s="9"/>
      <c r="D235" s="128" t="str">
        <f>Asset5</f>
        <v>Zone transformers 132/66kV</v>
      </c>
      <c r="E235" s="9"/>
      <c r="F235" s="9"/>
      <c r="G235" s="9"/>
      <c r="H235" s="109"/>
      <c r="I235" s="109"/>
      <c r="J235" s="109"/>
      <c r="K235" s="109"/>
      <c r="L235" s="109">
        <f>IF(L$198&gt;0, IF(M$198=0, 'Adjustment for previous period'!$G80, 0), 0)</f>
        <v>0.2650799092439744</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11"/>
      <c r="T235" s="11"/>
      <c r="U235" s="11"/>
      <c r="V235" s="11"/>
      <c r="W235" s="11"/>
      <c r="X235" s="11"/>
      <c r="Y235" s="11"/>
      <c r="Z235" s="11"/>
      <c r="AA235" s="11"/>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row>
    <row r="236" spans="1:64" ht="12.75" customHeight="1" outlineLevel="1">
      <c r="A236" s="9"/>
      <c r="B236" s="9"/>
      <c r="C236" s="9"/>
      <c r="D236" s="128" t="str">
        <f>Asset6</f>
        <v>Transmission substation equip 132/66kV</v>
      </c>
      <c r="E236" s="9"/>
      <c r="F236" s="9"/>
      <c r="G236" s="9"/>
      <c r="H236" s="109"/>
      <c r="I236" s="109"/>
      <c r="J236" s="109"/>
      <c r="K236" s="109"/>
      <c r="L236" s="109">
        <f>IF(L$198&gt;0, IF(M$198=0, 'Adjustment for previous period'!$G81, 0), 0)</f>
        <v>-4.0835938964822489</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11"/>
      <c r="T236" s="11"/>
      <c r="U236" s="11"/>
      <c r="V236" s="11"/>
      <c r="W236" s="11"/>
      <c r="X236" s="11"/>
      <c r="Y236" s="11"/>
      <c r="Z236" s="11"/>
      <c r="AA236" s="11"/>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row>
    <row r="237" spans="1:64" ht="12.75" customHeight="1" outlineLevel="1">
      <c r="A237" s="9"/>
      <c r="B237" s="9"/>
      <c r="C237" s="9"/>
      <c r="D237" s="128" t="str">
        <f>Asset7</f>
        <v>Zone substation equip 132/66kV</v>
      </c>
      <c r="E237" s="9"/>
      <c r="F237" s="9"/>
      <c r="G237" s="9"/>
      <c r="H237" s="109"/>
      <c r="I237" s="109"/>
      <c r="J237" s="109"/>
      <c r="K237" s="109"/>
      <c r="L237" s="109">
        <f>IF(L$198&gt;0, IF(M$198=0, 'Adjustment for previous period'!$G82, 0), 0)</f>
        <v>-4.0162582949216716</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11"/>
      <c r="T237" s="11"/>
      <c r="U237" s="11"/>
      <c r="V237" s="11"/>
      <c r="W237" s="11"/>
      <c r="X237" s="11"/>
      <c r="Y237" s="11"/>
      <c r="Z237" s="11"/>
      <c r="AA237" s="11"/>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row>
    <row r="238" spans="1:64" ht="12.75" customHeight="1" outlineLevel="1">
      <c r="A238" s="9"/>
      <c r="B238" s="9"/>
      <c r="C238" s="9"/>
      <c r="D238" s="128" t="str">
        <f>Asset8</f>
        <v>Transmission &amp; Zone emergency spares</v>
      </c>
      <c r="E238" s="9"/>
      <c r="F238" s="9"/>
      <c r="G238" s="9"/>
      <c r="H238" s="109"/>
      <c r="I238" s="109"/>
      <c r="J238" s="109"/>
      <c r="K238" s="109"/>
      <c r="L238" s="109">
        <f>IF(L$198&gt;0, IF(M$198=0, 'Adjustment for previous period'!$G83, 0), 0)</f>
        <v>0</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11"/>
      <c r="T238" s="11"/>
      <c r="U238" s="11"/>
      <c r="V238" s="11"/>
      <c r="W238" s="11"/>
      <c r="X238" s="11"/>
      <c r="Y238" s="11"/>
      <c r="Z238" s="11"/>
      <c r="AA238" s="11"/>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9"/>
      <c r="BK238" s="219"/>
      <c r="BL238" s="219"/>
    </row>
    <row r="239" spans="1:64" ht="12.75" customHeight="1" outlineLevel="1">
      <c r="A239" s="9"/>
      <c r="B239" s="9"/>
      <c r="C239" s="9"/>
      <c r="D239" s="128" t="str">
        <f>Asset9</f>
        <v>Ancillary substation equipment (tx)</v>
      </c>
      <c r="E239" s="9"/>
      <c r="F239" s="9"/>
      <c r="G239" s="9"/>
      <c r="H239" s="109"/>
      <c r="I239" s="109"/>
      <c r="J239" s="109"/>
      <c r="K239" s="109"/>
      <c r="L239" s="109">
        <f>IF(L$198&gt;0, IF(M$198=0, 'Adjustment for previous period'!$G84, 0), 0)</f>
        <v>0.90256969445267599</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11"/>
      <c r="T239" s="11"/>
      <c r="U239" s="11"/>
      <c r="V239" s="11"/>
      <c r="W239" s="11"/>
      <c r="X239" s="11"/>
      <c r="Y239" s="11"/>
      <c r="Z239" s="11"/>
      <c r="AA239" s="11"/>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9"/>
      <c r="BK239" s="219"/>
      <c r="BL239" s="219"/>
    </row>
    <row r="240" spans="1:64" ht="12.75" customHeight="1" outlineLevel="1">
      <c r="A240" s="9"/>
      <c r="B240" s="9"/>
      <c r="C240" s="9"/>
      <c r="D240" s="128" t="str">
        <f>Asset10</f>
        <v>132kV tower lines</v>
      </c>
      <c r="E240" s="9"/>
      <c r="F240" s="9"/>
      <c r="G240" s="9"/>
      <c r="H240" s="109"/>
      <c r="I240" s="109"/>
      <c r="J240" s="109"/>
      <c r="K240" s="109"/>
      <c r="L240" s="109">
        <f>IF(L$198&gt;0, IF(M$198=0, 'Adjustment for previous period'!$G85, 0), 0)</f>
        <v>1.1983392585107362</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11"/>
      <c r="T240" s="11"/>
      <c r="U240" s="11"/>
      <c r="V240" s="11"/>
      <c r="W240" s="11"/>
      <c r="X240" s="11"/>
      <c r="Y240" s="11"/>
      <c r="Z240" s="11"/>
      <c r="AA240" s="11"/>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9"/>
      <c r="BK240" s="219"/>
      <c r="BL240" s="219"/>
    </row>
    <row r="241" spans="1:64" ht="12.75" customHeight="1" outlineLevel="1">
      <c r="A241" s="9"/>
      <c r="B241" s="9"/>
      <c r="C241" s="9"/>
      <c r="D241" s="128" t="str">
        <f>Asset11</f>
        <v>132kV concrete &amp; steel pole lines</v>
      </c>
      <c r="E241" s="9"/>
      <c r="F241" s="9"/>
      <c r="G241" s="9"/>
      <c r="H241" s="109"/>
      <c r="I241" s="109"/>
      <c r="J241" s="109"/>
      <c r="K241" s="109"/>
      <c r="L241" s="109">
        <f>IF(L$198&gt;0, IF(M$198=0, 'Adjustment for previous period'!$G86, 0), 0)</f>
        <v>3.1275227237852397</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11"/>
      <c r="T241" s="11"/>
      <c r="U241" s="11"/>
      <c r="V241" s="11"/>
      <c r="W241" s="11"/>
      <c r="X241" s="11"/>
      <c r="Y241" s="11"/>
      <c r="Z241" s="11"/>
      <c r="AA241" s="11"/>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9"/>
      <c r="BK241" s="219"/>
      <c r="BL241" s="219"/>
    </row>
    <row r="242" spans="1:64" ht="12.75" customHeight="1" outlineLevel="1">
      <c r="A242" s="9"/>
      <c r="B242" s="9"/>
      <c r="C242" s="9"/>
      <c r="D242" s="128" t="str">
        <f>Asset12</f>
        <v>132kV wood pole lines</v>
      </c>
      <c r="E242" s="9"/>
      <c r="F242" s="9"/>
      <c r="G242" s="9"/>
      <c r="H242" s="109"/>
      <c r="I242" s="109"/>
      <c r="J242" s="109"/>
      <c r="K242" s="109"/>
      <c r="L242" s="109">
        <f>IF(L$198&gt;0, IF(M$198=0, 'Adjustment for previous period'!$G87, 0), 0)</f>
        <v>0.42998362994207895</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11"/>
      <c r="T242" s="11"/>
      <c r="U242" s="11"/>
      <c r="V242" s="11"/>
      <c r="W242" s="11"/>
      <c r="X242" s="11"/>
      <c r="Y242" s="11"/>
      <c r="Z242" s="11"/>
      <c r="AA242" s="11"/>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row>
    <row r="243" spans="1:64" ht="12.75" customHeight="1" outlineLevel="1">
      <c r="A243" s="9"/>
      <c r="B243" s="9"/>
      <c r="C243" s="9"/>
      <c r="D243" s="128" t="str">
        <f>Asset13</f>
        <v>132kV feeders underground</v>
      </c>
      <c r="E243" s="9"/>
      <c r="F243" s="9"/>
      <c r="G243" s="9"/>
      <c r="H243" s="109"/>
      <c r="I243" s="109"/>
      <c r="J243" s="109"/>
      <c r="K243" s="109"/>
      <c r="L243" s="109">
        <f>IF(L$198&gt;0, IF(M$198=0, 'Adjustment for previous period'!$G88, 0), 0)</f>
        <v>-6.9721120904387845</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11"/>
      <c r="T243" s="11"/>
      <c r="U243" s="11"/>
      <c r="V243" s="11"/>
      <c r="W243" s="11"/>
      <c r="X243" s="11"/>
      <c r="Y243" s="11"/>
      <c r="Z243" s="11"/>
      <c r="AA243" s="11"/>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9"/>
      <c r="BK243" s="219"/>
      <c r="BL243" s="219"/>
    </row>
    <row r="244" spans="1:64" ht="12.75" customHeight="1" outlineLevel="1">
      <c r="A244" s="9"/>
      <c r="B244" s="9"/>
      <c r="C244" s="9"/>
      <c r="D244" s="128" t="str">
        <f>Asset14</f>
        <v>Cable tunnel (tx)</v>
      </c>
      <c r="E244" s="9"/>
      <c r="F244" s="9"/>
      <c r="G244" s="9"/>
      <c r="H244" s="109"/>
      <c r="I244" s="109"/>
      <c r="J244" s="109"/>
      <c r="K244" s="109"/>
      <c r="L244" s="109">
        <f>IF(L$198&gt;0, IF(M$198=0, 'Adjustment for previous period'!$G89, 0), 0)</f>
        <v>3.3500057036880064E-3</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11"/>
      <c r="T244" s="11"/>
      <c r="U244" s="11"/>
      <c r="V244" s="11"/>
      <c r="W244" s="11"/>
      <c r="X244" s="11"/>
      <c r="Y244" s="11"/>
      <c r="Z244" s="11"/>
      <c r="AA244" s="11"/>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9"/>
      <c r="BK244" s="219"/>
      <c r="BL244" s="219"/>
    </row>
    <row r="245" spans="1:64" ht="12.75" customHeight="1" outlineLevel="1">
      <c r="A245" s="9"/>
      <c r="B245" s="9"/>
      <c r="C245" s="9"/>
      <c r="D245" s="128" t="str">
        <f>Asset15</f>
        <v>Network control &amp; com systems</v>
      </c>
      <c r="E245" s="9"/>
      <c r="F245" s="9"/>
      <c r="G245" s="9"/>
      <c r="H245" s="109"/>
      <c r="I245" s="109"/>
      <c r="J245" s="109"/>
      <c r="K245" s="109"/>
      <c r="L245" s="109">
        <f>IF(L$198&gt;0, IF(M$198=0, 'Adjustment for previous period'!$G90, 0), 0)</f>
        <v>-0.20885837683695108</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11"/>
      <c r="T245" s="11"/>
      <c r="U245" s="11"/>
      <c r="V245" s="11"/>
      <c r="W245" s="11"/>
      <c r="X245" s="11"/>
      <c r="Y245" s="11"/>
      <c r="Z245" s="11"/>
      <c r="AA245" s="11"/>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row>
    <row r="246" spans="1:64" ht="12.75" customHeight="1" outlineLevel="1">
      <c r="A246" s="9"/>
      <c r="B246" s="9"/>
      <c r="C246" s="9"/>
      <c r="D246" s="128" t="str">
        <f>Asset16</f>
        <v>Communications (digital) - tx</v>
      </c>
      <c r="E246" s="9"/>
      <c r="F246" s="9"/>
      <c r="G246" s="9"/>
      <c r="H246" s="109"/>
      <c r="I246" s="109"/>
      <c r="J246" s="109"/>
      <c r="K246" s="109"/>
      <c r="L246" s="109">
        <f>IF(L$198&gt;0, IF(M$198=0, 'Adjustment for previous period'!$G91, 0), 0)</f>
        <v>0</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11"/>
      <c r="T246" s="11"/>
      <c r="U246" s="11"/>
      <c r="V246" s="11"/>
      <c r="W246" s="11"/>
      <c r="X246" s="11"/>
      <c r="Y246" s="11"/>
      <c r="Z246" s="11"/>
      <c r="AA246" s="11"/>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row>
    <row r="247" spans="1:64" ht="12.75" customHeight="1" outlineLevel="1">
      <c r="A247" s="9"/>
      <c r="B247" s="9"/>
      <c r="C247" s="9"/>
      <c r="D247" s="128" t="str">
        <f>Asset17</f>
        <v>System IT (tx)</v>
      </c>
      <c r="E247" s="9"/>
      <c r="F247" s="9"/>
      <c r="G247" s="9"/>
      <c r="H247" s="109"/>
      <c r="I247" s="109"/>
      <c r="J247" s="109"/>
      <c r="K247" s="109"/>
      <c r="L247" s="109">
        <f>IF(L$198&gt;0, IF(M$198=0, 'Adjustment for previous period'!$G92, 0), 0)</f>
        <v>0</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11"/>
      <c r="T247" s="11"/>
      <c r="U247" s="11"/>
      <c r="V247" s="11"/>
      <c r="W247" s="11"/>
      <c r="X247" s="11"/>
      <c r="Y247" s="11"/>
      <c r="Z247" s="11"/>
      <c r="AA247" s="11"/>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row>
    <row r="248" spans="1:64" ht="12.75" customHeight="1" outlineLevel="1">
      <c r="A248" s="9"/>
      <c r="B248" s="9"/>
      <c r="C248" s="9"/>
      <c r="D248" s="128" t="str">
        <f>Asset18</f>
        <v>IT systems</v>
      </c>
      <c r="E248" s="9"/>
      <c r="F248" s="9"/>
      <c r="G248" s="9"/>
      <c r="H248" s="109"/>
      <c r="I248" s="109"/>
      <c r="J248" s="109"/>
      <c r="K248" s="109"/>
      <c r="L248" s="109">
        <f>IF(L$198&gt;0, IF(M$198=0, 'Adjustment for previous period'!$G93, 0), 0)</f>
        <v>7.2413380890631496</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11"/>
      <c r="T248" s="11"/>
      <c r="U248" s="11"/>
      <c r="V248" s="11"/>
      <c r="W248" s="11"/>
      <c r="X248" s="11"/>
      <c r="Y248" s="11"/>
      <c r="Z248" s="11"/>
      <c r="AA248" s="11"/>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row>
    <row r="249" spans="1:64" ht="12.75" customHeight="1" outlineLevel="1">
      <c r="A249" s="9"/>
      <c r="B249" s="9"/>
      <c r="C249" s="9"/>
      <c r="D249" s="128" t="str">
        <f>Asset19</f>
        <v>Furniture, fittings, plant and equipment</v>
      </c>
      <c r="E249" s="9"/>
      <c r="F249" s="9"/>
      <c r="G249" s="9"/>
      <c r="H249" s="109"/>
      <c r="I249" s="109"/>
      <c r="J249" s="109"/>
      <c r="K249" s="109"/>
      <c r="L249" s="109">
        <f>IF(L$198&gt;0, IF(M$198=0, 'Adjustment for previous period'!$G94, 0), 0)</f>
        <v>-0.42720746845737612</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11"/>
      <c r="T249" s="11"/>
      <c r="U249" s="11"/>
      <c r="V249" s="11"/>
      <c r="W249" s="11"/>
      <c r="X249" s="11"/>
      <c r="Y249" s="11"/>
      <c r="Z249" s="11"/>
      <c r="AA249" s="11"/>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row>
    <row r="250" spans="1:64" ht="12.75" customHeight="1" outlineLevel="1">
      <c r="A250" s="9"/>
      <c r="B250" s="9"/>
      <c r="C250" s="9"/>
      <c r="D250" s="128" t="str">
        <f>Asset20</f>
        <v>Motor vehicles</v>
      </c>
      <c r="E250" s="9"/>
      <c r="F250" s="9"/>
      <c r="G250" s="9"/>
      <c r="H250" s="109"/>
      <c r="I250" s="109"/>
      <c r="J250" s="109"/>
      <c r="K250" s="109"/>
      <c r="L250" s="109">
        <f>IF(L$198&gt;0, IF(M$198=0, 'Adjustment for previous period'!$G95, 0), 0)</f>
        <v>-0.8353404137346998</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11"/>
      <c r="T250" s="11"/>
      <c r="U250" s="11"/>
      <c r="V250" s="11"/>
      <c r="W250" s="11"/>
      <c r="X250" s="11"/>
      <c r="Y250" s="11"/>
      <c r="Z250" s="11"/>
      <c r="AA250" s="11"/>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row>
    <row r="251" spans="1:64" ht="4.5" customHeight="1" outlineLevel="1">
      <c r="A251" s="9"/>
      <c r="B251" s="9"/>
      <c r="C251" s="9"/>
      <c r="D251" s="128" t="str">
        <f>Asset21</f>
        <v>Buildings</v>
      </c>
      <c r="E251" s="9"/>
      <c r="F251" s="9"/>
      <c r="G251" s="9"/>
      <c r="H251" s="109"/>
      <c r="I251" s="109"/>
      <c r="J251" s="109"/>
      <c r="K251" s="109"/>
      <c r="L251" s="109">
        <f>IF(L$198&gt;0, IF(M$198=0, 'Adjustment for previous period'!$G96, 0), 0)</f>
        <v>2.3937199569687229</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1"/>
      <c r="T251" s="11"/>
      <c r="U251" s="11"/>
      <c r="V251" s="11"/>
      <c r="W251" s="11"/>
      <c r="X251" s="11"/>
      <c r="Y251" s="11"/>
      <c r="Z251" s="11"/>
      <c r="AA251" s="11"/>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row>
    <row r="252" spans="1:64" ht="4.5" customHeight="1" outlineLevel="1">
      <c r="A252" s="9"/>
      <c r="B252" s="9"/>
      <c r="C252" s="9"/>
      <c r="D252" s="128" t="str">
        <f>Asset22</f>
        <v>Land (non-system)</v>
      </c>
      <c r="E252" s="9"/>
      <c r="F252" s="9"/>
      <c r="G252" s="9"/>
      <c r="H252" s="109"/>
      <c r="I252" s="109"/>
      <c r="J252" s="109"/>
      <c r="K252" s="109"/>
      <c r="L252" s="109">
        <f>IF(L$198&gt;0, IF(M$198=0, 'Adjustment for previous period'!$G97, 0), 0)</f>
        <v>-0.5163880606022262</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1"/>
      <c r="T252" s="11"/>
      <c r="U252" s="11"/>
      <c r="V252" s="11"/>
      <c r="W252" s="11"/>
      <c r="X252" s="11"/>
      <c r="Y252" s="11"/>
      <c r="Z252" s="11"/>
      <c r="AA252" s="11"/>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row>
    <row r="253" spans="1:64" ht="4.5" customHeight="1" outlineLevel="1">
      <c r="A253" s="9"/>
      <c r="B253" s="9"/>
      <c r="C253" s="9"/>
      <c r="D253" s="128" t="str">
        <f>Asset23</f>
        <v>Other non system assets</v>
      </c>
      <c r="E253" s="9"/>
      <c r="F253" s="9"/>
      <c r="G253" s="9"/>
      <c r="H253" s="109"/>
      <c r="I253" s="109"/>
      <c r="J253" s="109"/>
      <c r="K253" s="109"/>
      <c r="L253" s="109">
        <f>IF(L$198&gt;0, IF(M$198=0, 'Adjustment for previous period'!$G98, 0), 0)</f>
        <v>-4.9813479268057739</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1"/>
      <c r="T253" s="11"/>
      <c r="U253" s="11"/>
      <c r="V253" s="11"/>
      <c r="W253" s="11"/>
      <c r="X253" s="11"/>
      <c r="Y253" s="11"/>
      <c r="Z253" s="11"/>
      <c r="AA253" s="11"/>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row>
    <row r="254" spans="1:64" ht="4.5" customHeight="1" outlineLevel="1">
      <c r="A254" s="9"/>
      <c r="B254" s="9"/>
      <c r="C254" s="9"/>
      <c r="D254" s="128" t="str">
        <f>Asset24</f>
        <v>Equity raising costs</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1"/>
      <c r="T254" s="11"/>
      <c r="U254" s="11"/>
      <c r="V254" s="11"/>
      <c r="W254" s="11"/>
      <c r="X254" s="11"/>
      <c r="Y254" s="11"/>
      <c r="Z254" s="11"/>
      <c r="AA254" s="11"/>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row>
    <row r="255" spans="1:64" ht="4.5" customHeight="1" outlineLevel="1">
      <c r="A255" s="9"/>
      <c r="B255" s="9"/>
      <c r="C255" s="9"/>
      <c r="D255" s="128">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1"/>
      <c r="T255" s="11"/>
      <c r="U255" s="11"/>
      <c r="V255" s="11"/>
      <c r="W255" s="11"/>
      <c r="X255" s="11"/>
      <c r="Y255" s="11"/>
      <c r="Z255" s="11"/>
      <c r="AA255" s="11"/>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row>
    <row r="256" spans="1:64" ht="4.5" customHeight="1" outlineLevel="1">
      <c r="A256" s="9"/>
      <c r="B256" s="9"/>
      <c r="C256" s="9"/>
      <c r="D256" s="128">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1"/>
      <c r="T256" s="11"/>
      <c r="U256" s="11"/>
      <c r="V256" s="11"/>
      <c r="W256" s="11"/>
      <c r="X256" s="11"/>
      <c r="Y256" s="11"/>
      <c r="Z256" s="11"/>
      <c r="AA256" s="11"/>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row>
    <row r="257" spans="1:64" ht="4.5" customHeight="1" outlineLevel="1">
      <c r="A257" s="9"/>
      <c r="B257" s="9"/>
      <c r="C257" s="9"/>
      <c r="D257" s="128">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1"/>
      <c r="T257" s="11"/>
      <c r="U257" s="11"/>
      <c r="V257" s="11"/>
      <c r="W257" s="11"/>
      <c r="X257" s="11"/>
      <c r="Y257" s="11"/>
      <c r="Z257" s="11"/>
      <c r="AA257" s="11"/>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row>
    <row r="258" spans="1:64" ht="4.5" customHeight="1" outlineLevel="1">
      <c r="A258" s="9"/>
      <c r="B258" s="9"/>
      <c r="C258" s="9"/>
      <c r="D258" s="128">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1"/>
      <c r="T258" s="11"/>
      <c r="U258" s="11"/>
      <c r="V258" s="11"/>
      <c r="W258" s="11"/>
      <c r="X258" s="11"/>
      <c r="Y258" s="11"/>
      <c r="Z258" s="11"/>
      <c r="AA258" s="11"/>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9"/>
      <c r="BK258" s="219"/>
      <c r="BL258" s="219"/>
    </row>
    <row r="259" spans="1:64" ht="4.5" customHeight="1" outlineLevel="1">
      <c r="A259" s="9"/>
      <c r="B259" s="9"/>
      <c r="C259" s="9"/>
      <c r="D259" s="128">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1"/>
      <c r="T259" s="11"/>
      <c r="U259" s="11"/>
      <c r="V259" s="11"/>
      <c r="W259" s="11"/>
      <c r="X259" s="11"/>
      <c r="Y259" s="11"/>
      <c r="Z259" s="11"/>
      <c r="AA259" s="11"/>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9"/>
      <c r="BK259" s="219"/>
      <c r="BL259" s="219"/>
    </row>
    <row r="260" spans="1:64" ht="4.5" customHeight="1" outlineLevel="1">
      <c r="A260" s="9"/>
      <c r="B260" s="9"/>
      <c r="C260" s="9"/>
      <c r="D260" s="128">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1"/>
      <c r="T260" s="11"/>
      <c r="U260" s="11"/>
      <c r="V260" s="11"/>
      <c r="W260" s="11"/>
      <c r="X260" s="11"/>
      <c r="Y260" s="11"/>
      <c r="Z260" s="11"/>
      <c r="AA260" s="11"/>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row>
    <row r="261" spans="1:64" ht="12" customHeight="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9"/>
      <c r="BK261" s="219"/>
      <c r="BL261" s="219"/>
    </row>
    <row r="262" spans="1:64" ht="12" customHeight="1">
      <c r="A262" s="9"/>
      <c r="B262" s="11"/>
      <c r="C262" s="88" t="s">
        <v>59</v>
      </c>
      <c r="D262" s="11"/>
      <c r="E262" s="11"/>
      <c r="F262" s="11"/>
      <c r="G262" s="113"/>
      <c r="H262" s="119"/>
      <c r="I262" s="119"/>
      <c r="J262" s="119"/>
      <c r="K262" s="119"/>
      <c r="L262" s="119">
        <f t="shared" ref="L262:Q262" si="17">SUM(L263:L292)</f>
        <v>-40.957931658929851</v>
      </c>
      <c r="M262" s="119">
        <f t="shared" si="17"/>
        <v>0</v>
      </c>
      <c r="N262" s="119">
        <f t="shared" si="17"/>
        <v>0</v>
      </c>
      <c r="O262" s="119">
        <f t="shared" si="17"/>
        <v>0</v>
      </c>
      <c r="P262" s="119">
        <f t="shared" si="17"/>
        <v>0</v>
      </c>
      <c r="Q262" s="119">
        <f t="shared" si="17"/>
        <v>0</v>
      </c>
      <c r="R262" s="9"/>
      <c r="S262" s="11"/>
      <c r="T262" s="11"/>
      <c r="U262" s="11"/>
      <c r="V262" s="11"/>
      <c r="W262" s="11"/>
      <c r="X262" s="11"/>
      <c r="Y262" s="11"/>
      <c r="Z262" s="11"/>
      <c r="AA262" s="11"/>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9"/>
      <c r="BK262" s="219"/>
      <c r="BL262" s="219"/>
    </row>
    <row r="263" spans="1:64" ht="12.75" hidden="1" customHeight="1" outlineLevel="1">
      <c r="A263" s="9"/>
      <c r="B263" s="9"/>
      <c r="C263" s="9"/>
      <c r="D263" s="128" t="str">
        <f>Asset1</f>
        <v>Transmission &amp; Zone land &amp; easements</v>
      </c>
      <c r="E263" s="9"/>
      <c r="F263" s="9"/>
      <c r="G263" s="9"/>
      <c r="H263" s="109"/>
      <c r="I263" s="109"/>
      <c r="J263" s="109"/>
      <c r="K263" s="109"/>
      <c r="L263" s="109">
        <f>IF(M$198=0, 'Adjustment for previous period'!L109, 0)</f>
        <v>-30.148391174815522</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1"/>
      <c r="T263" s="11"/>
      <c r="U263" s="11"/>
      <c r="V263" s="11"/>
      <c r="W263" s="11"/>
      <c r="X263" s="11"/>
      <c r="Y263" s="11"/>
      <c r="Z263" s="11"/>
      <c r="AA263" s="11"/>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row>
    <row r="264" spans="1:64" ht="12.75" hidden="1" customHeight="1" outlineLevel="1">
      <c r="A264" s="9"/>
      <c r="B264" s="9"/>
      <c r="C264" s="9"/>
      <c r="D264" s="128" t="str">
        <f>Asset2</f>
        <v>Transmission buildings 132/66kV</v>
      </c>
      <c r="E264" s="9"/>
      <c r="F264" s="9"/>
      <c r="G264" s="9"/>
      <c r="H264" s="109"/>
      <c r="I264" s="109"/>
      <c r="J264" s="109"/>
      <c r="K264" s="109"/>
      <c r="L264" s="109">
        <f>IF(M$198=0, 'Adjustment for previous period'!L111, 0)</f>
        <v>-7.4860001811224022</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8"/>
      <c r="S264" s="99"/>
      <c r="T264" s="99"/>
      <c r="U264" s="99"/>
      <c r="V264" s="99"/>
      <c r="W264" s="99"/>
      <c r="X264" s="99"/>
      <c r="Y264" s="99"/>
      <c r="Z264" s="99"/>
      <c r="AA264" s="99"/>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19"/>
      <c r="BL264" s="219"/>
    </row>
    <row r="265" spans="1:64" ht="12.75" hidden="1" customHeight="1" outlineLevel="1">
      <c r="A265" s="9"/>
      <c r="B265" s="9"/>
      <c r="C265" s="9"/>
      <c r="D265" s="128" t="str">
        <f>Asset3</f>
        <v>Zone buildings 132/66kV</v>
      </c>
      <c r="E265" s="9"/>
      <c r="F265" s="9"/>
      <c r="G265" s="9"/>
      <c r="H265" s="109"/>
      <c r="I265" s="109"/>
      <c r="J265" s="109"/>
      <c r="K265" s="109"/>
      <c r="L265" s="109">
        <f>IF(M$198=0, 'Adjustment for previous period'!L113, 0)</f>
        <v>3.8253266198669103E-2</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1"/>
      <c r="T265" s="11"/>
      <c r="U265" s="11"/>
      <c r="V265" s="11"/>
      <c r="W265" s="11"/>
      <c r="X265" s="11"/>
      <c r="Y265" s="11"/>
      <c r="Z265" s="11"/>
      <c r="AA265" s="11"/>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row>
    <row r="266" spans="1:64" ht="12.75" hidden="1" customHeight="1" outlineLevel="1">
      <c r="A266" s="9"/>
      <c r="B266" s="9"/>
      <c r="C266" s="9"/>
      <c r="D266" s="128" t="str">
        <f>Asset4</f>
        <v>Transmission transformers 132/66kV</v>
      </c>
      <c r="E266" s="9"/>
      <c r="F266" s="9"/>
      <c r="G266" s="9"/>
      <c r="H266" s="109"/>
      <c r="I266" s="109"/>
      <c r="J266" s="109"/>
      <c r="K266" s="109"/>
      <c r="L266" s="109">
        <f>IF(M$198=0, 'Adjustment for previous period'!L115, 0)</f>
        <v>0.6521880899148651</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1"/>
      <c r="T266" s="11"/>
      <c r="U266" s="11"/>
      <c r="V266" s="11"/>
      <c r="W266" s="11"/>
      <c r="X266" s="11"/>
      <c r="Y266" s="11"/>
      <c r="Z266" s="11"/>
      <c r="AA266" s="11"/>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row>
    <row r="267" spans="1:64" ht="12.75" hidden="1" customHeight="1" outlineLevel="1">
      <c r="A267" s="9"/>
      <c r="B267" s="9"/>
      <c r="C267" s="9"/>
      <c r="D267" s="128" t="str">
        <f>Asset5</f>
        <v>Zone transformers 132/66kV</v>
      </c>
      <c r="E267" s="9"/>
      <c r="F267" s="9"/>
      <c r="G267" s="9"/>
      <c r="H267" s="109"/>
      <c r="I267" s="109"/>
      <c r="J267" s="109"/>
      <c r="K267" s="109"/>
      <c r="L267" s="109">
        <f>IF(M$198=0, 'Adjustment for previous period'!L117, 0)</f>
        <v>0.16422171848990028</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1"/>
      <c r="T267" s="11"/>
      <c r="U267" s="11"/>
      <c r="V267" s="11"/>
      <c r="W267" s="11"/>
      <c r="X267" s="11"/>
      <c r="Y267" s="11"/>
      <c r="Z267" s="11"/>
      <c r="AA267" s="11"/>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row>
    <row r="268" spans="1:64" ht="12.75" hidden="1" customHeight="1" outlineLevel="1">
      <c r="A268" s="9"/>
      <c r="B268" s="9"/>
      <c r="C268" s="9"/>
      <c r="D268" s="128" t="str">
        <f>Asset6</f>
        <v>Transmission substation equip 132/66kV</v>
      </c>
      <c r="E268" s="9"/>
      <c r="F268" s="9"/>
      <c r="G268" s="9"/>
      <c r="H268" s="109"/>
      <c r="I268" s="109"/>
      <c r="J268" s="109"/>
      <c r="K268" s="109"/>
      <c r="L268" s="109">
        <f>IF(M$198=0, 'Adjustment for previous period'!L119, 0)</f>
        <v>-2.529859049702488</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1"/>
      <c r="T268" s="11"/>
      <c r="U268" s="11"/>
      <c r="V268" s="11"/>
      <c r="W268" s="11"/>
      <c r="X268" s="11"/>
      <c r="Y268" s="11"/>
      <c r="Z268" s="11"/>
      <c r="AA268" s="11"/>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row>
    <row r="269" spans="1:64" ht="12.75" hidden="1" customHeight="1" outlineLevel="1">
      <c r="A269" s="9"/>
      <c r="B269" s="9"/>
      <c r="C269" s="9"/>
      <c r="D269" s="128" t="str">
        <f>Asset7</f>
        <v>Zone substation equip 132/66kV</v>
      </c>
      <c r="E269" s="9"/>
      <c r="F269" s="9"/>
      <c r="G269" s="9"/>
      <c r="H269" s="109"/>
      <c r="I269" s="109"/>
      <c r="J269" s="109"/>
      <c r="K269" s="109"/>
      <c r="L269" s="109">
        <f>IF(M$198=0, 'Adjustment for previous period'!L121, 0)</f>
        <v>-2.4881434469041945</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row>
    <row r="270" spans="1:64" ht="12.75" hidden="1" customHeight="1" outlineLevel="1">
      <c r="A270" s="9"/>
      <c r="B270" s="9"/>
      <c r="C270" s="9"/>
      <c r="D270" s="128" t="str">
        <f>Asset8</f>
        <v>Transmission &amp; Zone emergency spares</v>
      </c>
      <c r="E270" s="9"/>
      <c r="F270" s="9"/>
      <c r="G270" s="9"/>
      <c r="H270" s="109"/>
      <c r="I270" s="109"/>
      <c r="J270" s="109"/>
      <c r="K270" s="109"/>
      <c r="L270" s="109">
        <f>IF(M$198=0, 'Adjustment for previous period'!L123, 0)</f>
        <v>0</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row>
    <row r="271" spans="1:64" ht="12.75" hidden="1" customHeight="1" outlineLevel="1">
      <c r="A271" s="9"/>
      <c r="B271" s="9"/>
      <c r="C271" s="9"/>
      <c r="D271" s="128" t="str">
        <f>Asset9</f>
        <v>Ancillary substation equipment (tx)</v>
      </c>
      <c r="E271" s="9"/>
      <c r="F271" s="9"/>
      <c r="G271" s="9"/>
      <c r="H271" s="109"/>
      <c r="I271" s="109"/>
      <c r="J271" s="109"/>
      <c r="K271" s="109"/>
      <c r="L271" s="109">
        <f>IF(M$198=0, 'Adjustment for previous period'!L125, 0)</f>
        <v>0.559157978824802</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row>
    <row r="272" spans="1:64" ht="12.75" hidden="1" customHeight="1" outlineLevel="1">
      <c r="A272" s="9"/>
      <c r="B272" s="9"/>
      <c r="C272" s="9"/>
      <c r="D272" s="128" t="str">
        <f>Asset10</f>
        <v>132kV tower lines</v>
      </c>
      <c r="E272" s="9"/>
      <c r="F272" s="9"/>
      <c r="G272" s="9"/>
      <c r="H272" s="109"/>
      <c r="I272" s="109"/>
      <c r="J272" s="109"/>
      <c r="K272" s="109"/>
      <c r="L272" s="109">
        <f>IF(M$198=0, 'Adjustment for previous period'!L127, 0)</f>
        <v>0.7423924843184595</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row>
    <row r="273" spans="1:64" ht="12.75" hidden="1" customHeight="1" outlineLevel="1">
      <c r="A273" s="9"/>
      <c r="B273" s="9"/>
      <c r="C273" s="9"/>
      <c r="D273" s="128" t="str">
        <f>Asset11</f>
        <v>132kV concrete &amp; steel pole lines</v>
      </c>
      <c r="E273" s="9"/>
      <c r="F273" s="9"/>
      <c r="G273" s="9"/>
      <c r="H273" s="109"/>
      <c r="I273" s="109"/>
      <c r="J273" s="109"/>
      <c r="K273" s="109"/>
      <c r="L273" s="109">
        <f>IF(M$198=0, 'Adjustment for previous period'!L129, 0)</f>
        <v>1.9375559535276272</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row>
    <row r="274" spans="1:64" ht="12.75" hidden="1" customHeight="1" outlineLevel="1">
      <c r="A274" s="9"/>
      <c r="B274" s="9"/>
      <c r="C274" s="9"/>
      <c r="D274" s="128" t="str">
        <f>Asset12</f>
        <v>132kV wood pole lines</v>
      </c>
      <c r="E274" s="9"/>
      <c r="F274" s="9"/>
      <c r="G274" s="9"/>
      <c r="H274" s="109"/>
      <c r="I274" s="109"/>
      <c r="J274" s="109"/>
      <c r="K274" s="109"/>
      <c r="L274" s="109">
        <f>IF(M$198=0, 'Adjustment for previous period'!L131, 0)</f>
        <v>0.26638250644119177</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row>
    <row r="275" spans="1:64" ht="12.75" hidden="1" customHeight="1" outlineLevel="1">
      <c r="A275" s="9"/>
      <c r="B275" s="9"/>
      <c r="C275" s="9"/>
      <c r="D275" s="128" t="str">
        <f>Asset13</f>
        <v>132kV feeders underground</v>
      </c>
      <c r="E275" s="9"/>
      <c r="F275" s="9"/>
      <c r="G275" s="9"/>
      <c r="H275" s="109"/>
      <c r="I275" s="109"/>
      <c r="J275" s="109"/>
      <c r="K275" s="109"/>
      <c r="L275" s="109">
        <f>IF(M$198=0, 'Adjustment for previous period'!L133, 0)</f>
        <v>-4.3193474460648691</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row>
    <row r="276" spans="1:64" ht="12.75" hidden="1" customHeight="1" outlineLevel="1">
      <c r="A276" s="9"/>
      <c r="B276" s="9"/>
      <c r="C276" s="9"/>
      <c r="D276" s="128" t="str">
        <f>Asset14</f>
        <v>Cable tunnel (tx)</v>
      </c>
      <c r="E276" s="9"/>
      <c r="F276" s="9"/>
      <c r="G276" s="9"/>
      <c r="H276" s="109"/>
      <c r="I276" s="109"/>
      <c r="J276" s="109"/>
      <c r="K276" s="109"/>
      <c r="L276" s="109">
        <f>IF(M$198=0, 'Adjustment for previous period'!L135, 0)</f>
        <v>2.0753881166613443E-3</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row>
    <row r="277" spans="1:64" ht="12.75" hidden="1" customHeight="1" outlineLevel="1">
      <c r="A277" s="9"/>
      <c r="B277" s="9"/>
      <c r="C277" s="9"/>
      <c r="D277" s="128" t="str">
        <f>Asset15</f>
        <v>Network control &amp; com systems</v>
      </c>
      <c r="E277" s="9"/>
      <c r="F277" s="9"/>
      <c r="G277" s="9"/>
      <c r="H277" s="109"/>
      <c r="I277" s="109"/>
      <c r="J277" s="109"/>
      <c r="K277" s="109"/>
      <c r="L277" s="109">
        <f>IF(M$198=0, 'Adjustment for previous period'!L137, 0)</f>
        <v>-0.12939147920715138</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row>
    <row r="278" spans="1:64" ht="12.75" hidden="1" customHeight="1" outlineLevel="1">
      <c r="A278" s="9"/>
      <c r="B278" s="9"/>
      <c r="C278" s="9"/>
      <c r="D278" s="128" t="str">
        <f>Asset16</f>
        <v>Communications (digital) - tx</v>
      </c>
      <c r="E278" s="9"/>
      <c r="F278" s="9"/>
      <c r="G278" s="9"/>
      <c r="H278" s="109"/>
      <c r="I278" s="109"/>
      <c r="J278" s="109"/>
      <c r="K278" s="109"/>
      <c r="L278" s="109">
        <f>IF(M$198=0, 'Adjustment for previous period'!L139, 0)</f>
        <v>0</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row>
    <row r="279" spans="1:64" ht="12.75" hidden="1" customHeight="1" outlineLevel="1">
      <c r="A279" s="9"/>
      <c r="B279" s="9"/>
      <c r="C279" s="9"/>
      <c r="D279" s="128" t="str">
        <f>Asset17</f>
        <v>System IT (tx)</v>
      </c>
      <c r="E279" s="9"/>
      <c r="F279" s="9"/>
      <c r="G279" s="9"/>
      <c r="H279" s="109"/>
      <c r="I279" s="109"/>
      <c r="J279" s="109"/>
      <c r="K279" s="109"/>
      <c r="L279" s="109">
        <f>IF(M$198=0, 'Adjustment for previous period'!L141, 0)</f>
        <v>0</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row>
    <row r="280" spans="1:64" ht="12.75" hidden="1" customHeight="1" outlineLevel="1">
      <c r="A280" s="9"/>
      <c r="B280" s="9"/>
      <c r="C280" s="9"/>
      <c r="D280" s="128" t="str">
        <f>Asset18</f>
        <v>IT systems</v>
      </c>
      <c r="E280" s="9"/>
      <c r="F280" s="9"/>
      <c r="G280" s="9"/>
      <c r="H280" s="109"/>
      <c r="I280" s="109"/>
      <c r="J280" s="109"/>
      <c r="K280" s="109"/>
      <c r="L280" s="109">
        <f>IF(M$198=0, 'Adjustment for previous period'!L143, 0)</f>
        <v>4.4861377406682985</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row>
    <row r="281" spans="1:64" ht="12.75" hidden="1" customHeight="1" outlineLevel="1">
      <c r="A281" s="9"/>
      <c r="B281" s="9"/>
      <c r="C281" s="9"/>
      <c r="D281" s="128" t="str">
        <f>Asset19</f>
        <v>Furniture, fittings, plant and equipment</v>
      </c>
      <c r="E281" s="9"/>
      <c r="F281" s="9"/>
      <c r="G281" s="9"/>
      <c r="H281" s="109"/>
      <c r="I281" s="109"/>
      <c r="J281" s="109"/>
      <c r="K281" s="109"/>
      <c r="L281" s="109">
        <f>IF(M$198=0, 'Adjustment for previous period'!L145, 0)</f>
        <v>-0.26466262502458932</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row>
    <row r="282" spans="1:64" ht="12.75" hidden="1" customHeight="1" outlineLevel="1">
      <c r="A282" s="9"/>
      <c r="B282" s="9"/>
      <c r="C282" s="9"/>
      <c r="D282" s="128" t="str">
        <f>Asset20</f>
        <v>Motor vehicles</v>
      </c>
      <c r="E282" s="9"/>
      <c r="F282" s="9"/>
      <c r="G282" s="9"/>
      <c r="H282" s="109"/>
      <c r="I282" s="109"/>
      <c r="J282" s="109"/>
      <c r="K282" s="109"/>
      <c r="L282" s="109">
        <f>IF(M$198=0, 'Adjustment for previous period'!L147, 0)</f>
        <v>-0.51750824367952353</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row>
    <row r="283" spans="1:64" ht="12.75" hidden="1" customHeight="1" outlineLevel="1">
      <c r="A283" s="9"/>
      <c r="B283" s="9"/>
      <c r="C283" s="9"/>
      <c r="D283" s="128" t="str">
        <f>Asset21</f>
        <v>Buildings</v>
      </c>
      <c r="E283" s="9"/>
      <c r="F283" s="9"/>
      <c r="G283" s="9"/>
      <c r="H283" s="109"/>
      <c r="I283" s="109"/>
      <c r="J283" s="109"/>
      <c r="K283" s="109"/>
      <c r="L283" s="109">
        <f>IF(M$198=0, 'Adjustment for previous period'!L149, 0)</f>
        <v>1.4829520880632694</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row>
    <row r="284" spans="1:64" ht="4.5" hidden="1" customHeight="1" outlineLevel="1">
      <c r="A284" s="9"/>
      <c r="B284" s="9"/>
      <c r="C284" s="9"/>
      <c r="D284" s="128" t="str">
        <f>Asset22</f>
        <v>Land (non-system)</v>
      </c>
      <c r="E284" s="9"/>
      <c r="F284" s="9"/>
      <c r="G284" s="9"/>
      <c r="H284" s="109"/>
      <c r="I284" s="109"/>
      <c r="J284" s="109"/>
      <c r="K284" s="109"/>
      <c r="L284" s="109">
        <f>IF(M$198=0, 'Adjustment for previous period'!L151, 0)</f>
        <v>-0.31991158802500613</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row>
    <row r="285" spans="1:64" ht="4.5" hidden="1" customHeight="1" outlineLevel="1">
      <c r="A285" s="9"/>
      <c r="B285" s="9"/>
      <c r="C285" s="9"/>
      <c r="D285" s="128" t="str">
        <f>Asset23</f>
        <v>Other non system assets</v>
      </c>
      <c r="E285" s="9"/>
      <c r="F285" s="9"/>
      <c r="G285" s="9"/>
      <c r="H285" s="109"/>
      <c r="I285" s="109"/>
      <c r="J285" s="109"/>
      <c r="K285" s="109"/>
      <c r="L285" s="109">
        <f>IF(M$198=0, 'Adjustment for previous period'!L153, 0)</f>
        <v>-3.0860336389478422</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row>
    <row r="286" spans="1:64" ht="4.5" hidden="1" customHeight="1" outlineLevel="1">
      <c r="A286" s="9"/>
      <c r="B286" s="9"/>
      <c r="C286" s="9"/>
      <c r="D286" s="128" t="str">
        <f>Asset24</f>
        <v>Equity raising costs</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row>
    <row r="287" spans="1:64" ht="4.5" hidden="1" customHeight="1" outlineLevel="1">
      <c r="A287" s="9"/>
      <c r="B287" s="9"/>
      <c r="C287" s="9"/>
      <c r="D287" s="128">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row>
    <row r="288" spans="1:64" ht="4.5" hidden="1" customHeight="1" outlineLevel="1">
      <c r="A288" s="9"/>
      <c r="B288" s="9"/>
      <c r="C288" s="9"/>
      <c r="D288" s="128">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row>
    <row r="289" spans="1:64" ht="4.5" hidden="1" customHeight="1" outlineLevel="1">
      <c r="A289" s="9"/>
      <c r="B289" s="9"/>
      <c r="C289" s="9"/>
      <c r="D289" s="128">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row>
    <row r="290" spans="1:64" ht="4.5" hidden="1" customHeight="1" outlineLevel="1">
      <c r="A290" s="9"/>
      <c r="B290" s="9"/>
      <c r="C290" s="9"/>
      <c r="D290" s="128">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row>
    <row r="291" spans="1:64" ht="4.5" hidden="1" customHeight="1" outlineLevel="1">
      <c r="A291" s="9"/>
      <c r="B291" s="9"/>
      <c r="C291" s="9"/>
      <c r="D291" s="128">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row>
    <row r="292" spans="1:64" ht="4.5" hidden="1" customHeight="1" outlineLevel="1">
      <c r="A292" s="9"/>
      <c r="B292" s="9"/>
      <c r="C292" s="9"/>
      <c r="D292" s="128">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row>
    <row r="293" spans="1:64" collapsed="1">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row>
    <row r="294" spans="1:64">
      <c r="A294" s="9"/>
      <c r="B294" s="9"/>
      <c r="C294" s="9" t="s">
        <v>58</v>
      </c>
      <c r="D294" s="9"/>
      <c r="E294" s="9"/>
      <c r="F294" s="9"/>
      <c r="G294" s="9"/>
      <c r="H294" s="9"/>
      <c r="I294" s="9"/>
      <c r="J294" s="9"/>
      <c r="K294" s="9"/>
      <c r="L294" s="36">
        <f t="shared" ref="L294:Q294" si="18">SUM(L295:L323)</f>
        <v>0</v>
      </c>
      <c r="M294" s="36">
        <f t="shared" si="18"/>
        <v>0</v>
      </c>
      <c r="N294" s="36">
        <f t="shared" si="18"/>
        <v>0</v>
      </c>
      <c r="O294" s="36">
        <f t="shared" si="18"/>
        <v>0</v>
      </c>
      <c r="P294" s="36">
        <f t="shared" si="18"/>
        <v>0</v>
      </c>
      <c r="Q294" s="36">
        <f t="shared" si="18"/>
        <v>0</v>
      </c>
      <c r="R294" s="9"/>
      <c r="S294" s="9"/>
      <c r="T294" s="9"/>
      <c r="U294" s="9"/>
      <c r="V294" s="9"/>
      <c r="W294" s="9"/>
      <c r="X294" s="9"/>
      <c r="Y294" s="9"/>
      <c r="Z294" s="9"/>
      <c r="AA294" s="9"/>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row>
    <row r="295" spans="1:64" ht="12.75" hidden="1" customHeight="1" outlineLevel="1">
      <c r="A295" s="9"/>
      <c r="B295" s="9"/>
      <c r="C295" s="9"/>
      <c r="D295" s="128" t="str">
        <f>Asset1</f>
        <v>Transmission &amp; Zone land &amp; easements</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row>
    <row r="296" spans="1:64" ht="12.75" hidden="1" customHeight="1" outlineLevel="1">
      <c r="A296" s="9"/>
      <c r="B296" s="9"/>
      <c r="C296" s="9"/>
      <c r="D296" s="128" t="str">
        <f>Asset2</f>
        <v>Transmission buildings 132/66kV</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row>
    <row r="297" spans="1:64" ht="12.75" hidden="1" customHeight="1" outlineLevel="1">
      <c r="A297" s="9"/>
      <c r="B297" s="9"/>
      <c r="C297" s="9"/>
      <c r="D297" s="128" t="str">
        <f>Asset3</f>
        <v>Zone buildings 132/66kV</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row>
    <row r="298" spans="1:64" ht="12.75" hidden="1" customHeight="1" outlineLevel="1">
      <c r="A298" s="9"/>
      <c r="B298" s="9"/>
      <c r="C298" s="9"/>
      <c r="D298" s="128" t="str">
        <f>Asset4</f>
        <v>Transmission transformers 132/66kV</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row>
    <row r="299" spans="1:64" ht="12.75" hidden="1" customHeight="1" outlineLevel="1">
      <c r="A299" s="9"/>
      <c r="B299" s="9"/>
      <c r="C299" s="9"/>
      <c r="D299" s="128" t="str">
        <f>Asset5</f>
        <v>Zone transformers 132/66kV</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row>
    <row r="300" spans="1:64" ht="12.75" hidden="1" customHeight="1" outlineLevel="1">
      <c r="A300" s="9"/>
      <c r="B300" s="9"/>
      <c r="C300" s="9"/>
      <c r="D300" s="128" t="str">
        <f>Asset6</f>
        <v>Transmission substation equip 132/66kV</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row>
    <row r="301" spans="1:64" ht="12.75" hidden="1" customHeight="1" outlineLevel="1">
      <c r="A301" s="9"/>
      <c r="B301" s="9"/>
      <c r="C301" s="9"/>
      <c r="D301" s="128" t="str">
        <f>Asset7</f>
        <v>Zone substation equip 132/66kV</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row>
    <row r="302" spans="1:64" ht="12.75" hidden="1" customHeight="1" outlineLevel="1">
      <c r="A302" s="9"/>
      <c r="B302" s="9"/>
      <c r="C302" s="9"/>
      <c r="D302" s="128" t="str">
        <f>Asset8</f>
        <v>Transmission &amp; Zone emergency spares</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row>
    <row r="303" spans="1:64" ht="12.75" hidden="1" customHeight="1" outlineLevel="1">
      <c r="A303" s="9"/>
      <c r="B303" s="9"/>
      <c r="C303" s="9"/>
      <c r="D303" s="128" t="str">
        <f>Asset9</f>
        <v>Ancillary substation equipment (tx)</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row>
    <row r="304" spans="1:64" ht="12.75" hidden="1" customHeight="1" outlineLevel="1">
      <c r="A304" s="9"/>
      <c r="B304" s="9"/>
      <c r="C304" s="9"/>
      <c r="D304" s="128" t="str">
        <f>Asset10</f>
        <v>132kV tower lines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row>
    <row r="305" spans="1:64" ht="12.75" hidden="1" customHeight="1" outlineLevel="1">
      <c r="A305" s="9"/>
      <c r="B305" s="9"/>
      <c r="C305" s="9"/>
      <c r="D305" s="128" t="str">
        <f>Asset11</f>
        <v>132kV concrete &amp; steel pole lines</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row>
    <row r="306" spans="1:64" ht="12.75" hidden="1" customHeight="1" outlineLevel="1">
      <c r="A306" s="9"/>
      <c r="B306" s="9"/>
      <c r="C306" s="9"/>
      <c r="D306" s="128" t="str">
        <f>Asset12</f>
        <v>132kV wood pole lines</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row>
    <row r="307" spans="1:64" ht="12.75" hidden="1" customHeight="1" outlineLevel="1">
      <c r="A307" s="9"/>
      <c r="B307" s="9"/>
      <c r="C307" s="9"/>
      <c r="D307" s="128" t="str">
        <f>Asset13</f>
        <v>132kV feeders underground</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row>
    <row r="308" spans="1:64" ht="12.75" hidden="1" customHeight="1" outlineLevel="1">
      <c r="A308" s="9"/>
      <c r="B308" s="9"/>
      <c r="C308" s="9"/>
      <c r="D308" s="128" t="str">
        <f>Asset14</f>
        <v>Cable tunnel (tx)</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row>
    <row r="309" spans="1:64" ht="12.75" hidden="1" customHeight="1" outlineLevel="1">
      <c r="A309" s="9"/>
      <c r="B309" s="9"/>
      <c r="C309" s="9"/>
      <c r="D309" s="128" t="str">
        <f>Asset15</f>
        <v>Network control &amp; com systems</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row>
    <row r="310" spans="1:64" ht="12.75" hidden="1" customHeight="1" outlineLevel="1">
      <c r="A310" s="9"/>
      <c r="B310" s="9"/>
      <c r="C310" s="9"/>
      <c r="D310" s="128" t="str">
        <f>Asset16</f>
        <v>Communications (digital) - tx</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row>
    <row r="311" spans="1:64" ht="12.75" hidden="1" customHeight="1" outlineLevel="1">
      <c r="A311" s="9"/>
      <c r="B311" s="9"/>
      <c r="C311" s="9"/>
      <c r="D311" s="128" t="str">
        <f>Asset17</f>
        <v>System IT (tx)</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row>
    <row r="312" spans="1:64" ht="12.75" hidden="1" customHeight="1" outlineLevel="1">
      <c r="A312" s="9"/>
      <c r="B312" s="9"/>
      <c r="C312" s="9"/>
      <c r="D312" s="128" t="str">
        <f>Asset18</f>
        <v>IT systems</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row>
    <row r="313" spans="1:64" ht="12.75" hidden="1" customHeight="1" outlineLevel="1">
      <c r="A313" s="9"/>
      <c r="B313" s="9"/>
      <c r="C313" s="9"/>
      <c r="D313" s="128" t="str">
        <f>Asset19</f>
        <v>Furniture, fittings, plant and equipment</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row>
    <row r="314" spans="1:64" ht="12.75" hidden="1" customHeight="1" outlineLevel="1">
      <c r="A314" s="9"/>
      <c r="B314" s="9"/>
      <c r="C314" s="9"/>
      <c r="D314" s="128" t="str">
        <f>Asset20</f>
        <v>Motor vehicles</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52">
        <f>IF(Q$198&gt;0, IF(R$198=0, 'Adjustment for previous period'!$G256, 0), 0)</f>
        <v>0</v>
      </c>
      <c r="R314" s="9"/>
      <c r="S314" s="9"/>
      <c r="T314" s="9"/>
      <c r="U314" s="9"/>
      <c r="V314" s="9"/>
      <c r="W314" s="9"/>
      <c r="X314" s="9"/>
      <c r="Y314" s="9"/>
      <c r="Z314" s="9"/>
      <c r="AA314" s="9"/>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row>
    <row r="315" spans="1:64" ht="4.5" hidden="1" customHeight="1" outlineLevel="1">
      <c r="A315" s="9"/>
      <c r="B315" s="9"/>
      <c r="C315" s="9"/>
      <c r="D315" s="128" t="str">
        <f>Asset21</f>
        <v>Buildings</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52">
        <f>IF(Q$198&gt;0, IF(R$198=0, 'Adjustment for previous period'!$G257, 0), 0)</f>
        <v>0</v>
      </c>
      <c r="R315" s="9"/>
      <c r="S315" s="9"/>
      <c r="T315" s="9"/>
      <c r="U315" s="9"/>
      <c r="V315" s="9"/>
      <c r="W315" s="9"/>
      <c r="X315" s="9"/>
      <c r="Y315" s="9"/>
      <c r="Z315" s="9"/>
      <c r="AA315" s="9"/>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row>
    <row r="316" spans="1:64" ht="4.5" hidden="1" customHeight="1" outlineLevel="1">
      <c r="A316" s="9"/>
      <c r="B316" s="9"/>
      <c r="C316" s="9"/>
      <c r="D316" s="128" t="str">
        <f>Asset22</f>
        <v>Land (non-system)</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52">
        <f>IF(Q$198&gt;0, IF(R$198=0, 'Adjustment for previous period'!$G258, 0), 0)</f>
        <v>0</v>
      </c>
      <c r="R316" s="9"/>
      <c r="S316" s="9"/>
      <c r="T316" s="9"/>
      <c r="U316" s="9"/>
      <c r="V316" s="9"/>
      <c r="W316" s="9"/>
      <c r="X316" s="9"/>
      <c r="Y316" s="9"/>
      <c r="Z316" s="9"/>
      <c r="AA316" s="9"/>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row>
    <row r="317" spans="1:64" ht="4.5" hidden="1" customHeight="1" outlineLevel="1">
      <c r="A317" s="9"/>
      <c r="B317" s="9"/>
      <c r="C317" s="9"/>
      <c r="D317" s="128" t="str">
        <f>Asset23</f>
        <v>Other non system assets</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52">
        <f>IF(Q$198&gt;0, IF(R$198=0, 'Adjustment for previous period'!$G259, 0), 0)</f>
        <v>0</v>
      </c>
      <c r="R317" s="9"/>
      <c r="S317" s="9"/>
      <c r="T317" s="9"/>
      <c r="U317" s="9"/>
      <c r="V317" s="9"/>
      <c r="W317" s="9"/>
      <c r="X317" s="9"/>
      <c r="Y317" s="9"/>
      <c r="Z317" s="9"/>
      <c r="AA317" s="9"/>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row>
    <row r="318" spans="1:64" ht="4.5" hidden="1" customHeight="1" outlineLevel="1">
      <c r="A318" s="9"/>
      <c r="B318" s="9"/>
      <c r="C318" s="9"/>
      <c r="D318" s="128" t="str">
        <f>Asset24</f>
        <v>Equity raising costs</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52">
        <f>IF(Q$198&gt;0, IF(R$198=0, 'Adjustment for previous period'!$G260, 0), 0)</f>
        <v>0</v>
      </c>
      <c r="R318" s="9"/>
      <c r="S318" s="9"/>
      <c r="T318" s="9"/>
      <c r="U318" s="9"/>
      <c r="V318" s="9"/>
      <c r="W318" s="9"/>
      <c r="X318" s="9"/>
      <c r="Y318" s="9"/>
      <c r="Z318" s="9"/>
      <c r="AA318" s="9"/>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row>
    <row r="319" spans="1:64" ht="4.5" hidden="1" customHeight="1" outlineLevel="1">
      <c r="A319" s="9"/>
      <c r="B319" s="9"/>
      <c r="C319" s="9"/>
      <c r="D319" s="128">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52">
        <f>IF(Q$198&gt;0, IF(R$198=0, 'Adjustment for previous period'!$G261, 0), 0)</f>
        <v>0</v>
      </c>
      <c r="R319" s="9"/>
      <c r="S319" s="9"/>
      <c r="T319" s="9"/>
      <c r="U319" s="9"/>
      <c r="V319" s="9"/>
      <c r="W319" s="9"/>
      <c r="X319" s="9"/>
      <c r="Y319" s="9"/>
      <c r="Z319" s="9"/>
      <c r="AA319" s="9"/>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row>
    <row r="320" spans="1:64" ht="4.5" hidden="1" customHeight="1" outlineLevel="1">
      <c r="A320" s="9"/>
      <c r="B320" s="9"/>
      <c r="C320" s="9"/>
      <c r="D320" s="128">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52">
        <f>IF(Q$198&gt;0, IF(R$198=0, 'Adjustment for previous period'!$G262, 0), 0)</f>
        <v>0</v>
      </c>
      <c r="R320" s="9"/>
      <c r="S320" s="9"/>
      <c r="T320" s="9"/>
      <c r="U320" s="9"/>
      <c r="V320" s="9"/>
      <c r="W320" s="9"/>
      <c r="X320" s="9"/>
      <c r="Y320" s="9"/>
      <c r="Z320" s="9"/>
      <c r="AA320" s="9"/>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row>
    <row r="321" spans="1:64" ht="4.5" hidden="1" customHeight="1" outlineLevel="1">
      <c r="A321" s="9"/>
      <c r="B321" s="9"/>
      <c r="C321" s="9"/>
      <c r="D321" s="128">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52">
        <f>IF(Q$198&gt;0, IF(R$198=0, 'Adjustment for previous period'!$G263, 0), 0)</f>
        <v>0</v>
      </c>
      <c r="R321" s="9"/>
      <c r="S321" s="9"/>
      <c r="T321" s="9"/>
      <c r="U321" s="9"/>
      <c r="V321" s="9"/>
      <c r="W321" s="9"/>
      <c r="X321" s="9"/>
      <c r="Y321" s="9"/>
      <c r="Z321" s="9"/>
      <c r="AA321" s="9"/>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row>
    <row r="322" spans="1:64" ht="4.5" hidden="1" customHeight="1" outlineLevel="1">
      <c r="A322" s="9"/>
      <c r="B322" s="9"/>
      <c r="C322" s="9"/>
      <c r="D322" s="128">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52">
        <f>IF(Q$198&gt;0, IF(R$198=0, 'Adjustment for previous period'!$G264, 0), 0)</f>
        <v>0</v>
      </c>
      <c r="R322" s="9"/>
      <c r="S322" s="9"/>
      <c r="T322" s="9"/>
      <c r="U322" s="9"/>
      <c r="V322" s="9"/>
      <c r="W322" s="9"/>
      <c r="X322" s="9"/>
      <c r="Y322" s="9"/>
      <c r="Z322" s="9"/>
      <c r="AA322" s="9"/>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row>
    <row r="323" spans="1:64" ht="4.5" hidden="1" customHeight="1" outlineLevel="1">
      <c r="A323" s="9"/>
      <c r="B323" s="9"/>
      <c r="C323" s="9"/>
      <c r="D323" s="128">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52">
        <f>IF(Q$198&gt;0, IF(R$198=0, 'Adjustment for previous period'!$G265, 0), 0)</f>
        <v>0</v>
      </c>
      <c r="R323" s="9"/>
      <c r="S323" s="9"/>
      <c r="T323" s="9"/>
      <c r="U323" s="9"/>
      <c r="V323" s="9"/>
      <c r="W323" s="9"/>
      <c r="X323" s="9"/>
      <c r="Y323" s="9"/>
      <c r="Z323" s="9"/>
      <c r="AA323" s="9"/>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row>
    <row r="324" spans="1:64" ht="4.5" hidden="1" customHeight="1" outlineLevel="1">
      <c r="A324" s="9"/>
      <c r="B324" s="9"/>
      <c r="C324" s="9"/>
      <c r="D324" s="128">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52">
        <f>IF(Q$198&gt;0, IF(R$198=0, 'Adjustment for previous period'!$G266, 0), 0)</f>
        <v>0</v>
      </c>
      <c r="R324" s="9"/>
      <c r="S324" s="9"/>
      <c r="T324" s="9"/>
      <c r="U324" s="9"/>
      <c r="V324" s="9"/>
      <c r="W324" s="9"/>
      <c r="X324" s="9"/>
      <c r="Y324" s="9"/>
      <c r="Z324" s="9"/>
      <c r="AA324" s="9"/>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row>
    <row r="325" spans="1:64" collapsed="1">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row>
    <row r="326" spans="1:64">
      <c r="A326" s="9"/>
      <c r="B326" s="9"/>
      <c r="C326" s="9" t="s">
        <v>60</v>
      </c>
      <c r="D326" s="9"/>
      <c r="E326" s="9"/>
      <c r="F326" s="9"/>
      <c r="G326" s="9"/>
      <c r="H326" s="9"/>
      <c r="I326" s="9"/>
      <c r="J326" s="9"/>
      <c r="K326" s="9"/>
      <c r="L326" s="36">
        <f t="shared" ref="L326:Q326" si="19">SUM(L327:L356)</f>
        <v>0</v>
      </c>
      <c r="M326" s="36">
        <f t="shared" si="19"/>
        <v>0</v>
      </c>
      <c r="N326" s="36">
        <f t="shared" si="19"/>
        <v>0</v>
      </c>
      <c r="O326" s="36">
        <f t="shared" si="19"/>
        <v>0</v>
      </c>
      <c r="P326" s="36">
        <f t="shared" si="19"/>
        <v>0</v>
      </c>
      <c r="Q326" s="36">
        <f t="shared" si="19"/>
        <v>0</v>
      </c>
      <c r="R326" s="9"/>
      <c r="S326" s="9"/>
      <c r="T326" s="9"/>
      <c r="U326" s="9"/>
      <c r="V326" s="9"/>
      <c r="W326" s="9"/>
      <c r="X326" s="9"/>
      <c r="Y326" s="9"/>
      <c r="Z326" s="9"/>
      <c r="AA326" s="9"/>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row>
    <row r="327" spans="1:64" ht="12.75" customHeight="1" outlineLevel="1">
      <c r="A327" s="9"/>
      <c r="B327" s="9"/>
      <c r="C327" s="9"/>
      <c r="D327" s="128" t="str">
        <f>Asset1</f>
        <v>Transmission &amp; Zone land &amp; easements</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row>
    <row r="328" spans="1:64" ht="12.75" customHeight="1" outlineLevel="1">
      <c r="A328" s="9"/>
      <c r="B328" s="9"/>
      <c r="C328" s="9"/>
      <c r="D328" s="128" t="str">
        <f>Asset2</f>
        <v>Transmission buildings 132/66kV</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row>
    <row r="329" spans="1:64" ht="12.75" customHeight="1" outlineLevel="1">
      <c r="A329" s="9"/>
      <c r="B329" s="9"/>
      <c r="C329" s="9"/>
      <c r="D329" s="128" t="str">
        <f>Asset3</f>
        <v>Zone buildings 132/66kV</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row>
    <row r="330" spans="1:64" ht="12.75" customHeight="1" outlineLevel="1">
      <c r="A330" s="9"/>
      <c r="B330" s="9"/>
      <c r="C330" s="9"/>
      <c r="D330" s="128" t="str">
        <f>Asset4</f>
        <v>Transmission transformers 132/66kV</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row>
    <row r="331" spans="1:64" ht="12.75" customHeight="1" outlineLevel="1">
      <c r="A331" s="9"/>
      <c r="B331" s="9"/>
      <c r="C331" s="9"/>
      <c r="D331" s="128" t="str">
        <f>Asset5</f>
        <v>Zone transformers 132/66kV</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row>
    <row r="332" spans="1:64" ht="12.75" customHeight="1" outlineLevel="1">
      <c r="A332" s="9"/>
      <c r="B332" s="9"/>
      <c r="C332" s="9"/>
      <c r="D332" s="128" t="str">
        <f>Asset6</f>
        <v>Transmission substation equip 132/66kV</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row>
    <row r="333" spans="1:64" ht="12.75" customHeight="1" outlineLevel="1">
      <c r="A333" s="9"/>
      <c r="B333" s="9"/>
      <c r="C333" s="9"/>
      <c r="D333" s="128" t="str">
        <f>Asset7</f>
        <v>Zone substation equip 132/66kV</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row>
    <row r="334" spans="1:64" ht="12.75" customHeight="1" outlineLevel="1">
      <c r="A334" s="9"/>
      <c r="B334" s="9"/>
      <c r="C334" s="9"/>
      <c r="D334" s="128" t="str">
        <f>Asset8</f>
        <v>Transmission &amp; Zone emergency spares</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row>
    <row r="335" spans="1:64" ht="12.75" customHeight="1" outlineLevel="1">
      <c r="A335" s="9"/>
      <c r="B335" s="9"/>
      <c r="C335" s="9"/>
      <c r="D335" s="128" t="str">
        <f>Asset9</f>
        <v>Ancillary substation equipment (tx)</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row>
    <row r="336" spans="1:64" ht="12.75" customHeight="1" outlineLevel="1">
      <c r="A336" s="9"/>
      <c r="B336" s="9"/>
      <c r="C336" s="9"/>
      <c r="D336" s="128" t="str">
        <f>Asset10</f>
        <v>132kV tower lines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row>
    <row r="337" spans="1:64" ht="12.75" customHeight="1" outlineLevel="1">
      <c r="A337" s="9"/>
      <c r="B337" s="9"/>
      <c r="C337" s="9"/>
      <c r="D337" s="128" t="str">
        <f>Asset11</f>
        <v>132kV concrete &amp; steel pole lines</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row>
    <row r="338" spans="1:64" ht="12.75" customHeight="1" outlineLevel="1">
      <c r="A338" s="9"/>
      <c r="B338" s="9"/>
      <c r="C338" s="9"/>
      <c r="D338" s="128" t="str">
        <f>Asset12</f>
        <v>132kV wood pole lines</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row>
    <row r="339" spans="1:64" ht="12.75" customHeight="1" outlineLevel="1">
      <c r="A339" s="9"/>
      <c r="B339" s="9"/>
      <c r="C339" s="9"/>
      <c r="D339" s="128" t="str">
        <f>Asset13</f>
        <v>132kV feeders underground</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row>
    <row r="340" spans="1:64" ht="12.75" customHeight="1" outlineLevel="1">
      <c r="A340" s="9"/>
      <c r="B340" s="9"/>
      <c r="C340" s="9"/>
      <c r="D340" s="128" t="str">
        <f>Asset14</f>
        <v>Cable tunnel (tx)</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row>
    <row r="341" spans="1:64" ht="12.75" customHeight="1" outlineLevel="1">
      <c r="A341" s="9"/>
      <c r="B341" s="9"/>
      <c r="C341" s="9"/>
      <c r="D341" s="128" t="str">
        <f>Asset15</f>
        <v>Network control &amp; com systems</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row>
    <row r="342" spans="1:64" ht="12.75" customHeight="1" outlineLevel="1">
      <c r="A342" s="9"/>
      <c r="B342" s="9"/>
      <c r="C342" s="9"/>
      <c r="D342" s="128" t="str">
        <f>Asset16</f>
        <v>Communications (digital) - tx</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row>
    <row r="343" spans="1:64" ht="12.75" customHeight="1" outlineLevel="1">
      <c r="A343" s="9"/>
      <c r="B343" s="9"/>
      <c r="C343" s="9"/>
      <c r="D343" s="128" t="str">
        <f>Asset17</f>
        <v>System IT (tx)</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row>
    <row r="344" spans="1:64" ht="12.75" customHeight="1" outlineLevel="1">
      <c r="A344" s="9"/>
      <c r="B344" s="9"/>
      <c r="C344" s="9"/>
      <c r="D344" s="128" t="str">
        <f>Asset18</f>
        <v>IT systems</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row>
    <row r="345" spans="1:64" ht="12.75" customHeight="1" outlineLevel="1">
      <c r="A345" s="9"/>
      <c r="B345" s="9"/>
      <c r="C345" s="9"/>
      <c r="D345" s="128" t="str">
        <f>Asset19</f>
        <v>Furniture, fittings, plant and equipment</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row>
    <row r="346" spans="1:64" ht="12.75" customHeight="1" outlineLevel="1">
      <c r="A346" s="9"/>
      <c r="B346" s="9"/>
      <c r="C346" s="9"/>
      <c r="D346" s="128" t="str">
        <f>Asset20</f>
        <v>Motor vehicles</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row>
    <row r="347" spans="1:64" ht="4.5" customHeight="1" outlineLevel="1">
      <c r="A347" s="9"/>
      <c r="B347" s="9"/>
      <c r="C347" s="9"/>
      <c r="D347" s="128" t="str">
        <f>Asset21</f>
        <v>Buildings</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row>
    <row r="348" spans="1:64" ht="4.5" customHeight="1" outlineLevel="1">
      <c r="A348" s="9"/>
      <c r="B348" s="9"/>
      <c r="C348" s="9"/>
      <c r="D348" s="128" t="str">
        <f>Asset22</f>
        <v>Land (non-system)</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row>
    <row r="349" spans="1:64" ht="4.5" customHeight="1" outlineLevel="1">
      <c r="A349" s="9"/>
      <c r="B349" s="9"/>
      <c r="C349" s="9"/>
      <c r="D349" s="128" t="str">
        <f>Asset23</f>
        <v>Other non system assets</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row>
    <row r="350" spans="1:64" ht="4.5" customHeight="1" outlineLevel="1">
      <c r="A350" s="9"/>
      <c r="B350" s="9"/>
      <c r="C350" s="9"/>
      <c r="D350" s="128" t="str">
        <f>Asset24</f>
        <v>Equity raising costs</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row>
    <row r="351" spans="1:64" ht="4.5" customHeight="1" outlineLevel="1">
      <c r="A351" s="9"/>
      <c r="B351" s="9"/>
      <c r="C351" s="9"/>
      <c r="D351" s="128">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row>
    <row r="352" spans="1:64" ht="4.5" customHeight="1" outlineLevel="1">
      <c r="A352" s="9"/>
      <c r="B352" s="9"/>
      <c r="C352" s="9"/>
      <c r="D352" s="128">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row>
    <row r="353" spans="1:64" ht="4.5" customHeight="1" outlineLevel="1">
      <c r="A353" s="9"/>
      <c r="B353" s="9"/>
      <c r="C353" s="9"/>
      <c r="D353" s="128">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row>
    <row r="354" spans="1:64" ht="4.5" customHeight="1" outlineLevel="1">
      <c r="A354" s="9"/>
      <c r="B354" s="9"/>
      <c r="C354" s="9"/>
      <c r="D354" s="128">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row>
    <row r="355" spans="1:64" ht="4.5" customHeight="1" outlineLevel="1">
      <c r="A355" s="9"/>
      <c r="B355" s="9"/>
      <c r="C355" s="9"/>
      <c r="D355" s="128">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row>
    <row r="356" spans="1:64" outlineLevel="1">
      <c r="A356" s="9"/>
      <c r="B356" s="9"/>
      <c r="C356" s="9"/>
      <c r="D356" s="128">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row>
    <row r="357" spans="1:64">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row>
    <row r="358" spans="1:64">
      <c r="A358" s="72"/>
      <c r="B358" s="72"/>
      <c r="C358" s="79" t="s">
        <v>48</v>
      </c>
      <c r="D358" s="72"/>
      <c r="E358" s="72"/>
      <c r="F358" s="72"/>
      <c r="G358" s="72"/>
      <c r="H358" s="72"/>
      <c r="I358" s="72"/>
      <c r="J358" s="72"/>
      <c r="K358" s="72"/>
      <c r="L358" s="155">
        <f t="shared" ref="L358:Q358" si="20">SUM(L359:L388)</f>
        <v>2094.1229596124113</v>
      </c>
      <c r="M358" s="155">
        <f t="shared" si="20"/>
        <v>0</v>
      </c>
      <c r="N358" s="155">
        <f t="shared" si="20"/>
        <v>0</v>
      </c>
      <c r="O358" s="155">
        <f t="shared" si="20"/>
        <v>0</v>
      </c>
      <c r="P358" s="155">
        <f t="shared" si="20"/>
        <v>0</v>
      </c>
      <c r="Q358" s="155">
        <f t="shared" si="20"/>
        <v>0</v>
      </c>
      <c r="R358" s="155"/>
      <c r="S358" s="9"/>
      <c r="T358" s="9"/>
      <c r="U358" s="9"/>
      <c r="V358" s="9"/>
      <c r="W358" s="9"/>
      <c r="X358" s="9"/>
      <c r="Y358" s="9"/>
      <c r="Z358" s="9"/>
      <c r="AA358" s="9"/>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row>
    <row r="359" spans="1:64" ht="12.75" customHeight="1" outlineLevel="1">
      <c r="B359" s="9"/>
      <c r="C359" s="9"/>
      <c r="D359" s="128" t="str">
        <f>Asset1</f>
        <v>Transmission &amp; Zone land &amp; easements</v>
      </c>
      <c r="E359" s="9"/>
      <c r="F359" s="9"/>
      <c r="G359" s="9"/>
      <c r="H359" s="9"/>
      <c r="I359" s="9"/>
      <c r="J359" s="9"/>
      <c r="K359" s="9"/>
      <c r="L359" s="36">
        <f t="shared" ref="L359:Q359" si="21">IF(M$198=0, L199+L231+L263+L295+L327, 0)</f>
        <v>320.28764037228484</v>
      </c>
      <c r="M359" s="36">
        <f t="shared" si="21"/>
        <v>0</v>
      </c>
      <c r="N359" s="36">
        <f t="shared" si="21"/>
        <v>0</v>
      </c>
      <c r="O359" s="36">
        <f t="shared" si="21"/>
        <v>0</v>
      </c>
      <c r="P359" s="36">
        <f t="shared" si="21"/>
        <v>0</v>
      </c>
      <c r="Q359" s="36">
        <f t="shared" si="21"/>
        <v>0</v>
      </c>
      <c r="R359" s="9"/>
      <c r="S359" s="36"/>
      <c r="T359" s="36"/>
      <c r="U359" s="9"/>
      <c r="V359" s="9"/>
      <c r="W359" s="9"/>
      <c r="X359" s="9"/>
      <c r="Y359" s="9"/>
      <c r="Z359" s="9"/>
      <c r="AA359" s="9"/>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row>
    <row r="360" spans="1:64" ht="12.75" customHeight="1" outlineLevel="1">
      <c r="B360" s="9"/>
      <c r="C360" s="9"/>
      <c r="D360" s="128" t="str">
        <f>Asset2</f>
        <v>Transmission buildings 132/66kV</v>
      </c>
      <c r="E360" s="9"/>
      <c r="F360" s="9"/>
      <c r="G360" s="9"/>
      <c r="H360" s="9"/>
      <c r="I360" s="9"/>
      <c r="J360" s="9"/>
      <c r="K360" s="9"/>
      <c r="L360" s="36">
        <f t="shared" ref="L360:Q369" si="22">IF(M$198=0, L200+L232+L264+L296+L328, 0)</f>
        <v>59.702964363713669</v>
      </c>
      <c r="M360" s="36">
        <f t="shared" si="22"/>
        <v>0</v>
      </c>
      <c r="N360" s="36">
        <f t="shared" si="22"/>
        <v>0</v>
      </c>
      <c r="O360" s="36">
        <f t="shared" si="22"/>
        <v>0</v>
      </c>
      <c r="P360" s="36">
        <f t="shared" si="22"/>
        <v>0</v>
      </c>
      <c r="Q360" s="36">
        <f t="shared" si="22"/>
        <v>0</v>
      </c>
      <c r="R360" s="9"/>
      <c r="S360" s="36"/>
      <c r="T360" s="36"/>
      <c r="U360" s="9"/>
      <c r="V360" s="9"/>
      <c r="W360" s="9"/>
      <c r="X360" s="9"/>
      <c r="Y360" s="9"/>
      <c r="Z360" s="9"/>
      <c r="AA360" s="9"/>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row>
    <row r="361" spans="1:64" ht="12.75" customHeight="1" outlineLevel="1">
      <c r="B361" s="9"/>
      <c r="C361" s="9"/>
      <c r="D361" s="128" t="str">
        <f>Asset3</f>
        <v>Zone buildings 132/66kV</v>
      </c>
      <c r="E361" s="9"/>
      <c r="F361" s="9"/>
      <c r="G361" s="9"/>
      <c r="H361" s="9"/>
      <c r="I361" s="9"/>
      <c r="J361" s="9"/>
      <c r="K361" s="9"/>
      <c r="L361" s="36">
        <f t="shared" si="22"/>
        <v>133.15594976796001</v>
      </c>
      <c r="M361" s="36">
        <f t="shared" si="22"/>
        <v>0</v>
      </c>
      <c r="N361" s="36">
        <f t="shared" si="22"/>
        <v>0</v>
      </c>
      <c r="O361" s="36">
        <f t="shared" si="22"/>
        <v>0</v>
      </c>
      <c r="P361" s="36">
        <f t="shared" si="22"/>
        <v>0</v>
      </c>
      <c r="Q361" s="36">
        <f t="shared" si="22"/>
        <v>0</v>
      </c>
      <c r="R361" s="9"/>
      <c r="S361" s="36"/>
      <c r="T361" s="36"/>
      <c r="U361" s="9"/>
      <c r="V361" s="9"/>
      <c r="W361" s="9"/>
      <c r="X361" s="9"/>
      <c r="Y361" s="9"/>
      <c r="Z361" s="9"/>
      <c r="AA361" s="9"/>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row>
    <row r="362" spans="1:64" ht="12.75" customHeight="1" outlineLevel="1">
      <c r="B362" s="9"/>
      <c r="C362" s="9"/>
      <c r="D362" s="128" t="str">
        <f>Asset4</f>
        <v>Transmission transformers 132/66kV</v>
      </c>
      <c r="E362" s="9"/>
      <c r="F362" s="9"/>
      <c r="G362" s="9"/>
      <c r="H362" s="9"/>
      <c r="I362" s="9"/>
      <c r="J362" s="9"/>
      <c r="K362" s="9"/>
      <c r="L362" s="36">
        <f t="shared" si="22"/>
        <v>42.488446519120536</v>
      </c>
      <c r="M362" s="36">
        <f t="shared" si="22"/>
        <v>0</v>
      </c>
      <c r="N362" s="36">
        <f t="shared" si="22"/>
        <v>0</v>
      </c>
      <c r="O362" s="36">
        <f t="shared" si="22"/>
        <v>0</v>
      </c>
      <c r="P362" s="36">
        <f t="shared" si="22"/>
        <v>0</v>
      </c>
      <c r="Q362" s="36">
        <f t="shared" si="22"/>
        <v>0</v>
      </c>
      <c r="R362" s="9"/>
      <c r="S362" s="36"/>
      <c r="T362" s="36"/>
      <c r="U362" s="9"/>
      <c r="V362" s="9"/>
      <c r="W362" s="9"/>
      <c r="X362" s="9"/>
      <c r="Y362" s="9"/>
      <c r="Z362" s="9"/>
      <c r="AA362" s="9"/>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row>
    <row r="363" spans="1:64" ht="12.75" customHeight="1" outlineLevel="1">
      <c r="B363" s="9"/>
      <c r="C363" s="9"/>
      <c r="D363" s="128" t="str">
        <f>Asset5</f>
        <v>Zone transformers 132/66kV</v>
      </c>
      <c r="E363" s="9"/>
      <c r="F363" s="9"/>
      <c r="G363" s="9"/>
      <c r="H363" s="9"/>
      <c r="I363" s="9"/>
      <c r="J363" s="9"/>
      <c r="K363" s="9"/>
      <c r="L363" s="36">
        <f t="shared" si="22"/>
        <v>29.781753052920923</v>
      </c>
      <c r="M363" s="36">
        <f t="shared" si="22"/>
        <v>0</v>
      </c>
      <c r="N363" s="36">
        <f t="shared" si="22"/>
        <v>0</v>
      </c>
      <c r="O363" s="36">
        <f t="shared" si="22"/>
        <v>0</v>
      </c>
      <c r="P363" s="36">
        <f t="shared" si="22"/>
        <v>0</v>
      </c>
      <c r="Q363" s="36">
        <f t="shared" si="22"/>
        <v>0</v>
      </c>
      <c r="R363" s="9"/>
      <c r="S363" s="36"/>
      <c r="T363" s="36"/>
      <c r="U363" s="9"/>
      <c r="V363" s="9"/>
      <c r="W363" s="9"/>
      <c r="X363" s="9"/>
      <c r="Y363" s="9"/>
      <c r="Z363" s="9"/>
      <c r="AA363" s="9"/>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row>
    <row r="364" spans="1:64" ht="12.75" customHeight="1" outlineLevel="1">
      <c r="B364" s="9"/>
      <c r="C364" s="9"/>
      <c r="D364" s="128" t="str">
        <f>Asset6</f>
        <v>Transmission substation equip 132/66kV</v>
      </c>
      <c r="E364" s="9"/>
      <c r="F364" s="9"/>
      <c r="G364" s="9"/>
      <c r="H364" s="9"/>
      <c r="I364" s="9"/>
      <c r="J364" s="9"/>
      <c r="K364" s="9"/>
      <c r="L364" s="36">
        <f t="shared" si="22"/>
        <v>196.00062009500166</v>
      </c>
      <c r="M364" s="36">
        <f t="shared" si="22"/>
        <v>0</v>
      </c>
      <c r="N364" s="36">
        <f t="shared" si="22"/>
        <v>0</v>
      </c>
      <c r="O364" s="36">
        <f t="shared" si="22"/>
        <v>0</v>
      </c>
      <c r="P364" s="36">
        <f t="shared" si="22"/>
        <v>0</v>
      </c>
      <c r="Q364" s="36">
        <f t="shared" si="22"/>
        <v>0</v>
      </c>
      <c r="R364" s="9"/>
      <c r="S364" s="36"/>
      <c r="T364" s="36"/>
      <c r="U364" s="9"/>
      <c r="V364" s="9"/>
      <c r="W364" s="9"/>
      <c r="X364" s="9"/>
      <c r="Y364" s="9"/>
      <c r="Z364" s="9"/>
      <c r="AA364" s="9"/>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row>
    <row r="365" spans="1:64" ht="12.75" customHeight="1" outlineLevel="1">
      <c r="B365" s="9"/>
      <c r="C365" s="9"/>
      <c r="D365" s="128" t="str">
        <f>Asset7</f>
        <v>Zone substation equip 132/66kV</v>
      </c>
      <c r="E365" s="9"/>
      <c r="F365" s="9"/>
      <c r="G365" s="9"/>
      <c r="H365" s="9"/>
      <c r="I365" s="9"/>
      <c r="J365" s="9"/>
      <c r="K365" s="9"/>
      <c r="L365" s="36">
        <f t="shared" si="22"/>
        <v>380.33013938875627</v>
      </c>
      <c r="M365" s="36">
        <f t="shared" si="22"/>
        <v>0</v>
      </c>
      <c r="N365" s="36">
        <f t="shared" si="22"/>
        <v>0</v>
      </c>
      <c r="O365" s="36">
        <f t="shared" si="22"/>
        <v>0</v>
      </c>
      <c r="P365" s="36">
        <f t="shared" si="22"/>
        <v>0</v>
      </c>
      <c r="Q365" s="36">
        <f t="shared" si="22"/>
        <v>0</v>
      </c>
      <c r="R365" s="9"/>
      <c r="S365" s="36"/>
      <c r="T365" s="36"/>
      <c r="U365" s="9"/>
      <c r="V365" s="9"/>
      <c r="W365" s="9"/>
      <c r="X365" s="9"/>
      <c r="Y365" s="9"/>
      <c r="Z365" s="9"/>
      <c r="AA365" s="9"/>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row>
    <row r="366" spans="1:64" ht="12.75" customHeight="1" outlineLevel="1">
      <c r="B366" s="9"/>
      <c r="C366" s="9"/>
      <c r="D366" s="128" t="str">
        <f>Asset8</f>
        <v>Transmission &amp; Zone emergency spares</v>
      </c>
      <c r="E366" s="9"/>
      <c r="F366" s="9"/>
      <c r="G366" s="9"/>
      <c r="H366" s="9"/>
      <c r="I366" s="9"/>
      <c r="J366" s="9"/>
      <c r="K366" s="9"/>
      <c r="L366" s="36">
        <f t="shared" si="22"/>
        <v>2.1023449282485758</v>
      </c>
      <c r="M366" s="36">
        <f t="shared" si="22"/>
        <v>0</v>
      </c>
      <c r="N366" s="36">
        <f t="shared" si="22"/>
        <v>0</v>
      </c>
      <c r="O366" s="36">
        <f t="shared" si="22"/>
        <v>0</v>
      </c>
      <c r="P366" s="36">
        <f t="shared" si="22"/>
        <v>0</v>
      </c>
      <c r="Q366" s="36">
        <f t="shared" si="22"/>
        <v>0</v>
      </c>
      <c r="R366" s="9"/>
      <c r="S366" s="36"/>
      <c r="T366" s="36"/>
      <c r="U366" s="9"/>
      <c r="V366" s="9"/>
      <c r="W366" s="9"/>
      <c r="X366" s="9"/>
      <c r="Y366" s="9"/>
      <c r="Z366" s="9"/>
      <c r="AA366" s="9"/>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row>
    <row r="367" spans="1:64" ht="12.75" customHeight="1" outlineLevel="1">
      <c r="B367" s="9"/>
      <c r="C367" s="9"/>
      <c r="D367" s="128" t="str">
        <f>Asset9</f>
        <v>Ancillary substation equipment (tx)</v>
      </c>
      <c r="E367" s="9"/>
      <c r="F367" s="9"/>
      <c r="G367" s="9"/>
      <c r="H367" s="9"/>
      <c r="I367" s="9"/>
      <c r="J367" s="9"/>
      <c r="K367" s="9"/>
      <c r="L367" s="36">
        <f t="shared" si="22"/>
        <v>50.865293654881796</v>
      </c>
      <c r="M367" s="36">
        <f t="shared" si="22"/>
        <v>0</v>
      </c>
      <c r="N367" s="36">
        <f t="shared" si="22"/>
        <v>0</v>
      </c>
      <c r="O367" s="36">
        <f t="shared" si="22"/>
        <v>0</v>
      </c>
      <c r="P367" s="36">
        <f t="shared" si="22"/>
        <v>0</v>
      </c>
      <c r="Q367" s="36">
        <f t="shared" si="22"/>
        <v>0</v>
      </c>
      <c r="R367" s="9"/>
      <c r="S367" s="36"/>
      <c r="T367" s="36"/>
      <c r="U367" s="9"/>
      <c r="V367" s="9"/>
      <c r="W367" s="9"/>
      <c r="X367" s="9"/>
      <c r="Y367" s="9"/>
      <c r="Z367" s="9"/>
      <c r="AA367" s="9"/>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row>
    <row r="368" spans="1:64" ht="12.75" customHeight="1" outlineLevel="1">
      <c r="B368" s="9"/>
      <c r="C368" s="9"/>
      <c r="D368" s="128" t="str">
        <f>Asset10</f>
        <v>132kV tower lines</v>
      </c>
      <c r="E368" s="9"/>
      <c r="F368" s="9"/>
      <c r="G368" s="9"/>
      <c r="H368" s="9"/>
      <c r="I368" s="9"/>
      <c r="J368" s="9"/>
      <c r="K368" s="9"/>
      <c r="L368" s="36">
        <f t="shared" si="22"/>
        <v>35.677124437842032</v>
      </c>
      <c r="M368" s="36">
        <f t="shared" si="22"/>
        <v>0</v>
      </c>
      <c r="N368" s="36">
        <f t="shared" si="22"/>
        <v>0</v>
      </c>
      <c r="O368" s="36">
        <f t="shared" si="22"/>
        <v>0</v>
      </c>
      <c r="P368" s="36">
        <f t="shared" si="22"/>
        <v>0</v>
      </c>
      <c r="Q368" s="36">
        <f t="shared" si="22"/>
        <v>0</v>
      </c>
      <c r="R368" s="9"/>
      <c r="S368" s="36"/>
      <c r="T368" s="36"/>
      <c r="U368" s="9"/>
      <c r="V368" s="9"/>
      <c r="W368" s="9"/>
      <c r="X368" s="9"/>
      <c r="Y368" s="9"/>
      <c r="Z368" s="9"/>
      <c r="AA368" s="9"/>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row>
    <row r="369" spans="2:64" ht="12.75" customHeight="1" outlineLevel="1">
      <c r="B369" s="9"/>
      <c r="C369" s="9"/>
      <c r="D369" s="128" t="str">
        <f>Asset11</f>
        <v>132kV concrete &amp; steel pole lines</v>
      </c>
      <c r="E369" s="9"/>
      <c r="F369" s="9"/>
      <c r="G369" s="9"/>
      <c r="H369" s="9"/>
      <c r="I369" s="9"/>
      <c r="J369" s="9"/>
      <c r="K369" s="9"/>
      <c r="L369" s="36">
        <f t="shared" si="22"/>
        <v>33.797996694306057</v>
      </c>
      <c r="M369" s="36">
        <f t="shared" si="22"/>
        <v>0</v>
      </c>
      <c r="N369" s="36">
        <f t="shared" si="22"/>
        <v>0</v>
      </c>
      <c r="O369" s="36">
        <f t="shared" si="22"/>
        <v>0</v>
      </c>
      <c r="P369" s="36">
        <f t="shared" si="22"/>
        <v>0</v>
      </c>
      <c r="Q369" s="36">
        <f t="shared" si="22"/>
        <v>0</v>
      </c>
      <c r="R369" s="9"/>
      <c r="S369" s="36"/>
      <c r="T369" s="36"/>
      <c r="U369" s="9"/>
      <c r="V369" s="9"/>
      <c r="W369" s="9"/>
      <c r="X369" s="9"/>
      <c r="Y369" s="9"/>
      <c r="Z369" s="9"/>
      <c r="AA369" s="9"/>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row>
    <row r="370" spans="2:64" ht="12.75" customHeight="1" outlineLevel="1">
      <c r="B370" s="9"/>
      <c r="C370" s="9"/>
      <c r="D370" s="128" t="str">
        <f>Asset12</f>
        <v>132kV wood pole lines</v>
      </c>
      <c r="E370" s="9"/>
      <c r="F370" s="9"/>
      <c r="G370" s="9"/>
      <c r="H370" s="9"/>
      <c r="I370" s="9"/>
      <c r="J370" s="9"/>
      <c r="K370" s="9"/>
      <c r="L370" s="36">
        <f t="shared" ref="L370:Q379" si="23">IF(M$198=0, L210+L242+L274+L306+L338, 0)</f>
        <v>35.38225070064987</v>
      </c>
      <c r="M370" s="36">
        <f t="shared" si="23"/>
        <v>0</v>
      </c>
      <c r="N370" s="36">
        <f t="shared" si="23"/>
        <v>0</v>
      </c>
      <c r="O370" s="36">
        <f t="shared" si="23"/>
        <v>0</v>
      </c>
      <c r="P370" s="36">
        <f t="shared" si="23"/>
        <v>0</v>
      </c>
      <c r="Q370" s="36">
        <f t="shared" si="23"/>
        <v>0</v>
      </c>
      <c r="R370" s="9"/>
      <c r="S370" s="36"/>
      <c r="T370" s="36"/>
      <c r="U370" s="9"/>
      <c r="V370" s="9"/>
      <c r="W370" s="9"/>
      <c r="X370" s="9"/>
      <c r="Y370" s="9"/>
      <c r="Z370" s="9"/>
      <c r="AA370" s="9"/>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row>
    <row r="371" spans="2:64" ht="12.75" customHeight="1" outlineLevel="1">
      <c r="B371" s="9"/>
      <c r="C371" s="9"/>
      <c r="D371" s="128" t="str">
        <f>Asset13</f>
        <v>132kV feeders underground</v>
      </c>
      <c r="E371" s="9"/>
      <c r="F371" s="9"/>
      <c r="G371" s="9"/>
      <c r="H371" s="9"/>
      <c r="I371" s="9"/>
      <c r="J371" s="9"/>
      <c r="K371" s="9"/>
      <c r="L371" s="36">
        <f t="shared" si="23"/>
        <v>622.10072295882867</v>
      </c>
      <c r="M371" s="36">
        <f t="shared" si="23"/>
        <v>0</v>
      </c>
      <c r="N371" s="36">
        <f t="shared" si="23"/>
        <v>0</v>
      </c>
      <c r="O371" s="36">
        <f t="shared" si="23"/>
        <v>0</v>
      </c>
      <c r="P371" s="36">
        <f t="shared" si="23"/>
        <v>0</v>
      </c>
      <c r="Q371" s="36">
        <f t="shared" si="23"/>
        <v>0</v>
      </c>
      <c r="R371" s="9"/>
      <c r="S371" s="36"/>
      <c r="T371" s="36"/>
      <c r="U371" s="9"/>
      <c r="V371" s="9"/>
      <c r="W371" s="9"/>
      <c r="X371" s="9"/>
      <c r="Y371" s="9"/>
      <c r="Z371" s="9"/>
      <c r="AA371" s="9"/>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row>
    <row r="372" spans="2:64" ht="12.75" customHeight="1" outlineLevel="1">
      <c r="B372" s="9"/>
      <c r="C372" s="9"/>
      <c r="D372" s="128" t="str">
        <f>Asset14</f>
        <v>Cable tunnel (tx)</v>
      </c>
      <c r="E372" s="9"/>
      <c r="F372" s="9"/>
      <c r="G372" s="9"/>
      <c r="H372" s="9"/>
      <c r="I372" s="9"/>
      <c r="J372" s="9"/>
      <c r="K372" s="9"/>
      <c r="L372" s="36">
        <f t="shared" si="23"/>
        <v>12.189187353290192</v>
      </c>
      <c r="M372" s="36">
        <f t="shared" si="23"/>
        <v>0</v>
      </c>
      <c r="N372" s="36">
        <f t="shared" si="23"/>
        <v>0</v>
      </c>
      <c r="O372" s="36">
        <f t="shared" si="23"/>
        <v>0</v>
      </c>
      <c r="P372" s="36">
        <f t="shared" si="23"/>
        <v>0</v>
      </c>
      <c r="Q372" s="36">
        <f t="shared" si="23"/>
        <v>0</v>
      </c>
      <c r="R372" s="9"/>
      <c r="S372" s="36"/>
      <c r="T372" s="36"/>
      <c r="U372" s="9"/>
      <c r="V372" s="9"/>
      <c r="W372" s="9"/>
      <c r="X372" s="9"/>
      <c r="Y372" s="9"/>
      <c r="Z372" s="9"/>
      <c r="AA372" s="9"/>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row>
    <row r="373" spans="2:64" ht="12.75" customHeight="1" outlineLevel="1">
      <c r="B373" s="9"/>
      <c r="C373" s="9"/>
      <c r="D373" s="128" t="str">
        <f>Asset15</f>
        <v>Network control &amp; com systems</v>
      </c>
      <c r="E373" s="9"/>
      <c r="F373" s="9"/>
      <c r="G373" s="9"/>
      <c r="H373" s="9"/>
      <c r="I373" s="9"/>
      <c r="J373" s="9"/>
      <c r="K373" s="9"/>
      <c r="L373" s="36">
        <f t="shared" si="23"/>
        <v>20.344686706751677</v>
      </c>
      <c r="M373" s="36">
        <f t="shared" si="23"/>
        <v>0</v>
      </c>
      <c r="N373" s="36">
        <f t="shared" si="23"/>
        <v>0</v>
      </c>
      <c r="O373" s="36">
        <f t="shared" si="23"/>
        <v>0</v>
      </c>
      <c r="P373" s="36">
        <f t="shared" si="23"/>
        <v>0</v>
      </c>
      <c r="Q373" s="36">
        <f t="shared" si="23"/>
        <v>0</v>
      </c>
      <c r="R373" s="9"/>
      <c r="S373" s="36"/>
      <c r="T373" s="36"/>
      <c r="U373" s="9"/>
      <c r="V373" s="9"/>
      <c r="W373" s="9"/>
      <c r="X373" s="9"/>
      <c r="Y373" s="9"/>
      <c r="Z373" s="9"/>
      <c r="AA373" s="9"/>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row>
    <row r="374" spans="2:64" ht="12.75" customHeight="1" outlineLevel="1">
      <c r="B374" s="9"/>
      <c r="C374" s="9"/>
      <c r="D374" s="128" t="str">
        <f>Asset16</f>
        <v>Communications (digital) - tx</v>
      </c>
      <c r="E374" s="9"/>
      <c r="F374" s="9"/>
      <c r="G374" s="9"/>
      <c r="H374" s="9"/>
      <c r="I374" s="9"/>
      <c r="J374" s="9"/>
      <c r="K374" s="9"/>
      <c r="L374" s="36">
        <f t="shared" si="23"/>
        <v>0.98826139978489147</v>
      </c>
      <c r="M374" s="36">
        <f t="shared" si="23"/>
        <v>0</v>
      </c>
      <c r="N374" s="36">
        <f t="shared" si="23"/>
        <v>0</v>
      </c>
      <c r="O374" s="36">
        <f t="shared" si="23"/>
        <v>0</v>
      </c>
      <c r="P374" s="36">
        <f t="shared" si="23"/>
        <v>0</v>
      </c>
      <c r="Q374" s="36">
        <f t="shared" si="23"/>
        <v>0</v>
      </c>
      <c r="R374" s="9"/>
      <c r="S374" s="36"/>
      <c r="T374" s="36"/>
      <c r="U374" s="9"/>
      <c r="V374" s="9"/>
      <c r="W374" s="9"/>
      <c r="X374" s="9"/>
      <c r="Y374" s="9"/>
      <c r="Z374" s="9"/>
      <c r="AA374" s="9"/>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row>
    <row r="375" spans="2:64" ht="12.75" customHeight="1" outlineLevel="1">
      <c r="B375" s="9"/>
      <c r="C375" s="9"/>
      <c r="D375" s="128" t="str">
        <f>Asset17</f>
        <v>System IT (tx)</v>
      </c>
      <c r="E375" s="9"/>
      <c r="F375" s="9"/>
      <c r="G375" s="9"/>
      <c r="H375" s="9"/>
      <c r="I375" s="9"/>
      <c r="J375" s="9"/>
      <c r="K375" s="9"/>
      <c r="L375" s="36">
        <f t="shared" si="23"/>
        <v>22.837465706675264</v>
      </c>
      <c r="M375" s="36">
        <f t="shared" si="23"/>
        <v>0</v>
      </c>
      <c r="N375" s="36">
        <f t="shared" si="23"/>
        <v>0</v>
      </c>
      <c r="O375" s="36">
        <f t="shared" si="23"/>
        <v>0</v>
      </c>
      <c r="P375" s="36">
        <f t="shared" si="23"/>
        <v>0</v>
      </c>
      <c r="Q375" s="36">
        <f t="shared" si="23"/>
        <v>0</v>
      </c>
      <c r="R375" s="9"/>
      <c r="S375" s="36"/>
      <c r="T375" s="36"/>
      <c r="U375" s="9"/>
      <c r="V375" s="9"/>
      <c r="W375" s="9"/>
      <c r="X375" s="9"/>
      <c r="Y375" s="9"/>
      <c r="Z375" s="9"/>
      <c r="AA375" s="9"/>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row>
    <row r="376" spans="2:64" ht="12.75" customHeight="1" outlineLevel="1">
      <c r="B376" s="9"/>
      <c r="C376" s="9"/>
      <c r="D376" s="128" t="str">
        <f>Asset18</f>
        <v>IT systems</v>
      </c>
      <c r="E376" s="9"/>
      <c r="F376" s="9"/>
      <c r="G376" s="9"/>
      <c r="H376" s="9"/>
      <c r="I376" s="9"/>
      <c r="J376" s="9"/>
      <c r="K376" s="9"/>
      <c r="L376" s="36">
        <f t="shared" si="23"/>
        <v>25.142350722695941</v>
      </c>
      <c r="M376" s="36">
        <f t="shared" si="23"/>
        <v>0</v>
      </c>
      <c r="N376" s="36">
        <f t="shared" si="23"/>
        <v>0</v>
      </c>
      <c r="O376" s="36">
        <f t="shared" si="23"/>
        <v>0</v>
      </c>
      <c r="P376" s="36">
        <f t="shared" si="23"/>
        <v>0</v>
      </c>
      <c r="Q376" s="36">
        <f t="shared" si="23"/>
        <v>0</v>
      </c>
      <c r="R376" s="9"/>
      <c r="S376" s="36"/>
      <c r="T376" s="36"/>
      <c r="U376" s="9"/>
      <c r="V376" s="9"/>
      <c r="W376" s="9"/>
      <c r="X376" s="9"/>
      <c r="Y376" s="9"/>
      <c r="Z376" s="9"/>
      <c r="AA376" s="9"/>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row>
    <row r="377" spans="2:64" ht="12.75" customHeight="1" outlineLevel="1">
      <c r="B377" s="9"/>
      <c r="C377" s="9"/>
      <c r="D377" s="128" t="str">
        <f>Asset19</f>
        <v>Furniture, fittings, plant and equipment</v>
      </c>
      <c r="E377" s="9"/>
      <c r="F377" s="9"/>
      <c r="G377" s="9"/>
      <c r="H377" s="9"/>
      <c r="I377" s="9"/>
      <c r="J377" s="9"/>
      <c r="K377" s="9"/>
      <c r="L377" s="36">
        <f t="shared" si="23"/>
        <v>5.9065031188216439</v>
      </c>
      <c r="M377" s="36">
        <f t="shared" si="23"/>
        <v>0</v>
      </c>
      <c r="N377" s="36">
        <f t="shared" si="23"/>
        <v>0</v>
      </c>
      <c r="O377" s="36">
        <f t="shared" si="23"/>
        <v>0</v>
      </c>
      <c r="P377" s="36">
        <f t="shared" si="23"/>
        <v>0</v>
      </c>
      <c r="Q377" s="36">
        <f t="shared" si="23"/>
        <v>0</v>
      </c>
      <c r="R377" s="9"/>
      <c r="S377" s="36"/>
      <c r="T377" s="36"/>
      <c r="U377" s="9"/>
      <c r="V377" s="9"/>
      <c r="W377" s="9"/>
      <c r="X377" s="9"/>
      <c r="Y377" s="9"/>
      <c r="Z377" s="9"/>
      <c r="AA377" s="9"/>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row>
    <row r="378" spans="2:64" ht="12.75" customHeight="1" outlineLevel="1">
      <c r="B378" s="9"/>
      <c r="C378" s="9"/>
      <c r="D378" s="128" t="str">
        <f>Asset20</f>
        <v>Motor vehicles</v>
      </c>
      <c r="E378" s="9"/>
      <c r="F378" s="9"/>
      <c r="G378" s="9"/>
      <c r="H378" s="9"/>
      <c r="I378" s="9"/>
      <c r="J378" s="9"/>
      <c r="K378" s="9"/>
      <c r="L378" s="36">
        <f t="shared" si="23"/>
        <v>16.187140916114405</v>
      </c>
      <c r="M378" s="36">
        <f t="shared" si="23"/>
        <v>0</v>
      </c>
      <c r="N378" s="36">
        <f t="shared" si="23"/>
        <v>0</v>
      </c>
      <c r="O378" s="36">
        <f t="shared" si="23"/>
        <v>0</v>
      </c>
      <c r="P378" s="36">
        <f t="shared" si="23"/>
        <v>0</v>
      </c>
      <c r="Q378" s="36">
        <f t="shared" si="23"/>
        <v>0</v>
      </c>
      <c r="R378" s="9"/>
      <c r="S378" s="36"/>
      <c r="T378" s="36"/>
      <c r="U378" s="9"/>
      <c r="V378" s="9"/>
      <c r="W378" s="9"/>
      <c r="X378" s="9"/>
      <c r="Y378" s="9"/>
      <c r="Z378" s="9"/>
      <c r="AA378" s="9"/>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row>
    <row r="379" spans="2:64" ht="12.75" customHeight="1" outlineLevel="1">
      <c r="B379" s="9"/>
      <c r="C379" s="9"/>
      <c r="D379" s="128" t="str">
        <f>Asset21</f>
        <v>Buildings</v>
      </c>
      <c r="E379" s="9"/>
      <c r="F379" s="9"/>
      <c r="G379" s="9"/>
      <c r="H379" s="9"/>
      <c r="I379" s="9"/>
      <c r="J379" s="9"/>
      <c r="K379" s="9"/>
      <c r="L379" s="36">
        <f t="shared" si="23"/>
        <v>36.497835049213762</v>
      </c>
      <c r="M379" s="36">
        <f t="shared" si="23"/>
        <v>0</v>
      </c>
      <c r="N379" s="36">
        <f t="shared" si="23"/>
        <v>0</v>
      </c>
      <c r="O379" s="36">
        <f t="shared" si="23"/>
        <v>0</v>
      </c>
      <c r="P379" s="36">
        <f t="shared" si="23"/>
        <v>0</v>
      </c>
      <c r="Q379" s="36">
        <f t="shared" si="23"/>
        <v>0</v>
      </c>
      <c r="R379" s="9"/>
      <c r="S379" s="9"/>
      <c r="T379" s="9"/>
      <c r="U379" s="9"/>
      <c r="V379" s="9"/>
      <c r="W379" s="9"/>
      <c r="X379" s="9"/>
      <c r="Y379" s="9"/>
      <c r="Z379" s="9"/>
      <c r="AA379" s="9"/>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row>
    <row r="380" spans="2:64" ht="12.75" customHeight="1" outlineLevel="1">
      <c r="B380" s="9"/>
      <c r="C380" s="9"/>
      <c r="D380" s="128" t="str">
        <f>Asset22</f>
        <v>Land (non-system)</v>
      </c>
      <c r="E380" s="9"/>
      <c r="F380" s="9"/>
      <c r="G380" s="9"/>
      <c r="H380" s="9"/>
      <c r="I380" s="9"/>
      <c r="J380" s="9"/>
      <c r="K380" s="9"/>
      <c r="L380" s="36">
        <f t="shared" ref="L380:Q386" si="24">IF(M$198=0, L220+L252+L284+L316+L348, 0)</f>
        <v>3.5488475320238702</v>
      </c>
      <c r="M380" s="36">
        <f t="shared" si="24"/>
        <v>0</v>
      </c>
      <c r="N380" s="36">
        <f t="shared" si="24"/>
        <v>0</v>
      </c>
      <c r="O380" s="36">
        <f t="shared" si="24"/>
        <v>0</v>
      </c>
      <c r="P380" s="36">
        <f t="shared" si="24"/>
        <v>0</v>
      </c>
      <c r="Q380" s="36">
        <f t="shared" si="24"/>
        <v>0</v>
      </c>
      <c r="R380" s="9"/>
      <c r="S380" s="9"/>
      <c r="T380" s="9"/>
      <c r="U380" s="9"/>
      <c r="V380" s="9"/>
      <c r="W380" s="9"/>
      <c r="X380" s="9"/>
      <c r="Y380" s="9"/>
      <c r="Z380" s="9"/>
      <c r="AA380" s="9"/>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row>
    <row r="381" spans="2:64" ht="12.75" customHeight="1" outlineLevel="1">
      <c r="B381" s="9"/>
      <c r="C381" s="9"/>
      <c r="D381" s="128" t="str">
        <f>Asset23</f>
        <v>Other non system assets</v>
      </c>
      <c r="E381" s="9"/>
      <c r="F381" s="9"/>
      <c r="G381" s="9"/>
      <c r="H381" s="9"/>
      <c r="I381" s="9"/>
      <c r="J381" s="9"/>
      <c r="K381" s="9"/>
      <c r="L381" s="36">
        <f t="shared" si="24"/>
        <v>2.168731611080609</v>
      </c>
      <c r="M381" s="36">
        <f t="shared" si="24"/>
        <v>0</v>
      </c>
      <c r="N381" s="36">
        <f t="shared" si="24"/>
        <v>0</v>
      </c>
      <c r="O381" s="36">
        <f t="shared" si="24"/>
        <v>0</v>
      </c>
      <c r="P381" s="36">
        <f t="shared" si="24"/>
        <v>0</v>
      </c>
      <c r="Q381" s="36">
        <f t="shared" si="24"/>
        <v>0</v>
      </c>
      <c r="R381" s="9"/>
      <c r="S381" s="9"/>
      <c r="T381" s="9"/>
      <c r="U381" s="9"/>
      <c r="V381" s="9"/>
      <c r="W381" s="9"/>
      <c r="X381" s="9"/>
      <c r="Y381" s="9"/>
      <c r="Z381" s="9"/>
      <c r="AA381" s="9"/>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row>
    <row r="382" spans="2:64" ht="12.75" customHeight="1" outlineLevel="1">
      <c r="B382" s="9"/>
      <c r="C382" s="9"/>
      <c r="D382" s="128" t="str">
        <f>Asset24</f>
        <v>Equity raising costs</v>
      </c>
      <c r="E382" s="9"/>
      <c r="F382" s="9"/>
      <c r="G382" s="9"/>
      <c r="H382" s="9"/>
      <c r="I382" s="9"/>
      <c r="J382" s="9"/>
      <c r="K382" s="9"/>
      <c r="L382" s="36">
        <f t="shared" si="24"/>
        <v>6.6387025614444912</v>
      </c>
      <c r="M382" s="36">
        <f t="shared" si="24"/>
        <v>0</v>
      </c>
      <c r="N382" s="36">
        <f t="shared" si="24"/>
        <v>0</v>
      </c>
      <c r="O382" s="36">
        <f t="shared" si="24"/>
        <v>0</v>
      </c>
      <c r="P382" s="36">
        <f t="shared" si="24"/>
        <v>0</v>
      </c>
      <c r="Q382" s="36">
        <f t="shared" si="24"/>
        <v>0</v>
      </c>
      <c r="R382" s="9"/>
      <c r="S382" s="9"/>
      <c r="T382" s="9"/>
      <c r="U382" s="9"/>
      <c r="V382" s="9"/>
      <c r="W382" s="9"/>
      <c r="X382" s="9"/>
      <c r="Y382" s="9"/>
      <c r="Z382" s="9"/>
      <c r="AA382" s="9"/>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row>
    <row r="383" spans="2:64" ht="12.75" customHeight="1" outlineLevel="1">
      <c r="B383" s="9"/>
      <c r="C383" s="9"/>
      <c r="D383" s="128">
        <f>Asset25</f>
        <v>0</v>
      </c>
      <c r="E383" s="9"/>
      <c r="F383" s="9"/>
      <c r="G383" s="9"/>
      <c r="H383" s="9"/>
      <c r="I383" s="9"/>
      <c r="J383" s="9"/>
      <c r="K383" s="9"/>
      <c r="L383" s="36">
        <f t="shared" si="24"/>
        <v>0</v>
      </c>
      <c r="M383" s="36">
        <f t="shared" si="24"/>
        <v>0</v>
      </c>
      <c r="N383" s="36">
        <f t="shared" si="24"/>
        <v>0</v>
      </c>
      <c r="O383" s="36">
        <f t="shared" si="24"/>
        <v>0</v>
      </c>
      <c r="P383" s="36">
        <f t="shared" si="24"/>
        <v>0</v>
      </c>
      <c r="Q383" s="36">
        <f t="shared" si="24"/>
        <v>0</v>
      </c>
      <c r="R383" s="9"/>
      <c r="S383" s="9"/>
      <c r="T383" s="9"/>
      <c r="U383" s="9"/>
      <c r="V383" s="9"/>
      <c r="W383" s="9"/>
      <c r="X383" s="9"/>
      <c r="Y383" s="9"/>
      <c r="Z383" s="9"/>
      <c r="AA383" s="9"/>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row>
    <row r="384" spans="2:64" ht="12.75" customHeight="1" outlineLevel="1">
      <c r="B384" s="9"/>
      <c r="C384" s="9"/>
      <c r="D384" s="128">
        <f>Asset26</f>
        <v>0</v>
      </c>
      <c r="E384" s="9"/>
      <c r="F384" s="9"/>
      <c r="G384" s="9"/>
      <c r="H384" s="9"/>
      <c r="I384" s="9"/>
      <c r="J384" s="9"/>
      <c r="K384" s="9"/>
      <c r="L384" s="36">
        <f t="shared" si="24"/>
        <v>0</v>
      </c>
      <c r="M384" s="36">
        <f t="shared" si="24"/>
        <v>0</v>
      </c>
      <c r="N384" s="36">
        <f t="shared" si="24"/>
        <v>0</v>
      </c>
      <c r="O384" s="36">
        <f t="shared" si="24"/>
        <v>0</v>
      </c>
      <c r="P384" s="36">
        <f t="shared" si="24"/>
        <v>0</v>
      </c>
      <c r="Q384" s="36">
        <f t="shared" si="24"/>
        <v>0</v>
      </c>
      <c r="R384" s="9"/>
      <c r="S384" s="9"/>
      <c r="T384" s="9"/>
      <c r="U384" s="9"/>
      <c r="V384" s="9"/>
      <c r="W384" s="9"/>
      <c r="X384" s="9"/>
      <c r="Y384" s="9"/>
      <c r="Z384" s="9"/>
      <c r="AA384" s="9"/>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row>
    <row r="385" spans="1:64" ht="12.75" customHeight="1" outlineLevel="1">
      <c r="B385" s="9"/>
      <c r="C385" s="9"/>
      <c r="D385" s="128">
        <f>Asset27</f>
        <v>0</v>
      </c>
      <c r="E385" s="9"/>
      <c r="F385" s="9"/>
      <c r="G385" s="9"/>
      <c r="H385" s="9"/>
      <c r="I385" s="9"/>
      <c r="J385" s="9"/>
      <c r="K385" s="9"/>
      <c r="L385" s="36">
        <f t="shared" si="24"/>
        <v>0</v>
      </c>
      <c r="M385" s="36">
        <f t="shared" si="24"/>
        <v>0</v>
      </c>
      <c r="N385" s="36">
        <f t="shared" si="24"/>
        <v>0</v>
      </c>
      <c r="O385" s="36">
        <f t="shared" si="24"/>
        <v>0</v>
      </c>
      <c r="P385" s="36">
        <f t="shared" si="24"/>
        <v>0</v>
      </c>
      <c r="Q385" s="36">
        <f t="shared" si="24"/>
        <v>0</v>
      </c>
      <c r="R385" s="9"/>
      <c r="S385" s="9"/>
      <c r="T385" s="9"/>
      <c r="U385" s="9"/>
      <c r="V385" s="9"/>
      <c r="W385" s="9"/>
      <c r="X385" s="9"/>
      <c r="Y385" s="9"/>
      <c r="Z385" s="9"/>
      <c r="AA385" s="9"/>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row>
    <row r="386" spans="1:64" ht="12.75" customHeight="1" outlineLevel="1">
      <c r="B386" s="9"/>
      <c r="C386" s="9"/>
      <c r="D386" s="128">
        <f>Asset28</f>
        <v>0</v>
      </c>
      <c r="E386" s="9"/>
      <c r="F386" s="9"/>
      <c r="G386" s="9"/>
      <c r="H386" s="9"/>
      <c r="I386" s="9"/>
      <c r="J386" s="9"/>
      <c r="K386" s="9"/>
      <c r="L386" s="36">
        <f t="shared" si="24"/>
        <v>0</v>
      </c>
      <c r="M386" s="36">
        <f t="shared" si="24"/>
        <v>0</v>
      </c>
      <c r="N386" s="36">
        <f t="shared" si="24"/>
        <v>0</v>
      </c>
      <c r="O386" s="36">
        <f t="shared" si="24"/>
        <v>0</v>
      </c>
      <c r="P386" s="36">
        <f t="shared" si="24"/>
        <v>0</v>
      </c>
      <c r="Q386" s="36">
        <f t="shared" si="24"/>
        <v>0</v>
      </c>
      <c r="R386" s="9"/>
      <c r="S386" s="9"/>
      <c r="T386" s="9"/>
      <c r="U386" s="9"/>
      <c r="V386" s="9"/>
      <c r="W386" s="9"/>
      <c r="X386" s="9"/>
      <c r="Y386" s="9"/>
      <c r="Z386" s="9"/>
      <c r="AA386" s="9"/>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row>
    <row r="387" spans="1:64" ht="12.75" customHeight="1" outlineLevel="1">
      <c r="B387" s="9"/>
      <c r="C387" s="9"/>
      <c r="D387" s="128">
        <f>Asset29</f>
        <v>0</v>
      </c>
      <c r="E387" s="9"/>
      <c r="F387" s="9"/>
      <c r="G387" s="9"/>
      <c r="H387" s="9"/>
      <c r="I387" s="9"/>
      <c r="J387" s="9"/>
      <c r="K387" s="9"/>
      <c r="L387" s="36">
        <f t="shared" ref="L387:Q387" si="25">IF(M$198=0, L227+L259+L291+L323+L355, 0)</f>
        <v>0</v>
      </c>
      <c r="M387" s="36">
        <f t="shared" si="25"/>
        <v>0</v>
      </c>
      <c r="N387" s="36">
        <f t="shared" si="25"/>
        <v>0</v>
      </c>
      <c r="O387" s="36">
        <f t="shared" si="25"/>
        <v>0</v>
      </c>
      <c r="P387" s="36">
        <f t="shared" si="25"/>
        <v>0</v>
      </c>
      <c r="Q387" s="36">
        <f t="shared" si="25"/>
        <v>0</v>
      </c>
      <c r="R387" s="9"/>
      <c r="S387" s="9"/>
      <c r="T387" s="9"/>
      <c r="U387" s="9"/>
      <c r="V387" s="9"/>
      <c r="W387" s="9"/>
      <c r="X387" s="9"/>
      <c r="Y387" s="9"/>
      <c r="Z387" s="9"/>
      <c r="AA387" s="9"/>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row>
    <row r="388" spans="1:64" ht="12.75" customHeight="1" outlineLevel="1">
      <c r="B388" s="9"/>
      <c r="C388" s="9"/>
      <c r="D388" s="128">
        <f>Asset30</f>
        <v>0</v>
      </c>
      <c r="E388" s="9"/>
      <c r="F388" s="9"/>
      <c r="G388" s="9"/>
      <c r="H388" s="9"/>
      <c r="I388" s="9"/>
      <c r="J388" s="9"/>
      <c r="K388" s="9"/>
      <c r="L388" s="36">
        <f t="shared" ref="L388:Q388" si="26">IF(M$198=0, L228+L260+L292+L324+L356, 0)</f>
        <v>0</v>
      </c>
      <c r="M388" s="36">
        <f t="shared" si="26"/>
        <v>0</v>
      </c>
      <c r="N388" s="36">
        <f t="shared" si="26"/>
        <v>0</v>
      </c>
      <c r="O388" s="36">
        <f t="shared" si="26"/>
        <v>0</v>
      </c>
      <c r="P388" s="36">
        <f t="shared" si="26"/>
        <v>0</v>
      </c>
      <c r="Q388" s="36">
        <f t="shared" si="26"/>
        <v>0</v>
      </c>
      <c r="R388" s="9"/>
      <c r="S388" s="9"/>
      <c r="T388" s="9"/>
      <c r="U388" s="9"/>
      <c r="V388" s="9"/>
      <c r="W388" s="9"/>
      <c r="X388" s="9"/>
      <c r="Y388" s="9"/>
      <c r="Z388" s="9"/>
      <c r="AA388" s="9"/>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row>
    <row r="389" spans="1:64">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row>
    <row r="391" spans="1:64">
      <c r="A391" s="347"/>
      <c r="B391" s="347"/>
      <c r="C391" s="348" t="s">
        <v>164</v>
      </c>
      <c r="D391" s="347"/>
      <c r="E391" s="347"/>
      <c r="F391" s="347"/>
      <c r="G391" s="347"/>
      <c r="H391" s="347"/>
      <c r="I391" s="347"/>
      <c r="J391" s="347"/>
      <c r="K391" s="347"/>
      <c r="L391" s="349">
        <f>SUM(L392:L415)</f>
        <v>57.65889323929639</v>
      </c>
      <c r="M391" s="9"/>
      <c r="N391" s="9"/>
      <c r="O391" s="9"/>
      <c r="P391" s="9"/>
      <c r="Q391" s="9"/>
      <c r="R391" s="9"/>
      <c r="S391" s="9"/>
      <c r="T391" s="9"/>
      <c r="U391" s="9"/>
      <c r="V391" s="9"/>
      <c r="W391" s="9"/>
      <c r="X391" s="9"/>
      <c r="Y391" s="9"/>
      <c r="Z391" s="9"/>
      <c r="AA391" s="9"/>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row>
    <row r="392" spans="1:64">
      <c r="A392" s="9"/>
      <c r="B392" s="342"/>
      <c r="C392" s="342"/>
      <c r="D392" s="343" t="str">
        <f>Asset1</f>
        <v>Transmission &amp; Zone land &amp; easements</v>
      </c>
      <c r="E392" s="342"/>
      <c r="F392" s="342"/>
      <c r="G392" s="342"/>
      <c r="H392" s="342"/>
      <c r="I392" s="342"/>
      <c r="J392" s="342"/>
      <c r="K392" s="342"/>
      <c r="L392" s="344">
        <v>0</v>
      </c>
      <c r="M392" s="9"/>
      <c r="N392" s="9"/>
      <c r="O392" s="9"/>
      <c r="P392" s="9"/>
      <c r="Q392" s="9"/>
      <c r="R392" s="9"/>
      <c r="S392" s="9"/>
      <c r="T392" s="9"/>
      <c r="U392" s="9"/>
      <c r="V392" s="9"/>
      <c r="W392" s="9"/>
      <c r="X392" s="9"/>
      <c r="Y392" s="9"/>
      <c r="Z392" s="9"/>
      <c r="AA392" s="9"/>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row>
    <row r="393" spans="1:64">
      <c r="A393" s="9"/>
      <c r="B393" s="342"/>
      <c r="C393" s="342"/>
      <c r="D393" s="343" t="str">
        <f>Asset2</f>
        <v>Transmission buildings 132/66kV</v>
      </c>
      <c r="E393" s="342"/>
      <c r="F393" s="342"/>
      <c r="G393" s="342"/>
      <c r="H393" s="342"/>
      <c r="I393" s="342"/>
      <c r="J393" s="342"/>
      <c r="K393" s="342"/>
      <c r="L393" s="344">
        <v>0</v>
      </c>
      <c r="M393" s="9"/>
      <c r="N393" s="9"/>
      <c r="O393" s="9"/>
      <c r="P393" s="9"/>
      <c r="Q393" s="9"/>
      <c r="R393" s="9"/>
      <c r="S393" s="9"/>
      <c r="T393" s="9"/>
      <c r="U393" s="9"/>
      <c r="V393" s="9"/>
      <c r="W393" s="9"/>
      <c r="X393" s="9"/>
      <c r="Y393" s="9"/>
      <c r="Z393" s="9"/>
      <c r="AA393" s="9"/>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row>
    <row r="394" spans="1:64">
      <c r="A394" s="9"/>
      <c r="B394" s="342"/>
      <c r="C394" s="342"/>
      <c r="D394" s="343" t="str">
        <f>Asset3</f>
        <v>Zone buildings 132/66kV</v>
      </c>
      <c r="E394" s="342"/>
      <c r="F394" s="342"/>
      <c r="G394" s="342"/>
      <c r="H394" s="342"/>
      <c r="I394" s="342"/>
      <c r="J394" s="342"/>
      <c r="K394" s="342"/>
      <c r="L394" s="344">
        <v>0</v>
      </c>
      <c r="M394" s="9"/>
      <c r="N394" s="9"/>
      <c r="O394" s="9"/>
      <c r="P394" s="9"/>
      <c r="Q394" s="9"/>
      <c r="R394" s="9"/>
      <c r="S394" s="9"/>
      <c r="T394" s="9"/>
      <c r="U394" s="9"/>
      <c r="V394" s="9"/>
      <c r="W394" s="9"/>
      <c r="X394" s="9"/>
      <c r="Y394" s="9"/>
      <c r="Z394" s="9"/>
      <c r="AA394" s="9"/>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row>
    <row r="395" spans="1:64">
      <c r="A395" s="9"/>
      <c r="B395" s="342"/>
      <c r="C395" s="342"/>
      <c r="D395" s="343" t="str">
        <f>Asset4</f>
        <v>Transmission transformers 132/66kV</v>
      </c>
      <c r="E395" s="342"/>
      <c r="F395" s="342"/>
      <c r="G395" s="342"/>
      <c r="H395" s="342"/>
      <c r="I395" s="342"/>
      <c r="J395" s="342"/>
      <c r="K395" s="342"/>
      <c r="L395" s="344">
        <v>0</v>
      </c>
      <c r="M395" s="9"/>
      <c r="N395" s="9"/>
      <c r="O395" s="9"/>
      <c r="P395" s="9"/>
      <c r="Q395" s="9"/>
      <c r="R395" s="9"/>
      <c r="S395" s="9"/>
      <c r="T395" s="9"/>
      <c r="U395" s="9"/>
      <c r="V395" s="9"/>
      <c r="W395" s="9"/>
      <c r="X395" s="9"/>
      <c r="Y395" s="9"/>
      <c r="Z395" s="9"/>
      <c r="AA395" s="9"/>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row>
    <row r="396" spans="1:64">
      <c r="A396" s="9"/>
      <c r="B396" s="342"/>
      <c r="C396" s="342"/>
      <c r="D396" s="343" t="str">
        <f>Asset5</f>
        <v>Zone transformers 132/66kV</v>
      </c>
      <c r="E396" s="342"/>
      <c r="F396" s="342"/>
      <c r="G396" s="342"/>
      <c r="H396" s="342"/>
      <c r="I396" s="342"/>
      <c r="J396" s="342"/>
      <c r="K396" s="342"/>
      <c r="L396" s="344">
        <v>0</v>
      </c>
      <c r="M396" s="9"/>
      <c r="N396" s="9"/>
      <c r="O396" s="9"/>
      <c r="P396" s="9"/>
      <c r="Q396" s="9"/>
      <c r="R396" s="9"/>
      <c r="S396" s="9"/>
      <c r="T396" s="9"/>
      <c r="U396" s="9"/>
      <c r="V396" s="9"/>
      <c r="W396" s="9"/>
      <c r="X396" s="9"/>
      <c r="Y396" s="9"/>
      <c r="Z396" s="9"/>
      <c r="AA396" s="9"/>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row>
    <row r="397" spans="1:64">
      <c r="A397" s="9"/>
      <c r="B397" s="342"/>
      <c r="C397" s="342"/>
      <c r="D397" s="343" t="str">
        <f>Asset6</f>
        <v>Transmission substation equip 132/66kV</v>
      </c>
      <c r="E397" s="342"/>
      <c r="F397" s="342"/>
      <c r="G397" s="342"/>
      <c r="H397" s="342"/>
      <c r="I397" s="342"/>
      <c r="J397" s="342"/>
      <c r="K397" s="342"/>
      <c r="L397" s="344">
        <v>0</v>
      </c>
      <c r="M397" s="9"/>
      <c r="N397" s="9"/>
      <c r="O397" s="9"/>
      <c r="P397" s="9"/>
      <c r="Q397" s="9"/>
      <c r="R397" s="9"/>
      <c r="S397" s="9"/>
      <c r="T397" s="9"/>
      <c r="U397" s="9"/>
      <c r="V397" s="9"/>
      <c r="W397" s="9"/>
      <c r="X397" s="9"/>
      <c r="Y397" s="9"/>
      <c r="Z397" s="9"/>
      <c r="AA397" s="9"/>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row>
    <row r="398" spans="1:64">
      <c r="A398" s="9"/>
      <c r="B398" s="342"/>
      <c r="C398" s="342"/>
      <c r="D398" s="343" t="str">
        <f>Asset7</f>
        <v>Zone substation equip 132/66kV</v>
      </c>
      <c r="E398" s="342"/>
      <c r="F398" s="342"/>
      <c r="G398" s="342"/>
      <c r="H398" s="342"/>
      <c r="I398" s="342"/>
      <c r="J398" s="342"/>
      <c r="K398" s="342"/>
      <c r="L398" s="344">
        <v>0</v>
      </c>
      <c r="M398" s="9"/>
      <c r="N398" s="9"/>
      <c r="O398" s="9"/>
      <c r="P398" s="9"/>
      <c r="Q398" s="9"/>
      <c r="R398" s="9"/>
      <c r="S398" s="9"/>
      <c r="T398" s="9"/>
      <c r="U398" s="9"/>
      <c r="V398" s="9"/>
      <c r="W398" s="9"/>
      <c r="X398" s="9"/>
      <c r="Y398" s="9"/>
      <c r="Z398" s="9"/>
      <c r="AA398" s="9"/>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row>
    <row r="399" spans="1:64">
      <c r="A399" s="9"/>
      <c r="B399" s="342"/>
      <c r="C399" s="342"/>
      <c r="D399" s="343" t="str">
        <f>Asset8</f>
        <v>Transmission &amp; Zone emergency spares</v>
      </c>
      <c r="E399" s="342"/>
      <c r="F399" s="342"/>
      <c r="G399" s="342"/>
      <c r="H399" s="342"/>
      <c r="I399" s="342"/>
      <c r="J399" s="342"/>
      <c r="K399" s="342"/>
      <c r="L399" s="344">
        <v>0</v>
      </c>
      <c r="M399" s="9"/>
      <c r="N399" s="9"/>
      <c r="O399" s="9"/>
      <c r="P399" s="9"/>
      <c r="Q399" s="9"/>
      <c r="R399" s="9"/>
      <c r="S399" s="9"/>
      <c r="T399" s="9"/>
      <c r="U399" s="9"/>
      <c r="V399" s="9"/>
      <c r="W399" s="9"/>
      <c r="X399" s="9"/>
      <c r="Y399" s="9"/>
      <c r="Z399" s="9"/>
      <c r="AA399" s="9"/>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row>
    <row r="400" spans="1:64">
      <c r="A400" s="9"/>
      <c r="B400" s="342"/>
      <c r="C400" s="342"/>
      <c r="D400" s="343" t="str">
        <f>Asset9</f>
        <v>Ancillary substation equipment (tx)</v>
      </c>
      <c r="E400" s="342"/>
      <c r="F400" s="342"/>
      <c r="G400" s="342"/>
      <c r="H400" s="342"/>
      <c r="I400" s="342"/>
      <c r="J400" s="342"/>
      <c r="K400" s="342"/>
      <c r="L400" s="344">
        <v>0</v>
      </c>
      <c r="M400" s="9"/>
      <c r="N400" s="9"/>
      <c r="O400" s="9"/>
      <c r="P400" s="9"/>
      <c r="Q400" s="9"/>
      <c r="R400" s="9"/>
      <c r="S400" s="9"/>
      <c r="T400" s="9"/>
      <c r="U400" s="9"/>
      <c r="V400" s="9"/>
      <c r="W400" s="9"/>
      <c r="X400" s="9"/>
      <c r="Y400" s="9"/>
      <c r="Z400" s="9"/>
      <c r="AA400" s="9"/>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row>
    <row r="401" spans="1:64">
      <c r="A401" s="9"/>
      <c r="B401" s="342"/>
      <c r="C401" s="342"/>
      <c r="D401" s="343" t="str">
        <f>Asset10</f>
        <v>132kV tower lines</v>
      </c>
      <c r="E401" s="342"/>
      <c r="F401" s="342"/>
      <c r="G401" s="342"/>
      <c r="H401" s="342"/>
      <c r="I401" s="342"/>
      <c r="J401" s="342"/>
      <c r="K401" s="342"/>
      <c r="L401" s="344">
        <v>3.9253816674581854</v>
      </c>
      <c r="M401" s="9"/>
      <c r="N401" s="9"/>
      <c r="O401" s="9"/>
      <c r="P401" s="9"/>
      <c r="Q401" s="9"/>
      <c r="R401" s="9"/>
      <c r="S401" s="9"/>
      <c r="T401" s="9"/>
      <c r="U401" s="9"/>
      <c r="V401" s="9"/>
      <c r="W401" s="9"/>
      <c r="X401" s="9"/>
      <c r="Y401" s="9"/>
      <c r="Z401" s="9"/>
      <c r="AA401" s="9"/>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row>
    <row r="402" spans="1:64">
      <c r="A402" s="9"/>
      <c r="B402" s="342"/>
      <c r="C402" s="342"/>
      <c r="D402" s="343" t="str">
        <f>Asset11</f>
        <v>132kV concrete &amp; steel pole lines</v>
      </c>
      <c r="E402" s="342"/>
      <c r="F402" s="342"/>
      <c r="G402" s="342"/>
      <c r="H402" s="342"/>
      <c r="I402" s="342"/>
      <c r="J402" s="342"/>
      <c r="K402" s="342"/>
      <c r="L402" s="344">
        <v>9.9458088325595639</v>
      </c>
      <c r="M402" s="9"/>
      <c r="N402" s="9"/>
      <c r="O402" s="9"/>
      <c r="P402" s="9"/>
      <c r="Q402" s="9"/>
      <c r="R402" s="9"/>
      <c r="S402" s="9"/>
      <c r="T402" s="9"/>
      <c r="U402" s="9"/>
      <c r="V402" s="9"/>
      <c r="W402" s="9"/>
      <c r="X402" s="9"/>
      <c r="Y402" s="9"/>
      <c r="Z402" s="9"/>
      <c r="AA402" s="9"/>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row>
    <row r="403" spans="1:64">
      <c r="A403" s="9"/>
      <c r="B403" s="342"/>
      <c r="C403" s="342"/>
      <c r="D403" s="343" t="str">
        <f>Asset12</f>
        <v>132kV wood pole lines</v>
      </c>
      <c r="E403" s="342"/>
      <c r="F403" s="342"/>
      <c r="G403" s="342"/>
      <c r="H403" s="342"/>
      <c r="I403" s="342"/>
      <c r="J403" s="342"/>
      <c r="K403" s="342"/>
      <c r="L403" s="344">
        <v>1.3184365561965949</v>
      </c>
      <c r="M403" s="9"/>
      <c r="N403" s="9"/>
      <c r="O403" s="9"/>
      <c r="P403" s="9"/>
      <c r="Q403" s="9"/>
      <c r="R403" s="9"/>
      <c r="S403" s="9"/>
      <c r="T403" s="9"/>
      <c r="U403" s="9"/>
      <c r="V403" s="9"/>
      <c r="W403" s="9"/>
      <c r="X403" s="9"/>
      <c r="Y403" s="9"/>
      <c r="Z403" s="9"/>
      <c r="AA403" s="9"/>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row>
    <row r="404" spans="1:64">
      <c r="A404" s="9"/>
      <c r="B404" s="342"/>
      <c r="C404" s="342"/>
      <c r="D404" s="343" t="str">
        <f>Asset13</f>
        <v>132kV feeders underground</v>
      </c>
      <c r="E404" s="342"/>
      <c r="F404" s="342"/>
      <c r="G404" s="342"/>
      <c r="H404" s="342"/>
      <c r="I404" s="342"/>
      <c r="J404" s="342"/>
      <c r="K404" s="342"/>
      <c r="L404" s="344">
        <v>42.469266183082048</v>
      </c>
      <c r="M404" s="9"/>
      <c r="N404" s="9"/>
      <c r="O404" s="9"/>
      <c r="P404" s="9"/>
      <c r="Q404" s="9"/>
      <c r="R404" s="9"/>
      <c r="S404" s="9"/>
      <c r="T404" s="9"/>
      <c r="U404" s="9"/>
      <c r="V404" s="9"/>
      <c r="W404" s="9"/>
      <c r="X404" s="9"/>
      <c r="Y404" s="9"/>
      <c r="Z404" s="9"/>
      <c r="AA404" s="9"/>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row>
    <row r="405" spans="1:64">
      <c r="A405" s="9"/>
      <c r="B405" s="342"/>
      <c r="C405" s="342"/>
      <c r="D405" s="343" t="str">
        <f>Asset14</f>
        <v>Cable tunnel (tx)</v>
      </c>
      <c r="E405" s="342"/>
      <c r="F405" s="342"/>
      <c r="G405" s="342"/>
      <c r="H405" s="342"/>
      <c r="I405" s="342"/>
      <c r="J405" s="342"/>
      <c r="K405" s="342"/>
      <c r="L405" s="344">
        <v>0</v>
      </c>
      <c r="M405" s="9"/>
      <c r="N405" s="9"/>
      <c r="O405" s="9"/>
      <c r="P405" s="9"/>
      <c r="Q405" s="9"/>
      <c r="R405" s="9"/>
      <c r="S405" s="9"/>
      <c r="T405" s="9"/>
      <c r="U405" s="9"/>
      <c r="V405" s="9"/>
      <c r="W405" s="9"/>
      <c r="X405" s="9"/>
      <c r="Y405" s="9"/>
      <c r="Z405" s="9"/>
      <c r="AA405" s="9"/>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row>
    <row r="406" spans="1:64">
      <c r="A406" s="9"/>
      <c r="B406" s="342"/>
      <c r="C406" s="342"/>
      <c r="D406" s="343" t="str">
        <f>Asset15</f>
        <v>Network control &amp; com systems</v>
      </c>
      <c r="E406" s="342"/>
      <c r="F406" s="342"/>
      <c r="G406" s="342"/>
      <c r="H406" s="342"/>
      <c r="I406" s="342"/>
      <c r="J406" s="342"/>
      <c r="K406" s="342"/>
      <c r="L406" s="344">
        <v>0</v>
      </c>
      <c r="M406" s="9"/>
      <c r="N406" s="9"/>
      <c r="O406" s="9"/>
      <c r="P406" s="9"/>
      <c r="Q406" s="9"/>
      <c r="R406" s="9"/>
      <c r="S406" s="9"/>
      <c r="T406" s="9"/>
      <c r="U406" s="9"/>
      <c r="V406" s="9"/>
      <c r="W406" s="9"/>
      <c r="X406" s="9"/>
      <c r="Y406" s="9"/>
      <c r="Z406" s="9"/>
      <c r="AA406" s="9"/>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row>
    <row r="407" spans="1:64">
      <c r="A407" s="9"/>
      <c r="B407" s="342"/>
      <c r="C407" s="342"/>
      <c r="D407" s="343" t="str">
        <f>Asset16</f>
        <v>Communications (digital) - tx</v>
      </c>
      <c r="E407" s="342"/>
      <c r="F407" s="342"/>
      <c r="G407" s="342"/>
      <c r="H407" s="342"/>
      <c r="I407" s="342"/>
      <c r="J407" s="342"/>
      <c r="K407" s="342"/>
      <c r="L407" s="344">
        <v>0</v>
      </c>
      <c r="M407" s="9"/>
      <c r="N407" s="9"/>
      <c r="O407" s="9"/>
      <c r="P407" s="9"/>
      <c r="Q407" s="9"/>
      <c r="R407" s="9"/>
      <c r="S407" s="9"/>
      <c r="T407" s="9"/>
      <c r="U407" s="9"/>
      <c r="V407" s="9"/>
      <c r="W407" s="9"/>
      <c r="X407" s="9"/>
      <c r="Y407" s="9"/>
      <c r="Z407" s="9"/>
      <c r="AA407" s="9"/>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row>
    <row r="408" spans="1:64">
      <c r="A408" s="9"/>
      <c r="B408" s="342"/>
      <c r="C408" s="342"/>
      <c r="D408" s="343" t="str">
        <f>Asset17</f>
        <v>System IT (tx)</v>
      </c>
      <c r="E408" s="342"/>
      <c r="F408" s="342"/>
      <c r="G408" s="342"/>
      <c r="H408" s="342"/>
      <c r="I408" s="342"/>
      <c r="J408" s="342"/>
      <c r="K408" s="342"/>
      <c r="L408" s="344">
        <v>0</v>
      </c>
      <c r="M408" s="9"/>
      <c r="N408" s="9"/>
      <c r="O408" s="9"/>
      <c r="P408" s="9"/>
      <c r="Q408" s="9"/>
      <c r="R408" s="9"/>
      <c r="S408" s="9"/>
      <c r="T408" s="9"/>
      <c r="U408" s="9"/>
      <c r="V408" s="9"/>
      <c r="W408" s="9"/>
      <c r="X408" s="9"/>
      <c r="Y408" s="9"/>
      <c r="Z408" s="9"/>
      <c r="AA408" s="9"/>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row>
    <row r="409" spans="1:64">
      <c r="A409" s="9"/>
      <c r="B409" s="342"/>
      <c r="C409" s="342"/>
      <c r="D409" s="343" t="str">
        <f>Asset18</f>
        <v>IT systems</v>
      </c>
      <c r="E409" s="342"/>
      <c r="F409" s="342"/>
      <c r="G409" s="342"/>
      <c r="H409" s="342"/>
      <c r="I409" s="342"/>
      <c r="J409" s="342"/>
      <c r="K409" s="342"/>
      <c r="L409" s="344">
        <v>0</v>
      </c>
      <c r="M409" s="9"/>
      <c r="N409" s="9"/>
      <c r="O409" s="9"/>
      <c r="P409" s="9"/>
      <c r="Q409" s="9"/>
      <c r="R409" s="9"/>
      <c r="S409" s="9"/>
      <c r="T409" s="9"/>
      <c r="U409" s="9"/>
      <c r="V409" s="9"/>
      <c r="W409" s="9"/>
      <c r="X409" s="9"/>
      <c r="Y409" s="9"/>
      <c r="Z409" s="9"/>
      <c r="AA409" s="9"/>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row>
    <row r="410" spans="1:64">
      <c r="A410" s="9"/>
      <c r="B410" s="342"/>
      <c r="C410" s="342"/>
      <c r="D410" s="343" t="str">
        <f>Asset19</f>
        <v>Furniture, fittings, plant and equipment</v>
      </c>
      <c r="E410" s="342"/>
      <c r="F410" s="342"/>
      <c r="G410" s="342"/>
      <c r="H410" s="342"/>
      <c r="I410" s="342"/>
      <c r="J410" s="342"/>
      <c r="K410" s="342"/>
      <c r="L410" s="344">
        <v>0</v>
      </c>
      <c r="M410" s="9"/>
      <c r="N410" s="9"/>
      <c r="O410" s="9"/>
      <c r="P410" s="9"/>
      <c r="Q410" s="9"/>
      <c r="R410" s="9"/>
      <c r="S410" s="9"/>
      <c r="T410" s="9"/>
      <c r="U410" s="9"/>
      <c r="V410" s="9"/>
      <c r="W410" s="9"/>
      <c r="X410" s="9"/>
      <c r="Y410" s="9"/>
      <c r="Z410" s="9"/>
      <c r="AA410" s="9"/>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row>
    <row r="411" spans="1:64">
      <c r="A411" s="9"/>
      <c r="B411" s="342"/>
      <c r="C411" s="342"/>
      <c r="D411" s="343" t="str">
        <f>Asset20</f>
        <v>Motor vehicles</v>
      </c>
      <c r="E411" s="342"/>
      <c r="F411" s="342"/>
      <c r="G411" s="342"/>
      <c r="H411" s="342"/>
      <c r="I411" s="342"/>
      <c r="J411" s="342"/>
      <c r="K411" s="342"/>
      <c r="L411" s="344">
        <v>0</v>
      </c>
      <c r="M411" s="9"/>
      <c r="N411" s="9"/>
      <c r="O411" s="9"/>
      <c r="P411" s="9"/>
      <c r="Q411" s="9"/>
      <c r="R411" s="9"/>
      <c r="S411" s="9"/>
      <c r="T411" s="9"/>
      <c r="U411" s="9"/>
      <c r="V411" s="9"/>
      <c r="W411" s="9"/>
      <c r="X411" s="9"/>
      <c r="Y411" s="9"/>
      <c r="Z411" s="9"/>
      <c r="AA411" s="9"/>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row>
    <row r="412" spans="1:64">
      <c r="A412" s="9"/>
      <c r="B412" s="342"/>
      <c r="C412" s="342"/>
      <c r="D412" s="343" t="str">
        <f>Asset21</f>
        <v>Buildings</v>
      </c>
      <c r="E412" s="342"/>
      <c r="F412" s="342"/>
      <c r="G412" s="342"/>
      <c r="H412" s="342"/>
      <c r="I412" s="342"/>
      <c r="J412" s="342"/>
      <c r="K412" s="342"/>
      <c r="L412" s="344">
        <v>0</v>
      </c>
      <c r="M412" s="9"/>
      <c r="N412" s="9"/>
      <c r="O412" s="9"/>
      <c r="P412" s="9"/>
      <c r="Q412" s="9"/>
      <c r="R412" s="9"/>
      <c r="S412" s="9"/>
      <c r="T412" s="9"/>
      <c r="U412" s="9"/>
      <c r="V412" s="9"/>
      <c r="W412" s="9"/>
      <c r="X412" s="9"/>
      <c r="Y412" s="9"/>
      <c r="Z412" s="9"/>
      <c r="AA412" s="9"/>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row>
    <row r="413" spans="1:64">
      <c r="A413" s="9"/>
      <c r="B413" s="342"/>
      <c r="C413" s="342"/>
      <c r="D413" s="343" t="str">
        <f>Asset22</f>
        <v>Land (non-system)</v>
      </c>
      <c r="E413" s="342"/>
      <c r="F413" s="342"/>
      <c r="G413" s="342"/>
      <c r="H413" s="342"/>
      <c r="I413" s="342"/>
      <c r="J413" s="342"/>
      <c r="K413" s="342"/>
      <c r="L413" s="344">
        <v>0</v>
      </c>
      <c r="M413" s="9"/>
      <c r="N413" s="9"/>
      <c r="O413" s="9"/>
      <c r="P413" s="9"/>
      <c r="Q413" s="9"/>
      <c r="R413" s="9"/>
      <c r="S413" s="9"/>
      <c r="T413" s="9"/>
      <c r="U413" s="9"/>
      <c r="V413" s="9"/>
      <c r="W413" s="9"/>
      <c r="X413" s="9"/>
      <c r="Y413" s="9"/>
      <c r="Z413" s="9"/>
      <c r="AA413" s="9"/>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row>
    <row r="414" spans="1:64">
      <c r="A414" s="9"/>
      <c r="B414" s="342"/>
      <c r="C414" s="342"/>
      <c r="D414" s="343" t="str">
        <f>Asset23</f>
        <v>Other non system assets</v>
      </c>
      <c r="E414" s="342"/>
      <c r="F414" s="342"/>
      <c r="G414" s="342"/>
      <c r="H414" s="342"/>
      <c r="I414" s="342"/>
      <c r="J414" s="342"/>
      <c r="K414" s="342"/>
      <c r="L414" s="344">
        <v>0</v>
      </c>
      <c r="M414" s="9"/>
      <c r="N414" s="9"/>
      <c r="O414" s="9"/>
      <c r="P414" s="9"/>
      <c r="Q414" s="9"/>
      <c r="R414" s="9"/>
      <c r="S414" s="9"/>
      <c r="T414" s="9"/>
      <c r="U414" s="9"/>
      <c r="V414" s="9"/>
      <c r="W414" s="9"/>
      <c r="X414" s="9"/>
      <c r="Y414" s="9"/>
      <c r="Z414" s="9"/>
      <c r="AA414" s="9"/>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row>
    <row r="415" spans="1:64">
      <c r="A415" s="9"/>
      <c r="B415" s="342"/>
      <c r="C415" s="342"/>
      <c r="D415" s="343" t="str">
        <f>Asset24</f>
        <v>Equity raising costs</v>
      </c>
      <c r="E415" s="342"/>
      <c r="F415" s="342"/>
      <c r="G415" s="342"/>
      <c r="H415" s="342"/>
      <c r="I415" s="342"/>
      <c r="J415" s="342"/>
      <c r="K415" s="342"/>
      <c r="L415" s="344">
        <v>0</v>
      </c>
      <c r="M415" s="9"/>
      <c r="N415" s="9"/>
      <c r="O415" s="9"/>
      <c r="P415" s="9"/>
      <c r="Q415" s="9"/>
      <c r="R415" s="9"/>
      <c r="S415" s="9"/>
      <c r="T415" s="9"/>
      <c r="U415" s="9"/>
      <c r="V415" s="9"/>
      <c r="W415" s="9"/>
      <c r="X415" s="9"/>
      <c r="Y415" s="9"/>
      <c r="Z415" s="9"/>
      <c r="AA415" s="9"/>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row>
    <row r="416" spans="1:64">
      <c r="A416" s="9"/>
      <c r="B416" s="342"/>
      <c r="C416" s="342"/>
      <c r="D416" s="343"/>
      <c r="E416" s="342"/>
      <c r="F416" s="342"/>
      <c r="G416" s="342"/>
      <c r="H416" s="342"/>
      <c r="I416" s="342"/>
      <c r="J416" s="342"/>
      <c r="K416" s="342"/>
      <c r="L416" s="342"/>
      <c r="M416" s="9"/>
      <c r="N416" s="9"/>
      <c r="O416" s="9"/>
      <c r="P416" s="9"/>
      <c r="Q416" s="9"/>
      <c r="R416" s="9"/>
      <c r="S416" s="9"/>
      <c r="T416" s="9"/>
      <c r="U416" s="9"/>
      <c r="V416" s="9"/>
      <c r="W416" s="9"/>
      <c r="X416" s="9"/>
      <c r="Y416" s="9"/>
      <c r="Z416" s="9"/>
      <c r="AA416" s="9"/>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row>
    <row r="417" spans="1:64">
      <c r="A417" s="347"/>
      <c r="B417" s="347"/>
      <c r="C417" s="348" t="s">
        <v>163</v>
      </c>
      <c r="D417" s="347"/>
      <c r="E417" s="347"/>
      <c r="F417" s="347"/>
      <c r="G417" s="347"/>
      <c r="H417" s="347"/>
      <c r="I417" s="347"/>
      <c r="J417" s="347"/>
      <c r="K417" s="347"/>
      <c r="L417" s="349">
        <f>SUM(L418:L441)</f>
        <v>54.480171430595874</v>
      </c>
      <c r="M417" s="9"/>
      <c r="N417" s="9"/>
      <c r="O417" s="9"/>
      <c r="P417" s="9"/>
      <c r="Q417" s="9"/>
      <c r="R417" s="9"/>
      <c r="S417" s="9"/>
      <c r="T417" s="9"/>
      <c r="U417" s="9"/>
      <c r="V417" s="9"/>
      <c r="W417" s="9"/>
      <c r="X417" s="9"/>
      <c r="Y417" s="9"/>
      <c r="Z417" s="9"/>
      <c r="AA417" s="9"/>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row>
    <row r="418" spans="1:64">
      <c r="A418" s="9"/>
      <c r="B418" s="342"/>
      <c r="C418" s="342"/>
      <c r="D418" s="343" t="str">
        <f>Asset1</f>
        <v>Transmission &amp; Zone land &amp; easements</v>
      </c>
      <c r="E418" s="342"/>
      <c r="F418" s="342"/>
      <c r="G418" s="342"/>
      <c r="H418" s="342"/>
      <c r="I418" s="342"/>
      <c r="J418" s="342"/>
      <c r="K418" s="342"/>
      <c r="L418" s="344">
        <v>0</v>
      </c>
      <c r="M418" s="9"/>
      <c r="N418" s="9"/>
      <c r="O418" s="9"/>
      <c r="P418" s="9"/>
      <c r="Q418" s="9"/>
      <c r="R418" s="9"/>
      <c r="S418" s="9"/>
      <c r="T418" s="9"/>
      <c r="U418" s="9"/>
      <c r="V418" s="9"/>
      <c r="W418" s="9"/>
      <c r="X418" s="9"/>
      <c r="Y418" s="9"/>
      <c r="Z418" s="9"/>
      <c r="AA418" s="9"/>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row>
    <row r="419" spans="1:64">
      <c r="A419" s="9"/>
      <c r="B419" s="342"/>
      <c r="C419" s="342"/>
      <c r="D419" s="343" t="str">
        <f>Asset2</f>
        <v>Transmission buildings 132/66kV</v>
      </c>
      <c r="E419" s="342"/>
      <c r="F419" s="342"/>
      <c r="G419" s="342"/>
      <c r="H419" s="342"/>
      <c r="I419" s="342"/>
      <c r="J419" s="342"/>
      <c r="K419" s="342"/>
      <c r="L419" s="344">
        <v>0</v>
      </c>
      <c r="M419" s="9"/>
      <c r="N419" s="9"/>
      <c r="O419" s="9"/>
      <c r="P419" s="9"/>
      <c r="Q419" s="9"/>
      <c r="R419" s="9"/>
      <c r="S419" s="9"/>
      <c r="T419" s="9"/>
      <c r="U419" s="9"/>
      <c r="V419" s="9"/>
      <c r="W419" s="9"/>
      <c r="X419" s="9"/>
      <c r="Y419" s="9"/>
      <c r="Z419" s="9"/>
      <c r="AA419" s="9"/>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row>
    <row r="420" spans="1:64">
      <c r="A420" s="9"/>
      <c r="B420" s="342"/>
      <c r="C420" s="342"/>
      <c r="D420" s="343" t="str">
        <f>Asset3</f>
        <v>Zone buildings 132/66kV</v>
      </c>
      <c r="E420" s="342"/>
      <c r="F420" s="342"/>
      <c r="G420" s="342"/>
      <c r="H420" s="342"/>
      <c r="I420" s="342"/>
      <c r="J420" s="342"/>
      <c r="K420" s="342"/>
      <c r="L420" s="344">
        <v>0</v>
      </c>
      <c r="M420" s="9"/>
      <c r="N420" s="9"/>
      <c r="O420" s="9"/>
      <c r="P420" s="9"/>
      <c r="Q420" s="9"/>
      <c r="R420" s="9"/>
      <c r="S420" s="9"/>
      <c r="T420" s="9"/>
      <c r="U420" s="9"/>
      <c r="V420" s="9"/>
      <c r="W420" s="9"/>
      <c r="X420" s="9"/>
      <c r="Y420" s="9"/>
      <c r="Z420" s="9"/>
      <c r="AA420" s="9"/>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row>
    <row r="421" spans="1:64">
      <c r="A421" s="9"/>
      <c r="B421" s="342"/>
      <c r="C421" s="342"/>
      <c r="D421" s="343" t="str">
        <f>Asset4</f>
        <v>Transmission transformers 132/66kV</v>
      </c>
      <c r="E421" s="342"/>
      <c r="F421" s="342"/>
      <c r="G421" s="342"/>
      <c r="H421" s="342"/>
      <c r="I421" s="342"/>
      <c r="J421" s="342"/>
      <c r="K421" s="342"/>
      <c r="L421" s="344">
        <v>0</v>
      </c>
      <c r="M421" s="9"/>
      <c r="N421" s="9"/>
      <c r="O421" s="9"/>
      <c r="P421" s="9"/>
      <c r="Q421" s="9"/>
      <c r="R421" s="9"/>
      <c r="S421" s="9"/>
      <c r="T421" s="9"/>
      <c r="U421" s="9"/>
      <c r="V421" s="9"/>
      <c r="W421" s="9"/>
      <c r="X421" s="9"/>
      <c r="Y421" s="9"/>
      <c r="Z421" s="9"/>
      <c r="AA421" s="9"/>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row>
    <row r="422" spans="1:64">
      <c r="A422" s="9"/>
      <c r="B422" s="342"/>
      <c r="C422" s="342"/>
      <c r="D422" s="343" t="str">
        <f>Asset5</f>
        <v>Zone transformers 132/66kV</v>
      </c>
      <c r="E422" s="342"/>
      <c r="F422" s="342"/>
      <c r="G422" s="342"/>
      <c r="H422" s="342"/>
      <c r="I422" s="342"/>
      <c r="J422" s="342"/>
      <c r="K422" s="342"/>
      <c r="L422" s="344">
        <v>0</v>
      </c>
      <c r="M422" s="9"/>
      <c r="N422" s="9"/>
      <c r="O422" s="9"/>
      <c r="P422" s="9"/>
      <c r="Q422" s="9"/>
      <c r="R422" s="9"/>
      <c r="S422" s="9"/>
      <c r="T422" s="9"/>
      <c r="U422" s="9"/>
      <c r="V422" s="9"/>
      <c r="W422" s="9"/>
      <c r="X422" s="9"/>
      <c r="Y422" s="9"/>
      <c r="Z422" s="9"/>
      <c r="AA422" s="9"/>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row>
    <row r="423" spans="1:64">
      <c r="A423" s="9"/>
      <c r="B423" s="342"/>
      <c r="C423" s="342"/>
      <c r="D423" s="343" t="str">
        <f>Asset6</f>
        <v>Transmission substation equip 132/66kV</v>
      </c>
      <c r="E423" s="342"/>
      <c r="F423" s="342"/>
      <c r="G423" s="342"/>
      <c r="H423" s="342"/>
      <c r="I423" s="342"/>
      <c r="J423" s="342"/>
      <c r="K423" s="342"/>
      <c r="L423" s="344">
        <v>0</v>
      </c>
      <c r="M423" s="9"/>
      <c r="N423" s="9"/>
      <c r="O423" s="9"/>
      <c r="P423" s="9"/>
      <c r="Q423" s="9"/>
      <c r="R423" s="9"/>
      <c r="S423" s="9"/>
      <c r="T423" s="9"/>
      <c r="U423" s="9"/>
      <c r="V423" s="9"/>
      <c r="W423" s="9"/>
      <c r="X423" s="9"/>
      <c r="Y423" s="9"/>
      <c r="Z423" s="9"/>
      <c r="AA423" s="9"/>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row>
    <row r="424" spans="1:64">
      <c r="A424" s="9"/>
      <c r="B424" s="342"/>
      <c r="C424" s="342"/>
      <c r="D424" s="343" t="str">
        <f>Asset7</f>
        <v>Zone substation equip 132/66kV</v>
      </c>
      <c r="E424" s="342"/>
      <c r="F424" s="342"/>
      <c r="G424" s="342"/>
      <c r="H424" s="342"/>
      <c r="I424" s="342"/>
      <c r="J424" s="342"/>
      <c r="K424" s="342"/>
      <c r="L424" s="344">
        <v>0</v>
      </c>
      <c r="M424" s="9"/>
      <c r="N424" s="9"/>
      <c r="O424" s="9"/>
      <c r="P424" s="9"/>
      <c r="Q424" s="9"/>
      <c r="R424" s="9"/>
      <c r="S424" s="9"/>
      <c r="T424" s="9"/>
      <c r="U424" s="9"/>
      <c r="V424" s="9"/>
      <c r="W424" s="9"/>
      <c r="X424" s="9"/>
      <c r="Y424" s="9"/>
      <c r="Z424" s="9"/>
      <c r="AA424" s="9"/>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row>
    <row r="425" spans="1:64">
      <c r="A425" s="9"/>
      <c r="B425" s="342"/>
      <c r="C425" s="342"/>
      <c r="D425" s="343" t="str">
        <f>Asset8</f>
        <v>Transmission &amp; Zone emergency spares</v>
      </c>
      <c r="E425" s="342"/>
      <c r="F425" s="342"/>
      <c r="G425" s="342"/>
      <c r="H425" s="342"/>
      <c r="I425" s="342"/>
      <c r="J425" s="342"/>
      <c r="K425" s="342"/>
      <c r="L425" s="344">
        <v>0</v>
      </c>
      <c r="M425" s="9"/>
      <c r="N425" s="9"/>
      <c r="O425" s="9"/>
      <c r="P425" s="9"/>
      <c r="Q425" s="9"/>
      <c r="R425" s="9"/>
      <c r="S425" s="9"/>
      <c r="T425" s="9"/>
      <c r="U425" s="9"/>
      <c r="V425" s="9"/>
      <c r="W425" s="9"/>
      <c r="X425" s="9"/>
      <c r="Y425" s="9"/>
      <c r="Z425" s="9"/>
      <c r="AA425" s="9"/>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row>
    <row r="426" spans="1:64">
      <c r="A426" s="9"/>
      <c r="B426" s="342"/>
      <c r="C426" s="342"/>
      <c r="D426" s="343" t="str">
        <f>Asset9</f>
        <v>Ancillary substation equipment (tx)</v>
      </c>
      <c r="E426" s="342"/>
      <c r="F426" s="342"/>
      <c r="G426" s="342"/>
      <c r="H426" s="342"/>
      <c r="I426" s="342"/>
      <c r="J426" s="342"/>
      <c r="K426" s="342"/>
      <c r="L426" s="344">
        <v>0</v>
      </c>
      <c r="M426" s="9"/>
      <c r="O426" s="9"/>
      <c r="P426" s="9"/>
      <c r="Q426" s="9"/>
      <c r="R426" s="9"/>
      <c r="S426" s="9"/>
      <c r="T426" s="9"/>
      <c r="U426" s="9"/>
      <c r="V426" s="9"/>
      <c r="W426" s="9"/>
      <c r="X426" s="9"/>
      <c r="Y426" s="9"/>
      <c r="Z426" s="9"/>
      <c r="AA426" s="9"/>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row>
    <row r="427" spans="1:64">
      <c r="A427" s="9"/>
      <c r="B427" s="342"/>
      <c r="C427" s="342"/>
      <c r="D427" s="343" t="str">
        <f>Asset10</f>
        <v>132kV tower lines</v>
      </c>
      <c r="E427" s="342"/>
      <c r="F427" s="342"/>
      <c r="G427" s="342"/>
      <c r="H427" s="342"/>
      <c r="I427" s="342"/>
      <c r="J427" s="342"/>
      <c r="K427" s="342"/>
      <c r="L427" s="344">
        <v>13.833762719411084</v>
      </c>
      <c r="M427" s="9"/>
      <c r="N427" s="9"/>
      <c r="O427" s="9"/>
      <c r="P427" s="9"/>
      <c r="Q427" s="9"/>
      <c r="R427" s="9"/>
      <c r="S427" s="9"/>
      <c r="T427" s="9"/>
      <c r="U427" s="9"/>
      <c r="V427" s="9"/>
      <c r="W427" s="9"/>
      <c r="X427" s="9"/>
      <c r="Y427" s="9"/>
      <c r="Z427" s="9"/>
      <c r="AA427" s="9"/>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row>
    <row r="428" spans="1:64">
      <c r="A428" s="9"/>
      <c r="B428" s="342"/>
      <c r="C428" s="342"/>
      <c r="D428" s="343" t="str">
        <f>Asset11</f>
        <v>132kV concrete &amp; steel pole lines</v>
      </c>
      <c r="E428" s="342"/>
      <c r="F428" s="342"/>
      <c r="G428" s="342"/>
      <c r="H428" s="342"/>
      <c r="I428" s="342"/>
      <c r="J428" s="342"/>
      <c r="K428" s="342"/>
      <c r="L428" s="344">
        <v>18.119872851418659</v>
      </c>
      <c r="M428" s="9"/>
      <c r="N428" s="9"/>
      <c r="O428" s="9"/>
      <c r="P428" s="9"/>
      <c r="Q428" s="9"/>
      <c r="R428" s="9"/>
      <c r="S428" s="9"/>
      <c r="T428" s="9"/>
      <c r="U428" s="9"/>
      <c r="V428" s="9"/>
      <c r="W428" s="9"/>
      <c r="X428" s="9"/>
      <c r="Y428" s="9"/>
      <c r="Z428" s="9"/>
      <c r="AA428" s="9"/>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row>
    <row r="429" spans="1:64">
      <c r="A429" s="9"/>
      <c r="B429" s="342"/>
      <c r="C429" s="342"/>
      <c r="D429" s="343" t="str">
        <f>Asset12</f>
        <v>132kV wood pole lines</v>
      </c>
      <c r="E429" s="342"/>
      <c r="F429" s="342"/>
      <c r="G429" s="342"/>
      <c r="H429" s="342"/>
      <c r="I429" s="342"/>
      <c r="J429" s="342"/>
      <c r="K429" s="342"/>
      <c r="L429" s="344">
        <v>5.424099850433338</v>
      </c>
      <c r="M429" s="9"/>
      <c r="N429" s="9"/>
      <c r="O429" s="9"/>
      <c r="P429" s="9"/>
      <c r="Q429" s="9"/>
      <c r="R429" s="9"/>
      <c r="S429" s="9"/>
      <c r="T429" s="9"/>
      <c r="U429" s="9"/>
      <c r="V429" s="9"/>
      <c r="W429" s="9"/>
      <c r="X429" s="9"/>
      <c r="Y429" s="9"/>
      <c r="Z429" s="9"/>
      <c r="AA429" s="9"/>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row>
    <row r="430" spans="1:64">
      <c r="A430" s="9"/>
      <c r="B430" s="342"/>
      <c r="C430" s="342"/>
      <c r="D430" s="343" t="str">
        <f>Asset13</f>
        <v>132kV feeders underground</v>
      </c>
      <c r="E430" s="342"/>
      <c r="F430" s="342"/>
      <c r="G430" s="342"/>
      <c r="H430" s="342"/>
      <c r="I430" s="342"/>
      <c r="J430" s="342"/>
      <c r="K430" s="342"/>
      <c r="L430" s="344">
        <v>17.102436009332791</v>
      </c>
      <c r="M430" s="9"/>
      <c r="N430" s="9"/>
      <c r="O430" s="9"/>
      <c r="P430" s="9"/>
      <c r="Q430" s="9"/>
      <c r="R430" s="9"/>
      <c r="S430" s="9"/>
      <c r="T430" s="9"/>
      <c r="U430" s="9"/>
      <c r="V430" s="9"/>
      <c r="W430" s="9"/>
      <c r="X430" s="9"/>
      <c r="Y430" s="9"/>
      <c r="Z430" s="9"/>
      <c r="AA430" s="9"/>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row>
    <row r="431" spans="1:64">
      <c r="A431" s="9"/>
      <c r="B431" s="342"/>
      <c r="C431" s="342"/>
      <c r="D431" s="343" t="str">
        <f>Asset14</f>
        <v>Cable tunnel (tx)</v>
      </c>
      <c r="E431" s="342"/>
      <c r="F431" s="342"/>
      <c r="G431" s="342"/>
      <c r="H431" s="342"/>
      <c r="I431" s="342"/>
      <c r="J431" s="342"/>
      <c r="K431" s="342"/>
      <c r="L431" s="344">
        <v>0</v>
      </c>
      <c r="M431" s="9"/>
      <c r="N431" s="9"/>
      <c r="O431" s="9"/>
      <c r="P431" s="9"/>
      <c r="Q431" s="9"/>
      <c r="R431" s="9"/>
      <c r="S431" s="9"/>
      <c r="T431" s="9"/>
      <c r="U431" s="9"/>
      <c r="V431" s="9"/>
      <c r="W431" s="9"/>
      <c r="X431" s="9"/>
      <c r="Y431" s="9"/>
      <c r="Z431" s="9"/>
      <c r="AA431" s="9"/>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row>
    <row r="432" spans="1:64">
      <c r="A432" s="9"/>
      <c r="B432" s="342"/>
      <c r="C432" s="342"/>
      <c r="D432" s="343" t="str">
        <f>Asset15</f>
        <v>Network control &amp; com systems</v>
      </c>
      <c r="E432" s="342"/>
      <c r="F432" s="342"/>
      <c r="G432" s="342"/>
      <c r="H432" s="342"/>
      <c r="I432" s="342"/>
      <c r="J432" s="342"/>
      <c r="K432" s="342"/>
      <c r="L432" s="344">
        <v>0</v>
      </c>
      <c r="M432" s="9"/>
      <c r="N432" s="9"/>
      <c r="O432" s="9"/>
      <c r="P432" s="9"/>
      <c r="Q432" s="9"/>
      <c r="R432" s="9"/>
      <c r="S432" s="9"/>
      <c r="T432" s="9"/>
      <c r="U432" s="9"/>
      <c r="V432" s="9"/>
      <c r="W432" s="9"/>
      <c r="X432" s="9"/>
      <c r="Y432" s="9"/>
      <c r="Z432" s="9"/>
      <c r="AA432" s="9"/>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row>
    <row r="433" spans="1:64">
      <c r="A433" s="9"/>
      <c r="B433" s="342"/>
      <c r="C433" s="342"/>
      <c r="D433" s="343" t="str">
        <f>Asset16</f>
        <v>Communications (digital) - tx</v>
      </c>
      <c r="E433" s="342"/>
      <c r="F433" s="342"/>
      <c r="G433" s="342"/>
      <c r="H433" s="342"/>
      <c r="I433" s="342"/>
      <c r="J433" s="342"/>
      <c r="K433" s="342"/>
      <c r="L433" s="344">
        <v>0</v>
      </c>
      <c r="M433" s="9"/>
      <c r="N433" s="9"/>
      <c r="O433" s="9"/>
      <c r="P433" s="9"/>
      <c r="Q433" s="9"/>
      <c r="R433" s="9"/>
      <c r="S433" s="9"/>
      <c r="T433" s="9"/>
      <c r="U433" s="9"/>
      <c r="V433" s="9"/>
      <c r="W433" s="9"/>
      <c r="X433" s="9"/>
      <c r="Y433" s="9"/>
      <c r="Z433" s="9"/>
      <c r="AA433" s="9"/>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row>
    <row r="434" spans="1:64">
      <c r="A434" s="9"/>
      <c r="B434" s="342"/>
      <c r="C434" s="342"/>
      <c r="D434" s="343" t="str">
        <f>Asset17</f>
        <v>System IT (tx)</v>
      </c>
      <c r="E434" s="342"/>
      <c r="F434" s="342"/>
      <c r="G434" s="342"/>
      <c r="H434" s="342"/>
      <c r="I434" s="342"/>
      <c r="J434" s="342"/>
      <c r="K434" s="342"/>
      <c r="L434" s="344">
        <v>0</v>
      </c>
      <c r="M434" s="9"/>
      <c r="N434" s="9"/>
      <c r="O434" s="9"/>
      <c r="P434" s="9"/>
      <c r="Q434" s="9"/>
      <c r="R434" s="9"/>
      <c r="S434" s="9"/>
      <c r="T434" s="9"/>
      <c r="U434" s="9"/>
      <c r="V434" s="9"/>
      <c r="W434" s="9"/>
      <c r="X434" s="9"/>
      <c r="Y434" s="9"/>
      <c r="Z434" s="9"/>
      <c r="AA434" s="9"/>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row>
    <row r="435" spans="1:64">
      <c r="A435" s="9"/>
      <c r="B435" s="342"/>
      <c r="C435" s="342"/>
      <c r="D435" s="343" t="str">
        <f>Asset18</f>
        <v>IT systems</v>
      </c>
      <c r="E435" s="342"/>
      <c r="F435" s="342"/>
      <c r="G435" s="342"/>
      <c r="H435" s="342"/>
      <c r="I435" s="342"/>
      <c r="J435" s="342"/>
      <c r="K435" s="342"/>
      <c r="L435" s="344">
        <v>0</v>
      </c>
      <c r="M435" s="9"/>
      <c r="N435" s="9"/>
      <c r="O435" s="9"/>
      <c r="P435" s="9"/>
      <c r="Q435" s="9"/>
      <c r="R435" s="9"/>
      <c r="S435" s="9"/>
      <c r="T435" s="9"/>
      <c r="U435" s="9"/>
      <c r="V435" s="9"/>
      <c r="W435" s="9"/>
      <c r="X435" s="9"/>
      <c r="Y435" s="9"/>
      <c r="Z435" s="9"/>
      <c r="AA435" s="9"/>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row>
    <row r="436" spans="1:64">
      <c r="A436" s="9"/>
      <c r="B436" s="342"/>
      <c r="C436" s="342"/>
      <c r="D436" s="343" t="str">
        <f>Asset19</f>
        <v>Furniture, fittings, plant and equipment</v>
      </c>
      <c r="E436" s="342"/>
      <c r="F436" s="342"/>
      <c r="G436" s="342"/>
      <c r="H436" s="342"/>
      <c r="I436" s="342"/>
      <c r="J436" s="342"/>
      <c r="K436" s="342"/>
      <c r="L436" s="344">
        <v>0</v>
      </c>
      <c r="M436" s="9"/>
      <c r="N436" s="9"/>
      <c r="O436" s="9"/>
      <c r="P436" s="9"/>
      <c r="Q436" s="9"/>
      <c r="R436" s="9"/>
      <c r="S436" s="9"/>
      <c r="T436" s="9"/>
      <c r="U436" s="9"/>
      <c r="V436" s="9"/>
      <c r="W436" s="9"/>
      <c r="X436" s="9"/>
      <c r="Y436" s="9"/>
      <c r="Z436" s="9"/>
      <c r="AA436" s="9"/>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row>
    <row r="437" spans="1:64">
      <c r="A437" s="9"/>
      <c r="B437" s="342"/>
      <c r="C437" s="342"/>
      <c r="D437" s="343" t="str">
        <f>Asset20</f>
        <v>Motor vehicles</v>
      </c>
      <c r="E437" s="342"/>
      <c r="F437" s="342"/>
      <c r="G437" s="342"/>
      <c r="H437" s="342"/>
      <c r="I437" s="342"/>
      <c r="J437" s="342"/>
      <c r="K437" s="342"/>
      <c r="L437" s="344">
        <v>0</v>
      </c>
      <c r="M437" s="9"/>
      <c r="N437" s="9"/>
      <c r="O437" s="9"/>
      <c r="P437" s="9"/>
      <c r="Q437" s="9"/>
      <c r="R437" s="9"/>
      <c r="S437" s="9"/>
      <c r="T437" s="9"/>
      <c r="U437" s="9"/>
      <c r="V437" s="9"/>
      <c r="W437" s="9"/>
      <c r="X437" s="9"/>
      <c r="Y437" s="9"/>
      <c r="Z437" s="9"/>
      <c r="AA437" s="9"/>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row>
    <row r="438" spans="1:64">
      <c r="A438" s="9"/>
      <c r="B438" s="342"/>
      <c r="C438" s="342"/>
      <c r="D438" s="343" t="str">
        <f>Asset21</f>
        <v>Buildings</v>
      </c>
      <c r="E438" s="342"/>
      <c r="F438" s="342"/>
      <c r="G438" s="342"/>
      <c r="H438" s="342"/>
      <c r="I438" s="342"/>
      <c r="J438" s="342"/>
      <c r="K438" s="342"/>
      <c r="L438" s="344">
        <v>0</v>
      </c>
      <c r="M438" s="9"/>
      <c r="N438" s="9"/>
      <c r="O438" s="9"/>
      <c r="P438" s="9"/>
      <c r="Q438" s="9"/>
      <c r="R438" s="9"/>
      <c r="S438" s="9"/>
      <c r="T438" s="9"/>
      <c r="U438" s="9"/>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row>
    <row r="439" spans="1:64">
      <c r="A439" s="9"/>
      <c r="B439" s="342"/>
      <c r="C439" s="342"/>
      <c r="D439" s="343" t="str">
        <f>Asset22</f>
        <v>Land (non-system)</v>
      </c>
      <c r="E439" s="342"/>
      <c r="F439" s="342"/>
      <c r="G439" s="342"/>
      <c r="H439" s="342"/>
      <c r="I439" s="342"/>
      <c r="J439" s="342"/>
      <c r="K439" s="342"/>
      <c r="L439" s="344">
        <v>0</v>
      </c>
      <c r="M439" s="9"/>
      <c r="N439" s="9"/>
      <c r="O439" s="9"/>
      <c r="P439" s="9"/>
      <c r="Q439" s="9"/>
      <c r="R439" s="9"/>
      <c r="S439" s="9"/>
      <c r="T439" s="9"/>
      <c r="U439" s="9"/>
      <c r="V439" s="9"/>
      <c r="W439" s="9"/>
      <c r="X439" s="9"/>
      <c r="Y439" s="9"/>
      <c r="Z439" s="9"/>
      <c r="AA439" s="9"/>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row>
    <row r="440" spans="1:64">
      <c r="A440" s="9"/>
      <c r="B440" s="342"/>
      <c r="C440" s="342"/>
      <c r="D440" s="343" t="str">
        <f>Asset23</f>
        <v>Other non system assets</v>
      </c>
      <c r="E440" s="342"/>
      <c r="F440" s="342"/>
      <c r="G440" s="342"/>
      <c r="H440" s="342"/>
      <c r="I440" s="342"/>
      <c r="J440" s="342"/>
      <c r="K440" s="342"/>
      <c r="L440" s="344">
        <v>0</v>
      </c>
      <c r="M440" s="9"/>
      <c r="N440" s="9"/>
      <c r="O440" s="9"/>
      <c r="P440" s="9"/>
      <c r="Q440" s="9"/>
      <c r="R440" s="9"/>
      <c r="S440" s="9"/>
      <c r="T440" s="9"/>
      <c r="U440" s="9"/>
      <c r="V440" s="9"/>
      <c r="W440" s="9"/>
      <c r="X440" s="9"/>
      <c r="Y440" s="9"/>
      <c r="Z440" s="9"/>
      <c r="AA440" s="9"/>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row>
    <row r="441" spans="1:64">
      <c r="A441" s="9"/>
      <c r="B441" s="342"/>
      <c r="C441" s="342"/>
      <c r="D441" s="343" t="str">
        <f>Asset24</f>
        <v>Equity raising costs</v>
      </c>
      <c r="E441" s="342"/>
      <c r="F441" s="342"/>
      <c r="G441" s="342"/>
      <c r="H441" s="342"/>
      <c r="I441" s="342"/>
      <c r="J441" s="342"/>
      <c r="K441" s="342"/>
      <c r="L441" s="344">
        <v>0</v>
      </c>
      <c r="M441" s="9"/>
      <c r="N441" s="9"/>
      <c r="O441" s="9"/>
      <c r="P441" s="9"/>
      <c r="Q441" s="9"/>
      <c r="R441" s="9"/>
      <c r="S441" s="9"/>
      <c r="T441" s="9"/>
      <c r="U441" s="9"/>
      <c r="V441" s="9"/>
      <c r="W441" s="9"/>
      <c r="X441" s="9"/>
      <c r="Y441" s="9"/>
      <c r="Z441" s="9"/>
      <c r="AA441" s="9"/>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row>
    <row r="442" spans="1:64">
      <c r="A442" s="9"/>
      <c r="B442" s="342"/>
      <c r="C442" s="342"/>
      <c r="D442" s="343"/>
      <c r="E442" s="342"/>
      <c r="F442" s="342"/>
      <c r="G442" s="342"/>
      <c r="H442" s="342"/>
      <c r="I442" s="342"/>
      <c r="J442" s="342"/>
      <c r="K442" s="342"/>
      <c r="L442" s="345"/>
      <c r="M442" s="9"/>
      <c r="N442" s="9"/>
      <c r="O442" s="9"/>
      <c r="P442" s="9"/>
      <c r="Q442" s="9"/>
      <c r="R442" s="9"/>
      <c r="S442" s="9"/>
      <c r="T442" s="9"/>
      <c r="U442" s="9"/>
      <c r="V442" s="9"/>
      <c r="W442" s="9"/>
      <c r="X442" s="9"/>
      <c r="Y442" s="9"/>
      <c r="Z442" s="9"/>
      <c r="AA442" s="9"/>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row>
    <row r="443" spans="1:64">
      <c r="A443" s="347"/>
      <c r="B443" s="347"/>
      <c r="C443" s="348" t="s">
        <v>162</v>
      </c>
      <c r="D443" s="347"/>
      <c r="E443" s="347"/>
      <c r="F443" s="347"/>
      <c r="G443" s="347"/>
      <c r="H443" s="347"/>
      <c r="I443" s="347"/>
      <c r="J443" s="347"/>
      <c r="K443" s="347"/>
      <c r="L443" s="349">
        <f>SUM(L444:L467)</f>
        <v>2090.9442378037111</v>
      </c>
      <c r="M443" s="9"/>
      <c r="N443" s="9"/>
      <c r="O443" s="9"/>
      <c r="P443" s="9"/>
      <c r="Q443" s="9"/>
      <c r="R443" s="9"/>
      <c r="S443" s="9"/>
      <c r="T443" s="9"/>
      <c r="U443" s="9"/>
      <c r="V443" s="9"/>
      <c r="W443" s="9"/>
      <c r="X443" s="9"/>
      <c r="Y443" s="9"/>
      <c r="Z443" s="9"/>
      <c r="AA443" s="9"/>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row>
    <row r="444" spans="1:64">
      <c r="A444" s="9"/>
      <c r="B444" s="342"/>
      <c r="C444" s="342"/>
      <c r="D444" s="343" t="str">
        <f>Asset1</f>
        <v>Transmission &amp; Zone land &amp; easements</v>
      </c>
      <c r="E444" s="342"/>
      <c r="F444" s="342"/>
      <c r="G444" s="342"/>
      <c r="H444" s="342"/>
      <c r="I444" s="342"/>
      <c r="J444" s="342"/>
      <c r="K444" s="342"/>
      <c r="L444" s="346">
        <f>L359-L392+L418</f>
        <v>320.28764037228484</v>
      </c>
      <c r="M444" s="9"/>
      <c r="N444" s="9"/>
      <c r="O444" s="9"/>
      <c r="P444" s="9"/>
      <c r="Q444" s="9"/>
      <c r="R444" s="9"/>
      <c r="S444" s="9"/>
      <c r="T444" s="9"/>
      <c r="U444" s="9"/>
      <c r="V444" s="9"/>
      <c r="W444" s="9"/>
      <c r="X444" s="9"/>
      <c r="Y444" s="9"/>
      <c r="Z444" s="9"/>
      <c r="AA444" s="9"/>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row>
    <row r="445" spans="1:64">
      <c r="A445" s="9"/>
      <c r="B445" s="342"/>
      <c r="C445" s="342"/>
      <c r="D445" s="343" t="str">
        <f>Asset2</f>
        <v>Transmission buildings 132/66kV</v>
      </c>
      <c r="E445" s="342"/>
      <c r="F445" s="342"/>
      <c r="G445" s="342"/>
      <c r="H445" s="342"/>
      <c r="I445" s="342"/>
      <c r="J445" s="342"/>
      <c r="K445" s="342"/>
      <c r="L445" s="346">
        <f t="shared" ref="L445:L467" si="27">L360-L393+L419</f>
        <v>59.702964363713669</v>
      </c>
      <c r="M445" s="9"/>
      <c r="N445" s="9"/>
      <c r="O445" s="9"/>
      <c r="P445" s="9"/>
      <c r="Q445" s="9"/>
      <c r="R445" s="9"/>
      <c r="S445" s="9"/>
      <c r="T445" s="9"/>
      <c r="U445" s="9"/>
      <c r="V445" s="9"/>
      <c r="W445" s="9"/>
      <c r="X445" s="9"/>
      <c r="Y445" s="9"/>
      <c r="Z445" s="9"/>
      <c r="AA445" s="9"/>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row>
    <row r="446" spans="1:64">
      <c r="A446" s="9"/>
      <c r="B446" s="342"/>
      <c r="C446" s="342"/>
      <c r="D446" s="343" t="str">
        <f>Asset3</f>
        <v>Zone buildings 132/66kV</v>
      </c>
      <c r="E446" s="342"/>
      <c r="F446" s="342"/>
      <c r="G446" s="342"/>
      <c r="H446" s="342"/>
      <c r="I446" s="342"/>
      <c r="J446" s="342"/>
      <c r="K446" s="342"/>
      <c r="L446" s="346">
        <f t="shared" si="27"/>
        <v>133.15594976796001</v>
      </c>
      <c r="M446" s="9"/>
      <c r="N446" s="9"/>
      <c r="O446" s="9"/>
      <c r="P446" s="9"/>
      <c r="Q446" s="9"/>
      <c r="R446" s="9"/>
      <c r="S446" s="9"/>
      <c r="T446" s="9"/>
      <c r="U446" s="9"/>
      <c r="V446" s="9"/>
      <c r="W446" s="9"/>
      <c r="X446" s="9"/>
      <c r="Y446" s="9"/>
      <c r="Z446" s="9"/>
      <c r="AA446" s="9"/>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row>
    <row r="447" spans="1:64">
      <c r="A447" s="9"/>
      <c r="B447" s="342"/>
      <c r="C447" s="342"/>
      <c r="D447" s="343" t="str">
        <f>Asset4</f>
        <v>Transmission transformers 132/66kV</v>
      </c>
      <c r="E447" s="342"/>
      <c r="F447" s="342"/>
      <c r="G447" s="342"/>
      <c r="H447" s="342"/>
      <c r="I447" s="342"/>
      <c r="J447" s="342"/>
      <c r="K447" s="342"/>
      <c r="L447" s="346">
        <f t="shared" si="27"/>
        <v>42.488446519120536</v>
      </c>
      <c r="M447" s="9"/>
      <c r="N447" s="9"/>
      <c r="O447" s="9"/>
      <c r="P447" s="9"/>
      <c r="Q447" s="9"/>
      <c r="R447" s="9"/>
      <c r="S447" s="9"/>
      <c r="T447" s="9"/>
      <c r="U447" s="9"/>
      <c r="V447" s="9"/>
      <c r="W447" s="9"/>
      <c r="X447" s="9"/>
      <c r="Y447" s="9"/>
      <c r="Z447" s="9"/>
      <c r="AA447" s="9"/>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row>
    <row r="448" spans="1:64">
      <c r="A448" s="9"/>
      <c r="B448" s="342"/>
      <c r="C448" s="342"/>
      <c r="D448" s="343" t="str">
        <f>Asset5</f>
        <v>Zone transformers 132/66kV</v>
      </c>
      <c r="E448" s="342"/>
      <c r="F448" s="342"/>
      <c r="G448" s="342"/>
      <c r="H448" s="342"/>
      <c r="I448" s="342"/>
      <c r="J448" s="342"/>
      <c r="K448" s="342"/>
      <c r="L448" s="346">
        <f t="shared" si="27"/>
        <v>29.781753052920923</v>
      </c>
      <c r="M448" s="9"/>
      <c r="N448" s="322"/>
      <c r="O448" s="9"/>
      <c r="P448" s="9"/>
      <c r="Q448" s="9"/>
      <c r="R448" s="9"/>
      <c r="S448" s="9"/>
      <c r="T448" s="9"/>
      <c r="U448" s="9"/>
      <c r="V448" s="9"/>
      <c r="W448" s="9"/>
      <c r="X448" s="9"/>
      <c r="Y448" s="9"/>
      <c r="Z448" s="9"/>
      <c r="AA448" s="9"/>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row>
    <row r="449" spans="1:66">
      <c r="A449" s="9"/>
      <c r="B449" s="342"/>
      <c r="C449" s="342"/>
      <c r="D449" s="343" t="str">
        <f>Asset6</f>
        <v>Transmission substation equip 132/66kV</v>
      </c>
      <c r="E449" s="342"/>
      <c r="F449" s="342"/>
      <c r="G449" s="342"/>
      <c r="H449" s="342"/>
      <c r="I449" s="342"/>
      <c r="J449" s="342"/>
      <c r="K449" s="342"/>
      <c r="L449" s="346">
        <f t="shared" si="27"/>
        <v>196.00062009500166</v>
      </c>
      <c r="M449" s="9"/>
      <c r="N449" s="9"/>
      <c r="O449" s="9"/>
      <c r="P449" s="9"/>
      <c r="Q449" s="9"/>
      <c r="R449" s="9"/>
      <c r="S449" s="9"/>
      <c r="T449" s="9"/>
      <c r="U449" s="9"/>
      <c r="V449" s="9"/>
      <c r="W449" s="9"/>
      <c r="X449" s="9"/>
      <c r="Y449" s="9"/>
      <c r="Z449" s="9"/>
      <c r="AA449" s="9"/>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row>
    <row r="450" spans="1:66">
      <c r="A450" s="9"/>
      <c r="B450" s="342"/>
      <c r="C450" s="342"/>
      <c r="D450" s="343" t="str">
        <f>Asset7</f>
        <v>Zone substation equip 132/66kV</v>
      </c>
      <c r="E450" s="342"/>
      <c r="F450" s="342"/>
      <c r="G450" s="342"/>
      <c r="H450" s="342"/>
      <c r="I450" s="342"/>
      <c r="J450" s="342"/>
      <c r="K450" s="342"/>
      <c r="L450" s="346">
        <f t="shared" si="27"/>
        <v>380.33013938875627</v>
      </c>
      <c r="M450" s="9"/>
      <c r="N450" s="9"/>
      <c r="O450" s="9"/>
      <c r="P450" s="9"/>
      <c r="Q450" s="9"/>
      <c r="R450" s="9"/>
      <c r="S450" s="9"/>
      <c r="T450" s="9"/>
      <c r="U450" s="9"/>
      <c r="V450" s="9"/>
      <c r="W450" s="9"/>
      <c r="X450" s="9"/>
      <c r="Y450" s="9"/>
      <c r="Z450" s="9"/>
      <c r="AA450" s="9"/>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row>
    <row r="451" spans="1:66">
      <c r="A451" s="9"/>
      <c r="B451" s="342"/>
      <c r="C451" s="342"/>
      <c r="D451" s="343" t="str">
        <f>Asset8</f>
        <v>Transmission &amp; Zone emergency spares</v>
      </c>
      <c r="E451" s="342"/>
      <c r="F451" s="342"/>
      <c r="G451" s="342"/>
      <c r="H451" s="342"/>
      <c r="I451" s="342"/>
      <c r="J451" s="342"/>
      <c r="K451" s="342"/>
      <c r="L451" s="346">
        <f t="shared" si="27"/>
        <v>2.1023449282485758</v>
      </c>
      <c r="M451" s="9"/>
      <c r="N451" s="9"/>
      <c r="O451" s="9"/>
      <c r="P451" s="9"/>
      <c r="Q451" s="9"/>
      <c r="R451" s="9"/>
      <c r="S451" s="9"/>
      <c r="T451" s="9"/>
      <c r="U451" s="9"/>
      <c r="V451" s="9"/>
      <c r="W451" s="9"/>
      <c r="X451" s="9"/>
      <c r="Y451" s="9"/>
      <c r="Z451" s="9"/>
      <c r="AA451" s="9"/>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row>
    <row r="452" spans="1:66">
      <c r="A452" s="9"/>
      <c r="B452" s="342"/>
      <c r="C452" s="342"/>
      <c r="D452" s="343" t="str">
        <f>Asset9</f>
        <v>Ancillary substation equipment (tx)</v>
      </c>
      <c r="E452" s="342"/>
      <c r="F452" s="342"/>
      <c r="G452" s="342"/>
      <c r="H452" s="342"/>
      <c r="I452" s="342"/>
      <c r="J452" s="342"/>
      <c r="K452" s="342"/>
      <c r="L452" s="346">
        <f t="shared" si="27"/>
        <v>50.865293654881796</v>
      </c>
      <c r="M452" s="9"/>
      <c r="N452" s="9"/>
      <c r="O452" s="9"/>
      <c r="P452" s="9"/>
      <c r="Q452" s="9"/>
      <c r="R452" s="9"/>
      <c r="S452" s="9"/>
      <c r="T452" s="9"/>
      <c r="U452" s="9"/>
      <c r="V452" s="9"/>
      <c r="W452" s="9"/>
      <c r="X452" s="9"/>
      <c r="Y452" s="9"/>
      <c r="Z452" s="9"/>
      <c r="AA452" s="9"/>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row>
    <row r="453" spans="1:66">
      <c r="A453" s="9"/>
      <c r="B453" s="342"/>
      <c r="C453" s="342"/>
      <c r="D453" s="343" t="str">
        <f>Asset10</f>
        <v>132kV tower lines</v>
      </c>
      <c r="E453" s="342"/>
      <c r="F453" s="342"/>
      <c r="G453" s="342"/>
      <c r="H453" s="342"/>
      <c r="I453" s="342"/>
      <c r="J453" s="342"/>
      <c r="K453" s="342"/>
      <c r="L453" s="346">
        <f t="shared" si="27"/>
        <v>45.585505489794926</v>
      </c>
      <c r="M453" s="9"/>
      <c r="N453" s="9"/>
      <c r="O453" s="9"/>
      <c r="P453" s="9"/>
      <c r="Q453" s="9"/>
      <c r="R453" s="9"/>
      <c r="S453" s="9"/>
      <c r="T453" s="9"/>
      <c r="U453" s="9"/>
      <c r="V453" s="9"/>
      <c r="W453" s="9"/>
      <c r="X453" s="9"/>
      <c r="Y453" s="9"/>
      <c r="Z453" s="9"/>
      <c r="AA453" s="9"/>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row>
    <row r="454" spans="1:66">
      <c r="A454" s="9"/>
      <c r="B454" s="342"/>
      <c r="C454" s="342"/>
      <c r="D454" s="343" t="str">
        <f>Asset11</f>
        <v>132kV concrete &amp; steel pole lines</v>
      </c>
      <c r="E454" s="342"/>
      <c r="F454" s="342"/>
      <c r="G454" s="342"/>
      <c r="H454" s="342"/>
      <c r="I454" s="342"/>
      <c r="J454" s="342"/>
      <c r="K454" s="342"/>
      <c r="L454" s="346">
        <f t="shared" si="27"/>
        <v>41.972060713165149</v>
      </c>
      <c r="M454" s="9"/>
      <c r="N454" s="9"/>
      <c r="O454" s="9"/>
      <c r="P454" s="9"/>
      <c r="Q454" s="9"/>
      <c r="R454" s="9"/>
      <c r="S454" s="9"/>
      <c r="T454" s="9"/>
      <c r="U454" s="9"/>
      <c r="V454" s="9"/>
      <c r="W454" s="9"/>
      <c r="X454" s="9"/>
      <c r="Y454" s="9"/>
      <c r="Z454" s="9"/>
      <c r="AA454" s="9"/>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row>
    <row r="455" spans="1:66">
      <c r="A455" s="9"/>
      <c r="B455" s="342"/>
      <c r="C455" s="342"/>
      <c r="D455" s="343" t="str">
        <f>Asset12</f>
        <v>132kV wood pole lines</v>
      </c>
      <c r="E455" s="342"/>
      <c r="F455" s="342"/>
      <c r="G455" s="342"/>
      <c r="H455" s="342"/>
      <c r="I455" s="342"/>
      <c r="J455" s="342"/>
      <c r="K455" s="342"/>
      <c r="L455" s="346">
        <f t="shared" si="27"/>
        <v>39.487913994886611</v>
      </c>
      <c r="M455" s="9"/>
      <c r="N455" s="9"/>
      <c r="O455" s="9"/>
      <c r="P455" s="9"/>
      <c r="Q455" s="9"/>
      <c r="R455" s="9"/>
      <c r="S455" s="9"/>
      <c r="T455" s="9"/>
      <c r="U455" s="9"/>
      <c r="V455" s="9"/>
      <c r="W455" s="9"/>
      <c r="X455" s="9"/>
      <c r="Y455" s="9"/>
      <c r="Z455" s="9"/>
      <c r="AA455" s="9"/>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row>
    <row r="456" spans="1:66">
      <c r="A456" s="9"/>
      <c r="B456" s="342"/>
      <c r="C456" s="342"/>
      <c r="D456" s="343" t="str">
        <f>Asset13</f>
        <v>132kV feeders underground</v>
      </c>
      <c r="E456" s="342"/>
      <c r="F456" s="342"/>
      <c r="G456" s="342"/>
      <c r="H456" s="342"/>
      <c r="I456" s="342"/>
      <c r="J456" s="342"/>
      <c r="K456" s="342"/>
      <c r="L456" s="346">
        <f t="shared" si="27"/>
        <v>596.73389278507943</v>
      </c>
      <c r="M456" s="9"/>
      <c r="N456" s="9"/>
      <c r="O456" s="9"/>
      <c r="P456" s="9"/>
      <c r="Q456" s="9"/>
      <c r="R456" s="9"/>
      <c r="S456" s="9"/>
      <c r="T456" s="9"/>
      <c r="U456" s="9"/>
      <c r="V456" s="9"/>
      <c r="W456" s="9"/>
      <c r="X456" s="9"/>
      <c r="Y456" s="9"/>
      <c r="Z456" s="9"/>
      <c r="AA456" s="9"/>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row>
    <row r="457" spans="1:66">
      <c r="A457" s="9"/>
      <c r="B457" s="342"/>
      <c r="C457" s="342"/>
      <c r="D457" s="343" t="str">
        <f>Asset14</f>
        <v>Cable tunnel (tx)</v>
      </c>
      <c r="E457" s="342"/>
      <c r="F457" s="342"/>
      <c r="G457" s="342"/>
      <c r="H457" s="342"/>
      <c r="I457" s="342"/>
      <c r="J457" s="342"/>
      <c r="K457" s="342"/>
      <c r="L457" s="346">
        <f t="shared" si="27"/>
        <v>12.189187353290192</v>
      </c>
      <c r="M457" s="9"/>
      <c r="N457" s="9"/>
      <c r="O457" s="9"/>
      <c r="P457" s="9"/>
      <c r="Q457" s="9"/>
      <c r="R457" s="9"/>
      <c r="S457" s="9"/>
      <c r="T457" s="9"/>
      <c r="U457" s="9"/>
      <c r="V457" s="9"/>
      <c r="W457" s="9"/>
      <c r="X457" s="9"/>
      <c r="Y457" s="9"/>
      <c r="Z457" s="9"/>
      <c r="AA457" s="9"/>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row>
    <row r="458" spans="1:66">
      <c r="A458" s="9"/>
      <c r="B458" s="342"/>
      <c r="C458" s="342"/>
      <c r="D458" s="343" t="str">
        <f>Asset15</f>
        <v>Network control &amp; com systems</v>
      </c>
      <c r="E458" s="342"/>
      <c r="F458" s="342"/>
      <c r="G458" s="342"/>
      <c r="H458" s="342"/>
      <c r="I458" s="342"/>
      <c r="J458" s="342"/>
      <c r="K458" s="342"/>
      <c r="L458" s="346">
        <f t="shared" si="27"/>
        <v>20.344686706751677</v>
      </c>
      <c r="M458" s="9"/>
      <c r="N458" s="9"/>
      <c r="O458" s="9"/>
      <c r="P458" s="9"/>
      <c r="Q458" s="9"/>
      <c r="R458" s="9"/>
      <c r="S458" s="9"/>
      <c r="T458" s="9"/>
      <c r="U458" s="9"/>
      <c r="V458" s="9"/>
      <c r="W458" s="9"/>
      <c r="X458" s="9"/>
      <c r="Y458" s="9"/>
      <c r="Z458" s="9"/>
      <c r="AA458" s="9"/>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row>
    <row r="459" spans="1:66">
      <c r="A459" s="9"/>
      <c r="B459" s="342"/>
      <c r="C459" s="342"/>
      <c r="D459" s="343" t="str">
        <f>Asset16</f>
        <v>Communications (digital) - tx</v>
      </c>
      <c r="E459" s="342"/>
      <c r="F459" s="342"/>
      <c r="G459" s="342"/>
      <c r="H459" s="342"/>
      <c r="I459" s="342"/>
      <c r="J459" s="342"/>
      <c r="K459" s="342"/>
      <c r="L459" s="346">
        <f t="shared" si="27"/>
        <v>0.98826139978489147</v>
      </c>
      <c r="M459" s="9"/>
      <c r="N459" s="9"/>
      <c r="O459" s="9"/>
      <c r="P459" s="9"/>
      <c r="Q459" s="9"/>
      <c r="R459" s="9"/>
      <c r="S459" s="9"/>
      <c r="T459" s="9"/>
      <c r="U459" s="9"/>
      <c r="V459" s="9"/>
      <c r="W459" s="9"/>
      <c r="X459" s="9"/>
      <c r="Y459" s="9"/>
      <c r="Z459" s="9"/>
      <c r="AA459" s="9"/>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row>
    <row r="460" spans="1:66">
      <c r="A460" s="9"/>
      <c r="B460" s="342"/>
      <c r="C460" s="342"/>
      <c r="D460" s="343" t="str">
        <f>Asset17</f>
        <v>System IT (tx)</v>
      </c>
      <c r="E460" s="342"/>
      <c r="F460" s="342"/>
      <c r="G460" s="342"/>
      <c r="H460" s="342"/>
      <c r="I460" s="342"/>
      <c r="J460" s="342"/>
      <c r="K460" s="342"/>
      <c r="L460" s="346">
        <f t="shared" si="27"/>
        <v>22.837465706675264</v>
      </c>
      <c r="M460" s="9"/>
      <c r="N460" s="9"/>
      <c r="O460" s="9"/>
      <c r="P460" s="9"/>
      <c r="Q460" s="9"/>
      <c r="R460" s="9"/>
      <c r="S460" s="9"/>
      <c r="T460" s="9"/>
      <c r="U460" s="9"/>
      <c r="V460" s="9"/>
      <c r="W460" s="9"/>
      <c r="X460" s="9"/>
      <c r="Y460" s="9"/>
      <c r="Z460" s="9"/>
      <c r="AA460" s="9"/>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row>
    <row r="461" spans="1:66">
      <c r="A461" s="9"/>
      <c r="B461" s="342"/>
      <c r="C461" s="342"/>
      <c r="D461" s="343" t="str">
        <f>Asset18</f>
        <v>IT systems</v>
      </c>
      <c r="E461" s="342"/>
      <c r="F461" s="342"/>
      <c r="G461" s="342"/>
      <c r="H461" s="342"/>
      <c r="I461" s="342"/>
      <c r="J461" s="342"/>
      <c r="K461" s="342"/>
      <c r="L461" s="346">
        <f t="shared" si="27"/>
        <v>25.142350722695941</v>
      </c>
      <c r="M461" s="9"/>
      <c r="N461" s="9"/>
      <c r="O461" s="9"/>
      <c r="P461" s="9"/>
      <c r="Q461" s="9"/>
      <c r="R461" s="9"/>
      <c r="S461" s="9"/>
      <c r="T461" s="9"/>
      <c r="U461" s="9"/>
      <c r="V461" s="9"/>
      <c r="W461" s="9"/>
      <c r="X461" s="9"/>
      <c r="Y461" s="9"/>
      <c r="Z461" s="9"/>
      <c r="AA461" s="9"/>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row>
    <row r="462" spans="1:66">
      <c r="A462" s="9"/>
      <c r="B462" s="342"/>
      <c r="C462" s="342"/>
      <c r="D462" s="343" t="str">
        <f>Asset19</f>
        <v>Furniture, fittings, plant and equipment</v>
      </c>
      <c r="E462" s="342"/>
      <c r="F462" s="342"/>
      <c r="G462" s="342"/>
      <c r="H462" s="342"/>
      <c r="I462" s="342"/>
      <c r="J462" s="342"/>
      <c r="K462" s="342"/>
      <c r="L462" s="346">
        <f t="shared" si="27"/>
        <v>5.9065031188216439</v>
      </c>
      <c r="M462" s="9"/>
      <c r="N462" s="9"/>
      <c r="O462" s="9"/>
      <c r="P462" s="9"/>
      <c r="Q462" s="9"/>
      <c r="R462" s="9"/>
      <c r="S462" s="9"/>
      <c r="T462" s="9"/>
      <c r="U462" s="9"/>
      <c r="V462" s="9"/>
      <c r="W462" s="9"/>
      <c r="X462" s="9"/>
      <c r="Y462" s="9"/>
      <c r="Z462" s="9"/>
      <c r="AA462" s="9"/>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row>
    <row r="463" spans="1:66">
      <c r="A463" s="9"/>
      <c r="B463" s="342"/>
      <c r="C463" s="342"/>
      <c r="D463" s="343" t="str">
        <f>Asset20</f>
        <v>Motor vehicles</v>
      </c>
      <c r="E463" s="342"/>
      <c r="F463" s="342"/>
      <c r="G463" s="342"/>
      <c r="H463" s="342"/>
      <c r="I463" s="342"/>
      <c r="J463" s="342"/>
      <c r="K463" s="342"/>
      <c r="L463" s="346">
        <f t="shared" si="27"/>
        <v>16.187140916114405</v>
      </c>
      <c r="M463" s="9"/>
      <c r="N463" s="9"/>
      <c r="O463" s="9"/>
      <c r="P463" s="9"/>
      <c r="Q463" s="9"/>
      <c r="R463" s="9"/>
      <c r="S463" s="9"/>
      <c r="T463" s="9"/>
      <c r="U463" s="9"/>
      <c r="V463" s="9"/>
      <c r="W463" s="9"/>
      <c r="X463" s="9"/>
      <c r="Y463" s="9"/>
      <c r="Z463" s="9"/>
      <c r="AA463" s="9"/>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row>
    <row r="464" spans="1:66">
      <c r="A464" s="9"/>
      <c r="B464" s="342"/>
      <c r="C464" s="342"/>
      <c r="D464" s="343" t="str">
        <f>Asset21</f>
        <v>Buildings</v>
      </c>
      <c r="E464" s="342"/>
      <c r="F464" s="342"/>
      <c r="G464" s="342"/>
      <c r="H464" s="342"/>
      <c r="I464" s="342"/>
      <c r="J464" s="342"/>
      <c r="K464" s="342"/>
      <c r="L464" s="346">
        <f t="shared" si="27"/>
        <v>36.497835049213762</v>
      </c>
      <c r="M464" s="318"/>
      <c r="N464" s="318"/>
      <c r="O464" s="318"/>
      <c r="P464" s="318"/>
      <c r="Q464" s="318"/>
      <c r="R464" s="318"/>
      <c r="S464" s="318"/>
      <c r="T464" s="318"/>
      <c r="U464" s="318"/>
      <c r="V464" s="318"/>
      <c r="W464" s="318"/>
      <c r="X464" s="318"/>
      <c r="Y464" s="318"/>
      <c r="Z464" s="318"/>
      <c r="AA464" s="318"/>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row>
    <row r="465" spans="1:66">
      <c r="A465" s="9"/>
      <c r="B465" s="342"/>
      <c r="C465" s="342"/>
      <c r="D465" s="343" t="str">
        <f>Asset22</f>
        <v>Land (non-system)</v>
      </c>
      <c r="E465" s="342"/>
      <c r="F465" s="342"/>
      <c r="G465" s="342"/>
      <c r="H465" s="342"/>
      <c r="I465" s="342"/>
      <c r="J465" s="342"/>
      <c r="K465" s="342"/>
      <c r="L465" s="346">
        <f t="shared" si="27"/>
        <v>3.5488475320238702</v>
      </c>
      <c r="M465" s="318"/>
      <c r="N465" s="318"/>
      <c r="O465" s="318"/>
      <c r="P465" s="318"/>
      <c r="Q465" s="318"/>
      <c r="R465" s="318"/>
      <c r="S465" s="318"/>
      <c r="T465" s="318"/>
      <c r="U465" s="318"/>
      <c r="V465" s="318"/>
      <c r="W465" s="318"/>
      <c r="X465" s="318"/>
      <c r="Y465" s="318"/>
      <c r="Z465" s="318"/>
      <c r="AA465" s="318"/>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row>
    <row r="466" spans="1:66">
      <c r="A466" s="9"/>
      <c r="B466" s="342"/>
      <c r="C466" s="342"/>
      <c r="D466" s="343" t="str">
        <f>Asset23</f>
        <v>Other non system assets</v>
      </c>
      <c r="E466" s="342"/>
      <c r="F466" s="342"/>
      <c r="G466" s="342"/>
      <c r="H466" s="342"/>
      <c r="I466" s="342"/>
      <c r="J466" s="342"/>
      <c r="K466" s="342"/>
      <c r="L466" s="346">
        <f t="shared" si="27"/>
        <v>2.168731611080609</v>
      </c>
      <c r="M466" s="318"/>
      <c r="N466" s="318"/>
      <c r="O466" s="318"/>
      <c r="P466" s="318"/>
      <c r="Q466" s="318"/>
      <c r="R466" s="318"/>
      <c r="S466" s="318"/>
      <c r="T466" s="318"/>
      <c r="U466" s="318"/>
      <c r="V466" s="318"/>
      <c r="W466" s="318"/>
      <c r="X466" s="318"/>
      <c r="Y466" s="318"/>
      <c r="Z466" s="318"/>
      <c r="AA466" s="318"/>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row>
    <row r="467" spans="1:66">
      <c r="A467" s="9"/>
      <c r="B467" s="342"/>
      <c r="C467" s="342"/>
      <c r="D467" s="343" t="str">
        <f>Asset24</f>
        <v>Equity raising costs</v>
      </c>
      <c r="E467" s="342"/>
      <c r="F467" s="342"/>
      <c r="G467" s="342"/>
      <c r="H467" s="342"/>
      <c r="I467" s="342"/>
      <c r="J467" s="342"/>
      <c r="K467" s="342"/>
      <c r="L467" s="346">
        <f t="shared" si="27"/>
        <v>6.6387025614444912</v>
      </c>
      <c r="M467" s="318"/>
      <c r="N467" s="318"/>
      <c r="O467" s="318"/>
      <c r="P467" s="318"/>
      <c r="Q467" s="318"/>
      <c r="R467" s="318"/>
      <c r="S467" s="318"/>
      <c r="T467" s="318"/>
      <c r="U467" s="318"/>
      <c r="V467" s="318"/>
      <c r="W467" s="318"/>
      <c r="X467" s="318"/>
      <c r="Y467" s="318"/>
      <c r="Z467" s="318"/>
      <c r="AA467" s="318"/>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row>
    <row r="468" spans="1:66">
      <c r="A468" s="9"/>
      <c r="B468" s="342"/>
      <c r="C468" s="342"/>
      <c r="D468" s="343"/>
      <c r="E468" s="342"/>
      <c r="F468" s="342"/>
      <c r="G468" s="342"/>
      <c r="H468" s="342"/>
      <c r="I468" s="342"/>
      <c r="J468" s="342"/>
      <c r="K468" s="342"/>
      <c r="L468" s="345"/>
      <c r="M468" s="318"/>
      <c r="N468" s="318"/>
      <c r="O468" s="318"/>
      <c r="P468" s="318"/>
      <c r="Q468" s="318"/>
      <c r="R468" s="318"/>
      <c r="S468" s="318"/>
      <c r="T468" s="318"/>
      <c r="U468" s="318"/>
      <c r="V468" s="318"/>
      <c r="W468" s="318"/>
      <c r="X468" s="318"/>
      <c r="Y468" s="318"/>
      <c r="Z468" s="318"/>
      <c r="AA468" s="318"/>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row>
    <row r="469" spans="1:66">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row>
    <row r="470" spans="1:66">
      <c r="B470" s="185"/>
      <c r="C470" s="185"/>
      <c r="D470" s="185"/>
      <c r="E470" s="185"/>
      <c r="F470" s="185"/>
      <c r="G470" s="185"/>
      <c r="H470" s="185"/>
      <c r="I470" s="185"/>
      <c r="J470" s="185"/>
      <c r="K470" s="185"/>
      <c r="L470" s="25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row>
    <row r="471" spans="1:66">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row>
    <row r="472" spans="1:66">
      <c r="B472" s="185"/>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row>
    <row r="473" spans="1:66">
      <c r="B473" s="185"/>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Sheet1"/>
  <dimension ref="A1:AB555"/>
  <sheetViews>
    <sheetView zoomScale="130" zoomScaleNormal="130" workbookViewId="0">
      <selection activeCell="L47" sqref="L47"/>
    </sheetView>
  </sheetViews>
  <sheetFormatPr defaultRowHeight="12.75" outlineLevelRow="1"/>
  <cols>
    <col min="1" max="1" width="4.140625" customWidth="1"/>
    <col min="2" max="2" width="25.42578125" customWidth="1"/>
    <col min="3" max="3" width="33" customWidth="1"/>
    <col min="4" max="4" width="5.42578125" customWidth="1"/>
    <col min="5" max="5" width="21.28515625" style="273" hidden="1" customWidth="1"/>
    <col min="6" max="7" width="21.28515625" style="273" customWidth="1"/>
    <col min="8" max="8" width="4.140625" style="274" customWidth="1"/>
    <col min="9" max="9" width="6.85546875" style="275" customWidth="1"/>
    <col min="10" max="10" width="6.85546875" style="269" customWidth="1"/>
    <col min="11" max="11" width="16.140625" style="275" customWidth="1"/>
    <col min="12" max="12" width="24.5703125" style="269" customWidth="1"/>
    <col min="13" max="13" width="9.28515625" style="268" bestFit="1" customWidth="1"/>
    <col min="14" max="14" width="9.140625" style="305" customWidth="1"/>
    <col min="15" max="16" width="9.5703125" style="305" customWidth="1"/>
    <col min="17" max="17" width="11.5703125" style="305" customWidth="1"/>
    <col min="18" max="20" width="9.140625" customWidth="1"/>
  </cols>
  <sheetData>
    <row r="1" spans="1:28">
      <c r="A1" s="44"/>
      <c r="B1" s="44"/>
      <c r="C1" s="44"/>
      <c r="D1" s="44"/>
      <c r="E1" s="44"/>
      <c r="F1" s="44"/>
      <c r="G1" s="44"/>
      <c r="H1" s="44"/>
      <c r="I1" s="44"/>
      <c r="J1" s="44"/>
      <c r="K1" s="307"/>
      <c r="L1" s="307"/>
      <c r="M1" s="44"/>
      <c r="N1" s="301"/>
      <c r="O1" s="301"/>
      <c r="P1" s="301"/>
      <c r="Q1" s="301"/>
      <c r="R1" s="44"/>
      <c r="S1" s="44"/>
      <c r="T1" s="44"/>
      <c r="U1" s="44"/>
      <c r="V1" s="44"/>
      <c r="W1" s="44"/>
      <c r="X1" s="44"/>
      <c r="Y1" s="44"/>
      <c r="Z1" s="44"/>
      <c r="AA1" s="44"/>
      <c r="AB1" s="44"/>
    </row>
    <row r="2" spans="1:28" ht="15.75">
      <c r="A2" s="44"/>
      <c r="B2" s="55" t="s">
        <v>166</v>
      </c>
      <c r="C2" s="44"/>
      <c r="D2" s="44"/>
      <c r="E2" s="44"/>
      <c r="F2" s="44"/>
      <c r="G2" s="44"/>
      <c r="H2" s="44"/>
      <c r="I2" s="44"/>
      <c r="J2" s="44"/>
      <c r="K2" s="44"/>
      <c r="L2" s="307"/>
      <c r="M2" s="44"/>
      <c r="N2" s="301"/>
      <c r="O2" s="301"/>
      <c r="P2" s="301"/>
      <c r="Q2" s="301"/>
      <c r="R2" s="44"/>
      <c r="S2" s="44"/>
      <c r="T2" s="44"/>
      <c r="U2" s="44"/>
      <c r="V2" s="44"/>
      <c r="W2" s="44"/>
      <c r="X2" s="44"/>
      <c r="Y2" s="44"/>
      <c r="Z2" s="44"/>
      <c r="AA2" s="44"/>
      <c r="AB2" s="44"/>
    </row>
    <row r="3" spans="1:28">
      <c r="A3" s="44"/>
      <c r="B3" s="44"/>
      <c r="C3" s="44"/>
      <c r="D3" s="44"/>
      <c r="E3" s="44"/>
      <c r="F3" s="44"/>
      <c r="G3" s="44"/>
      <c r="H3" s="44"/>
      <c r="I3" s="44"/>
      <c r="J3" s="44"/>
      <c r="K3" s="44"/>
      <c r="L3" s="44"/>
      <c r="M3" s="44"/>
      <c r="N3" s="301"/>
      <c r="O3" s="301"/>
      <c r="P3" s="301"/>
      <c r="Q3" s="301"/>
      <c r="R3" s="44"/>
      <c r="S3" s="44"/>
      <c r="T3" s="44"/>
      <c r="U3" s="44"/>
      <c r="V3" s="44"/>
      <c r="W3" s="44"/>
      <c r="X3" s="44"/>
      <c r="Y3" s="44"/>
      <c r="Z3" s="44"/>
      <c r="AA3" s="44"/>
      <c r="AB3" s="44"/>
    </row>
    <row r="4" spans="1:28" ht="16.5" customHeight="1">
      <c r="A4" s="80"/>
      <c r="B4" s="81"/>
      <c r="C4" s="80"/>
      <c r="D4" s="80"/>
      <c r="E4" s="80"/>
      <c r="F4" s="80"/>
      <c r="G4" s="80"/>
      <c r="H4" s="144"/>
      <c r="I4" s="144"/>
      <c r="J4" s="144"/>
      <c r="K4" s="144"/>
      <c r="L4" s="144"/>
      <c r="M4" s="144"/>
      <c r="N4" s="302"/>
      <c r="O4" s="302"/>
      <c r="P4" s="302"/>
      <c r="Q4" s="302"/>
      <c r="R4" s="144"/>
      <c r="S4" s="144"/>
      <c r="T4" s="144"/>
      <c r="U4" s="44"/>
      <c r="V4" s="44"/>
      <c r="W4" s="44"/>
      <c r="X4" s="44"/>
      <c r="Y4" s="44"/>
      <c r="Z4" s="44"/>
      <c r="AA4" s="44"/>
      <c r="AB4" s="44"/>
    </row>
    <row r="5" spans="1:28">
      <c r="A5" s="72"/>
      <c r="B5" s="79" t="s">
        <v>130</v>
      </c>
      <c r="C5" s="72"/>
      <c r="D5" s="72"/>
      <c r="E5" s="257" t="s">
        <v>136</v>
      </c>
      <c r="F5" s="257" t="s">
        <v>134</v>
      </c>
      <c r="G5" s="257" t="s">
        <v>131</v>
      </c>
      <c r="H5" s="258"/>
      <c r="I5" s="257"/>
      <c r="J5" s="257"/>
      <c r="K5" s="257"/>
      <c r="L5" s="257"/>
      <c r="M5" s="72"/>
      <c r="N5" s="303"/>
      <c r="O5" s="303"/>
      <c r="P5" s="303"/>
      <c r="Q5" s="303"/>
      <c r="R5" s="72"/>
      <c r="S5" s="72"/>
      <c r="T5" s="72"/>
      <c r="U5" s="44"/>
      <c r="V5" s="44"/>
      <c r="W5" s="44"/>
      <c r="X5" s="44"/>
      <c r="Y5" s="44"/>
      <c r="Z5" s="44"/>
      <c r="AA5" s="44"/>
      <c r="AB5" s="44"/>
    </row>
    <row r="6" spans="1:28" s="185" customFormat="1" ht="12.75" customHeight="1">
      <c r="A6" s="11"/>
      <c r="B6" s="11"/>
      <c r="C6" s="11"/>
      <c r="D6" s="259"/>
      <c r="E6" s="260" t="s">
        <v>132</v>
      </c>
      <c r="F6" s="260" t="s">
        <v>132</v>
      </c>
      <c r="G6" s="260" t="s">
        <v>133</v>
      </c>
      <c r="H6" s="11"/>
      <c r="I6" s="44"/>
      <c r="J6" s="44"/>
      <c r="K6" s="44"/>
      <c r="L6" s="44"/>
      <c r="M6" s="44"/>
      <c r="N6" s="44"/>
      <c r="O6" s="44"/>
      <c r="P6" s="44"/>
      <c r="Q6" s="44"/>
      <c r="R6" s="44"/>
      <c r="S6" s="44"/>
      <c r="T6" s="44"/>
      <c r="U6" s="44"/>
      <c r="V6" s="44"/>
      <c r="W6" s="44"/>
      <c r="X6" s="44"/>
      <c r="Y6" s="44"/>
      <c r="Z6" s="44"/>
      <c r="AA6" s="44"/>
      <c r="AB6" s="44"/>
    </row>
    <row r="7" spans="1:28" s="185" customFormat="1" hidden="1" outlineLevel="1">
      <c r="A7" s="11"/>
      <c r="B7" s="261" t="str">
        <f>Asset1</f>
        <v>Transmission &amp; Zone land &amp; easements</v>
      </c>
      <c r="C7" s="11"/>
      <c r="D7" s="11"/>
      <c r="E7" s="260"/>
      <c r="F7" s="260"/>
      <c r="G7" s="260"/>
      <c r="H7" s="11"/>
      <c r="I7" s="44"/>
      <c r="J7" s="44"/>
      <c r="K7" s="44"/>
      <c r="L7" s="44"/>
      <c r="M7" s="44"/>
      <c r="N7" s="44"/>
      <c r="O7" s="44"/>
      <c r="P7" s="44"/>
      <c r="Q7" s="44"/>
      <c r="R7" s="44"/>
      <c r="S7" s="44"/>
      <c r="T7" s="44"/>
      <c r="U7" s="44"/>
      <c r="V7" s="44"/>
      <c r="W7" s="44"/>
      <c r="X7" s="44"/>
      <c r="Y7" s="44"/>
      <c r="Z7" s="44"/>
      <c r="AA7" s="44"/>
      <c r="AB7" s="44"/>
    </row>
    <row r="8" spans="1:28" ht="12.75" hidden="1" customHeight="1" outlineLevel="1">
      <c r="A8" s="9"/>
      <c r="B8" s="9"/>
      <c r="C8" s="377" t="s">
        <v>28</v>
      </c>
      <c r="D8" s="378"/>
      <c r="E8" s="306">
        <f t="shared" ref="E8:E13" si="0">Q8</f>
        <v>0</v>
      </c>
      <c r="F8" s="276">
        <f ca="1">A1value-SUM('Actual RAB roll forward'!H44:OFFSET('Actual RAB roll forward'!H44,0,Input!$W$7-1))</f>
        <v>332.15104413489365</v>
      </c>
      <c r="G8" s="276" t="str">
        <f>IF(A1remlife="N/A","n/a",A1remlife-Input!$W$7)</f>
        <v>n/a</v>
      </c>
      <c r="H8" s="263"/>
      <c r="I8" s="44"/>
      <c r="J8" s="44"/>
      <c r="K8" s="44"/>
      <c r="L8" s="44"/>
      <c r="M8" s="44"/>
      <c r="N8" s="44"/>
      <c r="O8" s="44"/>
      <c r="P8" s="44"/>
      <c r="Q8" s="44"/>
      <c r="R8" s="44"/>
      <c r="S8" s="44"/>
      <c r="T8" s="44"/>
      <c r="U8" s="44"/>
      <c r="V8" s="44"/>
      <c r="W8" s="44"/>
      <c r="X8" s="44"/>
      <c r="Y8" s="44"/>
      <c r="Z8" s="44"/>
      <c r="AA8" s="44"/>
      <c r="AB8" s="44"/>
    </row>
    <row r="9" spans="1:28" hidden="1" outlineLevel="1">
      <c r="A9" s="9"/>
      <c r="B9" s="9"/>
      <c r="C9" s="379" t="s">
        <v>85</v>
      </c>
      <c r="D9" s="85">
        <v>1</v>
      </c>
      <c r="E9" s="306">
        <f t="shared" si="0"/>
        <v>0</v>
      </c>
      <c r="F9" s="276">
        <f ca="1">OFFSET('Actual RAB roll forward'!H$12,0,D9-1)-SUM('Actual RAB roll forward'!H46:OFFSET('Actual RAB roll forward'!H46,0,Input!$W$7-1))</f>
        <v>0</v>
      </c>
      <c r="G9" s="276" t="str">
        <f>IF(A1stdlife="N/A","n/a",IF(F9=0,0,A1stdlife+D9-Input!$W$7))</f>
        <v>n/a</v>
      </c>
      <c r="H9" s="263"/>
      <c r="I9" s="44"/>
      <c r="J9" s="44"/>
      <c r="K9" s="44"/>
      <c r="L9" s="44"/>
      <c r="M9" s="44"/>
      <c r="N9" s="44"/>
      <c r="O9" s="44"/>
      <c r="P9" s="44"/>
      <c r="Q9" s="44"/>
      <c r="R9" s="44"/>
      <c r="S9" s="44"/>
      <c r="T9" s="44"/>
      <c r="U9" s="44"/>
      <c r="V9" s="44"/>
      <c r="W9" s="44"/>
      <c r="X9" s="44"/>
      <c r="Y9" s="44"/>
      <c r="Z9" s="44"/>
      <c r="AA9" s="44"/>
      <c r="AB9" s="44"/>
    </row>
    <row r="10" spans="1:28" hidden="1" outlineLevel="1">
      <c r="A10" s="9"/>
      <c r="B10" s="9"/>
      <c r="C10" s="380"/>
      <c r="D10" s="85">
        <v>2</v>
      </c>
      <c r="E10" s="306">
        <f t="shared" si="0"/>
        <v>0</v>
      </c>
      <c r="F10" s="276">
        <f ca="1">OFFSET('Actual RAB roll forward'!H$12,0,D10-1)-SUM('Actual RAB roll forward'!H47:OFFSET('Actual RAB roll forward'!H47,0,Input!$W$7-1))</f>
        <v>13.831481037309253</v>
      </c>
      <c r="G10" s="276" t="str">
        <f>IF(A1stdlife="N/A","n/a",IF(F10=0,0,A1stdlife+D10-Input!$W$7))</f>
        <v>n/a</v>
      </c>
      <c r="H10" s="263"/>
      <c r="I10" s="44"/>
      <c r="J10" s="44"/>
      <c r="K10" s="44"/>
      <c r="L10" s="44"/>
      <c r="M10" s="44"/>
      <c r="N10" s="44"/>
      <c r="O10" s="44"/>
      <c r="P10" s="44"/>
      <c r="Q10" s="44"/>
      <c r="R10" s="44"/>
      <c r="S10" s="44"/>
      <c r="T10" s="44"/>
      <c r="U10" s="44"/>
      <c r="V10" s="44"/>
      <c r="W10" s="44"/>
      <c r="X10" s="44"/>
      <c r="Y10" s="44"/>
      <c r="Z10" s="44"/>
      <c r="AA10" s="44"/>
      <c r="AB10" s="44"/>
    </row>
    <row r="11" spans="1:28" hidden="1" outlineLevel="1">
      <c r="A11" s="9"/>
      <c r="B11" s="9"/>
      <c r="C11" s="380"/>
      <c r="D11" s="85">
        <v>3</v>
      </c>
      <c r="E11" s="306">
        <f t="shared" si="0"/>
        <v>0</v>
      </c>
      <c r="F11" s="276">
        <f ca="1">OFFSET('Actual RAB roll forward'!H$12,0,D11-1)-SUM('Actual RAB roll forward'!H48:OFFSET('Actual RAB roll forward'!H48,0,Input!$W$7-1))</f>
        <v>2.6505982643506401</v>
      </c>
      <c r="G11" s="276" t="str">
        <f>IF(A1stdlife="N/A","n/a",IF(F11=0,0,A1stdlife+D11-Input!$W$7))</f>
        <v>n/a</v>
      </c>
      <c r="H11" s="263"/>
      <c r="I11" s="44"/>
      <c r="J11" s="44"/>
      <c r="K11" s="44"/>
      <c r="L11" s="44"/>
      <c r="M11" s="44"/>
      <c r="N11" s="44"/>
      <c r="O11" s="44"/>
      <c r="P11" s="44"/>
      <c r="Q11" s="44"/>
      <c r="R11" s="44"/>
      <c r="S11" s="44"/>
      <c r="T11" s="44"/>
      <c r="U11" s="44"/>
      <c r="V11" s="44"/>
      <c r="W11" s="44"/>
      <c r="X11" s="44"/>
      <c r="Y11" s="44"/>
      <c r="Z11" s="44"/>
      <c r="AA11" s="44"/>
      <c r="AB11" s="44"/>
    </row>
    <row r="12" spans="1:28" hidden="1" outlineLevel="1">
      <c r="A12" s="9"/>
      <c r="B12" s="9"/>
      <c r="C12" s="380"/>
      <c r="D12" s="85">
        <v>4</v>
      </c>
      <c r="E12" s="306">
        <f t="shared" si="0"/>
        <v>0</v>
      </c>
      <c r="F12" s="276">
        <f ca="1">OFFSET('Actual RAB roll forward'!H$12,0,D12-1)-SUM('Actual RAB roll forward'!H49:OFFSET('Actual RAB roll forward'!H49,0,Input!$W$7-1))</f>
        <v>1.7185687665266773</v>
      </c>
      <c r="G12" s="276" t="str">
        <f>IF(A1stdlife="N/A","n/a",IF(F12=0,0,A1stdlife+D12-Input!$W$7))</f>
        <v>n/a</v>
      </c>
      <c r="H12" s="263"/>
      <c r="I12" s="44"/>
      <c r="J12" s="44"/>
      <c r="K12" s="44"/>
      <c r="L12" s="44"/>
      <c r="M12" s="44"/>
      <c r="N12" s="44"/>
      <c r="O12" s="44"/>
      <c r="P12" s="44"/>
      <c r="Q12" s="44"/>
      <c r="R12" s="44"/>
      <c r="S12" s="44"/>
      <c r="T12" s="44"/>
      <c r="U12" s="44"/>
      <c r="V12" s="44"/>
      <c r="W12" s="44"/>
      <c r="X12" s="44"/>
      <c r="Y12" s="44"/>
      <c r="Z12" s="44"/>
      <c r="AA12" s="44"/>
      <c r="AB12" s="44"/>
    </row>
    <row r="13" spans="1:28" hidden="1" outlineLevel="1">
      <c r="A13" s="9"/>
      <c r="B13" s="9"/>
      <c r="C13" s="380"/>
      <c r="D13" s="85">
        <v>5</v>
      </c>
      <c r="E13" s="306">
        <f t="shared" si="0"/>
        <v>0</v>
      </c>
      <c r="F13" s="276">
        <f ca="1">OFFSET('Actual RAB roll forward'!H$12,0,D13-1)-SUM('Actual RAB roll forward'!H50:OFFSET('Actual RAB roll forward'!H50,0,Input!$W$7-1))</f>
        <v>1.3005045786374019</v>
      </c>
      <c r="G13" s="276" t="str">
        <f>IF(A1stdlife="N/A","n/a",IF(F13=0,0,A1stdlife+D13-Input!$W$7))</f>
        <v>n/a</v>
      </c>
      <c r="H13" s="263"/>
      <c r="I13" s="44"/>
      <c r="J13" s="44"/>
      <c r="K13" s="44"/>
      <c r="L13" s="44"/>
      <c r="M13" s="44"/>
      <c r="N13" s="44"/>
      <c r="O13" s="44"/>
      <c r="P13" s="44"/>
      <c r="Q13" s="44"/>
      <c r="R13" s="44"/>
      <c r="S13" s="44"/>
      <c r="T13" s="44"/>
      <c r="U13" s="44"/>
      <c r="V13" s="44"/>
      <c r="W13" s="44"/>
      <c r="X13" s="44"/>
      <c r="Y13" s="44"/>
      <c r="Z13" s="44"/>
      <c r="AA13" s="44"/>
      <c r="AB13" s="44"/>
    </row>
    <row r="14" spans="1:28" hidden="1" outlineLevel="1">
      <c r="A14" s="9"/>
      <c r="B14" s="9"/>
      <c r="C14" s="380"/>
      <c r="D14" s="85">
        <v>6</v>
      </c>
      <c r="E14" s="306"/>
      <c r="F14" s="276">
        <f ca="1">OFFSET('Actual RAB roll forward'!H$12,0,D14-1)-SUM('Actual RAB roll forward'!H51:OFFSET('Actual RAB roll forward'!H51,0,Input!$W$7-1))</f>
        <v>0</v>
      </c>
      <c r="G14" s="276" t="str">
        <f>IF(A1stdlife="N/A","n/a",IF(F14=0,0,A1stdlife+D14-Input!$W$7))</f>
        <v>n/a</v>
      </c>
      <c r="H14" s="263"/>
      <c r="I14" s="44"/>
      <c r="J14" s="44"/>
      <c r="K14" s="44"/>
      <c r="L14" s="44"/>
      <c r="M14" s="44"/>
      <c r="N14" s="44"/>
      <c r="O14" s="44"/>
      <c r="P14" s="44"/>
      <c r="Q14" s="44"/>
      <c r="R14" s="44"/>
      <c r="S14" s="44"/>
      <c r="T14" s="44"/>
      <c r="U14" s="44"/>
      <c r="V14" s="44"/>
      <c r="W14" s="44"/>
      <c r="X14" s="44"/>
      <c r="Y14" s="44"/>
      <c r="Z14" s="44"/>
      <c r="AA14" s="44"/>
      <c r="AB14" s="44"/>
    </row>
    <row r="15" spans="1:28" hidden="1" outlineLevel="1">
      <c r="A15" s="9"/>
      <c r="B15" s="9"/>
      <c r="C15" s="380"/>
      <c r="D15" s="85">
        <v>7</v>
      </c>
      <c r="E15" s="306"/>
      <c r="F15" s="276">
        <f ca="1">OFFSET('Actual RAB roll forward'!H$12,0,D15-1)-SUM('Actual RAB roll forward'!H52:OFFSET('Actual RAB roll forward'!H52,0,Input!$W$7-1))</f>
        <v>0</v>
      </c>
      <c r="G15" s="276" t="str">
        <f>IF(A1stdlife="N/A","n/a",IF(F15=0,0,A1stdlife+D15-Input!$W$7))</f>
        <v>n/a</v>
      </c>
      <c r="H15" s="263"/>
      <c r="I15" s="44"/>
      <c r="J15" s="44"/>
      <c r="K15" s="44"/>
      <c r="L15" s="44"/>
      <c r="M15" s="44"/>
      <c r="N15" s="44"/>
      <c r="O15" s="44"/>
      <c r="P15" s="44"/>
      <c r="Q15" s="44"/>
      <c r="R15" s="44"/>
      <c r="S15" s="44"/>
      <c r="T15" s="44"/>
      <c r="U15" s="44"/>
      <c r="V15" s="44"/>
      <c r="W15" s="44"/>
      <c r="X15" s="44"/>
      <c r="Y15" s="44"/>
      <c r="Z15" s="44"/>
      <c r="AA15" s="44"/>
      <c r="AB15" s="44"/>
    </row>
    <row r="16" spans="1:28" hidden="1" outlineLevel="1">
      <c r="A16" s="9"/>
      <c r="B16" s="9"/>
      <c r="C16" s="380"/>
      <c r="D16" s="85">
        <v>8</v>
      </c>
      <c r="E16" s="306"/>
      <c r="F16" s="276">
        <f ca="1">OFFSET('Actual RAB roll forward'!H$12,0,D16-1)-SUM('Actual RAB roll forward'!H53:OFFSET('Actual RAB roll forward'!H53,0,Input!$W$7-1))</f>
        <v>0</v>
      </c>
      <c r="G16" s="276" t="str">
        <f>IF(A1stdlife="N/A","n/a",IF(F16=0,0,A1stdlife+D16-Input!$W$7))</f>
        <v>n/a</v>
      </c>
      <c r="H16" s="263"/>
      <c r="I16" s="44"/>
      <c r="J16" s="44"/>
      <c r="K16" s="44"/>
      <c r="L16" s="44"/>
      <c r="M16" s="44"/>
      <c r="N16" s="44"/>
      <c r="O16" s="44"/>
      <c r="P16" s="44"/>
      <c r="Q16" s="44"/>
      <c r="R16" s="44"/>
      <c r="S16" s="44"/>
      <c r="T16" s="44"/>
      <c r="U16" s="44"/>
      <c r="V16" s="44"/>
      <c r="W16" s="44"/>
      <c r="X16" s="44"/>
      <c r="Y16" s="44"/>
      <c r="Z16" s="44"/>
      <c r="AA16" s="44"/>
      <c r="AB16" s="44"/>
    </row>
    <row r="17" spans="1:28" hidden="1" outlineLevel="1">
      <c r="A17" s="9"/>
      <c r="B17" s="9"/>
      <c r="C17" s="380"/>
      <c r="D17" s="85">
        <v>9</v>
      </c>
      <c r="E17" s="306"/>
      <c r="F17" s="276">
        <f ca="1">OFFSET('Actual RAB roll forward'!H$12,0,D17-1)-SUM('Actual RAB roll forward'!H54:OFFSET('Actual RAB roll forward'!H54,0,Input!$W$7-1))</f>
        <v>0</v>
      </c>
      <c r="G17" s="276" t="str">
        <f>IF(A1stdlife="N/A","n/a",IF(F17=0,0,A1stdlife+D17-Input!$W$7))</f>
        <v>n/a</v>
      </c>
      <c r="H17" s="263"/>
      <c r="I17" s="44"/>
      <c r="J17" s="44"/>
      <c r="K17" s="44"/>
      <c r="L17" s="44"/>
      <c r="M17" s="44"/>
      <c r="N17" s="44"/>
      <c r="O17" s="44"/>
      <c r="P17" s="44"/>
      <c r="Q17" s="44"/>
      <c r="R17" s="44"/>
      <c r="S17" s="44"/>
      <c r="T17" s="44"/>
      <c r="U17" s="44"/>
      <c r="V17" s="44"/>
      <c r="W17" s="44"/>
      <c r="X17" s="44"/>
      <c r="Y17" s="44"/>
      <c r="Z17" s="44"/>
      <c r="AA17" s="44"/>
      <c r="AB17" s="44"/>
    </row>
    <row r="18" spans="1:28" hidden="1" outlineLevel="1">
      <c r="A18" s="9"/>
      <c r="B18" s="9"/>
      <c r="C18" s="381"/>
      <c r="D18" s="86">
        <v>10</v>
      </c>
      <c r="E18" s="306"/>
      <c r="F18" s="276">
        <f ca="1">OFFSET('Actual RAB roll forward'!H$12,0,D18-1)-SUM('Actual RAB roll forward'!H55:OFFSET('Actual RAB roll forward'!H55,0,Input!$W$7-1))</f>
        <v>0</v>
      </c>
      <c r="G18" s="276" t="str">
        <f>IF(A1stdlife="N/A","n/a",IF(F18=0,0,A1stdlife+D18-Input!$W$7))</f>
        <v>n/a</v>
      </c>
      <c r="H18" s="263"/>
      <c r="I18" s="44"/>
      <c r="J18" s="44"/>
      <c r="K18" s="44"/>
      <c r="L18" s="44"/>
      <c r="M18" s="44"/>
      <c r="N18" s="44"/>
      <c r="O18" s="44"/>
      <c r="P18" s="44"/>
      <c r="Q18" s="44"/>
      <c r="R18" s="44"/>
      <c r="S18" s="44"/>
      <c r="T18" s="44"/>
      <c r="U18" s="44"/>
      <c r="V18" s="44"/>
      <c r="W18" s="44"/>
      <c r="X18" s="44"/>
      <c r="Y18" s="44"/>
      <c r="Z18" s="44"/>
      <c r="AA18" s="44"/>
      <c r="AB18" s="44"/>
    </row>
    <row r="19" spans="1:28" collapsed="1">
      <c r="A19" s="9"/>
      <c r="B19" s="9"/>
      <c r="C19" s="109" t="str">
        <f>B7</f>
        <v>Transmission &amp; Zone land &amp; easements</v>
      </c>
      <c r="D19" s="9"/>
      <c r="E19" s="306">
        <f>SUM(E8:E18)</f>
        <v>0</v>
      </c>
      <c r="F19" s="276">
        <f ca="1">SUM(F8:F18)</f>
        <v>351.65219678171763</v>
      </c>
      <c r="G19" s="276">
        <f ca="1">IF(F19=0,0,SUMPRODUCT(F8:F18,G8:G18)/F19)</f>
        <v>0</v>
      </c>
      <c r="H19" s="263"/>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64"/>
      <c r="C20" s="109"/>
      <c r="D20" s="9"/>
      <c r="E20" s="262"/>
      <c r="F20" s="262"/>
      <c r="G20" s="262"/>
      <c r="H20" s="263"/>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61" t="str">
        <f>Asset2</f>
        <v>Transmission buildings 132/66kV</v>
      </c>
      <c r="C21" s="265"/>
      <c r="D21" s="266"/>
      <c r="E21" s="267"/>
      <c r="F21" s="267"/>
      <c r="G21" s="262"/>
      <c r="H21" s="263"/>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7"/>
      <c r="C22" s="377" t="s">
        <v>28</v>
      </c>
      <c r="D22" s="378"/>
      <c r="E22" s="306">
        <f t="shared" ref="E22:E27" si="1">Q22</f>
        <v>0</v>
      </c>
      <c r="F22" s="276">
        <f ca="1">A2value-SUM('Actual RAB roll forward'!H57:OFFSET('Actual RAB roll forward'!H57,0,Input!$W$7-1))</f>
        <v>34.840987766441991</v>
      </c>
      <c r="G22" s="276">
        <f>IF(A2remlife="N/A","n/a",A2remlife-Input!$W$7)</f>
        <v>35.442183712349753</v>
      </c>
      <c r="H22" s="263"/>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379" t="s">
        <v>85</v>
      </c>
      <c r="D23" s="85">
        <v>1</v>
      </c>
      <c r="E23" s="306">
        <f t="shared" si="1"/>
        <v>0</v>
      </c>
      <c r="F23" s="276">
        <f ca="1">OFFSET('Actual RAB roll forward'!H$13,0,D23-1)-SUM('Actual RAB roll forward'!H59:OFFSET('Actual RAB roll forward'!H59,0,Input!$W$7-1))</f>
        <v>17.731574892740486</v>
      </c>
      <c r="G23" s="276">
        <f ca="1">IF(A2stdlife="N/A","n/a",IF(F23=0,0,A2stdlife+D23-Input!$W$7))</f>
        <v>56</v>
      </c>
      <c r="H23" s="263"/>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380"/>
      <c r="D24" s="85">
        <v>2</v>
      </c>
      <c r="E24" s="306">
        <f t="shared" si="1"/>
        <v>0</v>
      </c>
      <c r="F24" s="276">
        <f ca="1">OFFSET('Actual RAB roll forward'!H$13,0,D24-1)-SUM('Actual RAB roll forward'!H60:OFFSET('Actual RAB roll forward'!H60,0,Input!$W$7-1))</f>
        <v>4.2832263941796285</v>
      </c>
      <c r="G24" s="276">
        <f ca="1">IF(A2stdlife="N/A","n/a",IF(F24=0,0,A2stdlife+D24-Input!$W$7))</f>
        <v>57</v>
      </c>
      <c r="H24" s="263"/>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380"/>
      <c r="D25" s="85">
        <v>3</v>
      </c>
      <c r="E25" s="306">
        <f t="shared" si="1"/>
        <v>0</v>
      </c>
      <c r="F25" s="276">
        <f ca="1">OFFSET('Actual RAB roll forward'!H$13,0,D25-1)-SUM('Actual RAB roll forward'!H61:OFFSET('Actual RAB roll forward'!H61,0,Input!$W$7-1))</f>
        <v>2.8196178326022796</v>
      </c>
      <c r="G25" s="276">
        <f ca="1">IF(A2stdlife="N/A","n/a",IF(F25=0,0,A2stdlife+D25-Input!$W$7))</f>
        <v>58</v>
      </c>
      <c r="H25" s="263"/>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380"/>
      <c r="D26" s="85">
        <v>4</v>
      </c>
      <c r="E26" s="306">
        <f t="shared" si="1"/>
        <v>0</v>
      </c>
      <c r="F26" s="276">
        <f ca="1">OFFSET('Actual RAB roll forward'!H$13,0,D26-1)-SUM('Actual RAB roll forward'!H62:OFFSET('Actual RAB roll forward'!H62,0,Input!$W$7-1))</f>
        <v>5.811808250385603</v>
      </c>
      <c r="G26" s="276">
        <f ca="1">IF(A2stdlife="N/A","n/a",IF(F26=0,0,A2stdlife+D26-Input!$W$7))</f>
        <v>59</v>
      </c>
      <c r="H26" s="263"/>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380"/>
      <c r="D27" s="85">
        <v>5</v>
      </c>
      <c r="E27" s="306">
        <f t="shared" si="1"/>
        <v>0</v>
      </c>
      <c r="F27" s="276">
        <f ca="1">OFFSET('Actual RAB roll forward'!H$13,0,D27-1)-SUM('Actual RAB roll forward'!H63:OFFSET('Actual RAB roll forward'!H63,0,Input!$W$7-1))</f>
        <v>4.4326090185811555</v>
      </c>
      <c r="G27" s="276">
        <f ca="1">IF(A2stdlife="N/A","n/a",IF(F27=0,0,A2stdlife+D27-Input!$W$7))</f>
        <v>60</v>
      </c>
      <c r="H27" s="263"/>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380"/>
      <c r="D28" s="85">
        <v>6</v>
      </c>
      <c r="E28" s="306"/>
      <c r="F28" s="276">
        <f ca="1">OFFSET('Actual RAB roll forward'!H$13,0,D28-1)-SUM('Actual RAB roll forward'!H64:OFFSET('Actual RAB roll forward'!H64,0,Input!$W$7-1))</f>
        <v>0</v>
      </c>
      <c r="G28" s="276">
        <f ca="1">IF(A2stdlife="N/A","n/a",IF(F28=0,0,A2stdlife+D28-Input!$W$7))</f>
        <v>0</v>
      </c>
      <c r="H28" s="263"/>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380"/>
      <c r="D29" s="85">
        <v>7</v>
      </c>
      <c r="E29" s="306"/>
      <c r="F29" s="276">
        <f ca="1">OFFSET('Actual RAB roll forward'!H$13,0,D29-1)-SUM('Actual RAB roll forward'!H65:OFFSET('Actual RAB roll forward'!H65,0,Input!$W$7-1))</f>
        <v>0</v>
      </c>
      <c r="G29" s="276">
        <f ca="1">IF(A2stdlife="N/A","n/a",IF(F29=0,0,A2stdlife+D29-Input!$W$7))</f>
        <v>0</v>
      </c>
      <c r="H29" s="263"/>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380"/>
      <c r="D30" s="85">
        <v>8</v>
      </c>
      <c r="E30" s="306"/>
      <c r="F30" s="276">
        <f ca="1">OFFSET('Actual RAB roll forward'!H$13,0,D30-1)-SUM('Actual RAB roll forward'!H66:OFFSET('Actual RAB roll forward'!H66,0,Input!$W$7-1))</f>
        <v>0</v>
      </c>
      <c r="G30" s="276">
        <f ca="1">IF(A2stdlife="N/A","n/a",IF(F30=0,0,A2stdlife+D30-Input!$W$7))</f>
        <v>0</v>
      </c>
      <c r="H30" s="263"/>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380"/>
      <c r="D31" s="85">
        <v>9</v>
      </c>
      <c r="E31" s="306"/>
      <c r="F31" s="276">
        <f ca="1">OFFSET('Actual RAB roll forward'!H$13,0,D31-1)-SUM('Actual RAB roll forward'!H67:OFFSET('Actual RAB roll forward'!H67,0,Input!$W$7-1))</f>
        <v>0</v>
      </c>
      <c r="G31" s="276">
        <f ca="1">IF(A2stdlife="N/A","n/a",IF(F31=0,0,A2stdlife+D31-Input!$W$7))</f>
        <v>0</v>
      </c>
      <c r="H31" s="263"/>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381"/>
      <c r="D32" s="86">
        <v>10</v>
      </c>
      <c r="E32" s="306"/>
      <c r="F32" s="276">
        <f ca="1">OFFSET('Actual RAB roll forward'!H$13,0,D32-1)-SUM('Actual RAB roll forward'!H68:OFFSET('Actual RAB roll forward'!H68,0,Input!$W$7-1))</f>
        <v>0</v>
      </c>
      <c r="G32" s="276">
        <f ca="1">IF(A2stdlife="N/A","n/a",IF(F32=0,0,A2stdlife+D32-Input!$W$7))</f>
        <v>0</v>
      </c>
      <c r="H32" s="263"/>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9" t="str">
        <f>B21</f>
        <v>Transmission buildings 132/66kV</v>
      </c>
      <c r="D33" s="9"/>
      <c r="E33" s="306">
        <f>SUM(E22:E32)</f>
        <v>0</v>
      </c>
      <c r="F33" s="276">
        <f ca="1">SUM(F22:F32)</f>
        <v>69.919824154931149</v>
      </c>
      <c r="G33" s="276">
        <f ca="1">IF(F33=0,0,SUMPRODUCT(F22:F32,G22:G32)/F33)</f>
        <v>46.400915462677332</v>
      </c>
      <c r="H33" s="263"/>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9"/>
      <c r="D34" s="9"/>
      <c r="E34" s="262"/>
      <c r="F34" s="262"/>
      <c r="G34" s="262"/>
      <c r="H34" s="263"/>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61" t="str">
        <f>Asset3</f>
        <v>Zone buildings 132/66kV</v>
      </c>
      <c r="C35" s="271"/>
      <c r="D35" s="11"/>
      <c r="E35" s="267"/>
      <c r="F35" s="267"/>
      <c r="G35" s="262"/>
      <c r="H35" s="263"/>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377" t="s">
        <v>28</v>
      </c>
      <c r="D36" s="378"/>
      <c r="E36" s="306">
        <f t="shared" ref="E36:E41" si="2">Q36</f>
        <v>0</v>
      </c>
      <c r="F36" s="276">
        <f ca="1">A3value-SUM('Actual RAB roll forward'!H70:OFFSET('Actual RAB roll forward'!H70,0,Input!$W$7-1))</f>
        <v>51.511852850500702</v>
      </c>
      <c r="G36" s="276">
        <f>IF(A3remlife="N/A","n/a",A3remlife-Input!$W$7)</f>
        <v>40.923031714866831</v>
      </c>
      <c r="H36" s="263"/>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379" t="s">
        <v>85</v>
      </c>
      <c r="D37" s="85">
        <v>1</v>
      </c>
      <c r="E37" s="306">
        <f t="shared" si="2"/>
        <v>0</v>
      </c>
      <c r="F37" s="276">
        <f ca="1">OFFSET('Actual RAB roll forward'!H$14,0,D37-1)-SUM('Actual RAB roll forward'!H72:OFFSET('Actual RAB roll forward'!H72,0,Input!$W$7-1))</f>
        <v>0.38169656903501159</v>
      </c>
      <c r="G37" s="276">
        <f ca="1">IF(A3stdlife="N/A","n/a",IF(F37=0,0,A3stdlife+D37-Input!$W$7))</f>
        <v>56</v>
      </c>
      <c r="H37" s="263"/>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380"/>
      <c r="D38" s="85">
        <v>2</v>
      </c>
      <c r="E38" s="306">
        <f t="shared" si="2"/>
        <v>0</v>
      </c>
      <c r="F38" s="276">
        <f ca="1">OFFSET('Actual RAB roll forward'!H$14,0,D38-1)-SUM('Actual RAB roll forward'!H73:OFFSET('Actual RAB roll forward'!H73,0,Input!$W$7-1))</f>
        <v>6.1655792332964925</v>
      </c>
      <c r="G38" s="276">
        <f ca="1">IF(A3stdlife="N/A","n/a",IF(F38=0,0,A3stdlife+D38-Input!$W$7))</f>
        <v>57</v>
      </c>
      <c r="H38" s="263"/>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380"/>
      <c r="D39" s="85">
        <v>3</v>
      </c>
      <c r="E39" s="306">
        <f t="shared" si="2"/>
        <v>0</v>
      </c>
      <c r="F39" s="276">
        <f ca="1">OFFSET('Actual RAB roll forward'!H$14,0,D39-1)-SUM('Actual RAB roll forward'!H74:OFFSET('Actual RAB roll forward'!H74,0,Input!$W$7-1))</f>
        <v>4.431008681924129</v>
      </c>
      <c r="G39" s="276">
        <f ca="1">IF(A3stdlife="N/A","n/a",IF(F39=0,0,A3stdlife+D39-Input!$W$7))</f>
        <v>58</v>
      </c>
      <c r="H39" s="263"/>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380"/>
      <c r="D40" s="85">
        <v>4</v>
      </c>
      <c r="E40" s="306">
        <f t="shared" si="2"/>
        <v>0</v>
      </c>
      <c r="F40" s="276">
        <f ca="1">OFFSET('Actual RAB roll forward'!H$14,0,D40-1)-SUM('Actual RAB roll forward'!H75:OFFSET('Actual RAB roll forward'!H75,0,Input!$W$7-1))</f>
        <v>30.774943623746704</v>
      </c>
      <c r="G40" s="276">
        <f ca="1">IF(A3stdlife="N/A","n/a",IF(F40=0,0,A3stdlife+D40-Input!$W$7))</f>
        <v>59</v>
      </c>
      <c r="H40" s="263"/>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380"/>
      <c r="D41" s="85">
        <v>5</v>
      </c>
      <c r="E41" s="306">
        <f t="shared" si="2"/>
        <v>0</v>
      </c>
      <c r="F41" s="276">
        <f ca="1">OFFSET('Actual RAB roll forward'!H$14,0,D41-1)-SUM('Actual RAB roll forward'!H76:OFFSET('Actual RAB roll forward'!H76,0,Input!$W$7-1))</f>
        <v>23.972680678652736</v>
      </c>
      <c r="G41" s="276">
        <f ca="1">IF(A3stdlife="N/A","n/a",IF(F41=0,0,A3stdlife+D41-Input!$W$7))</f>
        <v>60</v>
      </c>
      <c r="H41" s="263"/>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380"/>
      <c r="D42" s="85">
        <v>6</v>
      </c>
      <c r="E42" s="306"/>
      <c r="F42" s="276">
        <f ca="1">OFFSET('Actual RAB roll forward'!H$14,0,D42-1)-SUM('Actual RAB roll forward'!H77:OFFSET('Actual RAB roll forward'!H77,0,Input!$W$7-1))</f>
        <v>0</v>
      </c>
      <c r="G42" s="276">
        <f ca="1">IF(A3stdlife="N/A","n/a",IF(F42=0,0,A3stdlife+D42-Input!$W$7))</f>
        <v>0</v>
      </c>
      <c r="H42" s="263"/>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380"/>
      <c r="D43" s="85">
        <v>7</v>
      </c>
      <c r="E43" s="306"/>
      <c r="F43" s="276">
        <f ca="1">OFFSET('Actual RAB roll forward'!H$14,0,D43-1)-SUM('Actual RAB roll forward'!H78:OFFSET('Actual RAB roll forward'!H78,0,Input!$W$7-1))</f>
        <v>0</v>
      </c>
      <c r="G43" s="276">
        <f ca="1">IF(A3stdlife="N/A","n/a",IF(F43=0,0,A3stdlife+D43-Input!$W$7))</f>
        <v>0</v>
      </c>
      <c r="H43" s="263"/>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380"/>
      <c r="D44" s="85">
        <v>8</v>
      </c>
      <c r="E44" s="306"/>
      <c r="F44" s="276">
        <f ca="1">OFFSET('Actual RAB roll forward'!H$14,0,D44-1)-SUM('Actual RAB roll forward'!H79:OFFSET('Actual RAB roll forward'!H79,0,Input!$W$7-1))</f>
        <v>0</v>
      </c>
      <c r="G44" s="276">
        <f ca="1">IF(A3stdlife="N/A","n/a",IF(F44=0,0,A3stdlife+D44-Input!$W$7))</f>
        <v>0</v>
      </c>
      <c r="H44" s="263"/>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380"/>
      <c r="D45" s="85">
        <v>9</v>
      </c>
      <c r="E45" s="306"/>
      <c r="F45" s="276">
        <f ca="1">OFFSET('Actual RAB roll forward'!H$14,0,D45-1)-SUM('Actual RAB roll forward'!H80:OFFSET('Actual RAB roll forward'!H80,0,Input!$W$7-1))</f>
        <v>0</v>
      </c>
      <c r="G45" s="276">
        <f ca="1">IF(A3stdlife="N/A","n/a",IF(F45=0,0,A3stdlife+D45-Input!$W$7))</f>
        <v>0</v>
      </c>
      <c r="H45" s="263"/>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381"/>
      <c r="D46" s="86">
        <v>10</v>
      </c>
      <c r="E46" s="306"/>
      <c r="F46" s="276">
        <f ca="1">OFFSET('Actual RAB roll forward'!H$14,0,D46-1)-SUM('Actual RAB roll forward'!H81:OFFSET('Actual RAB roll forward'!H81,0,Input!$W$7-1))</f>
        <v>0</v>
      </c>
      <c r="G46" s="276">
        <f ca="1">IF(A3stdlife="N/A","n/a",IF(F46=0,0,A3stdlife+D46-Input!$W$7))</f>
        <v>0</v>
      </c>
      <c r="H46" s="263"/>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9" t="str">
        <f>B35</f>
        <v>Zone buildings 132/66kV</v>
      </c>
      <c r="D47" s="9"/>
      <c r="E47" s="306">
        <f>SUM(E36:E46)</f>
        <v>0</v>
      </c>
      <c r="F47" s="276">
        <f ca="1">SUM(F36:F46)</f>
        <v>117.23776163715577</v>
      </c>
      <c r="G47" s="276">
        <f ca="1">IF(F47=0,0,SUMPRODUCT(F36:F46,G36:G46)/F47)</f>
        <v>51.109089310941563</v>
      </c>
      <c r="H47" s="263"/>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9"/>
      <c r="D48" s="9"/>
      <c r="E48" s="262"/>
      <c r="F48" s="262"/>
      <c r="G48" s="262"/>
      <c r="H48" s="263"/>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61" t="str">
        <f>Asset4</f>
        <v>Transmission transformers 132/66kV</v>
      </c>
      <c r="C49" s="9"/>
      <c r="D49" s="9"/>
      <c r="E49" s="262"/>
      <c r="F49" s="262"/>
      <c r="G49" s="262"/>
      <c r="H49" s="263"/>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382" t="s">
        <v>28</v>
      </c>
      <c r="D50" s="383"/>
      <c r="E50" s="306">
        <f t="shared" ref="E50:E55" si="3">Q50</f>
        <v>0</v>
      </c>
      <c r="F50" s="276">
        <f ca="1">A4value-SUM('Actual RAB roll forward'!H83:OFFSET('Actual RAB roll forward'!H83,0,Input!$W$7-1))</f>
        <v>19.414367805266483</v>
      </c>
      <c r="G50" s="276">
        <f>IF(A4remlife="N/A","n/a",A4remlife-Input!$W$7)</f>
        <v>29.213211685846105</v>
      </c>
      <c r="H50" s="263"/>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379" t="s">
        <v>85</v>
      </c>
      <c r="D51" s="85">
        <v>1</v>
      </c>
      <c r="E51" s="306">
        <f t="shared" si="3"/>
        <v>0</v>
      </c>
      <c r="F51" s="276">
        <f ca="1">OFFSET('Actual RAB roll forward'!H$15,0,D51-1)-SUM('Actual RAB roll forward'!H85:OFFSET('Actual RAB roll forward'!H85,0,Input!$W$7-1))</f>
        <v>3.0302821273622014</v>
      </c>
      <c r="G51" s="276">
        <f ca="1">IF(A4stdlife="N/A","n/a",IF(F51=0,0,A4stdlife+D51-Input!$W$7))</f>
        <v>46</v>
      </c>
      <c r="H51" s="263"/>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380"/>
      <c r="D52" s="85">
        <v>2</v>
      </c>
      <c r="E52" s="306">
        <f t="shared" si="3"/>
        <v>0</v>
      </c>
      <c r="F52" s="276">
        <f ca="1">OFFSET('Actual RAB roll forward'!H$15,0,D52-1)-SUM('Actual RAB roll forward'!H86:OFFSET('Actual RAB roll forward'!H86,0,Input!$W$7-1))</f>
        <v>1.0816897145837092</v>
      </c>
      <c r="G52" s="276">
        <f ca="1">IF(A4stdlife="N/A","n/a",IF(F52=0,0,A4stdlife+D52-Input!$W$7))</f>
        <v>47</v>
      </c>
      <c r="H52" s="263"/>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380"/>
      <c r="D53" s="85">
        <v>3</v>
      </c>
      <c r="E53" s="306">
        <f t="shared" si="3"/>
        <v>0</v>
      </c>
      <c r="F53" s="276">
        <f ca="1">OFFSET('Actual RAB roll forward'!H$15,0,D53-1)-SUM('Actual RAB roll forward'!H87:OFFSET('Actual RAB roll forward'!H87,0,Input!$W$7-1))</f>
        <v>2.3729326359089571</v>
      </c>
      <c r="G53" s="276">
        <f ca="1">IF(A4stdlife="N/A","n/a",IF(F53=0,0,A4stdlife+D53-Input!$W$7))</f>
        <v>48</v>
      </c>
      <c r="H53" s="263"/>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380"/>
      <c r="D54" s="85">
        <v>4</v>
      </c>
      <c r="E54" s="306">
        <f t="shared" si="3"/>
        <v>0</v>
      </c>
      <c r="F54" s="276">
        <f ca="1">OFFSET('Actual RAB roll forward'!H$15,0,D54-1)-SUM('Actual RAB roll forward'!H88:OFFSET('Actual RAB roll forward'!H88,0,Input!$W$7-1))</f>
        <v>5.4639346642484652</v>
      </c>
      <c r="G54" s="276">
        <f ca="1">IF(A4stdlife="N/A","n/a",IF(F54=0,0,A4stdlife+D54-Input!$W$7))</f>
        <v>49</v>
      </c>
      <c r="H54" s="263"/>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380"/>
      <c r="D55" s="85">
        <v>5</v>
      </c>
      <c r="E55" s="306">
        <f t="shared" si="3"/>
        <v>0</v>
      </c>
      <c r="F55" s="276">
        <f ca="1">OFFSET('Actual RAB roll forward'!H$15,0,D55-1)-SUM('Actual RAB roll forward'!H89:OFFSET('Actual RAB roll forward'!H89,0,Input!$W$7-1))</f>
        <v>4.5650464292784481</v>
      </c>
      <c r="G55" s="276">
        <f ca="1">IF(A4stdlife="N/A","n/a",IF(F55=0,0,A4stdlife+D55-Input!$W$7))</f>
        <v>50</v>
      </c>
      <c r="H55" s="263"/>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380"/>
      <c r="D56" s="85">
        <v>6</v>
      </c>
      <c r="E56" s="306"/>
      <c r="F56" s="276">
        <f ca="1">OFFSET('Actual RAB roll forward'!H$15,0,D56-1)-SUM('Actual RAB roll forward'!H90:OFFSET('Actual RAB roll forward'!H90,0,Input!$W$7-1))</f>
        <v>0</v>
      </c>
      <c r="G56" s="276">
        <f ca="1">IF(A4stdlife="N/A","n/a",IF(F56=0,0,A4stdlife+D56-Input!$W$7))</f>
        <v>0</v>
      </c>
      <c r="H56" s="263"/>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380"/>
      <c r="D57" s="85">
        <v>7</v>
      </c>
      <c r="E57" s="306"/>
      <c r="F57" s="276">
        <f ca="1">OFFSET('Actual RAB roll forward'!H$15,0,D57-1)-SUM('Actual RAB roll forward'!H91:OFFSET('Actual RAB roll forward'!H91,0,Input!$W$7-1))</f>
        <v>0</v>
      </c>
      <c r="G57" s="276">
        <f ca="1">IF(A4stdlife="N/A","n/a",IF(F57=0,0,A4stdlife+D57-Input!$W$7))</f>
        <v>0</v>
      </c>
      <c r="H57" s="263"/>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380"/>
      <c r="D58" s="85">
        <v>8</v>
      </c>
      <c r="E58" s="306"/>
      <c r="F58" s="276">
        <f ca="1">OFFSET('Actual RAB roll forward'!H$15,0,D58-1)-SUM('Actual RAB roll forward'!H92:OFFSET('Actual RAB roll forward'!H92,0,Input!$W$7-1))</f>
        <v>0</v>
      </c>
      <c r="G58" s="276">
        <f ca="1">IF(A4stdlife="N/A","n/a",IF(F58=0,0,A4stdlife+D58-Input!$W$7))</f>
        <v>0</v>
      </c>
      <c r="H58" s="263"/>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380"/>
      <c r="D59" s="85">
        <v>9</v>
      </c>
      <c r="E59" s="306"/>
      <c r="F59" s="276">
        <f ca="1">OFFSET('Actual RAB roll forward'!H$15,0,D59-1)-SUM('Actual RAB roll forward'!H93:OFFSET('Actual RAB roll forward'!H93,0,Input!$W$7-1))</f>
        <v>0</v>
      </c>
      <c r="G59" s="276">
        <f ca="1">IF(A4stdlife="N/A","n/a",IF(F59=0,0,A4stdlife+D59-Input!$W$7))</f>
        <v>0</v>
      </c>
      <c r="H59" s="263"/>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381"/>
      <c r="D60" s="86">
        <v>10</v>
      </c>
      <c r="E60" s="306"/>
      <c r="F60" s="276">
        <f ca="1">OFFSET('Actual RAB roll forward'!H$15,0,D60-1)-SUM('Actual RAB roll forward'!H94:OFFSET('Actual RAB roll forward'!H94,0,Input!$W$7-1))</f>
        <v>0</v>
      </c>
      <c r="G60" s="276">
        <f ca="1">IF(A4stdlife="N/A","n/a",IF(F60=0,0,A4stdlife+D60-Input!$W$7))</f>
        <v>0</v>
      </c>
      <c r="H60" s="263"/>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9" t="str">
        <f>B49</f>
        <v>Transmission transformers 132/66kV</v>
      </c>
      <c r="D61" s="9"/>
      <c r="E61" s="306">
        <f>SUM(E50:E60)</f>
        <v>0</v>
      </c>
      <c r="F61" s="276">
        <f ca="1">SUM(F50:F60)</f>
        <v>35.928253376648264</v>
      </c>
      <c r="G61" s="276">
        <f ca="1">IF(F61=0,0,SUMPRODUCT(F50:F60,G50:G60)/F61)</f>
        <v>38.05568567690559</v>
      </c>
      <c r="H61" s="263"/>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72"/>
      <c r="D62" s="9"/>
      <c r="E62" s="262"/>
      <c r="F62" s="262"/>
      <c r="G62" s="262"/>
      <c r="H62" s="263"/>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61" t="str">
        <f>Asset5</f>
        <v>Zone transformers 132/66kV</v>
      </c>
      <c r="C63" s="9"/>
      <c r="D63" s="9"/>
      <c r="E63" s="262"/>
      <c r="F63" s="262"/>
      <c r="G63" s="262"/>
      <c r="H63" s="263"/>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382" t="s">
        <v>28</v>
      </c>
      <c r="D64" s="383"/>
      <c r="E64" s="306">
        <f t="shared" ref="E64:E69" si="4">Q64</f>
        <v>0</v>
      </c>
      <c r="F64" s="276">
        <f ca="1">A5value-SUM('Actual RAB roll forward'!H96:OFFSET('Actual RAB roll forward'!H96,0,Input!$W$7-1))</f>
        <v>17.565925690762391</v>
      </c>
      <c r="G64" s="276">
        <f>IF(A5remlife="N/A","n/a",A5remlife-Input!$W$7)</f>
        <v>27.92295995121367</v>
      </c>
      <c r="H64" s="263"/>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379" t="s">
        <v>85</v>
      </c>
      <c r="D65" s="85">
        <v>1</v>
      </c>
      <c r="E65" s="306">
        <f t="shared" si="4"/>
        <v>0</v>
      </c>
      <c r="F65" s="276">
        <f ca="1">OFFSET('Actual RAB roll forward'!H$16,0,D65-1)-SUM('Actual RAB roll forward'!H98:OFFSET('Actual RAB roll forward'!H98,0,Input!$W$7-1))</f>
        <v>2.8196265894114241</v>
      </c>
      <c r="G65" s="276">
        <f ca="1">IF(A5stdlife="N/A","n/a",IF(F65=0,0,A5stdlife+D65-Input!$W$7))</f>
        <v>46</v>
      </c>
      <c r="H65" s="263"/>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380"/>
      <c r="D66" s="85">
        <v>2</v>
      </c>
      <c r="E66" s="306">
        <f t="shared" si="4"/>
        <v>0</v>
      </c>
      <c r="F66" s="276">
        <f ca="1">OFFSET('Actual RAB roll forward'!H$16,0,D66-1)-SUM('Actual RAB roll forward'!H99:OFFSET('Actual RAB roll forward'!H99,0,Input!$W$7-1))</f>
        <v>2.7272107892803086</v>
      </c>
      <c r="G66" s="276">
        <f ca="1">IF(A5stdlife="N/A","n/a",IF(F66=0,0,A5stdlife+D66-Input!$W$7))</f>
        <v>47</v>
      </c>
      <c r="H66" s="263"/>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380"/>
      <c r="D67" s="85">
        <v>3</v>
      </c>
      <c r="E67" s="306">
        <f t="shared" si="4"/>
        <v>0</v>
      </c>
      <c r="F67" s="276">
        <f ca="1">OFFSET('Actual RAB roll forward'!H$16,0,D67-1)-SUM('Actual RAB roll forward'!H100:OFFSET('Actual RAB roll forward'!H100,0,Input!$W$7-1))</f>
        <v>2.7535191376142585</v>
      </c>
      <c r="G67" s="276">
        <f ca="1">IF(A5stdlife="N/A","n/a",IF(F67=0,0,A5stdlife+D67-Input!$W$7))</f>
        <v>48</v>
      </c>
      <c r="H67" s="263"/>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380"/>
      <c r="D68" s="85">
        <v>4</v>
      </c>
      <c r="E68" s="306">
        <f t="shared" si="4"/>
        <v>0</v>
      </c>
      <c r="F68" s="276">
        <f ca="1">OFFSET('Actual RAB roll forward'!H$16,0,D68-1)-SUM('Actual RAB roll forward'!H101:OFFSET('Actual RAB roll forward'!H101,0,Input!$W$7-1))</f>
        <v>0</v>
      </c>
      <c r="G68" s="276">
        <f ca="1">IF(A5stdlife="N/A","n/a",IF(F68=0,0,A5stdlife+D68-Input!$W$7))</f>
        <v>0</v>
      </c>
      <c r="H68" s="263"/>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380"/>
      <c r="D69" s="85">
        <v>5</v>
      </c>
      <c r="E69" s="306">
        <f t="shared" si="4"/>
        <v>0</v>
      </c>
      <c r="F69" s="276">
        <f ca="1">OFFSET('Actual RAB roll forward'!H$16,0,D69-1)-SUM('Actual RAB roll forward'!H102:OFFSET('Actual RAB roll forward'!H102,0,Input!$W$7-1))</f>
        <v>0</v>
      </c>
      <c r="G69" s="276">
        <f ca="1">IF(A5stdlife="N/A","n/a",IF(F69=0,0,A5stdlife+D69-Input!$W$7))</f>
        <v>0</v>
      </c>
      <c r="H69" s="263"/>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380"/>
      <c r="D70" s="85">
        <v>6</v>
      </c>
      <c r="E70" s="306"/>
      <c r="F70" s="276">
        <f ca="1">OFFSET('Actual RAB roll forward'!H$16,0,D70-1)-SUM('Actual RAB roll forward'!H103:OFFSET('Actual RAB roll forward'!H103,0,Input!$W$7-1))</f>
        <v>0</v>
      </c>
      <c r="G70" s="276">
        <f ca="1">IF(A5stdlife="N/A","n/a",IF(F70=0,0,A5stdlife+D70-Input!$W$7))</f>
        <v>0</v>
      </c>
      <c r="H70" s="263"/>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380"/>
      <c r="D71" s="85">
        <v>7</v>
      </c>
      <c r="E71" s="306"/>
      <c r="F71" s="276">
        <f ca="1">OFFSET('Actual RAB roll forward'!H$16,0,D71-1)-SUM('Actual RAB roll forward'!H104:OFFSET('Actual RAB roll forward'!H104,0,Input!$W$7-1))</f>
        <v>0</v>
      </c>
      <c r="G71" s="276">
        <f ca="1">IF(A5stdlife="N/A","n/a",IF(F71=0,0,A5stdlife+D71-Input!$W$7))</f>
        <v>0</v>
      </c>
      <c r="H71" s="263"/>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380"/>
      <c r="D72" s="85">
        <v>8</v>
      </c>
      <c r="E72" s="306"/>
      <c r="F72" s="276">
        <f ca="1">OFFSET('Actual RAB roll forward'!H$16,0,D72-1)-SUM('Actual RAB roll forward'!H105:OFFSET('Actual RAB roll forward'!H105,0,Input!$W$7-1))</f>
        <v>0</v>
      </c>
      <c r="G72" s="276">
        <f ca="1">IF(A5stdlife="N/A","n/a",IF(F72=0,0,A5stdlife+D72-Input!$W$7))</f>
        <v>0</v>
      </c>
      <c r="H72" s="263"/>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380"/>
      <c r="D73" s="85">
        <v>9</v>
      </c>
      <c r="E73" s="306"/>
      <c r="F73" s="276">
        <f ca="1">OFFSET('Actual RAB roll forward'!H$16,0,D73-1)-SUM('Actual RAB roll forward'!H106:OFFSET('Actual RAB roll forward'!H106,0,Input!$W$7-1))</f>
        <v>0</v>
      </c>
      <c r="G73" s="276">
        <f ca="1">IF(A5stdlife="N/A","n/a",IF(F73=0,0,A5stdlife+D73-Input!$W$7))</f>
        <v>0</v>
      </c>
      <c r="H73" s="263"/>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381"/>
      <c r="D74" s="86">
        <v>10</v>
      </c>
      <c r="E74" s="306"/>
      <c r="F74" s="276">
        <f ca="1">OFFSET('Actual RAB roll forward'!H$16,0,D74-1)-SUM('Actual RAB roll forward'!H107:OFFSET('Actual RAB roll forward'!H107,0,Input!$W$7-1))</f>
        <v>0</v>
      </c>
      <c r="G74" s="276">
        <f ca="1">IF(A5stdlife="N/A","n/a",IF(F74=0,0,A5stdlife+D74-Input!$W$7))</f>
        <v>0</v>
      </c>
      <c r="H74" s="263"/>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9" t="str">
        <f>B63</f>
        <v>Zone transformers 132/66kV</v>
      </c>
      <c r="D75" s="9"/>
      <c r="E75" s="306">
        <f>SUM(E64:E74)</f>
        <v>0</v>
      </c>
      <c r="F75" s="276">
        <f ca="1">SUM(F64:F74)</f>
        <v>25.866282207068384</v>
      </c>
      <c r="G75" s="276">
        <f ca="1">IF(F75=0,0,SUMPRODUCT(F64:F74,G64:G74)/F75)</f>
        <v>34.042127946130393</v>
      </c>
      <c r="H75" s="263"/>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72"/>
      <c r="D76" s="9"/>
      <c r="E76" s="262"/>
      <c r="F76" s="262"/>
      <c r="G76" s="262"/>
      <c r="H76" s="263"/>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61" t="str">
        <f>Asset6</f>
        <v>Transmission substation equip 132/66kV</v>
      </c>
      <c r="C77" s="9"/>
      <c r="D77" s="9"/>
      <c r="E77" s="262"/>
      <c r="F77" s="262"/>
      <c r="G77" s="262"/>
      <c r="H77" s="263"/>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377" t="s">
        <v>28</v>
      </c>
      <c r="D78" s="378"/>
      <c r="E78" s="306">
        <f t="shared" ref="E78:E83" si="5">Q78</f>
        <v>0</v>
      </c>
      <c r="F78" s="276">
        <f ca="1">A6value-SUM('Actual RAB roll forward'!H109:OFFSET('Actual RAB roll forward'!H109,0,Input!$W$7-1))</f>
        <v>81.801906134178324</v>
      </c>
      <c r="G78" s="276">
        <f>IF(A6remlife="N/A","n/a",A6remlife-Input!$W$7)</f>
        <v>23.522611127507453</v>
      </c>
      <c r="H78" s="263"/>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379" t="s">
        <v>85</v>
      </c>
      <c r="D79" s="85">
        <v>1</v>
      </c>
      <c r="E79" s="306">
        <f t="shared" si="5"/>
        <v>0</v>
      </c>
      <c r="F79" s="276">
        <f ca="1">OFFSET('Actual RAB roll forward'!H$17,0,D79-1)-SUM('Actual RAB roll forward'!H111:OFFSET('Actual RAB roll forward'!H111,0,Input!$W$7-1))</f>
        <v>23.22868710264088</v>
      </c>
      <c r="G79" s="276">
        <f ca="1">IF(A6stdlife="N/A","n/a",IF(F79=0,0,A6stdlife+D79-Input!$W$7))</f>
        <v>41</v>
      </c>
      <c r="H79" s="263"/>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380"/>
      <c r="D80" s="85">
        <v>2</v>
      </c>
      <c r="E80" s="306">
        <f t="shared" si="5"/>
        <v>0</v>
      </c>
      <c r="F80" s="276">
        <f ca="1">OFFSET('Actual RAB roll forward'!H$17,0,D80-1)-SUM('Actual RAB roll forward'!H112:OFFSET('Actual RAB roll forward'!H112,0,Input!$W$7-1))</f>
        <v>18.578374144502192</v>
      </c>
      <c r="G80" s="276">
        <f ca="1">IF(A6stdlife="N/A","n/a",IF(F80=0,0,A6stdlife+D80-Input!$W$7))</f>
        <v>42</v>
      </c>
      <c r="H80" s="263"/>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380"/>
      <c r="D81" s="85">
        <v>3</v>
      </c>
      <c r="E81" s="306">
        <f t="shared" si="5"/>
        <v>0</v>
      </c>
      <c r="F81" s="276">
        <f ca="1">OFFSET('Actual RAB roll forward'!H$17,0,D81-1)-SUM('Actual RAB roll forward'!H113:OFFSET('Actual RAB roll forward'!H113,0,Input!$W$7-1))</f>
        <v>24.877198760995931</v>
      </c>
      <c r="G81" s="276">
        <f ca="1">IF(A6stdlife="N/A","n/a",IF(F81=0,0,A6stdlife+D81-Input!$W$7))</f>
        <v>43</v>
      </c>
      <c r="H81" s="263"/>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380"/>
      <c r="D82" s="85">
        <v>4</v>
      </c>
      <c r="E82" s="306">
        <f t="shared" si="5"/>
        <v>0</v>
      </c>
      <c r="F82" s="276">
        <f ca="1">OFFSET('Actual RAB roll forward'!H$17,0,D82-1)-SUM('Actual RAB roll forward'!H114:OFFSET('Actual RAB roll forward'!H114,0,Input!$W$7-1))</f>
        <v>17.002566686834143</v>
      </c>
      <c r="G82" s="276">
        <f ca="1">IF(A6stdlife="N/A","n/a",IF(F82=0,0,A6stdlife+D82-Input!$W$7))</f>
        <v>44</v>
      </c>
      <c r="H82" s="263"/>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380"/>
      <c r="D83" s="85">
        <v>5</v>
      </c>
      <c r="E83" s="306">
        <f t="shared" si="5"/>
        <v>0</v>
      </c>
      <c r="F83" s="276">
        <f ca="1">OFFSET('Actual RAB roll forward'!H$17,0,D83-1)-SUM('Actual RAB roll forward'!H115:OFFSET('Actual RAB roll forward'!H115,0,Input!$W$7-1))</f>
        <v>13.041370524833097</v>
      </c>
      <c r="G83" s="276">
        <f ca="1">IF(A6stdlife="N/A","n/a",IF(F83=0,0,A6stdlife+D83-Input!$W$7))</f>
        <v>45</v>
      </c>
      <c r="H83" s="263"/>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380"/>
      <c r="D84" s="85">
        <v>6</v>
      </c>
      <c r="E84" s="306"/>
      <c r="F84" s="276">
        <f ca="1">OFFSET('Actual RAB roll forward'!H$17,0,D84-1)-SUM('Actual RAB roll forward'!H116:OFFSET('Actual RAB roll forward'!H116,0,Input!$W$7-1))</f>
        <v>0</v>
      </c>
      <c r="G84" s="276">
        <f ca="1">IF(A6stdlife="N/A","n/a",IF(F84=0,0,A6stdlife+D84-Input!$W$7))</f>
        <v>0</v>
      </c>
      <c r="H84" s="263"/>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380"/>
      <c r="D85" s="85">
        <v>7</v>
      </c>
      <c r="E85" s="306"/>
      <c r="F85" s="276">
        <f ca="1">OFFSET('Actual RAB roll forward'!H$17,0,D85-1)-SUM('Actual RAB roll forward'!H117:OFFSET('Actual RAB roll forward'!H117,0,Input!$W$7-1))</f>
        <v>0</v>
      </c>
      <c r="G85" s="276">
        <f ca="1">IF(A6stdlife="N/A","n/a",IF(F85=0,0,A6stdlife+D85-Input!$W$7))</f>
        <v>0</v>
      </c>
      <c r="H85" s="263"/>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380"/>
      <c r="D86" s="85">
        <v>8</v>
      </c>
      <c r="E86" s="306"/>
      <c r="F86" s="276">
        <f ca="1">OFFSET('Actual RAB roll forward'!H$17,0,D86-1)-SUM('Actual RAB roll forward'!H118:OFFSET('Actual RAB roll forward'!H118,0,Input!$W$7-1))</f>
        <v>0</v>
      </c>
      <c r="G86" s="276">
        <f ca="1">IF(A6stdlife="N/A","n/a",IF(F86=0,0,A6stdlife+D86-Input!$W$7))</f>
        <v>0</v>
      </c>
      <c r="H86" s="263"/>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380"/>
      <c r="D87" s="85">
        <v>9</v>
      </c>
      <c r="E87" s="306"/>
      <c r="F87" s="276">
        <f ca="1">OFFSET('Actual RAB roll forward'!H$17,0,D87-1)-SUM('Actual RAB roll forward'!H119:OFFSET('Actual RAB roll forward'!H119,0,Input!$W$7-1))</f>
        <v>0</v>
      </c>
      <c r="G87" s="276">
        <f ca="1">IF(A6stdlife="N/A","n/a",IF(F87=0,0,A6stdlife+D87-Input!$W$7))</f>
        <v>0</v>
      </c>
      <c r="H87" s="263"/>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381"/>
      <c r="D88" s="86">
        <v>10</v>
      </c>
      <c r="E88" s="306"/>
      <c r="F88" s="276">
        <f ca="1">OFFSET('Actual RAB roll forward'!H$17,0,D88-1)-SUM('Actual RAB roll forward'!H120:OFFSET('Actual RAB roll forward'!H120,0,Input!$W$7-1))</f>
        <v>0</v>
      </c>
      <c r="G88" s="276">
        <f ca="1">IF(A6stdlife="N/A","n/a",IF(F88=0,0,A6stdlife+D88-Input!$W$7))</f>
        <v>0</v>
      </c>
      <c r="H88" s="263"/>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9" t="str">
        <f>B77</f>
        <v>Transmission substation equip 132/66kV</v>
      </c>
      <c r="D89" s="9"/>
      <c r="E89" s="306">
        <f>SUM(E78:E88)</f>
        <v>0</v>
      </c>
      <c r="F89" s="276">
        <f ca="1">SUM(F78:F88)</f>
        <v>178.53010335398457</v>
      </c>
      <c r="G89" s="276">
        <f ca="1">IF(F89=0,0,SUMPRODUCT(F78:F88,G78:G88)/F89)</f>
        <v>33.952573562918069</v>
      </c>
      <c r="H89" s="263"/>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72"/>
      <c r="D90" s="9"/>
      <c r="E90" s="262"/>
      <c r="F90" s="262"/>
      <c r="G90" s="262"/>
      <c r="H90" s="263"/>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61" t="str">
        <f>Asset7</f>
        <v>Zone substation equip 132/66kV</v>
      </c>
      <c r="C91" s="9"/>
      <c r="D91" s="11"/>
      <c r="E91" s="262"/>
      <c r="F91" s="262"/>
      <c r="G91" s="262"/>
      <c r="H91" s="263"/>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377" t="s">
        <v>28</v>
      </c>
      <c r="D92" s="378"/>
      <c r="E92" s="306">
        <f t="shared" ref="E92:E97" si="6">Q92</f>
        <v>0</v>
      </c>
      <c r="F92" s="276">
        <f ca="1">A7value-SUM('Actual RAB roll forward'!H122:OFFSET('Actual RAB roll forward'!H122,0,Input!$W$7-1))</f>
        <v>100.55078418173393</v>
      </c>
      <c r="G92" s="276">
        <f>IF(A7remlife="N/A","n/a",A7remlife-Input!$W$7)</f>
        <v>26.449640308445662</v>
      </c>
      <c r="H92" s="263"/>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379" t="s">
        <v>85</v>
      </c>
      <c r="D93" s="85">
        <v>1</v>
      </c>
      <c r="E93" s="306">
        <f t="shared" si="6"/>
        <v>0</v>
      </c>
      <c r="F93" s="276">
        <f ca="1">OFFSET('Actual RAB roll forward'!H$18,0,D93-1)-SUM('Actual RAB roll forward'!H124:OFFSET('Actual RAB roll forward'!H124,0,Input!$W$7-1))</f>
        <v>33.112468122471476</v>
      </c>
      <c r="G93" s="276">
        <f ca="1">IF(A7stdlife="N/A","n/a",IF(F93=0,0,A7stdlife+D93-Input!$W$7))</f>
        <v>41</v>
      </c>
      <c r="H93" s="263"/>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380"/>
      <c r="D94" s="85">
        <v>2</v>
      </c>
      <c r="E94" s="306">
        <f t="shared" si="6"/>
        <v>0</v>
      </c>
      <c r="F94" s="276">
        <f ca="1">OFFSET('Actual RAB roll forward'!H$18,0,D94-1)-SUM('Actual RAB roll forward'!H125:OFFSET('Actual RAB roll forward'!H125,0,Input!$W$7-1))</f>
        <v>78.794458707794377</v>
      </c>
      <c r="G94" s="276">
        <f ca="1">IF(A7stdlife="N/A","n/a",IF(F94=0,0,A7stdlife+D94-Input!$W$7))</f>
        <v>42</v>
      </c>
      <c r="H94" s="263"/>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380"/>
      <c r="D95" s="85">
        <v>3</v>
      </c>
      <c r="E95" s="306">
        <f t="shared" si="6"/>
        <v>0</v>
      </c>
      <c r="F95" s="276">
        <f ca="1">OFFSET('Actual RAB roll forward'!H$18,0,D95-1)-SUM('Actual RAB roll forward'!H126:OFFSET('Actual RAB roll forward'!H126,0,Input!$W$7-1))</f>
        <v>74.3248587551642</v>
      </c>
      <c r="G95" s="276">
        <f ca="1">IF(A7stdlife="N/A","n/a",IF(F95=0,0,A7stdlife+D95-Input!$W$7))</f>
        <v>43</v>
      </c>
      <c r="H95" s="263"/>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380"/>
      <c r="D96" s="85">
        <v>4</v>
      </c>
      <c r="E96" s="306">
        <f t="shared" si="6"/>
        <v>0</v>
      </c>
      <c r="F96" s="276">
        <f ca="1">OFFSET('Actual RAB roll forward'!H$18,0,D96-1)-SUM('Actual RAB roll forward'!H127:OFFSET('Actual RAB roll forward'!H127,0,Input!$W$7-1))</f>
        <v>30.672075107741122</v>
      </c>
      <c r="G96" s="276">
        <f ca="1">IF(A7stdlife="N/A","n/a",IF(F96=0,0,A7stdlife+D96-Input!$W$7))</f>
        <v>44</v>
      </c>
      <c r="H96" s="263"/>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380"/>
      <c r="D97" s="85">
        <v>5</v>
      </c>
      <c r="E97" s="306">
        <f t="shared" si="6"/>
        <v>0</v>
      </c>
      <c r="F97" s="276">
        <f ca="1">OFFSET('Actual RAB roll forward'!H$18,0,D97-1)-SUM('Actual RAB roll forward'!H128:OFFSET('Actual RAB roll forward'!H128,0,Input!$W$7-1))</f>
        <v>23.526206578875218</v>
      </c>
      <c r="G97" s="276">
        <f ca="1">IF(A7stdlife="N/A","n/a",IF(F97=0,0,A7stdlife+D97-Input!$W$7))</f>
        <v>45</v>
      </c>
      <c r="H97" s="263"/>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380"/>
      <c r="D98" s="85">
        <v>6</v>
      </c>
      <c r="E98" s="306"/>
      <c r="F98" s="276">
        <f ca="1">OFFSET('Actual RAB roll forward'!H$18,0,D98-1)-SUM('Actual RAB roll forward'!H129:OFFSET('Actual RAB roll forward'!H129,0,Input!$W$7-1))</f>
        <v>0</v>
      </c>
      <c r="G98" s="276">
        <f ca="1">IF(A7stdlife="N/A","n/a",IF(F98=0,0,A7stdlife+D98-Input!$W$7))</f>
        <v>0</v>
      </c>
      <c r="H98" s="263"/>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380"/>
      <c r="D99" s="85">
        <v>7</v>
      </c>
      <c r="E99" s="306"/>
      <c r="F99" s="276">
        <f ca="1">OFFSET('Actual RAB roll forward'!H$18,0,D99-1)-SUM('Actual RAB roll forward'!H130:OFFSET('Actual RAB roll forward'!H130,0,Input!$W$7-1))</f>
        <v>0</v>
      </c>
      <c r="G99" s="276">
        <f ca="1">IF(A7stdlife="N/A","n/a",IF(F99=0,0,A7stdlife+D99-Input!$W$7))</f>
        <v>0</v>
      </c>
      <c r="H99" s="263"/>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380"/>
      <c r="D100" s="85">
        <v>8</v>
      </c>
      <c r="E100" s="306"/>
      <c r="F100" s="276">
        <f ca="1">OFFSET('Actual RAB roll forward'!H$18,0,D100-1)-SUM('Actual RAB roll forward'!H131:OFFSET('Actual RAB roll forward'!H131,0,Input!$W$7-1))</f>
        <v>0</v>
      </c>
      <c r="G100" s="276">
        <f ca="1">IF(A7stdlife="N/A","n/a",IF(F100=0,0,A7stdlife+D100-Input!$W$7))</f>
        <v>0</v>
      </c>
      <c r="H100" s="263"/>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380"/>
      <c r="D101" s="85">
        <v>9</v>
      </c>
      <c r="E101" s="306"/>
      <c r="F101" s="276">
        <f ca="1">OFFSET('Actual RAB roll forward'!H$18,0,D101-1)-SUM('Actual RAB roll forward'!H132:OFFSET('Actual RAB roll forward'!H132,0,Input!$W$7-1))</f>
        <v>0</v>
      </c>
      <c r="G101" s="276">
        <f ca="1">IF(A7stdlife="N/A","n/a",IF(F101=0,0,A7stdlife+D101-Input!$W$7))</f>
        <v>0</v>
      </c>
      <c r="H101" s="263"/>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381"/>
      <c r="D102" s="86">
        <v>10</v>
      </c>
      <c r="E102" s="306"/>
      <c r="F102" s="276">
        <f ca="1">OFFSET('Actual RAB roll forward'!H$18,0,D102-1)-SUM('Actual RAB roll forward'!H133:OFFSET('Actual RAB roll forward'!H133,0,Input!$W$7-1))</f>
        <v>0</v>
      </c>
      <c r="G102" s="276">
        <f ca="1">IF(A7stdlife="N/A","n/a",IF(F102=0,0,A7stdlife+D102-Input!$W$7))</f>
        <v>0</v>
      </c>
      <c r="H102" s="263"/>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9" t="str">
        <f>B91</f>
        <v>Zone substation equip 132/66kV</v>
      </c>
      <c r="D103" s="9"/>
      <c r="E103" s="306">
        <f>SUM(E92:E102)</f>
        <v>0</v>
      </c>
      <c r="F103" s="276">
        <f ca="1">SUM(F92:F102)</f>
        <v>340.98085145378036</v>
      </c>
      <c r="G103" s="276">
        <f ca="1">IF(F103=0,0,SUMPRODUCT(F92:F102,G92:G102)/F103)</f>
        <v>37.922158986990823</v>
      </c>
      <c r="H103" s="263"/>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72"/>
      <c r="D104" s="9"/>
      <c r="E104" s="262"/>
      <c r="F104" s="262"/>
      <c r="G104" s="262"/>
      <c r="H104" s="263"/>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61" t="str">
        <f>Asset8</f>
        <v>Transmission &amp; Zone emergency spares</v>
      </c>
      <c r="C105" s="9"/>
      <c r="D105" s="9"/>
      <c r="E105" s="262"/>
      <c r="F105" s="262"/>
      <c r="G105" s="262"/>
      <c r="H105" s="263"/>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377" t="s">
        <v>28</v>
      </c>
      <c r="D106" s="378"/>
      <c r="E106" s="306">
        <f t="shared" ref="E106:E111" si="7">Q106</f>
        <v>0</v>
      </c>
      <c r="F106" s="276">
        <f ca="1">A8value-SUM('Actual RAB roll forward'!H135:OFFSET('Actual RAB roll forward'!H135,0,Input!$W$7-1))</f>
        <v>1.8516378885669651</v>
      </c>
      <c r="G106" s="276">
        <f>IF(A8remlife="N/A","n/a",A8remlife-Input!$W$7)</f>
        <v>35</v>
      </c>
      <c r="H106" s="263"/>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379" t="s">
        <v>85</v>
      </c>
      <c r="D107" s="85">
        <v>1</v>
      </c>
      <c r="E107" s="306">
        <f t="shared" si="7"/>
        <v>0</v>
      </c>
      <c r="F107" s="276">
        <f ca="1">OFFSET('Actual RAB roll forward'!H$19,0,D107-1)-SUM('Actual RAB roll forward'!H137:OFFSET('Actual RAB roll forward'!H137,0,Input!$W$7-1))</f>
        <v>0</v>
      </c>
      <c r="G107" s="276">
        <f ca="1">IF(A8stdlife="N/A","n/a",IF(F107=0,0,A8stdlife+D107-Input!$W$7))</f>
        <v>0</v>
      </c>
      <c r="H107" s="263"/>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380"/>
      <c r="D108" s="85">
        <v>2</v>
      </c>
      <c r="E108" s="306">
        <f t="shared" si="7"/>
        <v>0</v>
      </c>
      <c r="F108" s="276">
        <f ca="1">OFFSET('Actual RAB roll forward'!H$19,0,D108-1)-SUM('Actual RAB roll forward'!H138:OFFSET('Actual RAB roll forward'!H138,0,Input!$W$7-1))</f>
        <v>0</v>
      </c>
      <c r="G108" s="276">
        <f ca="1">IF(A8stdlife="N/A","n/a",IF(F108=0,0,A8stdlife+D108-Input!$W$7))</f>
        <v>0</v>
      </c>
      <c r="H108" s="263"/>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380"/>
      <c r="D109" s="85">
        <v>3</v>
      </c>
      <c r="E109" s="306">
        <f t="shared" si="7"/>
        <v>0</v>
      </c>
      <c r="F109" s="276">
        <f ca="1">OFFSET('Actual RAB roll forward'!H$19,0,D109-1)-SUM('Actual RAB roll forward'!H139:OFFSET('Actual RAB roll forward'!H139,0,Input!$W$7-1))</f>
        <v>0</v>
      </c>
      <c r="G109" s="276">
        <f ca="1">IF(A8stdlife="N/A","n/a",IF(F109=0,0,A8stdlife+D109-Input!$W$7))</f>
        <v>0</v>
      </c>
      <c r="H109" s="263"/>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380"/>
      <c r="D110" s="85">
        <v>4</v>
      </c>
      <c r="E110" s="306">
        <f t="shared" si="7"/>
        <v>0</v>
      </c>
      <c r="F110" s="276">
        <f ca="1">OFFSET('Actual RAB roll forward'!H$19,0,D110-1)-SUM('Actual RAB roll forward'!H140:OFFSET('Actual RAB roll forward'!H140,0,Input!$W$7-1))</f>
        <v>0</v>
      </c>
      <c r="G110" s="276">
        <f ca="1">IF(A8stdlife="N/A","n/a",IF(F110=0,0,A8stdlife+D110-Input!$W$7))</f>
        <v>0</v>
      </c>
      <c r="H110" s="263"/>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380"/>
      <c r="D111" s="85">
        <v>5</v>
      </c>
      <c r="E111" s="306">
        <f t="shared" si="7"/>
        <v>0</v>
      </c>
      <c r="F111" s="276">
        <f ca="1">OFFSET('Actual RAB roll forward'!H$19,0,D111-1)-SUM('Actual RAB roll forward'!H141:OFFSET('Actual RAB roll forward'!H141,0,Input!$W$7-1))</f>
        <v>0</v>
      </c>
      <c r="G111" s="276">
        <f ca="1">IF(A8stdlife="N/A","n/a",IF(F111=0,0,A8stdlife+D111-Input!$W$7))</f>
        <v>0</v>
      </c>
      <c r="H111" s="263"/>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380"/>
      <c r="D112" s="85">
        <v>6</v>
      </c>
      <c r="E112" s="306"/>
      <c r="F112" s="276">
        <f ca="1">OFFSET('Actual RAB roll forward'!H$19,0,D112-1)-SUM('Actual RAB roll forward'!H142:OFFSET('Actual RAB roll forward'!H142,0,Input!$W$7-1))</f>
        <v>0</v>
      </c>
      <c r="G112" s="276">
        <f ca="1">IF(A8stdlife="N/A","n/a",IF(F112=0,0,A8stdlife+D112-Input!$W$7))</f>
        <v>0</v>
      </c>
      <c r="H112" s="263"/>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380"/>
      <c r="D113" s="85">
        <v>7</v>
      </c>
      <c r="E113" s="306"/>
      <c r="F113" s="276">
        <f ca="1">OFFSET('Actual RAB roll forward'!H$19,0,D113-1)-SUM('Actual RAB roll forward'!H143:OFFSET('Actual RAB roll forward'!H143,0,Input!$W$7-1))</f>
        <v>0</v>
      </c>
      <c r="G113" s="276">
        <f ca="1">IF(A8stdlife="N/A","n/a",IF(F113=0,0,A8stdlife+D113-Input!$W$7))</f>
        <v>0</v>
      </c>
      <c r="H113" s="263"/>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380"/>
      <c r="D114" s="85">
        <v>8</v>
      </c>
      <c r="E114" s="306"/>
      <c r="F114" s="276">
        <f ca="1">OFFSET('Actual RAB roll forward'!H$19,0,D114-1)-SUM('Actual RAB roll forward'!H144:OFFSET('Actual RAB roll forward'!H144,0,Input!$W$7-1))</f>
        <v>0</v>
      </c>
      <c r="G114" s="276">
        <f ca="1">IF(A8stdlife="N/A","n/a",IF(F114=0,0,A8stdlife+D114-Input!$W$7))</f>
        <v>0</v>
      </c>
      <c r="H114" s="263"/>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380"/>
      <c r="D115" s="85">
        <v>9</v>
      </c>
      <c r="E115" s="306"/>
      <c r="F115" s="276">
        <f ca="1">OFFSET('Actual RAB roll forward'!H$19,0,D115-1)-SUM('Actual RAB roll forward'!H145:OFFSET('Actual RAB roll forward'!H145,0,Input!$W$7-1))</f>
        <v>0</v>
      </c>
      <c r="G115" s="276">
        <f ca="1">IF(A8stdlife="N/A","n/a",IF(F115=0,0,A8stdlife+D115-Input!$W$7))</f>
        <v>0</v>
      </c>
      <c r="H115" s="263"/>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381"/>
      <c r="D116" s="86">
        <v>10</v>
      </c>
      <c r="E116" s="306"/>
      <c r="F116" s="276">
        <f ca="1">OFFSET('Actual RAB roll forward'!H$19,0,D116-1)-SUM('Actual RAB roll forward'!H146:OFFSET('Actual RAB roll forward'!H146,0,Input!$W$7-1))</f>
        <v>0</v>
      </c>
      <c r="G116" s="276">
        <f ca="1">IF(A8stdlife="N/A","n/a",IF(F116=0,0,A8stdlife+D116-Input!$W$7))</f>
        <v>0</v>
      </c>
      <c r="H116" s="263"/>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9" t="str">
        <f>B105</f>
        <v>Transmission &amp; Zone emergency spares</v>
      </c>
      <c r="D117" s="9"/>
      <c r="E117" s="306">
        <f>SUM(E106:E116)</f>
        <v>0</v>
      </c>
      <c r="F117" s="276">
        <f ca="1">SUM(F106:F116)</f>
        <v>1.8516378885669651</v>
      </c>
      <c r="G117" s="276">
        <f ca="1">IF(F117=0,0,SUMPRODUCT(F106:F116,G106:G116)/F117)</f>
        <v>35</v>
      </c>
      <c r="H117" s="263"/>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72"/>
      <c r="D118" s="9"/>
      <c r="E118" s="262"/>
      <c r="F118" s="262"/>
      <c r="G118" s="262"/>
      <c r="H118" s="263"/>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61" t="str">
        <f>Asset9</f>
        <v>Ancillary substation equipment (tx)</v>
      </c>
      <c r="C119" s="9"/>
      <c r="D119" s="9"/>
      <c r="E119" s="109"/>
      <c r="F119" s="109"/>
      <c r="G119" s="109"/>
      <c r="H119" s="263"/>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377" t="s">
        <v>28</v>
      </c>
      <c r="D120" s="378"/>
      <c r="E120" s="306">
        <f t="shared" ref="E120:E125" si="8">Q120</f>
        <v>0</v>
      </c>
      <c r="F120" s="276">
        <f ca="1">A9value-SUM('Actual RAB roll forward'!H148:OFFSET('Actual RAB roll forward'!H148,0,Input!$W$7-1))</f>
        <v>0</v>
      </c>
      <c r="G120" s="276" t="str">
        <f>IF(A9remlife="N/A","n/a",A9remlife-Input!$W$7)</f>
        <v>n/a</v>
      </c>
      <c r="H120" s="263"/>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379" t="s">
        <v>85</v>
      </c>
      <c r="D121" s="85">
        <v>1</v>
      </c>
      <c r="E121" s="306">
        <f t="shared" si="8"/>
        <v>0</v>
      </c>
      <c r="F121" s="276">
        <f ca="1">OFFSET('Actual RAB roll forward'!H$20,0,D121-1)-SUM('Actual RAB roll forward'!H150:OFFSET('Actual RAB roll forward'!H150,0,Input!$W$7-1))</f>
        <v>0.84508450271887359</v>
      </c>
      <c r="G121" s="276">
        <f ca="1">IF(A9stdlife="N/A","n/a",IF(F121=0,0,A9stdlife+D121-Input!$W$7))</f>
        <v>11</v>
      </c>
      <c r="H121" s="263"/>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380"/>
      <c r="D122" s="85">
        <v>2</v>
      </c>
      <c r="E122" s="306">
        <f t="shared" si="8"/>
        <v>0</v>
      </c>
      <c r="F122" s="276">
        <f ca="1">OFFSET('Actual RAB roll forward'!H$20,0,D122-1)-SUM('Actual RAB roll forward'!H151:OFFSET('Actual RAB roll forward'!H151,0,Input!$W$7-1))</f>
        <v>2.4802272665493632</v>
      </c>
      <c r="G122" s="276">
        <f ca="1">IF(A9stdlife="N/A","n/a",IF(F122=0,0,A9stdlife+D122-Input!$W$7))</f>
        <v>12</v>
      </c>
      <c r="H122" s="263"/>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380"/>
      <c r="D123" s="85">
        <v>3</v>
      </c>
      <c r="E123" s="306">
        <f t="shared" si="8"/>
        <v>0</v>
      </c>
      <c r="F123" s="276">
        <f ca="1">OFFSET('Actual RAB roll forward'!H$20,0,D123-1)-SUM('Actual RAB roll forward'!H152:OFFSET('Actual RAB roll forward'!H152,0,Input!$W$7-1))</f>
        <v>5.4407958588609597</v>
      </c>
      <c r="G123" s="276">
        <f ca="1">IF(A9stdlife="N/A","n/a",IF(F123=0,0,A9stdlife+D123-Input!$W$7))</f>
        <v>13</v>
      </c>
      <c r="H123" s="263"/>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380"/>
      <c r="D124" s="85">
        <v>4</v>
      </c>
      <c r="E124" s="306">
        <f t="shared" si="8"/>
        <v>0</v>
      </c>
      <c r="F124" s="276">
        <f ca="1">OFFSET('Actual RAB roll forward'!H$20,0,D124-1)-SUM('Actual RAB roll forward'!H153:OFFSET('Actual RAB roll forward'!H153,0,Input!$W$7-1))</f>
        <v>19.264620175042399</v>
      </c>
      <c r="G124" s="276">
        <f ca="1">IF(A9stdlife="N/A","n/a",IF(F124=0,0,A9stdlife+D124-Input!$W$7))</f>
        <v>14</v>
      </c>
      <c r="H124" s="263"/>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380"/>
      <c r="D125" s="85">
        <v>5</v>
      </c>
      <c r="E125" s="306">
        <f t="shared" si="8"/>
        <v>0</v>
      </c>
      <c r="F125" s="276">
        <f ca="1">OFFSET('Actual RAB roll forward'!H$20,0,D125-1)-SUM('Actual RAB roll forward'!H154:OFFSET('Actual RAB roll forward'!H154,0,Input!$W$7-1))</f>
        <v>15.480058017424817</v>
      </c>
      <c r="G125" s="276">
        <f ca="1">IF(A9stdlife="N/A","n/a",IF(F125=0,0,A9stdlife+D125-Input!$W$7))</f>
        <v>15</v>
      </c>
      <c r="H125" s="263"/>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380"/>
      <c r="D126" s="85">
        <v>6</v>
      </c>
      <c r="E126" s="306"/>
      <c r="F126" s="276">
        <f ca="1">OFFSET('Actual RAB roll forward'!H$20,0,D126-1)-SUM('Actual RAB roll forward'!H155:OFFSET('Actual RAB roll forward'!H155,0,Input!$W$7-1))</f>
        <v>0</v>
      </c>
      <c r="G126" s="276">
        <f ca="1">IF(A9stdlife="N/A","n/a",IF(F126=0,0,A9stdlife+D126-Input!$W$7))</f>
        <v>0</v>
      </c>
      <c r="H126" s="263"/>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380"/>
      <c r="D127" s="85">
        <v>7</v>
      </c>
      <c r="E127" s="306"/>
      <c r="F127" s="276">
        <f ca="1">OFFSET('Actual RAB roll forward'!H$20,0,D127-1)-SUM('Actual RAB roll forward'!H156:OFFSET('Actual RAB roll forward'!H156,0,Input!$W$7-1))</f>
        <v>0</v>
      </c>
      <c r="G127" s="276">
        <f ca="1">IF(A9stdlife="N/A","n/a",IF(F127=0,0,A9stdlife+D127-Input!$W$7))</f>
        <v>0</v>
      </c>
      <c r="H127" s="263"/>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380"/>
      <c r="D128" s="85">
        <v>8</v>
      </c>
      <c r="E128" s="306"/>
      <c r="F128" s="276">
        <f ca="1">OFFSET('Actual RAB roll forward'!H$20,0,D128-1)-SUM('Actual RAB roll forward'!H157:OFFSET('Actual RAB roll forward'!H157,0,Input!$W$7-1))</f>
        <v>0</v>
      </c>
      <c r="G128" s="276">
        <f ca="1">IF(A9stdlife="N/A","n/a",IF(F128=0,0,A9stdlife+D128-Input!$W$7))</f>
        <v>0</v>
      </c>
      <c r="H128" s="263"/>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380"/>
      <c r="D129" s="85">
        <v>9</v>
      </c>
      <c r="E129" s="306"/>
      <c r="F129" s="276">
        <f ca="1">OFFSET('Actual RAB roll forward'!H$20,0,D129-1)-SUM('Actual RAB roll forward'!H158:OFFSET('Actual RAB roll forward'!H158,0,Input!$W$7-1))</f>
        <v>0</v>
      </c>
      <c r="G129" s="276">
        <f ca="1">IF(A9stdlife="N/A","n/a",IF(F129=0,0,A9stdlife+D129-Input!$W$7))</f>
        <v>0</v>
      </c>
      <c r="H129" s="263"/>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381"/>
      <c r="D130" s="86">
        <v>10</v>
      </c>
      <c r="E130" s="306"/>
      <c r="F130" s="276">
        <f ca="1">OFFSET('Actual RAB roll forward'!H$20,0,D130-1)-SUM('Actual RAB roll forward'!H159:OFFSET('Actual RAB roll forward'!H159,0,Input!$W$7-1))</f>
        <v>0</v>
      </c>
      <c r="G130" s="276">
        <f ca="1">IF(A9stdlife="N/A","n/a",IF(F130=0,0,A9stdlife+D130-Input!$W$7))</f>
        <v>0</v>
      </c>
      <c r="H130" s="263"/>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9" t="str">
        <f>B119</f>
        <v>Ancillary substation equipment (tx)</v>
      </c>
      <c r="D131" s="9"/>
      <c r="E131" s="306">
        <f>SUM(E120:E130)</f>
        <v>0</v>
      </c>
      <c r="F131" s="276">
        <f ca="1">SUM(F120:F130)</f>
        <v>43.510785820596411</v>
      </c>
      <c r="G131" s="276">
        <f ca="1">IF(F131=0,0,SUMPRODUCT(F120:F130,G120:G130)/F131)</f>
        <v>14.058458013785273</v>
      </c>
      <c r="H131" s="263"/>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72"/>
      <c r="D132" s="9"/>
      <c r="E132" s="262"/>
      <c r="F132" s="262"/>
      <c r="G132" s="262"/>
      <c r="H132" s="263"/>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61" t="str">
        <f>Asset10</f>
        <v>132kV tower lines</v>
      </c>
      <c r="C133" s="9"/>
      <c r="D133" s="9"/>
      <c r="E133" s="36"/>
      <c r="F133" s="36"/>
      <c r="G133" s="36"/>
      <c r="H133" s="263"/>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377" t="s">
        <v>28</v>
      </c>
      <c r="D134" s="378"/>
      <c r="E134" s="306">
        <f t="shared" ref="E134:E139" si="9">Q134</f>
        <v>0</v>
      </c>
      <c r="F134" s="276">
        <f ca="1">A10value-SUM('Actual RAB roll forward'!H161:OFFSET('Actual RAB roll forward'!H161,0,Input!$W$7-1))</f>
        <v>12.504743109422751</v>
      </c>
      <c r="G134" s="276">
        <f>IF(A10remlife="N/A","n/a",A10remlife-Input!$W$7)</f>
        <v>19.066980821113567</v>
      </c>
      <c r="H134" s="263"/>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379" t="s">
        <v>85</v>
      </c>
      <c r="D135" s="85">
        <v>1</v>
      </c>
      <c r="E135" s="306">
        <f t="shared" si="9"/>
        <v>0</v>
      </c>
      <c r="F135" s="276">
        <f ca="1">OFFSET('Actual RAB roll forward'!H$21,0,D135-1)-SUM('Actual RAB roll forward'!H163:OFFSET('Actual RAB roll forward'!H163,0,Input!$W$7-1))</f>
        <v>3.9787423737344474</v>
      </c>
      <c r="G135" s="276">
        <f ca="1">IF(A10stdlife="N/A","n/a",IF(F135=0,0,A10stdlife+D135-Input!$W$7))</f>
        <v>56</v>
      </c>
      <c r="H135" s="263"/>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380"/>
      <c r="D136" s="85">
        <v>2</v>
      </c>
      <c r="E136" s="306">
        <f t="shared" si="9"/>
        <v>0</v>
      </c>
      <c r="F136" s="276">
        <f ca="1">OFFSET('Actual RAB roll forward'!H$21,0,D136-1)-SUM('Actual RAB roll forward'!H164:OFFSET('Actual RAB roll forward'!H164,0,Input!$W$7-1))</f>
        <v>8.2356343983732465</v>
      </c>
      <c r="G136" s="276">
        <f ca="1">IF(A10stdlife="N/A","n/a",IF(F136=0,0,A10stdlife+D136-Input!$W$7))</f>
        <v>57</v>
      </c>
      <c r="H136" s="263"/>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380"/>
      <c r="D137" s="85">
        <v>3</v>
      </c>
      <c r="E137" s="306">
        <f t="shared" si="9"/>
        <v>0</v>
      </c>
      <c r="F137" s="276">
        <f ca="1">OFFSET('Actual RAB roll forward'!H$21,0,D137-1)-SUM('Actual RAB roll forward'!H165:OFFSET('Actual RAB roll forward'!H165,0,Input!$W$7-1))</f>
        <v>5.4442156926420333</v>
      </c>
      <c r="G137" s="276">
        <f ca="1">IF(A10stdlife="N/A","n/a",IF(F137=0,0,A10stdlife+D137-Input!$W$7))</f>
        <v>58</v>
      </c>
      <c r="H137" s="263"/>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380"/>
      <c r="D138" s="85">
        <v>4</v>
      </c>
      <c r="E138" s="306">
        <f t="shared" si="9"/>
        <v>0</v>
      </c>
      <c r="F138" s="276">
        <f ca="1">OFFSET('Actual RAB roll forward'!H$21,0,D138-1)-SUM('Actual RAB roll forward'!H166:OFFSET('Actual RAB roll forward'!H166,0,Input!$W$7-1))</f>
        <v>-0.75487182569766564</v>
      </c>
      <c r="G138" s="276">
        <f ca="1">IF(A10stdlife="N/A","n/a",IF(F138=0,0,A10stdlife+D138-Input!$W$7))</f>
        <v>59</v>
      </c>
      <c r="H138" s="263"/>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380"/>
      <c r="D139" s="85">
        <v>5</v>
      </c>
      <c r="E139" s="306">
        <f t="shared" si="9"/>
        <v>0</v>
      </c>
      <c r="F139" s="276">
        <f ca="1">OFFSET('Actual RAB roll forward'!H$21,0,D139-1)-SUM('Actual RAB roll forward'!H167:OFFSET('Actual RAB roll forward'!H167,0,Input!$W$7-1))</f>
        <v>0.35037873182477247</v>
      </c>
      <c r="G139" s="276">
        <f ca="1">IF(A10stdlife="N/A","n/a",IF(F139=0,0,A10stdlife+D139-Input!$W$7))</f>
        <v>60</v>
      </c>
      <c r="H139" s="263"/>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380"/>
      <c r="D140" s="85">
        <v>6</v>
      </c>
      <c r="E140" s="306"/>
      <c r="F140" s="276">
        <f ca="1">OFFSET('Actual RAB roll forward'!H$21,0,D140-1)-SUM('Actual RAB roll forward'!H168:OFFSET('Actual RAB roll forward'!H168,0,Input!$W$7-1))</f>
        <v>0</v>
      </c>
      <c r="G140" s="276">
        <f ca="1">IF(A10stdlife="N/A","n/a",IF(F140=0,0,A10stdlife+D140-Input!$W$7))</f>
        <v>0</v>
      </c>
      <c r="H140" s="263"/>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380"/>
      <c r="D141" s="85">
        <v>7</v>
      </c>
      <c r="E141" s="306"/>
      <c r="F141" s="276">
        <f ca="1">OFFSET('Actual RAB roll forward'!H$21,0,D141-1)-SUM('Actual RAB roll forward'!H169:OFFSET('Actual RAB roll forward'!H169,0,Input!$W$7-1))</f>
        <v>0</v>
      </c>
      <c r="G141" s="276">
        <f ca="1">IF(A10stdlife="N/A","n/a",IF(F141=0,0,A10stdlife+D141-Input!$W$7))</f>
        <v>0</v>
      </c>
      <c r="H141" s="263"/>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380"/>
      <c r="D142" s="85">
        <v>8</v>
      </c>
      <c r="E142" s="306"/>
      <c r="F142" s="276">
        <f ca="1">OFFSET('Actual RAB roll forward'!H$21,0,D142-1)-SUM('Actual RAB roll forward'!H170:OFFSET('Actual RAB roll forward'!H170,0,Input!$W$7-1))</f>
        <v>0</v>
      </c>
      <c r="G142" s="276">
        <f ca="1">IF(A10stdlife="N/A","n/a",IF(F142=0,0,A10stdlife+D142-Input!$W$7))</f>
        <v>0</v>
      </c>
      <c r="H142" s="263"/>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380"/>
      <c r="D143" s="85">
        <v>9</v>
      </c>
      <c r="E143" s="306"/>
      <c r="F143" s="276">
        <f ca="1">OFFSET('Actual RAB roll forward'!H$21,0,D143-1)-SUM('Actual RAB roll forward'!H171:OFFSET('Actual RAB roll forward'!H171,0,Input!$W$7-1))</f>
        <v>0</v>
      </c>
      <c r="G143" s="276">
        <f ca="1">IF(A10stdlife="N/A","n/a",IF(F143=0,0,A10stdlife+D143-Input!$W$7))</f>
        <v>0</v>
      </c>
      <c r="H143" s="263"/>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381"/>
      <c r="D144" s="86">
        <v>10</v>
      </c>
      <c r="E144" s="306"/>
      <c r="F144" s="276">
        <f ca="1">OFFSET('Actual RAB roll forward'!H$21,0,D144-1)-SUM('Actual RAB roll forward'!H172:OFFSET('Actual RAB roll forward'!H172,0,Input!$W$7-1))</f>
        <v>0</v>
      </c>
      <c r="G144" s="276">
        <f ca="1">IF(A10stdlife="N/A","n/a",IF(F144=0,0,A10stdlife+D144-Input!$W$7))</f>
        <v>0</v>
      </c>
      <c r="H144" s="263"/>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9" t="str">
        <f>B133</f>
        <v>132kV tower lines</v>
      </c>
      <c r="D145" s="9"/>
      <c r="E145" s="306">
        <f>SUM(E134:E144)</f>
        <v>0</v>
      </c>
      <c r="F145" s="276">
        <f ca="1">SUM(F134:F144)</f>
        <v>29.758842480299585</v>
      </c>
      <c r="G145" s="276">
        <f ca="1">IF(F145=0,0,SUMPRODUCT(F134:F144,G134:G144)/F145)</f>
        <v>41.094280728588686</v>
      </c>
      <c r="H145" s="263"/>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72"/>
      <c r="D146" s="9"/>
      <c r="E146" s="262"/>
      <c r="F146" s="262"/>
      <c r="G146" s="262"/>
      <c r="H146" s="263"/>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61" t="str">
        <f>Asset11</f>
        <v>132kV concrete &amp; steel pole lines</v>
      </c>
      <c r="C147" s="9"/>
      <c r="D147" s="9"/>
      <c r="E147" s="36"/>
      <c r="F147" s="36"/>
      <c r="G147" s="36"/>
      <c r="H147" s="263"/>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377" t="s">
        <v>28</v>
      </c>
      <c r="D148" s="378"/>
      <c r="E148" s="306">
        <f t="shared" ref="E148:E153" si="10">Q148</f>
        <v>0</v>
      </c>
      <c r="F148" s="276">
        <f ca="1">A11value-SUM('Actual RAB roll forward'!H174:OFFSET('Actual RAB roll forward'!H174,0,Input!$W$7-1))</f>
        <v>9.7361403945096381</v>
      </c>
      <c r="G148" s="276">
        <f>IF(A11remlife="N/A","n/a",A11remlife-Input!$W$7)</f>
        <v>38.563538623395829</v>
      </c>
      <c r="H148" s="263"/>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379" t="s">
        <v>85</v>
      </c>
      <c r="D149" s="85">
        <v>1</v>
      </c>
      <c r="E149" s="306">
        <f t="shared" si="10"/>
        <v>0</v>
      </c>
      <c r="F149" s="276">
        <f ca="1">OFFSET('Actual RAB roll forward'!H$22,0,D149-1)-SUM('Actual RAB roll forward'!H176:OFFSET('Actual RAB roll forward'!H176,0,Input!$W$7-1))</f>
        <v>13.416371393039062</v>
      </c>
      <c r="G149" s="276">
        <f ca="1">IF(A11stdlife="N/A","n/a",IF(F149=0,0,A11stdlife+D149-Input!$W$7))</f>
        <v>51</v>
      </c>
      <c r="H149" s="263"/>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380"/>
      <c r="D150" s="85">
        <v>2</v>
      </c>
      <c r="E150" s="306">
        <f t="shared" si="10"/>
        <v>0</v>
      </c>
      <c r="F150" s="276">
        <f ca="1">OFFSET('Actual RAB roll forward'!H$22,0,D150-1)-SUM('Actual RAB roll forward'!H177:OFFSET('Actual RAB roll forward'!H177,0,Input!$W$7-1))</f>
        <v>3.6915846127873539</v>
      </c>
      <c r="G150" s="276">
        <f ca="1">IF(A11stdlife="N/A","n/a",IF(F150=0,0,A11stdlife+D150-Input!$W$7))</f>
        <v>52</v>
      </c>
      <c r="H150" s="263"/>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380"/>
      <c r="D151" s="85">
        <v>3</v>
      </c>
      <c r="E151" s="306">
        <f t="shared" si="10"/>
        <v>0</v>
      </c>
      <c r="F151" s="276">
        <f ca="1">OFFSET('Actual RAB roll forward'!H$22,0,D151-1)-SUM('Actual RAB roll forward'!H178:OFFSET('Actual RAB roll forward'!H178,0,Input!$W$7-1))</f>
        <v>0.72702999636348553</v>
      </c>
      <c r="G151" s="276">
        <f ca="1">IF(A11stdlife="N/A","n/a",IF(F151=0,0,A11stdlife+D151-Input!$W$7))</f>
        <v>53</v>
      </c>
      <c r="H151" s="263"/>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380"/>
      <c r="D152" s="85">
        <v>4</v>
      </c>
      <c r="E152" s="306">
        <f t="shared" si="10"/>
        <v>0</v>
      </c>
      <c r="F152" s="276">
        <f ca="1">OFFSET('Actual RAB roll forward'!H$22,0,D152-1)-SUM('Actual RAB roll forward'!H179:OFFSET('Actual RAB roll forward'!H179,0,Input!$W$7-1))</f>
        <v>-1.9518268412889768</v>
      </c>
      <c r="G152" s="276">
        <f ca="1">IF(A11stdlife="N/A","n/a",IF(F152=0,0,A11stdlife+D152-Input!$W$7))</f>
        <v>54</v>
      </c>
      <c r="H152" s="263"/>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380"/>
      <c r="D153" s="85">
        <v>5</v>
      </c>
      <c r="E153" s="306">
        <f t="shared" si="10"/>
        <v>0</v>
      </c>
      <c r="F153" s="276">
        <f ca="1">OFFSET('Actual RAB roll forward'!H$22,0,D153-1)-SUM('Actual RAB roll forward'!H180:OFFSET('Actual RAB roll forward'!H180,0,Input!$W$7-1))</f>
        <v>-0.22506711483691458</v>
      </c>
      <c r="G153" s="276">
        <f ca="1">IF(A11stdlife="N/A","n/a",IF(F153=0,0,A11stdlife+D153-Input!$W$7))</f>
        <v>55</v>
      </c>
      <c r="H153" s="263"/>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380"/>
      <c r="D154" s="85">
        <v>6</v>
      </c>
      <c r="E154" s="306"/>
      <c r="F154" s="276">
        <f ca="1">OFFSET('Actual RAB roll forward'!H$22,0,D154-1)-SUM('Actual RAB roll forward'!H181:OFFSET('Actual RAB roll forward'!H181,0,Input!$W$7-1))</f>
        <v>0</v>
      </c>
      <c r="G154" s="276">
        <f ca="1">IF(A11stdlife="N/A","n/a",IF(F154=0,0,A11stdlife+D154-Input!$W$7))</f>
        <v>0</v>
      </c>
      <c r="H154" s="263"/>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380"/>
      <c r="D155" s="85">
        <v>7</v>
      </c>
      <c r="E155" s="306"/>
      <c r="F155" s="276">
        <f ca="1">OFFSET('Actual RAB roll forward'!H$22,0,D155-1)-SUM('Actual RAB roll forward'!H182:OFFSET('Actual RAB roll forward'!H182,0,Input!$W$7-1))</f>
        <v>0</v>
      </c>
      <c r="G155" s="276">
        <f ca="1">IF(A11stdlife="N/A","n/a",IF(F155=0,0,A11stdlife+D155-Input!$W$7))</f>
        <v>0</v>
      </c>
      <c r="H155" s="263"/>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380"/>
      <c r="D156" s="85">
        <v>8</v>
      </c>
      <c r="E156" s="306"/>
      <c r="F156" s="276">
        <f ca="1">OFFSET('Actual RAB roll forward'!H$22,0,D156-1)-SUM('Actual RAB roll forward'!H183:OFFSET('Actual RAB roll forward'!H183,0,Input!$W$7-1))</f>
        <v>0</v>
      </c>
      <c r="G156" s="276">
        <f ca="1">IF(A11stdlife="N/A","n/a",IF(F156=0,0,A11stdlife+D156-Input!$W$7))</f>
        <v>0</v>
      </c>
      <c r="H156" s="263"/>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380"/>
      <c r="D157" s="85">
        <v>9</v>
      </c>
      <c r="E157" s="306"/>
      <c r="F157" s="276">
        <f ca="1">OFFSET('Actual RAB roll forward'!H$22,0,D157-1)-SUM('Actual RAB roll forward'!H184:OFFSET('Actual RAB roll forward'!H184,0,Input!$W$7-1))</f>
        <v>0</v>
      </c>
      <c r="G157" s="276">
        <f ca="1">IF(A11stdlife="N/A","n/a",IF(F157=0,0,A11stdlife+D157-Input!$W$7))</f>
        <v>0</v>
      </c>
      <c r="H157" s="263"/>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381"/>
      <c r="D158" s="86">
        <v>10</v>
      </c>
      <c r="E158" s="306"/>
      <c r="F158" s="276">
        <f ca="1">OFFSET('Actual RAB roll forward'!H$22,0,D158-1)-SUM('Actual RAB roll forward'!H185:OFFSET('Actual RAB roll forward'!H185,0,Input!$W$7-1))</f>
        <v>0</v>
      </c>
      <c r="G158" s="276">
        <f ca="1">IF(A11stdlife="N/A","n/a",IF(F158=0,0,A11stdlife+D158-Input!$W$7))</f>
        <v>0</v>
      </c>
      <c r="H158" s="263"/>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9" t="str">
        <f>B147</f>
        <v>132kV concrete &amp; steel pole lines</v>
      </c>
      <c r="D159" s="9"/>
      <c r="E159" s="306">
        <f>SUM(E148:E158)</f>
        <v>0</v>
      </c>
      <c r="F159" s="276">
        <f ca="1">SUM(F148:F158)</f>
        <v>25.394232440573649</v>
      </c>
      <c r="G159" s="276">
        <f ca="1">IF(F159=0,0,SUMPRODUCT(F148:F158,G148:G158)/F159)</f>
        <v>46.168460451075426</v>
      </c>
      <c r="H159" s="263"/>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72"/>
      <c r="D160" s="9"/>
      <c r="E160" s="262"/>
      <c r="F160" s="262"/>
      <c r="G160" s="262"/>
      <c r="H160" s="263"/>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61" t="str">
        <f>Asset12</f>
        <v>132kV wood pole lines</v>
      </c>
      <c r="C161" s="9"/>
      <c r="D161" s="9"/>
      <c r="E161" s="36"/>
      <c r="F161" s="36"/>
      <c r="G161" s="36"/>
      <c r="H161" s="263"/>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377" t="s">
        <v>28</v>
      </c>
      <c r="D162" s="378"/>
      <c r="E162" s="306">
        <f t="shared" ref="E162:E167" si="11">Q162</f>
        <v>0</v>
      </c>
      <c r="F162" s="276">
        <f ca="1">A12value-SUM('Actual RAB roll forward'!H187:OFFSET('Actual RAB roll forward'!H187,0,Input!$W$7-1))</f>
        <v>19.534106952785624</v>
      </c>
      <c r="G162" s="276">
        <f>IF(A12remlife="N/A","n/a",A12remlife-Input!$W$7)</f>
        <v>23.890276076699578</v>
      </c>
      <c r="H162" s="263"/>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379" t="s">
        <v>85</v>
      </c>
      <c r="D163" s="85">
        <v>1</v>
      </c>
      <c r="E163" s="306">
        <f t="shared" si="11"/>
        <v>0</v>
      </c>
      <c r="F163" s="276">
        <f ca="1">OFFSET('Actual RAB roll forward'!H$23,0,D163-1)-SUM('Actual RAB roll forward'!H189:OFFSET('Actual RAB roll forward'!H189,0,Input!$W$7-1))</f>
        <v>9.3862119821583114</v>
      </c>
      <c r="G163" s="276">
        <f ca="1">IF(A12stdlife="N/A","n/a",IF(F163=0,0,A12stdlife+D163-Input!$W$7))</f>
        <v>41</v>
      </c>
      <c r="H163" s="263"/>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380"/>
      <c r="D164" s="85">
        <v>2</v>
      </c>
      <c r="E164" s="306">
        <f t="shared" si="11"/>
        <v>0</v>
      </c>
      <c r="F164" s="276">
        <f ca="1">OFFSET('Actual RAB roll forward'!H$23,0,D164-1)-SUM('Actual RAB roll forward'!H190:OFFSET('Actual RAB roll forward'!H190,0,Input!$W$7-1))</f>
        <v>0.39203481754814118</v>
      </c>
      <c r="G164" s="276">
        <f ca="1">IF(A12stdlife="N/A","n/a",IF(F164=0,0,A12stdlife+D164-Input!$W$7))</f>
        <v>42</v>
      </c>
      <c r="H164" s="263"/>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380"/>
      <c r="D165" s="85">
        <v>3</v>
      </c>
      <c r="E165" s="306">
        <f t="shared" si="11"/>
        <v>0</v>
      </c>
      <c r="F165" s="276">
        <f ca="1">OFFSET('Actual RAB roll forward'!H$23,0,D165-1)-SUM('Actual RAB roll forward'!H191:OFFSET('Actual RAB roll forward'!H191,0,Input!$W$7-1))</f>
        <v>0.32203548857066883</v>
      </c>
      <c r="G165" s="276">
        <f ca="1">IF(A12stdlife="N/A","n/a",IF(F165=0,0,A12stdlife+D165-Input!$W$7))</f>
        <v>43</v>
      </c>
      <c r="H165" s="263"/>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380"/>
      <c r="D166" s="85">
        <v>4</v>
      </c>
      <c r="E166" s="306">
        <f t="shared" si="11"/>
        <v>0</v>
      </c>
      <c r="F166" s="276">
        <f ca="1">OFFSET('Actual RAB roll forward'!H$23,0,D166-1)-SUM('Actual RAB roll forward'!H192:OFFSET('Actual RAB roll forward'!H192,0,Input!$W$7-1))</f>
        <v>0.54252011012569201</v>
      </c>
      <c r="G166" s="276">
        <f ca="1">IF(A12stdlife="N/A","n/a",IF(F166=0,0,A12stdlife+D166-Input!$W$7))</f>
        <v>44</v>
      </c>
      <c r="H166" s="263"/>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380"/>
      <c r="D167" s="85">
        <v>5</v>
      </c>
      <c r="E167" s="306">
        <f t="shared" si="11"/>
        <v>0</v>
      </c>
      <c r="F167" s="276">
        <f ca="1">OFFSET('Actual RAB roll forward'!H$23,0,D167-1)-SUM('Actual RAB roll forward'!H193:OFFSET('Actual RAB roll forward'!H193,0,Input!$W$7-1))</f>
        <v>0.41612574757910287</v>
      </c>
      <c r="G167" s="276">
        <f ca="1">IF(A12stdlife="N/A","n/a",IF(F167=0,0,A12stdlife+D167-Input!$W$7))</f>
        <v>45</v>
      </c>
      <c r="H167" s="263"/>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380"/>
      <c r="D168" s="85">
        <v>6</v>
      </c>
      <c r="E168" s="306"/>
      <c r="F168" s="276">
        <f ca="1">OFFSET('Actual RAB roll forward'!H$23,0,D168-1)-SUM('Actual RAB roll forward'!H194:OFFSET('Actual RAB roll forward'!H194,0,Input!$W$7-1))</f>
        <v>0</v>
      </c>
      <c r="G168" s="276">
        <f ca="1">IF(A12stdlife="N/A","n/a",IF(F168=0,0,A12stdlife+D168-Input!$W$7))</f>
        <v>0</v>
      </c>
      <c r="H168" s="263"/>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380"/>
      <c r="D169" s="85">
        <v>7</v>
      </c>
      <c r="E169" s="306"/>
      <c r="F169" s="276">
        <f ca="1">OFFSET('Actual RAB roll forward'!H$23,0,D169-1)-SUM('Actual RAB roll forward'!H195:OFFSET('Actual RAB roll forward'!H195,0,Input!$W$7-1))</f>
        <v>0</v>
      </c>
      <c r="G169" s="276">
        <f ca="1">IF(A12stdlife="N/A","n/a",IF(F169=0,0,A12stdlife+D169-Input!$W$7))</f>
        <v>0</v>
      </c>
      <c r="H169" s="263"/>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380"/>
      <c r="D170" s="85">
        <v>8</v>
      </c>
      <c r="E170" s="306"/>
      <c r="F170" s="276">
        <f ca="1">OFFSET('Actual RAB roll forward'!H$23,0,D170-1)-SUM('Actual RAB roll forward'!H196:OFFSET('Actual RAB roll forward'!H196,0,Input!$W$7-1))</f>
        <v>0</v>
      </c>
      <c r="G170" s="276">
        <f ca="1">IF(A12stdlife="N/A","n/a",IF(F170=0,0,A12stdlife+D170-Input!$W$7))</f>
        <v>0</v>
      </c>
      <c r="H170" s="263"/>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380"/>
      <c r="D171" s="85">
        <v>9</v>
      </c>
      <c r="E171" s="306"/>
      <c r="F171" s="276">
        <f ca="1">OFFSET('Actual RAB roll forward'!H$23,0,D171-1)-SUM('Actual RAB roll forward'!H197:OFFSET('Actual RAB roll forward'!H197,0,Input!$W$7-1))</f>
        <v>0</v>
      </c>
      <c r="G171" s="276">
        <f ca="1">IF(A12stdlife="N/A","n/a",IF(F171=0,0,A12stdlife+D171-Input!$W$7))</f>
        <v>0</v>
      </c>
      <c r="H171" s="263"/>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381"/>
      <c r="D172" s="86">
        <v>10</v>
      </c>
      <c r="E172" s="306"/>
      <c r="F172" s="276">
        <f ca="1">OFFSET('Actual RAB roll forward'!H$23,0,D172-1)-SUM('Actual RAB roll forward'!H198:OFFSET('Actual RAB roll forward'!H198,0,Input!$W$7-1))</f>
        <v>0</v>
      </c>
      <c r="G172" s="276">
        <f ca="1">IF(A12stdlife="N/A","n/a",IF(F172=0,0,A12stdlife+D172-Input!$W$7))</f>
        <v>0</v>
      </c>
      <c r="H172" s="263"/>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9" t="str">
        <f>B161</f>
        <v>132kV wood pole lines</v>
      </c>
      <c r="D173" s="9"/>
      <c r="E173" s="306">
        <f>SUM(E162:E172)</f>
        <v>0</v>
      </c>
      <c r="F173" s="276">
        <f ca="1">SUM(F162:F172)</f>
        <v>30.59303509876754</v>
      </c>
      <c r="G173" s="276">
        <f ca="1">IF(F173=0,0,SUMPRODUCT(F162:F172,G162:G172)/F173)</f>
        <v>30.216662979990097</v>
      </c>
      <c r="H173" s="263"/>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72"/>
      <c r="D174" s="9"/>
      <c r="E174" s="262"/>
      <c r="F174" s="262"/>
      <c r="G174" s="262"/>
      <c r="H174" s="263"/>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61" t="str">
        <f>Asset13</f>
        <v>132kV feeders underground</v>
      </c>
      <c r="C175" s="9"/>
      <c r="D175" s="9"/>
      <c r="E175" s="36"/>
      <c r="F175" s="36"/>
      <c r="G175" s="36"/>
      <c r="H175" s="263"/>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377" t="s">
        <v>28</v>
      </c>
      <c r="D176" s="378"/>
      <c r="E176" s="306">
        <f t="shared" ref="E176:E181" si="12">Q176</f>
        <v>0</v>
      </c>
      <c r="F176" s="276">
        <f ca="1">A13value-SUM('Actual RAB roll forward'!H200:OFFSET('Actual RAB roll forward'!H200,0,Input!$W$7-1))</f>
        <v>141.83945161821251</v>
      </c>
      <c r="G176" s="276">
        <f>IF(A13remlife="N/A","n/a",A13remlife-Input!$W$7)</f>
        <v>19.364220178857856</v>
      </c>
      <c r="H176" s="263"/>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379" t="s">
        <v>85</v>
      </c>
      <c r="D177" s="85">
        <v>1</v>
      </c>
      <c r="E177" s="306">
        <f t="shared" si="12"/>
        <v>0</v>
      </c>
      <c r="F177" s="276">
        <f ca="1">OFFSET('Actual RAB roll forward'!H$24,0,D177-1)-SUM('Actual RAB roll forward'!H202:OFFSET('Actual RAB roll forward'!H202,0,Input!$W$7-1))</f>
        <v>70.944151616139578</v>
      </c>
      <c r="G177" s="276">
        <f ca="1">IF(A13stdlife="N/A","n/a",IF(F177=0,0,A13stdlife+D177-Input!$W$7))</f>
        <v>41</v>
      </c>
      <c r="H177" s="263"/>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380"/>
      <c r="D178" s="85">
        <v>2</v>
      </c>
      <c r="E178" s="306">
        <f t="shared" si="12"/>
        <v>0</v>
      </c>
      <c r="F178" s="276">
        <f ca="1">OFFSET('Actual RAB roll forward'!H$24,0,D178-1)-SUM('Actual RAB roll forward'!H203:OFFSET('Actual RAB roll forward'!H203,0,Input!$W$7-1))</f>
        <v>80.416856219092239</v>
      </c>
      <c r="G178" s="276">
        <f ca="1">IF(A13stdlife="N/A","n/a",IF(F178=0,0,A13stdlife+D178-Input!$W$7))</f>
        <v>42</v>
      </c>
      <c r="H178" s="263"/>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380"/>
      <c r="D179" s="85">
        <v>3</v>
      </c>
      <c r="E179" s="306">
        <f t="shared" si="12"/>
        <v>0</v>
      </c>
      <c r="F179" s="276">
        <f ca="1">OFFSET('Actual RAB roll forward'!H$24,0,D179-1)-SUM('Actual RAB roll forward'!H204:OFFSET('Actual RAB roll forward'!H204,0,Input!$W$7-1))</f>
        <v>149.04458617466079</v>
      </c>
      <c r="G179" s="276">
        <f ca="1">IF(A13stdlife="N/A","n/a",IF(F179=0,0,A13stdlife+D179-Input!$W$7))</f>
        <v>43</v>
      </c>
      <c r="H179" s="263"/>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380"/>
      <c r="D180" s="85">
        <v>4</v>
      </c>
      <c r="E180" s="306">
        <f t="shared" si="12"/>
        <v>0</v>
      </c>
      <c r="F180" s="276">
        <f ca="1">OFFSET('Actual RAB roll forward'!H$24,0,D180-1)-SUM('Actual RAB roll forward'!H205:OFFSET('Actual RAB roll forward'!H205,0,Input!$W$7-1))</f>
        <v>65.343932597754559</v>
      </c>
      <c r="G180" s="276">
        <f ca="1">IF(A13stdlife="N/A","n/a",IF(F180=0,0,A13stdlife+D180-Input!$W$7))</f>
        <v>44</v>
      </c>
      <c r="H180" s="263"/>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380"/>
      <c r="D181" s="85">
        <v>5</v>
      </c>
      <c r="E181" s="306">
        <f t="shared" si="12"/>
        <v>0</v>
      </c>
      <c r="F181" s="276">
        <f ca="1">OFFSET('Actual RAB roll forward'!H$24,0,D181-1)-SUM('Actual RAB roll forward'!H206:OFFSET('Actual RAB roll forward'!H206,0,Input!$W$7-1))</f>
        <v>50.120340784601318</v>
      </c>
      <c r="G181" s="276">
        <f ca="1">IF(A13stdlife="N/A","n/a",IF(F181=0,0,A13stdlife+D181-Input!$W$7))</f>
        <v>45</v>
      </c>
      <c r="H181" s="263"/>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380"/>
      <c r="D182" s="85">
        <v>6</v>
      </c>
      <c r="E182" s="306"/>
      <c r="F182" s="276">
        <f ca="1">OFFSET('Actual RAB roll forward'!H$24,0,D182-1)-SUM('Actual RAB roll forward'!H207:OFFSET('Actual RAB roll forward'!H207,0,Input!$W$7-1))</f>
        <v>0</v>
      </c>
      <c r="G182" s="276">
        <f ca="1">IF(A13stdlife="N/A","n/a",IF(F182=0,0,A13stdlife+D182-Input!$W$7))</f>
        <v>0</v>
      </c>
      <c r="H182" s="263"/>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380"/>
      <c r="D183" s="85">
        <v>7</v>
      </c>
      <c r="E183" s="306"/>
      <c r="F183" s="276">
        <f ca="1">OFFSET('Actual RAB roll forward'!H$24,0,D183-1)-SUM('Actual RAB roll forward'!H208:OFFSET('Actual RAB roll forward'!H208,0,Input!$W$7-1))</f>
        <v>0</v>
      </c>
      <c r="G183" s="276">
        <f ca="1">IF(A13stdlife="N/A","n/a",IF(F183=0,0,A13stdlife+D183-Input!$W$7))</f>
        <v>0</v>
      </c>
      <c r="H183" s="263"/>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380"/>
      <c r="D184" s="85">
        <v>8</v>
      </c>
      <c r="E184" s="306"/>
      <c r="F184" s="276">
        <f ca="1">OFFSET('Actual RAB roll forward'!H$24,0,D184-1)-SUM('Actual RAB roll forward'!H209:OFFSET('Actual RAB roll forward'!H209,0,Input!$W$7-1))</f>
        <v>0</v>
      </c>
      <c r="G184" s="276">
        <f ca="1">IF(A13stdlife="N/A","n/a",IF(F184=0,0,A13stdlife+D184-Input!$W$7))</f>
        <v>0</v>
      </c>
      <c r="H184" s="263"/>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380"/>
      <c r="D185" s="85">
        <v>9</v>
      </c>
      <c r="E185" s="306"/>
      <c r="F185" s="276">
        <f ca="1">OFFSET('Actual RAB roll forward'!H$24,0,D185-1)-SUM('Actual RAB roll forward'!H210:OFFSET('Actual RAB roll forward'!H210,0,Input!$W$7-1))</f>
        <v>0</v>
      </c>
      <c r="G185" s="276">
        <f ca="1">IF(A13stdlife="N/A","n/a",IF(F185=0,0,A13stdlife+D185-Input!$W$7))</f>
        <v>0</v>
      </c>
      <c r="H185" s="263"/>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381"/>
      <c r="D186" s="86">
        <v>10</v>
      </c>
      <c r="E186" s="306"/>
      <c r="F186" s="276">
        <f ca="1">OFFSET('Actual RAB roll forward'!H$24,0,D186-1)-SUM('Actual RAB roll forward'!H211:OFFSET('Actual RAB roll forward'!H211,0,Input!$W$7-1))</f>
        <v>0</v>
      </c>
      <c r="G186" s="276">
        <f ca="1">IF(A13stdlife="N/A","n/a",IF(F186=0,0,A13stdlife+D186-Input!$W$7))</f>
        <v>0</v>
      </c>
      <c r="H186" s="263"/>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9" t="str">
        <f>B175</f>
        <v>132kV feeders underground</v>
      </c>
      <c r="D187" s="9"/>
      <c r="E187" s="306">
        <f>SUM(E176:E186)</f>
        <v>0</v>
      </c>
      <c r="F187" s="276">
        <f ca="1">SUM(F176:F186)</f>
        <v>557.70931901046106</v>
      </c>
      <c r="G187" s="276">
        <f ca="1">IF(F187=0,0,SUMPRODUCT(F176:F186,G176:G186)/F187)</f>
        <v>36.887126362290381</v>
      </c>
      <c r="H187" s="263"/>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72"/>
      <c r="D188" s="9"/>
      <c r="E188" s="262"/>
      <c r="F188" s="262"/>
      <c r="G188" s="262"/>
      <c r="H188" s="263"/>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61" t="str">
        <f>Asset14</f>
        <v>Cable tunnel (tx)</v>
      </c>
      <c r="C189" s="9"/>
      <c r="D189" s="9"/>
      <c r="E189" s="36"/>
      <c r="F189" s="36"/>
      <c r="G189" s="36"/>
      <c r="H189" s="263"/>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377" t="s">
        <v>28</v>
      </c>
      <c r="D190" s="378"/>
      <c r="E190" s="306">
        <f t="shared" ref="E190:E195" si="13">Q190</f>
        <v>0</v>
      </c>
      <c r="F190" s="276">
        <f ca="1">A14value-SUM('Actual RAB roll forward'!H213:OFFSET('Actual RAB roll forward'!H213,0,Input!$W$7-1))</f>
        <v>9.9723962664337495</v>
      </c>
      <c r="G190" s="276">
        <f>IF(A14remlife="N/A","n/a",A14remlife-Input!$W$7)</f>
        <v>59.589322381930188</v>
      </c>
      <c r="H190" s="263"/>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379" t="s">
        <v>85</v>
      </c>
      <c r="D191" s="85">
        <v>1</v>
      </c>
      <c r="E191" s="306">
        <f t="shared" si="13"/>
        <v>0</v>
      </c>
      <c r="F191" s="276">
        <f ca="1">OFFSET('Actual RAB roll forward'!H$25,0,D191-1)-SUM('Actual RAB roll forward'!H215:OFFSET('Actual RAB roll forward'!H215,0,Input!$W$7-1))</f>
        <v>0</v>
      </c>
      <c r="G191" s="276">
        <f ca="1">IF(A14stdlife="N/A","n/a",IF(F191=0,0,A14stdlife+D191-Input!$W$7))</f>
        <v>0</v>
      </c>
      <c r="H191" s="263"/>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380"/>
      <c r="D192" s="85">
        <v>2</v>
      </c>
      <c r="E192" s="306">
        <f t="shared" si="13"/>
        <v>0</v>
      </c>
      <c r="F192" s="276">
        <f ca="1">OFFSET('Actual RAB roll forward'!H$25,0,D192-1)-SUM('Actual RAB roll forward'!H216:OFFSET('Actual RAB roll forward'!H216,0,Input!$W$7-1))</f>
        <v>0</v>
      </c>
      <c r="G192" s="276">
        <f ca="1">IF(A14stdlife="N/A","n/a",IF(F192=0,0,A14stdlife+D192-Input!$W$7))</f>
        <v>0</v>
      </c>
      <c r="H192" s="263"/>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380"/>
      <c r="D193" s="85">
        <v>3</v>
      </c>
      <c r="E193" s="306">
        <f t="shared" si="13"/>
        <v>0</v>
      </c>
      <c r="F193" s="276">
        <f ca="1">OFFSET('Actual RAB roll forward'!H$25,0,D193-1)-SUM('Actual RAB roll forward'!H217:OFFSET('Actual RAB roll forward'!H217,0,Input!$W$7-1))</f>
        <v>0.4719644914179148</v>
      </c>
      <c r="G193" s="276">
        <f ca="1">IF(A14stdlife="N/A","n/a",IF(F193=0,0,A14stdlife+D193-Input!$W$7))</f>
        <v>68</v>
      </c>
      <c r="H193" s="263"/>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380"/>
      <c r="D194" s="85">
        <v>4</v>
      </c>
      <c r="E194" s="306">
        <f t="shared" si="13"/>
        <v>0</v>
      </c>
      <c r="F194" s="276">
        <f ca="1">OFFSET('Actual RAB roll forward'!H$25,0,D194-1)-SUM('Actual RAB roll forward'!H218:OFFSET('Actual RAB roll forward'!H218,0,Input!$W$7-1))</f>
        <v>0.16086059172465006</v>
      </c>
      <c r="G194" s="276">
        <f ca="1">IF(A14stdlife="N/A","n/a",IF(F194=0,0,A14stdlife+D194-Input!$W$7))</f>
        <v>69</v>
      </c>
      <c r="H194" s="263"/>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380"/>
      <c r="D195" s="85">
        <v>5</v>
      </c>
      <c r="E195" s="306">
        <f t="shared" si="13"/>
        <v>0</v>
      </c>
      <c r="F195" s="276">
        <f ca="1">OFFSET('Actual RAB roll forward'!H$25,0,D195-1)-SUM('Actual RAB roll forward'!H219:OFFSET('Actual RAB roll forward'!H219,0,Input!$W$7-1))</f>
        <v>0.12239044703240461</v>
      </c>
      <c r="G195" s="276">
        <f ca="1">IF(A14stdlife="N/A","n/a",IF(F195=0,0,A14stdlife+D195-Input!$W$7))</f>
        <v>70</v>
      </c>
      <c r="H195" s="263"/>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380"/>
      <c r="D196" s="85">
        <v>6</v>
      </c>
      <c r="E196" s="306"/>
      <c r="F196" s="276">
        <f ca="1">OFFSET('Actual RAB roll forward'!H$25,0,D196-1)-SUM('Actual RAB roll forward'!H220:OFFSET('Actual RAB roll forward'!H220,0,Input!$W$7-1))</f>
        <v>0</v>
      </c>
      <c r="G196" s="276">
        <f ca="1">IF(A14stdlife="N/A","n/a",IF(F196=0,0,A14stdlife+D196-Input!$W$7))</f>
        <v>0</v>
      </c>
      <c r="H196" s="263"/>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380"/>
      <c r="D197" s="85">
        <v>7</v>
      </c>
      <c r="E197" s="306"/>
      <c r="F197" s="276">
        <f ca="1">OFFSET('Actual RAB roll forward'!H$25,0,D197-1)-SUM('Actual RAB roll forward'!H221:OFFSET('Actual RAB roll forward'!H221,0,Input!$W$7-1))</f>
        <v>0</v>
      </c>
      <c r="G197" s="276">
        <f ca="1">IF(A14stdlife="N/A","n/a",IF(F197=0,0,A14stdlife+D197-Input!$W$7))</f>
        <v>0</v>
      </c>
      <c r="H197" s="263"/>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380"/>
      <c r="D198" s="85">
        <v>8</v>
      </c>
      <c r="E198" s="306"/>
      <c r="F198" s="276">
        <f ca="1">OFFSET('Actual RAB roll forward'!H$25,0,D198-1)-SUM('Actual RAB roll forward'!H222:OFFSET('Actual RAB roll forward'!H222,0,Input!$W$7-1))</f>
        <v>0</v>
      </c>
      <c r="G198" s="276">
        <f ca="1">IF(A14stdlife="N/A","n/a",IF(F198=0,0,A14stdlife+D198-Input!$W$7))</f>
        <v>0</v>
      </c>
      <c r="H198" s="263"/>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380"/>
      <c r="D199" s="85">
        <v>9</v>
      </c>
      <c r="E199" s="306"/>
      <c r="F199" s="276">
        <f ca="1">OFFSET('Actual RAB roll forward'!H$25,0,D199-1)-SUM('Actual RAB roll forward'!H223:OFFSET('Actual RAB roll forward'!H223,0,Input!$W$7-1))</f>
        <v>0</v>
      </c>
      <c r="G199" s="276">
        <f ca="1">IF(A14stdlife="N/A","n/a",IF(F199=0,0,A14stdlife+D199-Input!$W$7))</f>
        <v>0</v>
      </c>
      <c r="H199" s="263"/>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381"/>
      <c r="D200" s="86">
        <v>10</v>
      </c>
      <c r="E200" s="306"/>
      <c r="F200" s="276">
        <f ca="1">OFFSET('Actual RAB roll forward'!H$25,0,D200-1)-SUM('Actual RAB roll forward'!H224:OFFSET('Actual RAB roll forward'!H224,0,Input!$W$7-1))</f>
        <v>0</v>
      </c>
      <c r="G200" s="276">
        <f ca="1">IF(A14stdlife="N/A","n/a",IF(F200=0,0,A14stdlife+D200-Input!$W$7))</f>
        <v>0</v>
      </c>
      <c r="H200" s="263"/>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9" t="str">
        <f>B189</f>
        <v>Cable tunnel (tx)</v>
      </c>
      <c r="D201" s="9"/>
      <c r="E201" s="306">
        <f>SUM(E190:E200)</f>
        <v>0</v>
      </c>
      <c r="F201" s="276">
        <f ca="1">SUM(F190:F200)</f>
        <v>10.727611796608718</v>
      </c>
      <c r="G201" s="276">
        <f ca="1">IF(F201=0,0,SUMPRODUCT(F190:F200,G190:G200)/F201)</f>
        <v>60.219240388879996</v>
      </c>
      <c r="H201" s="263"/>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72"/>
      <c r="D202" s="9"/>
      <c r="E202" s="262"/>
      <c r="F202" s="262"/>
      <c r="G202" s="262"/>
      <c r="H202" s="263"/>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61" t="str">
        <f>Asset15</f>
        <v>Network control &amp; com systems</v>
      </c>
      <c r="C203" s="9"/>
      <c r="D203" s="9"/>
      <c r="E203" s="36"/>
      <c r="F203" s="36"/>
      <c r="G203" s="36"/>
      <c r="H203" s="263"/>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377" t="s">
        <v>28</v>
      </c>
      <c r="D204" s="378"/>
      <c r="E204" s="306">
        <f t="shared" ref="E204:E209" si="14">Q204</f>
        <v>0</v>
      </c>
      <c r="F204" s="276">
        <f ca="1">A15value-SUM('Actual RAB roll forward'!H226:OFFSET('Actual RAB roll forward'!H226,0,Input!$W$7-1))</f>
        <v>16.829471288858969</v>
      </c>
      <c r="G204" s="276">
        <f>IF(A15remlife="N/A","n/a",A15remlife-Input!$W$7)</f>
        <v>16.177417520883335</v>
      </c>
      <c r="H204" s="263"/>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379" t="s">
        <v>85</v>
      </c>
      <c r="D205" s="85">
        <v>1</v>
      </c>
      <c r="E205" s="306">
        <f t="shared" si="14"/>
        <v>0</v>
      </c>
      <c r="F205" s="276">
        <f ca="1">OFFSET('Actual RAB roll forward'!H$26,0,D205-1)-SUM('Actual RAB roll forward'!H228:OFFSET('Actual RAB roll forward'!H228,0,Input!$W$7-1))</f>
        <v>1.3680494530633602</v>
      </c>
      <c r="G205" s="276">
        <f ca="1">IF(A15stdlife="N/A","n/a",IF(F205=0,0,A15stdlife+D205-Input!$W$7))</f>
        <v>33.197489184627251</v>
      </c>
      <c r="H205" s="263"/>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380"/>
      <c r="D206" s="85">
        <v>2</v>
      </c>
      <c r="E206" s="306">
        <f t="shared" si="14"/>
        <v>0</v>
      </c>
      <c r="F206" s="276">
        <f ca="1">OFFSET('Actual RAB roll forward'!H$26,0,D206-1)-SUM('Actual RAB roll forward'!H229:OFFSET('Actual RAB roll forward'!H229,0,Input!$W$7-1))</f>
        <v>0</v>
      </c>
      <c r="G206" s="276">
        <f ca="1">IF(A15stdlife="N/A","n/a",IF(F206=0,0,A15stdlife+D206-Input!$W$7))</f>
        <v>0</v>
      </c>
      <c r="H206" s="263"/>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380"/>
      <c r="D207" s="85">
        <v>3</v>
      </c>
      <c r="E207" s="306">
        <f t="shared" si="14"/>
        <v>0</v>
      </c>
      <c r="F207" s="276">
        <f ca="1">OFFSET('Actual RAB roll forward'!H$26,0,D207-1)-SUM('Actual RAB roll forward'!H230:OFFSET('Actual RAB roll forward'!H230,0,Input!$W$7-1))</f>
        <v>2.2432276704258503E-2</v>
      </c>
      <c r="G207" s="276">
        <f ca="1">IF(A15stdlife="N/A","n/a",IF(F207=0,0,A15stdlife+D207-Input!$W$7))</f>
        <v>35.197489184627251</v>
      </c>
      <c r="H207" s="263"/>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380"/>
      <c r="D208" s="85">
        <v>4</v>
      </c>
      <c r="E208" s="306">
        <f t="shared" si="14"/>
        <v>0</v>
      </c>
      <c r="F208" s="276">
        <f ca="1">OFFSET('Actual RAB roll forward'!H$26,0,D208-1)-SUM('Actual RAB roll forward'!H231:OFFSET('Actual RAB roll forward'!H231,0,Input!$W$7-1))</f>
        <v>0</v>
      </c>
      <c r="G208" s="276">
        <f ca="1">IF(A15stdlife="N/A","n/a",IF(F208=0,0,A15stdlife+D208-Input!$W$7))</f>
        <v>0</v>
      </c>
      <c r="H208" s="263"/>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380"/>
      <c r="D209" s="85">
        <v>5</v>
      </c>
      <c r="E209" s="306">
        <f t="shared" si="14"/>
        <v>0</v>
      </c>
      <c r="F209" s="276">
        <f ca="1">OFFSET('Actual RAB roll forward'!H$26,0,D209-1)-SUM('Actual RAB roll forward'!H232:OFFSET('Actual RAB roll forward'!H232,0,Input!$W$7-1))</f>
        <v>0</v>
      </c>
      <c r="G209" s="276">
        <f ca="1">IF(A15stdlife="N/A","n/a",IF(F209=0,0,A15stdlife+D209-Input!$W$7))</f>
        <v>0</v>
      </c>
      <c r="H209" s="263"/>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380"/>
      <c r="D210" s="85">
        <v>6</v>
      </c>
      <c r="E210" s="306"/>
      <c r="F210" s="276">
        <f ca="1">OFFSET('Actual RAB roll forward'!H$26,0,D210-1)-SUM('Actual RAB roll forward'!H233:OFFSET('Actual RAB roll forward'!H233,0,Input!$W$7-1))</f>
        <v>0</v>
      </c>
      <c r="G210" s="276">
        <f ca="1">IF(A15stdlife="N/A","n/a",IF(F210=0,0,A15stdlife+D210-Input!$W$7))</f>
        <v>0</v>
      </c>
      <c r="H210" s="263"/>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380"/>
      <c r="D211" s="85">
        <v>7</v>
      </c>
      <c r="E211" s="306"/>
      <c r="F211" s="276">
        <f ca="1">OFFSET('Actual RAB roll forward'!H$26,0,D211-1)-SUM('Actual RAB roll forward'!H234:OFFSET('Actual RAB roll forward'!H234,0,Input!$W$7-1))</f>
        <v>0</v>
      </c>
      <c r="G211" s="276">
        <f ca="1">IF(A15stdlife="N/A","n/a",IF(F211=0,0,A15stdlife+D211-Input!$W$7))</f>
        <v>0</v>
      </c>
      <c r="H211" s="263"/>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380"/>
      <c r="D212" s="85">
        <v>8</v>
      </c>
      <c r="E212" s="306"/>
      <c r="F212" s="276">
        <f ca="1">OFFSET('Actual RAB roll forward'!H$26,0,D212-1)-SUM('Actual RAB roll forward'!H235:OFFSET('Actual RAB roll forward'!H235,0,Input!$W$7-1))</f>
        <v>0</v>
      </c>
      <c r="G212" s="276">
        <f ca="1">IF(A15stdlife="N/A","n/a",IF(F212=0,0,A15stdlife+D212-Input!$W$7))</f>
        <v>0</v>
      </c>
      <c r="H212" s="263"/>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380"/>
      <c r="D213" s="85">
        <v>9</v>
      </c>
      <c r="E213" s="306"/>
      <c r="F213" s="276">
        <f ca="1">OFFSET('Actual RAB roll forward'!H$26,0,D213-1)-SUM('Actual RAB roll forward'!H236:OFFSET('Actual RAB roll forward'!H236,0,Input!$W$7-1))</f>
        <v>0</v>
      </c>
      <c r="G213" s="276">
        <f ca="1">IF(A15stdlife="N/A","n/a",IF(F213=0,0,A15stdlife+D213-Input!$W$7))</f>
        <v>0</v>
      </c>
      <c r="H213" s="263"/>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381"/>
      <c r="D214" s="86">
        <v>10</v>
      </c>
      <c r="E214" s="306"/>
      <c r="F214" s="276">
        <f ca="1">OFFSET('Actual RAB roll forward'!H$26,0,D214-1)-SUM('Actual RAB roll forward'!H237:OFFSET('Actual RAB roll forward'!H237,0,Input!$W$7-1))</f>
        <v>0</v>
      </c>
      <c r="G214" s="276">
        <f ca="1">IF(A15stdlife="N/A","n/a",IF(F214=0,0,A15stdlife+D214-Input!$W$7))</f>
        <v>0</v>
      </c>
      <c r="H214" s="263"/>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9" t="str">
        <f>B203</f>
        <v>Network control &amp; com systems</v>
      </c>
      <c r="D215" s="9"/>
      <c r="E215" s="306">
        <f>SUM(E204:E214)</f>
        <v>0</v>
      </c>
      <c r="F215" s="276">
        <f ca="1">SUM(F204:F214)</f>
        <v>18.219953018626587</v>
      </c>
      <c r="G215" s="276">
        <f ca="1">IF(F215=0,0,SUMPRODUCT(F204:F214,G204:G214)/F215)</f>
        <v>17.478790977606295</v>
      </c>
      <c r="H215" s="263"/>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72"/>
      <c r="D216" s="9"/>
      <c r="E216" s="262"/>
      <c r="F216" s="262"/>
      <c r="G216" s="262"/>
      <c r="H216" s="263"/>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61" t="str">
        <f>Asset16</f>
        <v>Communications (digital) - tx</v>
      </c>
      <c r="C217" s="9"/>
      <c r="D217" s="9"/>
      <c r="E217" s="36"/>
      <c r="F217" s="36"/>
      <c r="G217" s="36"/>
      <c r="H217" s="263"/>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377" t="s">
        <v>28</v>
      </c>
      <c r="D218" s="378"/>
      <c r="E218" s="306">
        <f t="shared" ref="E218:E223" si="15">Q218</f>
        <v>0</v>
      </c>
      <c r="F218" s="276">
        <f ca="1">A16value-SUM('Actual RAB roll forward'!H239:OFFSET('Actual RAB roll forward'!H239,0,Input!$W$7-1))</f>
        <v>0</v>
      </c>
      <c r="G218" s="276" t="str">
        <f>IF(A16remlife="N/A","n/a",A16remlife-Input!$W$7)</f>
        <v>n/a</v>
      </c>
      <c r="H218" s="263"/>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379" t="s">
        <v>85</v>
      </c>
      <c r="D219" s="85">
        <v>1</v>
      </c>
      <c r="E219" s="306">
        <f t="shared" si="15"/>
        <v>0</v>
      </c>
      <c r="F219" s="276">
        <f ca="1">OFFSET('Actual RAB roll forward'!H$27,0,D219-1)-SUM('Actual RAB roll forward'!H241:OFFSET('Actual RAB roll forward'!H241,0,Input!$W$7-1))</f>
        <v>0</v>
      </c>
      <c r="G219" s="276">
        <f ca="1">IF(A16stdlife="N/A","n/a",IF(F219=0,0,A16stdlife+D219-Input!$W$7))</f>
        <v>0</v>
      </c>
      <c r="H219" s="263"/>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380"/>
      <c r="D220" s="85">
        <v>2</v>
      </c>
      <c r="E220" s="306">
        <f t="shared" si="15"/>
        <v>0</v>
      </c>
      <c r="F220" s="276">
        <f ca="1">OFFSET('Actual RAB roll forward'!H$27,0,D220-1)-SUM('Actual RAB roll forward'!H242:OFFSET('Actual RAB roll forward'!H242,0,Input!$W$7-1))</f>
        <v>0.22633298404908869</v>
      </c>
      <c r="G220" s="276">
        <f ca="1">IF(A16stdlife="N/A","n/a",IF(F220=0,0,A16stdlife+D220-Input!$W$7))</f>
        <v>7</v>
      </c>
      <c r="H220" s="263"/>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380"/>
      <c r="D221" s="85">
        <v>3</v>
      </c>
      <c r="E221" s="306">
        <f t="shared" si="15"/>
        <v>0</v>
      </c>
      <c r="F221" s="276">
        <f ca="1">OFFSET('Actual RAB roll forward'!H$27,0,D221-1)-SUM('Actual RAB roll forward'!H243:OFFSET('Actual RAB roll forward'!H243,0,Input!$W$7-1))</f>
        <v>0.37167860084029491</v>
      </c>
      <c r="G221" s="276">
        <f ca="1">IF(A16stdlife="N/A","n/a",IF(F221=0,0,A16stdlife+D221-Input!$W$7))</f>
        <v>8</v>
      </c>
      <c r="H221" s="263"/>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380"/>
      <c r="D222" s="85">
        <v>4</v>
      </c>
      <c r="E222" s="306">
        <f t="shared" si="15"/>
        <v>0</v>
      </c>
      <c r="F222" s="276">
        <f ca="1">OFFSET('Actual RAB roll forward'!H$27,0,D222-1)-SUM('Actual RAB roll forward'!H244:OFFSET('Actual RAB roll forward'!H244,0,Input!$W$7-1))</f>
        <v>0.14820722790052157</v>
      </c>
      <c r="G222" s="276">
        <f ca="1">IF(A16stdlife="N/A","n/a",IF(F222=0,0,A16stdlife+D222-Input!$W$7))</f>
        <v>9</v>
      </c>
      <c r="H222" s="263"/>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380"/>
      <c r="D223" s="85">
        <v>5</v>
      </c>
      <c r="E223" s="306">
        <f t="shared" si="15"/>
        <v>0</v>
      </c>
      <c r="F223" s="276">
        <f ca="1">OFFSET('Actual RAB roll forward'!H$27,0,D223-1)-SUM('Actual RAB roll forward'!H245:OFFSET('Actual RAB roll forward'!H245,0,Input!$W$7-1))</f>
        <v>0.12350251016353445</v>
      </c>
      <c r="G223" s="276">
        <f ca="1">IF(A16stdlife="N/A","n/a",IF(F223=0,0,A16stdlife+D223-Input!$W$7))</f>
        <v>10</v>
      </c>
      <c r="H223" s="263"/>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380"/>
      <c r="D224" s="85">
        <v>6</v>
      </c>
      <c r="E224" s="306"/>
      <c r="F224" s="276">
        <f ca="1">OFFSET('Actual RAB roll forward'!H$27,0,D224-1)-SUM('Actual RAB roll forward'!H246:OFFSET('Actual RAB roll forward'!H246,0,Input!$W$7-1))</f>
        <v>0</v>
      </c>
      <c r="G224" s="276">
        <f ca="1">IF(A16stdlife="N/A","n/a",IF(F224=0,0,A16stdlife+D224-Input!$W$7))</f>
        <v>0</v>
      </c>
      <c r="H224" s="263"/>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380"/>
      <c r="D225" s="85">
        <v>7</v>
      </c>
      <c r="E225" s="306"/>
      <c r="F225" s="276">
        <f ca="1">OFFSET('Actual RAB roll forward'!H$27,0,D225-1)-SUM('Actual RAB roll forward'!H247:OFFSET('Actual RAB roll forward'!H247,0,Input!$W$7-1))</f>
        <v>0</v>
      </c>
      <c r="G225" s="276">
        <f ca="1">IF(A16stdlife="N/A","n/a",IF(F225=0,0,A16stdlife+D225-Input!$W$7))</f>
        <v>0</v>
      </c>
      <c r="H225" s="263"/>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380"/>
      <c r="D226" s="85">
        <v>8</v>
      </c>
      <c r="E226" s="306"/>
      <c r="F226" s="276">
        <f ca="1">OFFSET('Actual RAB roll forward'!H$27,0,D226-1)-SUM('Actual RAB roll forward'!H248:OFFSET('Actual RAB roll forward'!H248,0,Input!$W$7-1))</f>
        <v>0</v>
      </c>
      <c r="G226" s="276">
        <f ca="1">IF(A16stdlife="N/A","n/a",IF(F226=0,0,A16stdlife+D226-Input!$W$7))</f>
        <v>0</v>
      </c>
      <c r="H226" s="263"/>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380"/>
      <c r="D227" s="85">
        <v>9</v>
      </c>
      <c r="E227" s="306"/>
      <c r="F227" s="276">
        <f ca="1">OFFSET('Actual RAB roll forward'!H$27,0,D227-1)-SUM('Actual RAB roll forward'!H249:OFFSET('Actual RAB roll forward'!H249,0,Input!$W$7-1))</f>
        <v>0</v>
      </c>
      <c r="G227" s="276">
        <f ca="1">IF(A16stdlife="N/A","n/a",IF(F227=0,0,A16stdlife+D227-Input!$W$7))</f>
        <v>0</v>
      </c>
      <c r="H227" s="263"/>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381"/>
      <c r="D228" s="86">
        <v>10</v>
      </c>
      <c r="E228" s="306"/>
      <c r="F228" s="276">
        <f ca="1">OFFSET('Actual RAB roll forward'!H$27,0,D228-1)-SUM('Actual RAB roll forward'!H250:OFFSET('Actual RAB roll forward'!H250,0,Input!$W$7-1))</f>
        <v>0</v>
      </c>
      <c r="G228" s="276">
        <f ca="1">IF(A16stdlife="N/A","n/a",IF(F228=0,0,A16stdlife+D228-Input!$W$7))</f>
        <v>0</v>
      </c>
      <c r="H228" s="263"/>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9" t="str">
        <f>B217</f>
        <v>Communications (digital) - tx</v>
      </c>
      <c r="D229" s="9"/>
      <c r="E229" s="306">
        <f>SUM(E218:E228)</f>
        <v>0</v>
      </c>
      <c r="F229" s="276">
        <f ca="1">SUM(F218:F228)</f>
        <v>0.86972132295343962</v>
      </c>
      <c r="G229" s="276">
        <f ca="1">IF(F229=0,0,SUMPRODUCT(F218:F228,G218:G228)/F229)</f>
        <v>8.19417629500564</v>
      </c>
      <c r="H229" s="263"/>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72"/>
      <c r="D230" s="9"/>
      <c r="E230" s="262"/>
      <c r="F230" s="262"/>
      <c r="G230" s="262"/>
      <c r="H230" s="263"/>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61" t="str">
        <f>Asset17</f>
        <v>System IT (tx)</v>
      </c>
      <c r="C231" s="9"/>
      <c r="D231" s="9"/>
      <c r="E231" s="36"/>
      <c r="F231" s="36"/>
      <c r="G231" s="36"/>
      <c r="H231" s="263"/>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377" t="s">
        <v>28</v>
      </c>
      <c r="D232" s="378"/>
      <c r="E232" s="306">
        <f t="shared" ref="E232:E237" si="16">Q232</f>
        <v>0</v>
      </c>
      <c r="F232" s="276">
        <f ca="1">A17value-SUM('Actual RAB roll forward'!H252:OFFSET('Actual RAB roll forward'!H252,0,Input!$W$7-1))</f>
        <v>0</v>
      </c>
      <c r="G232" s="276" t="str">
        <f>IF(A17remlife="N/A","n/a",A17remlife-Input!$W$7)</f>
        <v>n/a</v>
      </c>
      <c r="H232" s="263"/>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379" t="s">
        <v>85</v>
      </c>
      <c r="D233" s="85">
        <v>1</v>
      </c>
      <c r="E233" s="306">
        <f t="shared" si="16"/>
        <v>0</v>
      </c>
      <c r="F233" s="276">
        <f ca="1">OFFSET('Actual RAB roll forward'!H$28,0,D233-1)-SUM('Actual RAB roll forward'!H254:OFFSET('Actual RAB roll forward'!H254,0,Input!$W$7-1))</f>
        <v>1.5615869272485678</v>
      </c>
      <c r="G233" s="276">
        <f ca="1">IF(A17stdlife="N/A","n/a",IF(F233=0,0,A17stdlife+D233-Input!$W$7))</f>
        <v>3</v>
      </c>
      <c r="H233" s="263"/>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380"/>
      <c r="D234" s="85">
        <v>2</v>
      </c>
      <c r="E234" s="306">
        <f t="shared" si="16"/>
        <v>0</v>
      </c>
      <c r="F234" s="276">
        <f ca="1">OFFSET('Actual RAB roll forward'!H$28,0,D234-1)-SUM('Actual RAB roll forward'!H255:OFFSET('Actual RAB roll forward'!H255,0,Input!$W$7-1))</f>
        <v>4.5797445371864445</v>
      </c>
      <c r="G234" s="276">
        <f ca="1">IF(A17stdlife="N/A","n/a",IF(F234=0,0,A17stdlife+D234-Input!$W$7))</f>
        <v>4</v>
      </c>
      <c r="H234" s="263"/>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380"/>
      <c r="D235" s="85">
        <v>3</v>
      </c>
      <c r="E235" s="306">
        <f t="shared" si="16"/>
        <v>0</v>
      </c>
      <c r="F235" s="276">
        <f ca="1">OFFSET('Actual RAB roll forward'!H$28,0,D235-1)-SUM('Actual RAB roll forward'!H256:OFFSET('Actual RAB roll forward'!H256,0,Input!$W$7-1))</f>
        <v>6.4215422911840623</v>
      </c>
      <c r="G235" s="276">
        <f ca="1">IF(A17stdlife="N/A","n/a",IF(F235=0,0,A17stdlife+D235-Input!$W$7))</f>
        <v>5</v>
      </c>
      <c r="H235" s="263"/>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380"/>
      <c r="D236" s="85">
        <v>4</v>
      </c>
      <c r="E236" s="306">
        <f t="shared" si="16"/>
        <v>0</v>
      </c>
      <c r="F236" s="276">
        <f ca="1">OFFSET('Actual RAB roll forward'!H$28,0,D236-1)-SUM('Actual RAB roll forward'!H257:OFFSET('Actual RAB roll forward'!H257,0,Input!$W$7-1))</f>
        <v>4.0384807091594981</v>
      </c>
      <c r="G236" s="276">
        <f ca="1">IF(A17stdlife="N/A","n/a",IF(F236=0,0,A17stdlife+D236-Input!$W$7))</f>
        <v>6</v>
      </c>
      <c r="H236" s="263"/>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380"/>
      <c r="D237" s="85">
        <v>5</v>
      </c>
      <c r="E237" s="306">
        <f t="shared" si="16"/>
        <v>0</v>
      </c>
      <c r="F237" s="276">
        <f ca="1">OFFSET('Actual RAB roll forward'!H$28,0,D237-1)-SUM('Actual RAB roll forward'!H258:OFFSET('Actual RAB roll forward'!H258,0,Input!$W$7-1))</f>
        <v>3.533570106453467</v>
      </c>
      <c r="G237" s="276">
        <f ca="1">IF(A17stdlife="N/A","n/a",IF(F237=0,0,A17stdlife+D237-Input!$W$7))</f>
        <v>7</v>
      </c>
      <c r="H237" s="263"/>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380"/>
      <c r="D238" s="85">
        <v>6</v>
      </c>
      <c r="E238" s="306"/>
      <c r="F238" s="276">
        <f ca="1">OFFSET('Actual RAB roll forward'!H$28,0,D238-1)-SUM('Actual RAB roll forward'!H259:OFFSET('Actual RAB roll forward'!H259,0,Input!$W$7-1))</f>
        <v>0</v>
      </c>
      <c r="G238" s="276">
        <f ca="1">IF(A17stdlife="N/A","n/a",IF(F238=0,0,A17stdlife+D238-Input!$W$7))</f>
        <v>0</v>
      </c>
      <c r="H238" s="263"/>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380"/>
      <c r="D239" s="85">
        <v>7</v>
      </c>
      <c r="E239" s="306"/>
      <c r="F239" s="276">
        <f ca="1">OFFSET('Actual RAB roll forward'!H$28,0,D239-1)-SUM('Actual RAB roll forward'!H260:OFFSET('Actual RAB roll forward'!H260,0,Input!$W$7-1))</f>
        <v>0</v>
      </c>
      <c r="G239" s="276">
        <f ca="1">IF(A17stdlife="N/A","n/a",IF(F239=0,0,A17stdlife+D239-Input!$W$7))</f>
        <v>0</v>
      </c>
      <c r="H239" s="263"/>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380"/>
      <c r="D240" s="85">
        <v>8</v>
      </c>
      <c r="E240" s="306"/>
      <c r="F240" s="276">
        <f ca="1">OFFSET('Actual RAB roll forward'!H$28,0,D240-1)-SUM('Actual RAB roll forward'!H261:OFFSET('Actual RAB roll forward'!H261,0,Input!$W$7-1))</f>
        <v>0</v>
      </c>
      <c r="G240" s="276">
        <f ca="1">IF(A17stdlife="N/A","n/a",IF(F240=0,0,A17stdlife+D240-Input!$W$7))</f>
        <v>0</v>
      </c>
      <c r="H240" s="263"/>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380"/>
      <c r="D241" s="85">
        <v>9</v>
      </c>
      <c r="E241" s="306"/>
      <c r="F241" s="276">
        <f ca="1">OFFSET('Actual RAB roll forward'!H$28,0,D241-1)-SUM('Actual RAB roll forward'!H262:OFFSET('Actual RAB roll forward'!H262,0,Input!$W$7-1))</f>
        <v>0</v>
      </c>
      <c r="G241" s="276">
        <f ca="1">IF(A17stdlife="N/A","n/a",IF(F241=0,0,A17stdlife+D241-Input!$W$7))</f>
        <v>0</v>
      </c>
      <c r="H241" s="263"/>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381"/>
      <c r="D242" s="86">
        <v>10</v>
      </c>
      <c r="E242" s="306"/>
      <c r="F242" s="276">
        <f ca="1">OFFSET('Actual RAB roll forward'!H$28,0,D242-1)-SUM('Actual RAB roll forward'!H263:OFFSET('Actual RAB roll forward'!H263,0,Input!$W$7-1))</f>
        <v>0</v>
      </c>
      <c r="G242" s="276">
        <f ca="1">IF(A17stdlife="N/A","n/a",IF(F242=0,0,A17stdlife+D242-Input!$W$7))</f>
        <v>0</v>
      </c>
      <c r="H242" s="263"/>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9" t="str">
        <f>B231</f>
        <v>System IT (tx)</v>
      </c>
      <c r="D243" s="9"/>
      <c r="E243" s="306">
        <f>SUM(E232:E242)</f>
        <v>0</v>
      </c>
      <c r="F243" s="276">
        <f ca="1">SUM(F232:F242)</f>
        <v>20.134924571232041</v>
      </c>
      <c r="G243" s="276">
        <f ca="1">IF(F243=0,0,SUMPRODUCT(F232:F242,G232:G242)/F243)</f>
        <v>5.1689950473042492</v>
      </c>
      <c r="H243" s="263"/>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72"/>
      <c r="D244" s="9"/>
      <c r="E244" s="262"/>
      <c r="F244" s="262"/>
      <c r="G244" s="262"/>
      <c r="H244" s="263"/>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61" t="str">
        <f>Asset18</f>
        <v>IT systems</v>
      </c>
      <c r="C245" s="9"/>
      <c r="D245" s="9"/>
      <c r="E245" s="36"/>
      <c r="F245" s="36"/>
      <c r="G245" s="36"/>
      <c r="H245" s="263"/>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377" t="s">
        <v>28</v>
      </c>
      <c r="D246" s="378"/>
      <c r="E246" s="306">
        <f t="shared" ref="E246:E251" si="17">Q246</f>
        <v>0</v>
      </c>
      <c r="F246" s="276">
        <f ca="1">A18value-SUM('Actual RAB roll forward'!H265:OFFSET('Actual RAB roll forward'!H265,0,Input!$W$7-1))</f>
        <v>0</v>
      </c>
      <c r="G246" s="276">
        <f>IF(A18remlife="N/A","n/a",A18remlife-Input!$W$7)</f>
        <v>-0.84566501943674233</v>
      </c>
      <c r="H246" s="263"/>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379" t="s">
        <v>85</v>
      </c>
      <c r="D247" s="85">
        <v>1</v>
      </c>
      <c r="E247" s="306">
        <f t="shared" si="17"/>
        <v>0</v>
      </c>
      <c r="F247" s="276">
        <f ca="1">OFFSET('Actual RAB roll forward'!H$29,0,D247-1)-SUM('Actual RAB roll forward'!H267:OFFSET('Actual RAB roll forward'!H267,0,Input!$W$7-1))</f>
        <v>1.2811575510056183</v>
      </c>
      <c r="G247" s="276">
        <f ca="1">IF(A18stdlife="N/A","n/a",IF(F247=0,0,A18stdlife+D247-Input!$W$7))</f>
        <v>1</v>
      </c>
      <c r="H247" s="263"/>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380"/>
      <c r="D248" s="85">
        <v>2</v>
      </c>
      <c r="E248" s="306">
        <f t="shared" si="17"/>
        <v>0</v>
      </c>
      <c r="F248" s="276">
        <f ca="1">OFFSET('Actual RAB roll forward'!H$29,0,D248-1)-SUM('Actual RAB roll forward'!H268:OFFSET('Actual RAB roll forward'!H268,0,Input!$W$7-1))</f>
        <v>2.814764148233742</v>
      </c>
      <c r="G248" s="276">
        <f ca="1">IF(A18stdlife="N/A","n/a",IF(F248=0,0,A18stdlife+D248-Input!$W$7))</f>
        <v>2</v>
      </c>
      <c r="H248" s="263"/>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380"/>
      <c r="D249" s="85">
        <v>3</v>
      </c>
      <c r="E249" s="306">
        <f t="shared" si="17"/>
        <v>0</v>
      </c>
      <c r="F249" s="276">
        <f ca="1">OFFSET('Actual RAB roll forward'!H$29,0,D249-1)-SUM('Actual RAB roll forward'!H269:OFFSET('Actual RAB roll forward'!H269,0,Input!$W$7-1))</f>
        <v>2.6130999573476243</v>
      </c>
      <c r="G249" s="276">
        <f ca="1">IF(A18stdlife="N/A","n/a",IF(F249=0,0,A18stdlife+D249-Input!$W$7))</f>
        <v>3</v>
      </c>
      <c r="H249" s="263"/>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380"/>
      <c r="D250" s="85">
        <v>4</v>
      </c>
      <c r="E250" s="306">
        <f t="shared" si="17"/>
        <v>0</v>
      </c>
      <c r="F250" s="276">
        <f ca="1">OFFSET('Actual RAB roll forward'!H$29,0,D250-1)-SUM('Actual RAB roll forward'!H270:OFFSET('Actual RAB roll forward'!H270,0,Input!$W$7-1))</f>
        <v>2.6554234034844244</v>
      </c>
      <c r="G250" s="276">
        <f ca="1">IF(A18stdlife="N/A","n/a",IF(F250=0,0,A18stdlife+D250-Input!$W$7))</f>
        <v>4</v>
      </c>
      <c r="H250" s="263"/>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380"/>
      <c r="D251" s="85">
        <v>5</v>
      </c>
      <c r="E251" s="306">
        <f t="shared" si="17"/>
        <v>0</v>
      </c>
      <c r="F251" s="276">
        <f ca="1">OFFSET('Actual RAB roll forward'!H$29,0,D251-1)-SUM('Actual RAB roll forward'!H271:OFFSET('Actual RAB roll forward'!H271,0,Input!$W$7-1))</f>
        <v>2.4938009414770312</v>
      </c>
      <c r="G251" s="276">
        <f ca="1">IF(A18stdlife="N/A","n/a",IF(F251=0,0,A18stdlife+D251-Input!$W$7))</f>
        <v>5</v>
      </c>
      <c r="H251" s="263"/>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380"/>
      <c r="D252" s="85">
        <v>6</v>
      </c>
      <c r="E252" s="306"/>
      <c r="F252" s="276">
        <f ca="1">OFFSET('Actual RAB roll forward'!H$29,0,D252-1)-SUM('Actual RAB roll forward'!H272:OFFSET('Actual RAB roll forward'!H272,0,Input!$W$7-1))</f>
        <v>0</v>
      </c>
      <c r="G252" s="276">
        <f ca="1">IF(A18stdlife="N/A","n/a",IF(F252=0,0,A18stdlife+D252-Input!$W$7))</f>
        <v>0</v>
      </c>
      <c r="H252" s="263"/>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380"/>
      <c r="D253" s="85">
        <v>7</v>
      </c>
      <c r="E253" s="306"/>
      <c r="F253" s="276">
        <f ca="1">OFFSET('Actual RAB roll forward'!H$29,0,D253-1)-SUM('Actual RAB roll forward'!H273:OFFSET('Actual RAB roll forward'!H273,0,Input!$W$7-1))</f>
        <v>0</v>
      </c>
      <c r="G253" s="276">
        <f ca="1">IF(A18stdlife="N/A","n/a",IF(F253=0,0,A18stdlife+D253-Input!$W$7))</f>
        <v>0</v>
      </c>
      <c r="H253" s="263"/>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380"/>
      <c r="D254" s="85">
        <v>8</v>
      </c>
      <c r="E254" s="306"/>
      <c r="F254" s="276">
        <f ca="1">OFFSET('Actual RAB roll forward'!H$29,0,D254-1)-SUM('Actual RAB roll forward'!H274:OFFSET('Actual RAB roll forward'!H274,0,Input!$W$7-1))</f>
        <v>0</v>
      </c>
      <c r="G254" s="276">
        <f ca="1">IF(A18stdlife="N/A","n/a",IF(F254=0,0,A18stdlife+D254-Input!$W$7))</f>
        <v>0</v>
      </c>
      <c r="H254" s="263"/>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380"/>
      <c r="D255" s="85">
        <v>9</v>
      </c>
      <c r="E255" s="306"/>
      <c r="F255" s="276">
        <f ca="1">OFFSET('Actual RAB roll forward'!H$29,0,D255-1)-SUM('Actual RAB roll forward'!H275:OFFSET('Actual RAB roll forward'!H275,0,Input!$W$7-1))</f>
        <v>0</v>
      </c>
      <c r="G255" s="276">
        <f ca="1">IF(A18stdlife="N/A","n/a",IF(F255=0,0,A18stdlife+D255-Input!$W$7))</f>
        <v>0</v>
      </c>
      <c r="H255" s="263"/>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381"/>
      <c r="D256" s="86">
        <v>10</v>
      </c>
      <c r="E256" s="306"/>
      <c r="F256" s="276">
        <f ca="1">OFFSET('Actual RAB roll forward'!H$29,0,D256-1)-SUM('Actual RAB roll forward'!H276:OFFSET('Actual RAB roll forward'!H276,0,Input!$W$7-1))</f>
        <v>0</v>
      </c>
      <c r="G256" s="276">
        <f ca="1">IF(A18stdlife="N/A","n/a",IF(F256=0,0,A18stdlife+D256-Input!$W$7))</f>
        <v>0</v>
      </c>
      <c r="H256" s="263"/>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9" t="str">
        <f>B245</f>
        <v>IT systems</v>
      </c>
      <c r="D257" s="9"/>
      <c r="E257" s="306">
        <f>SUM(E246:E256)</f>
        <v>0</v>
      </c>
      <c r="F257" s="276">
        <f ca="1">SUM(F246:F256)</f>
        <v>11.858246001548441</v>
      </c>
      <c r="G257" s="276">
        <f ca="1">IF(F257=0,0,SUMPRODUCT(F246:F256,G246:G256)/F257)</f>
        <v>3.1910861046311254</v>
      </c>
      <c r="H257" s="263"/>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72"/>
      <c r="D258" s="9"/>
      <c r="E258" s="262"/>
      <c r="F258" s="262"/>
      <c r="G258" s="262"/>
      <c r="H258" s="263"/>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61" t="str">
        <f>Asset19</f>
        <v>Furniture, fittings, plant and equipment</v>
      </c>
      <c r="C259" s="9"/>
      <c r="D259" s="9"/>
      <c r="E259" s="36"/>
      <c r="F259" s="36"/>
      <c r="G259" s="36"/>
      <c r="H259" s="263"/>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377" t="s">
        <v>28</v>
      </c>
      <c r="D260" s="378"/>
      <c r="E260" s="306">
        <f t="shared" ref="E260:E265" si="18">Q260</f>
        <v>0</v>
      </c>
      <c r="F260" s="276">
        <f ca="1">A19value-SUM('Actual RAB roll forward'!H278:OFFSET('Actual RAB roll forward'!H278,0,Input!$W$7-1))</f>
        <v>2.5180440062163676</v>
      </c>
      <c r="G260" s="276">
        <f>IF(A19remlife="N/A","n/a",A19remlife-Input!$W$7)</f>
        <v>8.9019209872277649</v>
      </c>
      <c r="H260" s="263"/>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379" t="s">
        <v>85</v>
      </c>
      <c r="D261" s="85">
        <v>1</v>
      </c>
      <c r="E261" s="306">
        <f t="shared" si="18"/>
        <v>0</v>
      </c>
      <c r="F261" s="276">
        <f ca="1">OFFSET('Actual RAB roll forward'!H$30,0,D261-1)-SUM('Actual RAB roll forward'!H280:OFFSET('Actual RAB roll forward'!H280,0,Input!$W$7-1))</f>
        <v>0.78737979554239856</v>
      </c>
      <c r="G261" s="276">
        <f ca="1">IF(A19stdlife="N/A","n/a",IF(F261=0,0,A19stdlife+D261-Input!$W$7))</f>
        <v>13.439221952066688</v>
      </c>
      <c r="H261" s="263"/>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380"/>
      <c r="D262" s="85">
        <v>2</v>
      </c>
      <c r="E262" s="306">
        <f t="shared" si="18"/>
        <v>0</v>
      </c>
      <c r="F262" s="276">
        <f ca="1">OFFSET('Actual RAB roll forward'!H$30,0,D262-1)-SUM('Actual RAB roll forward'!H281:OFFSET('Actual RAB roll forward'!H281,0,Input!$W$7-1))</f>
        <v>0.7507612480723751</v>
      </c>
      <c r="G262" s="276">
        <f ca="1">IF(A19stdlife="N/A","n/a",IF(F262=0,0,A19stdlife+D262-Input!$W$7))</f>
        <v>14.439221952066688</v>
      </c>
      <c r="H262" s="263"/>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380"/>
      <c r="D263" s="85">
        <v>3</v>
      </c>
      <c r="E263" s="306">
        <f t="shared" si="18"/>
        <v>0</v>
      </c>
      <c r="F263" s="276">
        <f ca="1">OFFSET('Actual RAB roll forward'!H$30,0,D263-1)-SUM('Actual RAB roll forward'!H282:OFFSET('Actual RAB roll forward'!H282,0,Input!$W$7-1))</f>
        <v>0.81342694332392684</v>
      </c>
      <c r="G263" s="276">
        <f ca="1">IF(A19stdlife="N/A","n/a",IF(F263=0,0,A19stdlife+D263-Input!$W$7))</f>
        <v>15.439221952066688</v>
      </c>
      <c r="H263" s="263"/>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380"/>
      <c r="D264" s="85">
        <v>4</v>
      </c>
      <c r="E264" s="306">
        <f t="shared" si="18"/>
        <v>0</v>
      </c>
      <c r="F264" s="276">
        <f ca="1">OFFSET('Actual RAB roll forward'!H$30,0,D264-1)-SUM('Actual RAB roll forward'!H283:OFFSET('Actual RAB roll forward'!H283,0,Input!$W$7-1))</f>
        <v>0.52414396021257137</v>
      </c>
      <c r="G264" s="276">
        <f ca="1">IF(A19stdlife="N/A","n/a",IF(F264=0,0,A19stdlife+D264-Input!$W$7))</f>
        <v>16.439221952066688</v>
      </c>
      <c r="H264" s="263"/>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380"/>
      <c r="D265" s="85">
        <v>5</v>
      </c>
      <c r="E265" s="306">
        <f t="shared" si="18"/>
        <v>0</v>
      </c>
      <c r="F265" s="276">
        <f ca="1">OFFSET('Actual RAB roll forward'!H$30,0,D265-1)-SUM('Actual RAB roll forward'!H284:OFFSET('Actual RAB roll forward'!H284,0,Input!$W$7-1))</f>
        <v>0.42203620507065737</v>
      </c>
      <c r="G265" s="276">
        <f ca="1">IF(A19stdlife="N/A","n/a",IF(F265=0,0,A19stdlife+D265-Input!$W$7))</f>
        <v>17.439221952066688</v>
      </c>
      <c r="H265" s="263"/>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380"/>
      <c r="D266" s="85">
        <v>6</v>
      </c>
      <c r="E266" s="306"/>
      <c r="F266" s="276">
        <f ca="1">OFFSET('Actual RAB roll forward'!H$30,0,D266-1)-SUM('Actual RAB roll forward'!H285:OFFSET('Actual RAB roll forward'!H285,0,Input!$W$7-1))</f>
        <v>0</v>
      </c>
      <c r="G266" s="276">
        <f ca="1">IF(A19stdlife="N/A","n/a",IF(F266=0,0,A19stdlife+D266-Input!$W$7))</f>
        <v>0</v>
      </c>
      <c r="H266" s="263"/>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380"/>
      <c r="D267" s="85">
        <v>7</v>
      </c>
      <c r="E267" s="306"/>
      <c r="F267" s="276">
        <f ca="1">OFFSET('Actual RAB roll forward'!H$30,0,D267-1)-SUM('Actual RAB roll forward'!H286:OFFSET('Actual RAB roll forward'!H286,0,Input!$W$7-1))</f>
        <v>0</v>
      </c>
      <c r="G267" s="276">
        <f ca="1">IF(A19stdlife="N/A","n/a",IF(F267=0,0,A19stdlife+D267-Input!$W$7))</f>
        <v>0</v>
      </c>
      <c r="H267" s="263"/>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380"/>
      <c r="D268" s="85">
        <v>8</v>
      </c>
      <c r="E268" s="306"/>
      <c r="F268" s="276">
        <f ca="1">OFFSET('Actual RAB roll forward'!H$30,0,D268-1)-SUM('Actual RAB roll forward'!H287:OFFSET('Actual RAB roll forward'!H287,0,Input!$W$7-1))</f>
        <v>0</v>
      </c>
      <c r="G268" s="276">
        <f ca="1">IF(A19stdlife="N/A","n/a",IF(F268=0,0,A19stdlife+D268-Input!$W$7))</f>
        <v>0</v>
      </c>
      <c r="H268" s="263"/>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380"/>
      <c r="D269" s="85">
        <v>9</v>
      </c>
      <c r="E269" s="306"/>
      <c r="F269" s="276">
        <f ca="1">OFFSET('Actual RAB roll forward'!H$30,0,D269-1)-SUM('Actual RAB roll forward'!H288:OFFSET('Actual RAB roll forward'!H288,0,Input!$W$7-1))</f>
        <v>0</v>
      </c>
      <c r="G269" s="276">
        <f ca="1">IF(A19stdlife="N/A","n/a",IF(F269=0,0,A19stdlife+D269-Input!$W$7))</f>
        <v>0</v>
      </c>
      <c r="H269" s="263"/>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381"/>
      <c r="D270" s="86">
        <v>10</v>
      </c>
      <c r="E270" s="306"/>
      <c r="F270" s="276">
        <f ca="1">OFFSET('Actual RAB roll forward'!H$30,0,D270-1)-SUM('Actual RAB roll forward'!H289:OFFSET('Actual RAB roll forward'!H289,0,Input!$W$7-1))</f>
        <v>0</v>
      </c>
      <c r="G270" s="276">
        <f ca="1">IF(A19stdlife="N/A","n/a",IF(F270=0,0,A19stdlife+D270-Input!$W$7))</f>
        <v>0</v>
      </c>
      <c r="H270" s="263"/>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318"/>
      <c r="C271" s="109" t="str">
        <f>B259</f>
        <v>Furniture, fittings, plant and equipment</v>
      </c>
      <c r="D271" s="9"/>
      <c r="E271" s="306">
        <f>SUM(E260:E270)</f>
        <v>0</v>
      </c>
      <c r="F271" s="276">
        <f ca="1">SUM(F260:F270)</f>
        <v>5.8157921584382972</v>
      </c>
      <c r="G271" s="276">
        <f ca="1">IF(F271=0,0,SUMPRODUCT(F260:F270,G260:G270)/F271)</f>
        <v>12.444184387858794</v>
      </c>
      <c r="H271" s="263"/>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318"/>
      <c r="C272" s="272"/>
      <c r="D272" s="9"/>
      <c r="E272" s="262"/>
      <c r="F272" s="262"/>
      <c r="G272" s="262"/>
      <c r="H272" s="263"/>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96" t="str">
        <f>Asset20</f>
        <v>Motor vehicles</v>
      </c>
      <c r="C273" s="9"/>
      <c r="D273" s="9"/>
      <c r="E273" s="36"/>
      <c r="F273" s="36"/>
      <c r="G273" s="36"/>
      <c r="H273" s="263"/>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318"/>
      <c r="C274" s="377" t="s">
        <v>28</v>
      </c>
      <c r="D274" s="378"/>
      <c r="E274" s="306">
        <f t="shared" ref="E274:E279" si="19">Q274</f>
        <v>0</v>
      </c>
      <c r="F274" s="276">
        <f ca="1">A20value-SUM('Actual RAB roll forward'!H291:OFFSET('Actual RAB roll forward'!H291,0,Input!$W$7-1))</f>
        <v>5.1632040548458562</v>
      </c>
      <c r="G274" s="276">
        <f>IF(A20remlife="N/A","n/a",A20remlife-Input!$W$7)</f>
        <v>3.3660039727683593</v>
      </c>
      <c r="H274" s="263"/>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318"/>
      <c r="C275" s="379" t="s">
        <v>85</v>
      </c>
      <c r="D275" s="85">
        <v>1</v>
      </c>
      <c r="E275" s="306">
        <f t="shared" si="19"/>
        <v>0</v>
      </c>
      <c r="F275" s="276">
        <f ca="1">OFFSET('Actual RAB roll forward'!H$31,0,D275-1)-SUM('Actual RAB roll forward'!H293:OFFSET('Actual RAB roll forward'!H293,0,Input!$W$7-1))</f>
        <v>2.0299989774188534</v>
      </c>
      <c r="G275" s="276">
        <f ca="1">IF(A20stdlife="N/A","n/a",IF(F275=0,0,A20stdlife+D275-Input!$W$7))</f>
        <v>6.2441867620156319</v>
      </c>
      <c r="H275" s="263"/>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318"/>
      <c r="C276" s="380"/>
      <c r="D276" s="85">
        <v>2</v>
      </c>
      <c r="E276" s="306">
        <f t="shared" si="19"/>
        <v>0</v>
      </c>
      <c r="F276" s="276">
        <f ca="1">OFFSET('Actual RAB roll forward'!H$31,0,D276-1)-SUM('Actual RAB roll forward'!H294:OFFSET('Actual RAB roll forward'!H294,0,Input!$W$7-1))</f>
        <v>2.4606779032245192</v>
      </c>
      <c r="G276" s="276">
        <f ca="1">IF(A20stdlife="N/A","n/a",IF(F276=0,0,A20stdlife+D276-Input!$W$7))</f>
        <v>7.2441867620156319</v>
      </c>
      <c r="H276" s="263"/>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318"/>
      <c r="C277" s="380"/>
      <c r="D277" s="85">
        <v>3</v>
      </c>
      <c r="E277" s="306">
        <f t="shared" si="19"/>
        <v>0</v>
      </c>
      <c r="F277" s="276">
        <f ca="1">OFFSET('Actual RAB roll forward'!H$31,0,D277-1)-SUM('Actual RAB roll forward'!H295:OFFSET('Actual RAB roll forward'!H295,0,Input!$W$7-1))</f>
        <v>2.9388781522067768</v>
      </c>
      <c r="G277" s="276">
        <f ca="1">IF(A20stdlife="N/A","n/a",IF(F277=0,0,A20stdlife+D277-Input!$W$7))</f>
        <v>8.2441867620156319</v>
      </c>
      <c r="H277" s="263"/>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318"/>
      <c r="C278" s="380"/>
      <c r="D278" s="85">
        <v>4</v>
      </c>
      <c r="E278" s="306">
        <f t="shared" si="19"/>
        <v>0</v>
      </c>
      <c r="F278" s="276">
        <f ca="1">OFFSET('Actual RAB roll forward'!H$31,0,D278-1)-SUM('Actual RAB roll forward'!H296:OFFSET('Actual RAB roll forward'!H296,0,Input!$W$7-1))</f>
        <v>1.4485521713848413</v>
      </c>
      <c r="G278" s="276">
        <f ca="1">IF(A20stdlife="N/A","n/a",IF(F278=0,0,A20stdlife+D278-Input!$W$7))</f>
        <v>9.2441867620156319</v>
      </c>
      <c r="H278" s="263"/>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318"/>
      <c r="C279" s="380"/>
      <c r="D279" s="85">
        <v>5</v>
      </c>
      <c r="E279" s="306">
        <f t="shared" si="19"/>
        <v>0</v>
      </c>
      <c r="F279" s="276">
        <f ca="1">OFFSET('Actual RAB roll forward'!H$31,0,D279-1)-SUM('Actual RAB roll forward'!H297:OFFSET('Actual RAB roll forward'!H297,0,Input!$W$7-1))</f>
        <v>1.4173859525130736</v>
      </c>
      <c r="G279" s="276">
        <f ca="1">IF(A20stdlife="N/A","n/a",IF(F279=0,0,A20stdlife+D279-Input!$W$7))</f>
        <v>10.244186762015632</v>
      </c>
      <c r="H279" s="263"/>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318"/>
      <c r="C280" s="380"/>
      <c r="D280" s="85">
        <v>6</v>
      </c>
      <c r="E280" s="306"/>
      <c r="F280" s="276">
        <f ca="1">OFFSET('Actual RAB roll forward'!H$31,0,D280-1)-SUM('Actual RAB roll forward'!H298:OFFSET('Actual RAB roll forward'!H298,0,Input!$W$7-1))</f>
        <v>0</v>
      </c>
      <c r="G280" s="276">
        <f ca="1">IF(A20stdlife="N/A","n/a",IF(F280=0,0,A20stdlife+D280-Input!$W$7))</f>
        <v>0</v>
      </c>
      <c r="H280" s="263"/>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318"/>
      <c r="C281" s="380"/>
      <c r="D281" s="85">
        <v>7</v>
      </c>
      <c r="E281" s="306"/>
      <c r="F281" s="276">
        <f ca="1">OFFSET('Actual RAB roll forward'!H$31,0,D281-1)-SUM('Actual RAB roll forward'!H299:OFFSET('Actual RAB roll forward'!H299,0,Input!$W$7-1))</f>
        <v>0</v>
      </c>
      <c r="G281" s="276">
        <f ca="1">IF(A20stdlife="N/A","n/a",IF(F281=0,0,A20stdlife+D281-Input!$W$7))</f>
        <v>0</v>
      </c>
      <c r="H281" s="263"/>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318"/>
      <c r="C282" s="380"/>
      <c r="D282" s="85">
        <v>8</v>
      </c>
      <c r="E282" s="306"/>
      <c r="F282" s="276">
        <f ca="1">OFFSET('Actual RAB roll forward'!H$31,0,D282-1)-SUM('Actual RAB roll forward'!H300:OFFSET('Actual RAB roll forward'!H300,0,Input!$W$7-1))</f>
        <v>0</v>
      </c>
      <c r="G282" s="276">
        <f ca="1">IF(A20stdlife="N/A","n/a",IF(F282=0,0,A20stdlife+D282-Input!$W$7))</f>
        <v>0</v>
      </c>
      <c r="H282" s="263"/>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318"/>
      <c r="C283" s="380"/>
      <c r="D283" s="85">
        <v>9</v>
      </c>
      <c r="E283" s="306"/>
      <c r="F283" s="276">
        <f ca="1">OFFSET('Actual RAB roll forward'!H$31,0,D283-1)-SUM('Actual RAB roll forward'!H301:OFFSET('Actual RAB roll forward'!H301,0,Input!$W$7-1))</f>
        <v>0</v>
      </c>
      <c r="G283" s="276">
        <f ca="1">IF(A20stdlife="N/A","n/a",IF(F283=0,0,A20stdlife+D283-Input!$W$7))</f>
        <v>0</v>
      </c>
      <c r="H283" s="263"/>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318"/>
      <c r="C284" s="381"/>
      <c r="D284" s="86">
        <v>10</v>
      </c>
      <c r="E284" s="306"/>
      <c r="F284" s="276">
        <f ca="1">OFFSET('Actual RAB roll forward'!H$31,0,D284-1)-SUM('Actual RAB roll forward'!H302:OFFSET('Actual RAB roll forward'!H302,0,Input!$W$7-1))</f>
        <v>0</v>
      </c>
      <c r="G284" s="276">
        <f ca="1">IF(A20stdlife="N/A","n/a",IF(F284=0,0,A20stdlife+D284-Input!$W$7))</f>
        <v>0</v>
      </c>
      <c r="H284" s="263"/>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B285" s="318"/>
      <c r="C285" s="109" t="str">
        <f>B273</f>
        <v>Motor vehicles</v>
      </c>
      <c r="D285" s="9"/>
      <c r="E285" s="306">
        <f>SUM(E274:E284)</f>
        <v>0</v>
      </c>
      <c r="F285" s="276">
        <f ca="1">SUM(F274:F284)</f>
        <v>15.458697211593922</v>
      </c>
      <c r="G285" s="276">
        <f ca="1">IF(F285=0,0,SUMPRODUCT(F274:F284,G274:G284)/F285)</f>
        <v>6.4701430270232736</v>
      </c>
      <c r="H285" s="263"/>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96"/>
      <c r="C286" s="9"/>
      <c r="D286" s="9"/>
      <c r="E286" s="36"/>
      <c r="F286" s="36"/>
      <c r="G286" s="36"/>
      <c r="H286" s="263"/>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96" t="str">
        <f>Asset21</f>
        <v>Buildings</v>
      </c>
      <c r="C287" s="9"/>
      <c r="D287" s="9"/>
      <c r="E287" s="36"/>
      <c r="F287" s="36"/>
      <c r="G287" s="36"/>
      <c r="H287" s="263"/>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318"/>
      <c r="C288" s="377" t="s">
        <v>28</v>
      </c>
      <c r="D288" s="378"/>
      <c r="E288" s="306">
        <f t="shared" ref="E288:E293" si="20">Q288</f>
        <v>0</v>
      </c>
      <c r="F288" s="276">
        <f ca="1">A21value-SUM('Actual RAB roll forward'!H304:OFFSET('Actual RAB roll forward'!H304,0,Input!$W$7-1))</f>
        <v>14.866778839022155</v>
      </c>
      <c r="G288" s="276">
        <f>IF(A21remlife="N/A","n/a",A21remlife-Input!$W$7)</f>
        <v>28.031846639808428</v>
      </c>
      <c r="H288" s="263"/>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318"/>
      <c r="C289" s="379" t="s">
        <v>85</v>
      </c>
      <c r="D289" s="85">
        <v>1</v>
      </c>
      <c r="E289" s="306">
        <f t="shared" si="20"/>
        <v>0</v>
      </c>
      <c r="F289" s="276">
        <f ca="1">OFFSET('Actual RAB roll forward'!H$32,0,D289-1)-SUM('Actual RAB roll forward'!H306:OFFSET('Actual RAB roll forward'!H306,0,Input!$W$7-1))</f>
        <v>8.0625263688152096</v>
      </c>
      <c r="G289" s="276">
        <f ca="1">IF(A21stdlife="N/A","n/a",IF(F289=0,0,A21stdlife+D289-Input!$W$7))</f>
        <v>31.916896031439698</v>
      </c>
      <c r="H289" s="263"/>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318"/>
      <c r="C290" s="380"/>
      <c r="D290" s="85">
        <v>2</v>
      </c>
      <c r="E290" s="306">
        <f t="shared" si="20"/>
        <v>0</v>
      </c>
      <c r="F290" s="276">
        <f ca="1">OFFSET('Actual RAB roll forward'!H$32,0,D290-1)-SUM('Actual RAB roll forward'!H307:OFFSET('Actual RAB roll forward'!H307,0,Input!$W$7-1))</f>
        <v>5.3390686422753282</v>
      </c>
      <c r="G290" s="276">
        <f ca="1">IF(A21stdlife="N/A","n/a",IF(F290=0,0,A21stdlife+D290-Input!$W$7))</f>
        <v>32.916896031439698</v>
      </c>
      <c r="H290" s="263"/>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318"/>
      <c r="C291" s="380"/>
      <c r="D291" s="85">
        <v>3</v>
      </c>
      <c r="E291" s="306">
        <f t="shared" si="20"/>
        <v>0</v>
      </c>
      <c r="F291" s="276">
        <f ca="1">OFFSET('Actual RAB roll forward'!H$32,0,D291-1)-SUM('Actual RAB roll forward'!H308:OFFSET('Actual RAB roll forward'!H308,0,Input!$W$7-1))</f>
        <v>3.7666098373218944</v>
      </c>
      <c r="G291" s="276">
        <f ca="1">IF(A21stdlife="N/A","n/a",IF(F291=0,0,A21stdlife+D291-Input!$W$7))</f>
        <v>33.916896031439698</v>
      </c>
      <c r="H291" s="263"/>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318"/>
      <c r="C292" s="380"/>
      <c r="D292" s="85">
        <v>4</v>
      </c>
      <c r="E292" s="306">
        <f t="shared" si="20"/>
        <v>0</v>
      </c>
      <c r="F292" s="276">
        <f ca="1">OFFSET('Actual RAB roll forward'!H$32,0,D292-1)-SUM('Actual RAB roll forward'!H309:OFFSET('Actual RAB roll forward'!H309,0,Input!$W$7-1))</f>
        <v>2.3268896862032209</v>
      </c>
      <c r="G292" s="276">
        <f ca="1">IF(A21stdlife="N/A","n/a",IF(F292=0,0,A21stdlife+D292-Input!$W$7))</f>
        <v>34.916896031439698</v>
      </c>
      <c r="H292" s="263"/>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318"/>
      <c r="C293" s="380"/>
      <c r="D293" s="85">
        <v>5</v>
      </c>
      <c r="E293" s="306">
        <f t="shared" si="20"/>
        <v>0</v>
      </c>
      <c r="F293" s="276">
        <f ca="1">OFFSET('Actual RAB roll forward'!H$32,0,D293-1)-SUM('Actual RAB roll forward'!H310:OFFSET('Actual RAB roll forward'!H310,0,Input!$W$7-1))</f>
        <v>-5.5764087557970807</v>
      </c>
      <c r="G293" s="276">
        <f ca="1">IF(A21stdlife="N/A","n/a",IF(F293=0,0,A21stdlife+D293-Input!$W$7))</f>
        <v>35.916896031439698</v>
      </c>
      <c r="H293" s="263"/>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318"/>
      <c r="C294" s="380"/>
      <c r="D294" s="85">
        <v>6</v>
      </c>
      <c r="E294" s="306"/>
      <c r="F294" s="276">
        <f ca="1">OFFSET('Actual RAB roll forward'!H$32,0,D294-1)-SUM('Actual RAB roll forward'!H311:OFFSET('Actual RAB roll forward'!H311,0,Input!$W$7-1))</f>
        <v>0</v>
      </c>
      <c r="G294" s="276">
        <f ca="1">IF(A21stdlife="N/A","n/a",IF(F294=0,0,A21stdlife+D294-Input!$W$7))</f>
        <v>0</v>
      </c>
      <c r="H294" s="263"/>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318"/>
      <c r="C295" s="380"/>
      <c r="D295" s="85">
        <v>7</v>
      </c>
      <c r="E295" s="306"/>
      <c r="F295" s="276">
        <f ca="1">OFFSET('Actual RAB roll forward'!H$32,0,D295-1)-SUM('Actual RAB roll forward'!H312:OFFSET('Actual RAB roll forward'!H312,0,Input!$W$7-1))</f>
        <v>0</v>
      </c>
      <c r="G295" s="276">
        <f ca="1">IF(A21stdlife="N/A","n/a",IF(F295=0,0,A21stdlife+D295-Input!$W$7))</f>
        <v>0</v>
      </c>
      <c r="H295" s="263"/>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318"/>
      <c r="C296" s="380"/>
      <c r="D296" s="85">
        <v>8</v>
      </c>
      <c r="E296" s="306"/>
      <c r="F296" s="276">
        <f ca="1">OFFSET('Actual RAB roll forward'!H$32,0,D296-1)-SUM('Actual RAB roll forward'!H313:OFFSET('Actual RAB roll forward'!H313,0,Input!$W$7-1))</f>
        <v>0</v>
      </c>
      <c r="G296" s="276">
        <f ca="1">IF(A21stdlife="N/A","n/a",IF(F296=0,0,A21stdlife+D296-Input!$W$7))</f>
        <v>0</v>
      </c>
      <c r="H296" s="263"/>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318"/>
      <c r="C297" s="380"/>
      <c r="D297" s="85">
        <v>9</v>
      </c>
      <c r="E297" s="306"/>
      <c r="F297" s="276">
        <f ca="1">OFFSET('Actual RAB roll forward'!H$32,0,D297-1)-SUM('Actual RAB roll forward'!H314:OFFSET('Actual RAB roll forward'!H314,0,Input!$W$7-1))</f>
        <v>0</v>
      </c>
      <c r="G297" s="276">
        <f ca="1">IF(A21stdlife="N/A","n/a",IF(F297=0,0,A21stdlife+D297-Input!$W$7))</f>
        <v>0</v>
      </c>
      <c r="H297" s="263"/>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318"/>
      <c r="C298" s="381"/>
      <c r="D298" s="86">
        <v>10</v>
      </c>
      <c r="E298" s="306"/>
      <c r="F298" s="276">
        <f ca="1">OFFSET('Actual RAB roll forward'!H$32,0,D298-1)-SUM('Actual RAB roll forward'!H315:OFFSET('Actual RAB roll forward'!H315,0,Input!$W$7-1))</f>
        <v>0</v>
      </c>
      <c r="G298" s="276">
        <f ca="1">IF(A21stdlife="N/A","n/a",IF(F298=0,0,A21stdlife+D298-Input!$W$7))</f>
        <v>0</v>
      </c>
      <c r="H298" s="263"/>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B299" s="318"/>
      <c r="C299" s="109" t="str">
        <f>B287</f>
        <v>Buildings</v>
      </c>
      <c r="D299" s="9"/>
      <c r="E299" s="306">
        <f>SUM(E288:E298)</f>
        <v>0</v>
      </c>
      <c r="F299" s="276">
        <f ca="1">SUM(F288:F298)</f>
        <v>28.785464617840731</v>
      </c>
      <c r="G299" s="276">
        <f ca="1">IF(F299=0,0,SUMPRODUCT(F288:F298,G288:G298)/F299)</f>
        <v>29.825185908602151</v>
      </c>
      <c r="H299" s="263"/>
      <c r="I299" s="44"/>
      <c r="J299" s="44"/>
      <c r="K299" s="44"/>
      <c r="L299" s="44"/>
      <c r="M299" s="44"/>
      <c r="N299" s="44"/>
      <c r="O299" s="44"/>
      <c r="P299" s="44"/>
      <c r="Q299" s="44"/>
      <c r="R299" s="44"/>
      <c r="S299" s="44"/>
      <c r="T299" s="44"/>
      <c r="U299" s="44"/>
      <c r="V299" s="44"/>
      <c r="W299" s="44"/>
      <c r="X299" s="44"/>
      <c r="Y299" s="44"/>
      <c r="Z299" s="44"/>
      <c r="AA299" s="44"/>
      <c r="AB299" s="44"/>
    </row>
    <row r="300" spans="1:28" hidden="1" outlineLevel="1">
      <c r="A300" s="9"/>
      <c r="B300" s="318"/>
      <c r="C300" s="319"/>
      <c r="D300" s="318"/>
      <c r="E300" s="320"/>
      <c r="F300" s="320"/>
      <c r="G300" s="320"/>
      <c r="H300" s="263"/>
      <c r="I300" s="44"/>
      <c r="J300" s="44"/>
      <c r="K300" s="44"/>
      <c r="L300" s="44"/>
      <c r="M300" s="44"/>
      <c r="N300" s="44"/>
      <c r="O300" s="44"/>
      <c r="P300" s="44"/>
      <c r="Q300" s="44"/>
      <c r="R300" s="44"/>
      <c r="S300" s="44"/>
      <c r="T300" s="44"/>
      <c r="U300" s="44"/>
      <c r="V300" s="44"/>
      <c r="W300" s="44"/>
      <c r="X300" s="44"/>
      <c r="Y300" s="44"/>
      <c r="Z300" s="44"/>
      <c r="AA300" s="44"/>
      <c r="AB300" s="44"/>
    </row>
    <row r="301" spans="1:28" hidden="1" outlineLevel="1">
      <c r="A301" s="9"/>
      <c r="B301" s="296" t="str">
        <f>Asset22</f>
        <v>Land (non-system)</v>
      </c>
      <c r="C301" s="9"/>
      <c r="D301" s="9"/>
      <c r="E301" s="36"/>
      <c r="F301" s="36"/>
      <c r="G301" s="36"/>
      <c r="H301" s="263"/>
      <c r="I301" s="44"/>
      <c r="J301" s="44"/>
      <c r="K301" s="44"/>
      <c r="L301" s="44"/>
      <c r="M301" s="44"/>
      <c r="N301" s="44"/>
      <c r="O301" s="44"/>
      <c r="P301" s="44"/>
      <c r="Q301" s="44"/>
      <c r="R301" s="44"/>
      <c r="S301" s="44"/>
      <c r="T301" s="44"/>
      <c r="U301" s="44"/>
      <c r="V301" s="44"/>
      <c r="W301" s="44"/>
      <c r="X301" s="44"/>
      <c r="Y301" s="44"/>
      <c r="Z301" s="44"/>
      <c r="AA301" s="44"/>
      <c r="AB301" s="44"/>
    </row>
    <row r="302" spans="1:28" hidden="1" outlineLevel="1">
      <c r="A302" s="9"/>
      <c r="B302" s="318"/>
      <c r="C302" s="377" t="s">
        <v>28</v>
      </c>
      <c r="D302" s="378"/>
      <c r="E302" s="306">
        <f t="shared" ref="E302:E307" si="21">Q302</f>
        <v>0</v>
      </c>
      <c r="F302" s="276">
        <f ca="1">A22value-SUM('Actual RAB roll forward'!H318:OFFSET('Actual RAB roll forward'!H318,0,Input!$W$7-1))</f>
        <v>6.6275412063747812</v>
      </c>
      <c r="G302" s="276" t="str">
        <f>IF(A22remlife="N/A","n/a",A22remlife-Input!$W$7)</f>
        <v>n/a</v>
      </c>
      <c r="H302" s="263"/>
      <c r="I302" s="44"/>
      <c r="J302" s="44"/>
      <c r="K302" s="44"/>
      <c r="L302" s="44"/>
      <c r="M302" s="44"/>
      <c r="N302" s="44"/>
      <c r="O302" s="44"/>
      <c r="P302" s="44"/>
      <c r="Q302" s="44"/>
      <c r="R302" s="44"/>
      <c r="S302" s="44"/>
      <c r="T302" s="44"/>
      <c r="U302" s="44"/>
      <c r="V302" s="44"/>
      <c r="W302" s="44"/>
      <c r="X302" s="44"/>
      <c r="Y302" s="44"/>
      <c r="Z302" s="44"/>
      <c r="AA302" s="44"/>
      <c r="AB302" s="44"/>
    </row>
    <row r="303" spans="1:28" hidden="1" outlineLevel="1">
      <c r="A303" s="9"/>
      <c r="B303" s="318"/>
      <c r="C303" s="379" t="s">
        <v>85</v>
      </c>
      <c r="D303" s="85">
        <v>1</v>
      </c>
      <c r="E303" s="306">
        <f t="shared" si="21"/>
        <v>0</v>
      </c>
      <c r="F303" s="276">
        <f ca="1">OFFSET('Actual RAB roll forward'!H$33,0,D303-1)-SUM('Actual RAB roll forward'!H320:OFFSET('Actual RAB roll forward'!H320,0,Input!$W$7-1))</f>
        <v>2.6920221766731092</v>
      </c>
      <c r="G303" s="276" t="str">
        <f>IF(A22stdlife="N/A","n/a",IF(F303=0,0,A22stdlife+D303-Input!$W$7))</f>
        <v>n/a</v>
      </c>
      <c r="H303" s="263"/>
      <c r="I303" s="44"/>
      <c r="J303" s="44"/>
      <c r="K303" s="44"/>
      <c r="L303" s="44"/>
      <c r="M303" s="44"/>
      <c r="N303" s="44"/>
      <c r="O303" s="44"/>
      <c r="P303" s="44"/>
      <c r="Q303" s="44"/>
      <c r="R303" s="44"/>
      <c r="S303" s="44"/>
      <c r="T303" s="44"/>
      <c r="U303" s="44"/>
      <c r="V303" s="44"/>
      <c r="W303" s="44"/>
      <c r="X303" s="44"/>
      <c r="Y303" s="44"/>
      <c r="Z303" s="44"/>
      <c r="AA303" s="44"/>
      <c r="AB303" s="44"/>
    </row>
    <row r="304" spans="1:28" hidden="1" outlineLevel="1">
      <c r="A304" s="9"/>
      <c r="B304" s="318"/>
      <c r="C304" s="380"/>
      <c r="D304" s="85">
        <v>2</v>
      </c>
      <c r="E304" s="306">
        <f t="shared" si="21"/>
        <v>0</v>
      </c>
      <c r="F304" s="276">
        <f ca="1">OFFSET('Actual RAB roll forward'!H$32,0,D304-1)-SUM('Actual RAB roll forward'!H321:OFFSET('Actual RAB roll forward'!H321,0,Input!$W$7-1))</f>
        <v>5.8256639127263323</v>
      </c>
      <c r="G304" s="276" t="str">
        <f>IF(A22stdlife="N/A","n/a",IF(F304=0,0,A22stdlife+D304-Input!$W$7))</f>
        <v>n/a</v>
      </c>
      <c r="H304" s="263"/>
      <c r="I304" s="44"/>
      <c r="J304" s="44"/>
      <c r="K304" s="44"/>
      <c r="L304" s="44"/>
      <c r="M304" s="44"/>
      <c r="N304" s="44"/>
      <c r="O304" s="44"/>
      <c r="P304" s="44"/>
      <c r="Q304" s="44"/>
      <c r="R304" s="44"/>
      <c r="S304" s="44"/>
      <c r="T304" s="44"/>
      <c r="U304" s="44"/>
      <c r="V304" s="44"/>
      <c r="W304" s="44"/>
      <c r="X304" s="44"/>
      <c r="Y304" s="44"/>
      <c r="Z304" s="44"/>
      <c r="AA304" s="44"/>
      <c r="AB304" s="44"/>
    </row>
    <row r="305" spans="1:28" hidden="1" outlineLevel="1">
      <c r="A305" s="9"/>
      <c r="B305" s="318"/>
      <c r="C305" s="380"/>
      <c r="D305" s="85">
        <v>3</v>
      </c>
      <c r="E305" s="306">
        <f t="shared" si="21"/>
        <v>0</v>
      </c>
      <c r="F305" s="276">
        <f ca="1">OFFSET('Actual RAB roll forward'!H$32,0,D305-1)-SUM('Actual RAB roll forward'!H322:OFFSET('Actual RAB roll forward'!H322,0,Input!$W$7-1))</f>
        <v>3.9887180062905632</v>
      </c>
      <c r="G305" s="276" t="str">
        <f>IF(A22stdlife="N/A","n/a",IF(F305=0,0,A22stdlife+D305-Input!$W$7))</f>
        <v>n/a</v>
      </c>
      <c r="H305" s="263"/>
      <c r="I305" s="44"/>
      <c r="J305" s="44"/>
      <c r="K305" s="44"/>
      <c r="L305" s="44"/>
      <c r="M305" s="44"/>
      <c r="N305" s="44"/>
      <c r="O305" s="44"/>
      <c r="P305" s="44"/>
      <c r="Q305" s="44"/>
      <c r="R305" s="44"/>
      <c r="S305" s="44"/>
      <c r="T305" s="44"/>
      <c r="U305" s="44"/>
      <c r="V305" s="44"/>
      <c r="W305" s="44"/>
      <c r="X305" s="44"/>
      <c r="Y305" s="44"/>
      <c r="Z305" s="44"/>
      <c r="AA305" s="44"/>
      <c r="AB305" s="44"/>
    </row>
    <row r="306" spans="1:28" hidden="1" outlineLevel="1">
      <c r="A306" s="9"/>
      <c r="B306" s="318"/>
      <c r="C306" s="380"/>
      <c r="D306" s="85">
        <v>4</v>
      </c>
      <c r="E306" s="306">
        <f t="shared" si="21"/>
        <v>0</v>
      </c>
      <c r="F306" s="276">
        <f ca="1">OFFSET('Actual RAB roll forward'!H$32,0,D306-1)-SUM('Actual RAB roll forward'!H323:OFFSET('Actual RAB roll forward'!H323,0,Input!$W$7-1))</f>
        <v>2.3935304805083062</v>
      </c>
      <c r="G306" s="276" t="str">
        <f>IF(A22stdlife="N/A","n/a",IF(F306=0,0,A22stdlife+D306-Input!$W$7))</f>
        <v>n/a</v>
      </c>
      <c r="H306" s="263"/>
      <c r="I306" s="44"/>
      <c r="J306" s="44"/>
      <c r="K306" s="44"/>
      <c r="L306" s="44"/>
      <c r="M306" s="44"/>
      <c r="N306" s="44"/>
      <c r="O306" s="44"/>
      <c r="P306" s="44"/>
      <c r="Q306" s="44"/>
      <c r="R306" s="44"/>
      <c r="S306" s="44"/>
      <c r="T306" s="44"/>
      <c r="U306" s="44"/>
      <c r="V306" s="44"/>
      <c r="W306" s="44"/>
      <c r="X306" s="44"/>
      <c r="Y306" s="44"/>
      <c r="Z306" s="44"/>
      <c r="AA306" s="44"/>
      <c r="AB306" s="44"/>
    </row>
    <row r="307" spans="1:28" hidden="1" outlineLevel="1">
      <c r="A307" s="9"/>
      <c r="B307" s="318"/>
      <c r="C307" s="380"/>
      <c r="D307" s="85">
        <v>5</v>
      </c>
      <c r="E307" s="306">
        <f t="shared" si="21"/>
        <v>0</v>
      </c>
      <c r="F307" s="276">
        <f ca="1">OFFSET('Actual RAB roll forward'!H$32,0,D307-1)-SUM('Actual RAB roll forward'!H324:OFFSET('Actual RAB roll forward'!H324,0,Input!$W$7-1))</f>
        <v>-5.5764087557970807</v>
      </c>
      <c r="G307" s="276" t="str">
        <f>IF(A22stdlife="N/A","n/a",IF(F307=0,0,A22stdlife+D307-Input!$W$7))</f>
        <v>n/a</v>
      </c>
      <c r="H307" s="263"/>
      <c r="I307" s="44"/>
      <c r="J307" s="44"/>
      <c r="K307" s="44"/>
      <c r="L307" s="44"/>
      <c r="M307" s="44"/>
      <c r="N307" s="44"/>
      <c r="O307" s="44"/>
      <c r="P307" s="44"/>
      <c r="Q307" s="44"/>
      <c r="R307" s="44"/>
      <c r="S307" s="44"/>
      <c r="T307" s="44"/>
      <c r="U307" s="44"/>
      <c r="V307" s="44"/>
      <c r="W307" s="44"/>
      <c r="X307" s="44"/>
      <c r="Y307" s="44"/>
      <c r="Z307" s="44"/>
      <c r="AA307" s="44"/>
      <c r="AB307" s="44"/>
    </row>
    <row r="308" spans="1:28" hidden="1" outlineLevel="1">
      <c r="A308" s="9"/>
      <c r="B308" s="318"/>
      <c r="C308" s="380"/>
      <c r="D308" s="85">
        <v>6</v>
      </c>
      <c r="E308" s="306"/>
      <c r="F308" s="276">
        <f ca="1">OFFSET('Actual RAB roll forward'!H$32,0,D308-1)-SUM('Actual RAB roll forward'!H325:OFFSET('Actual RAB roll forward'!H325,0,Input!$W$7-1))</f>
        <v>0</v>
      </c>
      <c r="G308" s="276" t="str">
        <f>IF(A22stdlife="N/A","n/a",IF(F308=0,0,A22stdlife+D308-Input!$W$7))</f>
        <v>n/a</v>
      </c>
      <c r="H308" s="263"/>
      <c r="I308" s="44"/>
      <c r="J308" s="44"/>
      <c r="K308" s="44"/>
      <c r="L308" s="44"/>
      <c r="M308" s="44"/>
      <c r="N308" s="44"/>
      <c r="O308" s="44"/>
      <c r="P308" s="44"/>
      <c r="Q308" s="44"/>
      <c r="R308" s="44"/>
      <c r="S308" s="44"/>
      <c r="T308" s="44"/>
      <c r="U308" s="44"/>
      <c r="V308" s="44"/>
      <c r="W308" s="44"/>
      <c r="X308" s="44"/>
      <c r="Y308" s="44"/>
      <c r="Z308" s="44"/>
      <c r="AA308" s="44"/>
      <c r="AB308" s="44"/>
    </row>
    <row r="309" spans="1:28" hidden="1" outlineLevel="1">
      <c r="A309" s="9"/>
      <c r="B309" s="318"/>
      <c r="C309" s="380"/>
      <c r="D309" s="85">
        <v>7</v>
      </c>
      <c r="E309" s="306"/>
      <c r="F309" s="276">
        <f ca="1">OFFSET('Actual RAB roll forward'!H$32,0,D309-1)-SUM('Actual RAB roll forward'!H326:OFFSET('Actual RAB roll forward'!H326,0,Input!$W$7-1))</f>
        <v>0</v>
      </c>
      <c r="G309" s="276" t="str">
        <f>IF(A22stdlife="N/A","n/a",IF(F309=0,0,A22stdlife+D309-Input!$W$7))</f>
        <v>n/a</v>
      </c>
      <c r="H309" s="263"/>
      <c r="I309" s="44"/>
      <c r="J309" s="44"/>
      <c r="K309" s="44"/>
      <c r="L309" s="44"/>
      <c r="M309" s="44"/>
      <c r="N309" s="44"/>
      <c r="O309" s="44"/>
      <c r="P309" s="44"/>
      <c r="Q309" s="44"/>
      <c r="R309" s="44"/>
      <c r="S309" s="44"/>
      <c r="T309" s="44"/>
      <c r="U309" s="44"/>
      <c r="V309" s="44"/>
      <c r="W309" s="44"/>
      <c r="X309" s="44"/>
      <c r="Y309" s="44"/>
      <c r="Z309" s="44"/>
      <c r="AA309" s="44"/>
      <c r="AB309" s="44"/>
    </row>
    <row r="310" spans="1:28" hidden="1" outlineLevel="1">
      <c r="A310" s="9"/>
      <c r="B310" s="318"/>
      <c r="C310" s="380"/>
      <c r="D310" s="85">
        <v>8</v>
      </c>
      <c r="E310" s="306"/>
      <c r="F310" s="276">
        <f ca="1">OFFSET('Actual RAB roll forward'!H$32,0,D310-1)-SUM('Actual RAB roll forward'!H327:OFFSET('Actual RAB roll forward'!H327,0,Input!$W$7-1))</f>
        <v>0</v>
      </c>
      <c r="G310" s="276" t="str">
        <f>IF(A22stdlife="N/A","n/a",IF(F310=0,0,A22stdlife+D310-Input!$W$7))</f>
        <v>n/a</v>
      </c>
      <c r="H310" s="263"/>
      <c r="I310" s="44"/>
      <c r="J310" s="44"/>
      <c r="K310" s="44"/>
      <c r="L310" s="44"/>
      <c r="M310" s="44"/>
      <c r="N310" s="44"/>
      <c r="O310" s="44"/>
      <c r="P310" s="44"/>
      <c r="Q310" s="44"/>
      <c r="R310" s="44"/>
      <c r="S310" s="44"/>
      <c r="T310" s="44"/>
      <c r="U310" s="44"/>
      <c r="V310" s="44"/>
      <c r="W310" s="44"/>
      <c r="X310" s="44"/>
      <c r="Y310" s="44"/>
      <c r="Z310" s="44"/>
      <c r="AA310" s="44"/>
      <c r="AB310" s="44"/>
    </row>
    <row r="311" spans="1:28" hidden="1" outlineLevel="1">
      <c r="A311" s="9"/>
      <c r="B311" s="318"/>
      <c r="C311" s="380"/>
      <c r="D311" s="85">
        <v>9</v>
      </c>
      <c r="E311" s="306"/>
      <c r="F311" s="276">
        <f ca="1">OFFSET('Actual RAB roll forward'!H$32,0,D311-1)-SUM('Actual RAB roll forward'!H328:OFFSET('Actual RAB roll forward'!H328,0,Input!$W$7-1))</f>
        <v>0</v>
      </c>
      <c r="G311" s="276" t="str">
        <f>IF(A22stdlife="N/A","n/a",IF(F311=0,0,A22stdlife+D311-Input!$W$7))</f>
        <v>n/a</v>
      </c>
      <c r="H311" s="263"/>
      <c r="I311" s="44"/>
      <c r="J311" s="44"/>
      <c r="K311" s="44"/>
      <c r="L311" s="44"/>
      <c r="M311" s="44"/>
      <c r="N311" s="44"/>
      <c r="O311" s="44"/>
      <c r="P311" s="44"/>
      <c r="Q311" s="44"/>
      <c r="R311" s="44"/>
      <c r="S311" s="44"/>
      <c r="T311" s="44"/>
      <c r="U311" s="44"/>
      <c r="V311" s="44"/>
      <c r="W311" s="44"/>
      <c r="X311" s="44"/>
      <c r="Y311" s="44"/>
      <c r="Z311" s="44"/>
      <c r="AA311" s="44"/>
      <c r="AB311" s="44"/>
    </row>
    <row r="312" spans="1:28" hidden="1" outlineLevel="1">
      <c r="A312" s="9"/>
      <c r="B312" s="318"/>
      <c r="C312" s="381"/>
      <c r="D312" s="86">
        <v>10</v>
      </c>
      <c r="E312" s="306"/>
      <c r="F312" s="276">
        <f ca="1">OFFSET('Actual RAB roll forward'!H$32,0,D312-1)-SUM('Actual RAB roll forward'!H329:OFFSET('Actual RAB roll forward'!H329,0,Input!$W$7-1))</f>
        <v>0</v>
      </c>
      <c r="G312" s="276" t="str">
        <f>IF(A22stdlife="N/A","n/a",IF(F312=0,0,A22stdlife+D312-Input!$W$7))</f>
        <v>n/a</v>
      </c>
      <c r="H312" s="263"/>
      <c r="I312" s="44"/>
      <c r="J312" s="44"/>
      <c r="K312" s="44"/>
      <c r="L312" s="44"/>
      <c r="M312" s="44"/>
      <c r="N312" s="44"/>
      <c r="O312" s="44"/>
      <c r="P312" s="44"/>
      <c r="Q312" s="44"/>
      <c r="R312" s="44"/>
      <c r="S312" s="44"/>
      <c r="T312" s="44"/>
      <c r="U312" s="44"/>
      <c r="V312" s="44"/>
      <c r="W312" s="44"/>
      <c r="X312" s="44"/>
      <c r="Y312" s="44"/>
      <c r="Z312" s="44"/>
      <c r="AA312" s="44"/>
      <c r="AB312" s="44"/>
    </row>
    <row r="313" spans="1:28" collapsed="1">
      <c r="A313" s="9"/>
      <c r="B313" s="318"/>
      <c r="C313" s="109" t="str">
        <f>B301</f>
        <v>Land (non-system)</v>
      </c>
      <c r="D313" s="9"/>
      <c r="E313" s="306">
        <f>SUM(E302:E312)</f>
        <v>0</v>
      </c>
      <c r="F313" s="276">
        <f ca="1">SUM(F302:F312)</f>
        <v>15.951067026776014</v>
      </c>
      <c r="G313" s="276">
        <f ca="1">IF(F313=0,0,SUMPRODUCT(F302:F312,G302:G312)/F313)</f>
        <v>0</v>
      </c>
      <c r="H313" s="263"/>
      <c r="I313" s="44"/>
      <c r="J313" s="44"/>
      <c r="K313" s="44"/>
      <c r="L313" s="44"/>
      <c r="M313" s="44"/>
      <c r="N313" s="44"/>
      <c r="O313" s="44"/>
      <c r="P313" s="44"/>
      <c r="Q313" s="44"/>
      <c r="R313" s="44"/>
      <c r="S313" s="44"/>
      <c r="T313" s="44"/>
      <c r="U313" s="44"/>
      <c r="V313" s="44"/>
      <c r="W313" s="44"/>
      <c r="X313" s="44"/>
      <c r="Y313" s="44"/>
      <c r="Z313" s="44"/>
      <c r="AA313" s="44"/>
      <c r="AB313" s="44"/>
    </row>
    <row r="314" spans="1:28" hidden="1" outlineLevel="1">
      <c r="A314" s="9"/>
      <c r="B314" s="318"/>
      <c r="C314" s="319"/>
      <c r="D314" s="318"/>
      <c r="E314" s="320"/>
      <c r="F314" s="320"/>
      <c r="G314" s="320"/>
      <c r="H314" s="263"/>
      <c r="I314" s="44"/>
      <c r="J314" s="44"/>
      <c r="K314" s="44"/>
      <c r="L314" s="44"/>
      <c r="M314" s="44"/>
      <c r="N314" s="44"/>
      <c r="O314" s="44"/>
      <c r="P314" s="44"/>
      <c r="Q314" s="44"/>
      <c r="R314" s="44"/>
      <c r="S314" s="44"/>
      <c r="T314" s="44"/>
      <c r="U314" s="44"/>
      <c r="V314" s="44"/>
      <c r="W314" s="44"/>
      <c r="X314" s="44"/>
      <c r="Y314" s="44"/>
      <c r="Z314" s="44"/>
      <c r="AA314" s="44"/>
      <c r="AB314" s="44"/>
    </row>
    <row r="315" spans="1:28" hidden="1" outlineLevel="1">
      <c r="A315" s="9"/>
      <c r="B315" s="296" t="str">
        <f>Asset23</f>
        <v>Other non system assets</v>
      </c>
      <c r="C315" s="9"/>
      <c r="D315" s="9"/>
      <c r="E315" s="36"/>
      <c r="F315" s="36"/>
      <c r="G315" s="36"/>
      <c r="H315" s="263"/>
      <c r="I315" s="44"/>
      <c r="J315" s="44"/>
      <c r="K315" s="44"/>
      <c r="L315" s="44"/>
      <c r="M315" s="44"/>
      <c r="N315" s="44"/>
      <c r="O315" s="44"/>
      <c r="P315" s="44"/>
      <c r="Q315" s="44"/>
      <c r="R315" s="44"/>
      <c r="S315" s="44"/>
      <c r="T315" s="44"/>
      <c r="U315" s="44"/>
      <c r="V315" s="44"/>
      <c r="W315" s="44"/>
      <c r="X315" s="44"/>
      <c r="Y315" s="44"/>
      <c r="Z315" s="44"/>
      <c r="AA315" s="44"/>
      <c r="AB315" s="44"/>
    </row>
    <row r="316" spans="1:28" hidden="1" outlineLevel="1">
      <c r="A316" s="9"/>
      <c r="B316" s="318"/>
      <c r="C316" s="377" t="s">
        <v>28</v>
      </c>
      <c r="D316" s="378"/>
      <c r="E316" s="306">
        <f t="shared" ref="E316:E321" si="22">Q316</f>
        <v>0</v>
      </c>
      <c r="F316" s="276">
        <f ca="1">A23value-SUM('Actual RAB roll forward'!H330:OFFSET('Actual RAB roll forward'!H330,0,Input!$W$7-1))</f>
        <v>8.8444213119606996</v>
      </c>
      <c r="G316" s="276">
        <f>IF(A23remlife="N/A","n/a",A23remlife-Input!$W$7)</f>
        <v>7.0216085918318925</v>
      </c>
      <c r="H316" s="263"/>
      <c r="I316" s="44"/>
      <c r="J316" s="44"/>
      <c r="K316" s="44"/>
      <c r="L316" s="44"/>
      <c r="M316" s="44"/>
      <c r="N316" s="44"/>
      <c r="O316" s="44"/>
      <c r="P316" s="44"/>
      <c r="Q316" s="44"/>
      <c r="R316" s="44"/>
      <c r="S316" s="44"/>
      <c r="T316" s="44"/>
      <c r="U316" s="44"/>
      <c r="V316" s="44"/>
      <c r="W316" s="44"/>
      <c r="X316" s="44"/>
      <c r="Y316" s="44"/>
      <c r="Z316" s="44"/>
      <c r="AA316" s="44"/>
      <c r="AB316" s="44"/>
    </row>
    <row r="317" spans="1:28" hidden="1" outlineLevel="1">
      <c r="A317" s="9"/>
      <c r="B317" s="318"/>
      <c r="C317" s="379" t="s">
        <v>85</v>
      </c>
      <c r="D317" s="85">
        <v>1</v>
      </c>
      <c r="E317" s="306">
        <f t="shared" si="22"/>
        <v>0</v>
      </c>
      <c r="F317" s="276">
        <f ca="1">OFFSET('Actual RAB roll forward'!H$34,0,D317-1)-SUM('Actual RAB roll forward'!H334:OFFSET('Actual RAB roll forward'!H334,0,Input!$W$7-1))</f>
        <v>-1.0155940074533368E-2</v>
      </c>
      <c r="G317" s="276">
        <f ca="1">IF(A23stdlife="N/A","n/a",IF(F317=0,0,A23stdlife+D317-Input!$W$7))</f>
        <v>25.444039815489198</v>
      </c>
      <c r="H317" s="263"/>
      <c r="I317" s="44"/>
      <c r="J317" s="44"/>
      <c r="K317" s="44"/>
      <c r="L317" s="44"/>
      <c r="M317" s="44"/>
      <c r="N317" s="44"/>
      <c r="O317" s="44"/>
      <c r="P317" s="44"/>
      <c r="Q317" s="44"/>
      <c r="R317" s="44"/>
      <c r="S317" s="44"/>
      <c r="T317" s="44"/>
      <c r="U317" s="44"/>
      <c r="V317" s="44"/>
      <c r="W317" s="44"/>
      <c r="X317" s="44"/>
      <c r="Y317" s="44"/>
      <c r="Z317" s="44"/>
      <c r="AA317" s="44"/>
      <c r="AB317" s="44"/>
    </row>
    <row r="318" spans="1:28" hidden="1" outlineLevel="1">
      <c r="A318" s="9"/>
      <c r="B318" s="318"/>
      <c r="C318" s="380"/>
      <c r="D318" s="85">
        <v>2</v>
      </c>
      <c r="E318" s="306">
        <f t="shared" si="22"/>
        <v>0</v>
      </c>
      <c r="F318" s="276">
        <f ca="1">OFFSET('Actual RAB roll forward'!H$34,0,D318-1)-SUM('Actual RAB roll forward'!H335:OFFSET('Actual RAB roll forward'!H335,0,Input!$W$7-1))</f>
        <v>6.2201128296134247E-3</v>
      </c>
      <c r="G318" s="276">
        <f ca="1">IF(A23stdlife="N/A","n/a",IF(F318=0,0,A23stdlife+D318-Input!$W$7))</f>
        <v>26.444039815489198</v>
      </c>
      <c r="H318" s="263"/>
      <c r="I318" s="44"/>
      <c r="J318" s="44"/>
      <c r="K318" s="44"/>
      <c r="L318" s="44"/>
      <c r="M318" s="44"/>
      <c r="N318" s="44"/>
      <c r="O318" s="44"/>
      <c r="P318" s="44"/>
      <c r="Q318" s="44"/>
      <c r="R318" s="44"/>
      <c r="S318" s="44"/>
      <c r="T318" s="44"/>
      <c r="U318" s="44"/>
      <c r="V318" s="44"/>
      <c r="W318" s="44"/>
      <c r="X318" s="44"/>
      <c r="Y318" s="44"/>
      <c r="Z318" s="44"/>
      <c r="AA318" s="44"/>
      <c r="AB318" s="44"/>
    </row>
    <row r="319" spans="1:28" hidden="1" outlineLevel="1">
      <c r="A319" s="9"/>
      <c r="B319" s="318"/>
      <c r="C319" s="380"/>
      <c r="D319" s="85">
        <v>3</v>
      </c>
      <c r="E319" s="306">
        <f t="shared" si="22"/>
        <v>0</v>
      </c>
      <c r="F319" s="276">
        <f ca="1">OFFSET('Actual RAB roll forward'!H$34,0,D319-1)-SUM('Actual RAB roll forward'!H336:OFFSET('Actual RAB roll forward'!H336,0,Input!$W$7-1))</f>
        <v>0.14951595195914141</v>
      </c>
      <c r="G319" s="276">
        <f ca="1">IF(A23stdlife="N/A","n/a",IF(F319=0,0,A23stdlife+D319-Input!$W$7))</f>
        <v>27.444039815489198</v>
      </c>
      <c r="H319" s="263"/>
      <c r="I319" s="44"/>
      <c r="J319" s="44"/>
      <c r="K319" s="44"/>
      <c r="L319" s="44"/>
      <c r="M319" s="44"/>
      <c r="N319" s="44"/>
      <c r="O319" s="44"/>
      <c r="P319" s="44"/>
      <c r="Q319" s="44"/>
      <c r="R319" s="44"/>
      <c r="S319" s="44"/>
      <c r="T319" s="44"/>
      <c r="U319" s="44"/>
      <c r="V319" s="44"/>
      <c r="W319" s="44"/>
      <c r="X319" s="44"/>
      <c r="Y319" s="44"/>
      <c r="Z319" s="44"/>
      <c r="AA319" s="44"/>
      <c r="AB319" s="44"/>
    </row>
    <row r="320" spans="1:28" hidden="1" outlineLevel="1">
      <c r="A320" s="9"/>
      <c r="B320" s="318"/>
      <c r="C320" s="380"/>
      <c r="D320" s="85">
        <v>4</v>
      </c>
      <c r="E320" s="306">
        <f t="shared" si="22"/>
        <v>0</v>
      </c>
      <c r="F320" s="276">
        <f ca="1">OFFSET('Actual RAB roll forward'!H$34,0,D320-1)-SUM('Actual RAB roll forward'!H337:OFFSET('Actual RAB roll forward'!H337,0,Input!$W$7-1))</f>
        <v>1.0507156459465608E-2</v>
      </c>
      <c r="G320" s="276">
        <f ca="1">IF(A23stdlife="N/A","n/a",IF(F320=0,0,A23stdlife+D320-Input!$W$7))</f>
        <v>28.444039815489198</v>
      </c>
      <c r="H320" s="263"/>
      <c r="I320" s="44"/>
      <c r="J320" s="44"/>
      <c r="K320" s="44"/>
      <c r="L320" s="44"/>
      <c r="M320" s="44"/>
      <c r="N320" s="44"/>
      <c r="O320" s="44"/>
      <c r="P320" s="44"/>
      <c r="Q320" s="44"/>
      <c r="R320" s="44"/>
      <c r="S320" s="44"/>
      <c r="T320" s="44"/>
      <c r="U320" s="44"/>
      <c r="V320" s="44"/>
      <c r="W320" s="44"/>
      <c r="X320" s="44"/>
      <c r="Y320" s="44"/>
      <c r="Z320" s="44"/>
      <c r="AA320" s="44"/>
      <c r="AB320" s="44"/>
    </row>
    <row r="321" spans="1:28" hidden="1" outlineLevel="1">
      <c r="A321" s="9"/>
      <c r="B321" s="318"/>
      <c r="C321" s="380"/>
      <c r="D321" s="85">
        <v>5</v>
      </c>
      <c r="E321" s="306">
        <f t="shared" si="22"/>
        <v>0</v>
      </c>
      <c r="F321" s="276">
        <f ca="1">OFFSET('Actual RAB roll forward'!H$34,0,D321-1)-SUM('Actual RAB roll forward'!H338:OFFSET('Actual RAB roll forward'!H338,0,Input!$W$7-1))</f>
        <v>9.4685571721457116E-3</v>
      </c>
      <c r="G321" s="276">
        <f ca="1">IF(A23stdlife="N/A","n/a",IF(F321=0,0,A23stdlife+D321-Input!$W$7))</f>
        <v>29.444039815489198</v>
      </c>
      <c r="H321" s="263"/>
      <c r="I321" s="44"/>
      <c r="J321" s="44"/>
      <c r="K321" s="44"/>
      <c r="L321" s="44"/>
      <c r="M321" s="44"/>
      <c r="N321" s="44"/>
      <c r="O321" s="44"/>
      <c r="P321" s="44"/>
      <c r="Q321" s="44"/>
      <c r="R321" s="44"/>
      <c r="S321" s="44"/>
      <c r="T321" s="44"/>
      <c r="U321" s="44"/>
      <c r="V321" s="44"/>
      <c r="W321" s="44"/>
      <c r="X321" s="44"/>
      <c r="Y321" s="44"/>
      <c r="Z321" s="44"/>
      <c r="AA321" s="44"/>
      <c r="AB321" s="44"/>
    </row>
    <row r="322" spans="1:28" hidden="1" outlineLevel="1">
      <c r="A322" s="9"/>
      <c r="B322" s="318"/>
      <c r="C322" s="380"/>
      <c r="D322" s="85">
        <v>6</v>
      </c>
      <c r="E322" s="306"/>
      <c r="F322" s="276">
        <f ca="1">OFFSET('Actual RAB roll forward'!H$34,0,D322-1)-SUM('Actual RAB roll forward'!H339:OFFSET('Actual RAB roll forward'!H339,0,Input!$W$7-1))</f>
        <v>0</v>
      </c>
      <c r="G322" s="276">
        <f ca="1">IF(A23stdlife="N/A","n/a",IF(F322=0,0,A23stdlife+D322-Input!$W$7))</f>
        <v>0</v>
      </c>
      <c r="H322" s="263"/>
      <c r="I322" s="44"/>
      <c r="J322" s="44"/>
      <c r="K322" s="44"/>
      <c r="L322" s="44"/>
      <c r="M322" s="44"/>
      <c r="N322" s="44"/>
      <c r="O322" s="44"/>
      <c r="P322" s="44"/>
      <c r="Q322" s="44"/>
      <c r="R322" s="44"/>
      <c r="S322" s="44"/>
      <c r="T322" s="44"/>
      <c r="U322" s="44"/>
      <c r="V322" s="44"/>
      <c r="W322" s="44"/>
      <c r="X322" s="44"/>
      <c r="Y322" s="44"/>
      <c r="Z322" s="44"/>
      <c r="AA322" s="44"/>
      <c r="AB322" s="44"/>
    </row>
    <row r="323" spans="1:28" hidden="1" outlineLevel="1">
      <c r="A323" s="9"/>
      <c r="B323" s="318"/>
      <c r="C323" s="380"/>
      <c r="D323" s="85">
        <v>7</v>
      </c>
      <c r="E323" s="306"/>
      <c r="F323" s="276">
        <f ca="1">OFFSET('Actual RAB roll forward'!H$34,0,D323-1)-SUM('Actual RAB roll forward'!H340:OFFSET('Actual RAB roll forward'!H340,0,Input!$W$7-1))</f>
        <v>0</v>
      </c>
      <c r="G323" s="276">
        <f ca="1">IF(A23stdlife="N/A","n/a",IF(F323=0,0,A23stdlife+D323-Input!$W$7))</f>
        <v>0</v>
      </c>
      <c r="H323" s="263"/>
      <c r="I323" s="44"/>
      <c r="J323" s="44"/>
      <c r="K323" s="44"/>
      <c r="L323" s="44"/>
      <c r="M323" s="44"/>
      <c r="N323" s="44"/>
      <c r="O323" s="44"/>
      <c r="P323" s="44"/>
      <c r="Q323" s="44"/>
      <c r="R323" s="44"/>
      <c r="S323" s="44"/>
      <c r="T323" s="44"/>
      <c r="U323" s="44"/>
      <c r="V323" s="44"/>
      <c r="W323" s="44"/>
      <c r="X323" s="44"/>
      <c r="Y323" s="44"/>
      <c r="Z323" s="44"/>
      <c r="AA323" s="44"/>
      <c r="AB323" s="44"/>
    </row>
    <row r="324" spans="1:28" hidden="1" outlineLevel="1">
      <c r="A324" s="9"/>
      <c r="B324" s="318"/>
      <c r="C324" s="380"/>
      <c r="D324" s="85">
        <v>8</v>
      </c>
      <c r="E324" s="306"/>
      <c r="F324" s="276">
        <f ca="1">OFFSET('Actual RAB roll forward'!H$34,0,D324-1)-SUM('Actual RAB roll forward'!H341:OFFSET('Actual RAB roll forward'!H341,0,Input!$W$7-1))</f>
        <v>0</v>
      </c>
      <c r="G324" s="276">
        <f ca="1">IF(A23stdlife="N/A","n/a",IF(F324=0,0,A23stdlife+D324-Input!$W$7))</f>
        <v>0</v>
      </c>
      <c r="H324" s="263"/>
      <c r="I324" s="44"/>
      <c r="J324" s="44"/>
      <c r="K324" s="44"/>
      <c r="L324" s="44"/>
      <c r="M324" s="44"/>
      <c r="N324" s="44"/>
      <c r="O324" s="44"/>
      <c r="P324" s="44"/>
      <c r="Q324" s="44"/>
      <c r="R324" s="44"/>
      <c r="S324" s="44"/>
      <c r="T324" s="44"/>
      <c r="U324" s="44"/>
      <c r="V324" s="44"/>
      <c r="W324" s="44"/>
      <c r="X324" s="44"/>
      <c r="Y324" s="44"/>
      <c r="Z324" s="44"/>
      <c r="AA324" s="44"/>
      <c r="AB324" s="44"/>
    </row>
    <row r="325" spans="1:28" hidden="1" outlineLevel="1">
      <c r="A325" s="9"/>
      <c r="B325" s="318"/>
      <c r="C325" s="380"/>
      <c r="D325" s="85">
        <v>9</v>
      </c>
      <c r="E325" s="306"/>
      <c r="F325" s="276">
        <f ca="1">OFFSET('Actual RAB roll forward'!H$34,0,D325-1)-SUM('Actual RAB roll forward'!H342:OFFSET('Actual RAB roll forward'!H342,0,Input!$W$7-1))</f>
        <v>6.3091851354458575</v>
      </c>
      <c r="G325" s="276">
        <f ca="1">IF(A23stdlife="N/A","n/a",IF(F325=0,0,A23stdlife+D325-Input!$W$7))</f>
        <v>33.444039815489198</v>
      </c>
      <c r="H325" s="263"/>
      <c r="I325" s="44"/>
      <c r="J325" s="44"/>
      <c r="K325" s="44"/>
      <c r="L325" s="44"/>
      <c r="M325" s="44"/>
      <c r="N325" s="44"/>
      <c r="O325" s="44"/>
      <c r="P325" s="44"/>
      <c r="Q325" s="44"/>
      <c r="R325" s="44"/>
      <c r="S325" s="44"/>
      <c r="T325" s="44"/>
      <c r="U325" s="44"/>
      <c r="V325" s="44"/>
      <c r="W325" s="44"/>
      <c r="X325" s="44"/>
      <c r="Y325" s="44"/>
      <c r="Z325" s="44"/>
      <c r="AA325" s="44"/>
      <c r="AB325" s="44"/>
    </row>
    <row r="326" spans="1:28" hidden="1" outlineLevel="1">
      <c r="A326" s="9"/>
      <c r="B326" s="318"/>
      <c r="C326" s="381"/>
      <c r="D326" s="86">
        <v>10</v>
      </c>
      <c r="E326" s="306"/>
      <c r="F326" s="276">
        <f ca="1">OFFSET('Actual RAB roll forward'!H$34,0,D326-1)-SUM('Actual RAB roll forward'!H343:OFFSET('Actual RAB roll forward'!H343,0,Input!$W$7-1))</f>
        <v>0</v>
      </c>
      <c r="G326" s="276">
        <f ca="1">IF(A23stdlife="N/A","n/a",IF(F326=0,0,A23stdlife+D326-Input!$W$7))</f>
        <v>0</v>
      </c>
      <c r="H326" s="263"/>
      <c r="I326" s="44"/>
      <c r="J326" s="44"/>
      <c r="K326" s="44"/>
      <c r="L326" s="44"/>
      <c r="M326" s="44"/>
      <c r="N326" s="44"/>
      <c r="O326" s="44"/>
      <c r="P326" s="44"/>
      <c r="Q326" s="44"/>
      <c r="R326" s="44"/>
      <c r="S326" s="44"/>
      <c r="T326" s="44"/>
      <c r="U326" s="44"/>
      <c r="V326" s="44"/>
      <c r="W326" s="44"/>
      <c r="X326" s="44"/>
      <c r="Y326" s="44"/>
      <c r="Z326" s="44"/>
      <c r="AA326" s="44"/>
      <c r="AB326" s="44"/>
    </row>
    <row r="327" spans="1:28" collapsed="1">
      <c r="A327" s="9"/>
      <c r="B327" s="318"/>
      <c r="C327" s="109" t="str">
        <f>B315</f>
        <v>Other non system assets</v>
      </c>
      <c r="D327" s="9"/>
      <c r="E327" s="306">
        <f>SUM(E316:E326)</f>
        <v>0</v>
      </c>
      <c r="F327" s="276">
        <f ca="1">SUM(F316:F326)</f>
        <v>15.319162285752391</v>
      </c>
      <c r="G327" s="276">
        <f ca="1">IF(F327=0,0,SUMPRODUCT(F316:F326,G316:G326)/F327)</f>
        <v>18.12721579838805</v>
      </c>
      <c r="H327" s="263"/>
      <c r="I327" s="44"/>
      <c r="J327" s="44"/>
      <c r="K327" s="44"/>
      <c r="L327" s="44"/>
      <c r="M327" s="44"/>
      <c r="N327" s="44"/>
      <c r="O327" s="44"/>
      <c r="P327" s="44"/>
      <c r="Q327" s="44"/>
      <c r="R327" s="44"/>
      <c r="S327" s="44"/>
      <c r="T327" s="44"/>
      <c r="U327" s="44"/>
      <c r="V327" s="44"/>
      <c r="W327" s="44"/>
      <c r="X327" s="44"/>
      <c r="Y327" s="44"/>
      <c r="Z327" s="44"/>
      <c r="AA327" s="44"/>
      <c r="AB327" s="44"/>
    </row>
    <row r="328" spans="1:28" hidden="1" outlineLevel="1">
      <c r="A328" s="9"/>
      <c r="B328" s="318"/>
      <c r="C328" s="319"/>
      <c r="D328" s="318"/>
      <c r="E328" s="320"/>
      <c r="F328" s="320"/>
      <c r="G328" s="320"/>
      <c r="H328" s="263"/>
      <c r="I328" s="44"/>
      <c r="J328" s="44"/>
      <c r="K328" s="44"/>
      <c r="L328" s="44"/>
      <c r="M328" s="44"/>
      <c r="N328" s="44"/>
      <c r="O328" s="44"/>
      <c r="P328" s="44"/>
      <c r="Q328" s="44"/>
      <c r="R328" s="44"/>
      <c r="S328" s="44"/>
      <c r="T328" s="44"/>
      <c r="U328" s="44"/>
      <c r="V328" s="44"/>
      <c r="W328" s="44"/>
      <c r="X328" s="44"/>
      <c r="Y328" s="44"/>
      <c r="Z328" s="44"/>
      <c r="AA328" s="44"/>
      <c r="AB328" s="44"/>
    </row>
    <row r="329" spans="1:28" hidden="1" outlineLevel="1">
      <c r="A329" s="9"/>
      <c r="B329" s="296" t="str">
        <f>Asset24</f>
        <v>Equity raising costs</v>
      </c>
      <c r="C329" s="9"/>
      <c r="D329" s="9"/>
      <c r="E329" s="36"/>
      <c r="F329" s="36"/>
      <c r="G329" s="36"/>
      <c r="H329" s="263"/>
      <c r="I329" s="44"/>
      <c r="J329" s="44"/>
      <c r="K329" s="44"/>
      <c r="L329" s="44"/>
      <c r="M329" s="44"/>
      <c r="N329" s="44"/>
      <c r="O329" s="44"/>
      <c r="P329" s="44"/>
      <c r="Q329" s="44"/>
      <c r="R329" s="44"/>
      <c r="S329" s="44"/>
      <c r="T329" s="44"/>
      <c r="U329" s="44"/>
      <c r="V329" s="44"/>
      <c r="W329" s="44"/>
      <c r="X329" s="44"/>
      <c r="Y329" s="44"/>
      <c r="Z329" s="44"/>
      <c r="AA329" s="44"/>
      <c r="AB329" s="44"/>
    </row>
    <row r="330" spans="1:28" hidden="1" outlineLevel="1">
      <c r="A330" s="9"/>
      <c r="B330" s="318"/>
      <c r="C330" s="377" t="s">
        <v>28</v>
      </c>
      <c r="D330" s="378"/>
      <c r="E330" s="306">
        <f t="shared" ref="E330:E335" si="23">Q330</f>
        <v>0</v>
      </c>
      <c r="F330" s="276">
        <f ca="1">A24value-SUM('Actual RAB roll forward'!H346:OFFSET('Actual RAB roll forward'!H346,0,Input!$W$7-1))</f>
        <v>0</v>
      </c>
      <c r="G330" s="276" t="str">
        <f>IF(A24remlife="N/A","n/a",A21remlife-Input!$W$7)</f>
        <v>n/a</v>
      </c>
      <c r="H330" s="263"/>
      <c r="I330" s="44"/>
      <c r="J330" s="44"/>
      <c r="K330" s="44"/>
      <c r="L330" s="44"/>
      <c r="M330" s="44"/>
      <c r="N330" s="44"/>
      <c r="O330" s="44"/>
      <c r="P330" s="44"/>
      <c r="Q330" s="44"/>
      <c r="R330" s="44"/>
      <c r="S330" s="44"/>
      <c r="T330" s="44"/>
      <c r="U330" s="44"/>
      <c r="V330" s="44"/>
      <c r="W330" s="44"/>
      <c r="X330" s="44"/>
      <c r="Y330" s="44"/>
      <c r="Z330" s="44"/>
      <c r="AA330" s="44"/>
      <c r="AB330" s="44"/>
    </row>
    <row r="331" spans="1:28" hidden="1" outlineLevel="1">
      <c r="A331" s="9"/>
      <c r="B331" s="318"/>
      <c r="C331" s="379" t="s">
        <v>85</v>
      </c>
      <c r="D331" s="85">
        <v>1</v>
      </c>
      <c r="E331" s="306">
        <f t="shared" si="23"/>
        <v>0</v>
      </c>
      <c r="F331" s="276">
        <f ca="1">OFFSET('Actual RAB roll forward'!H$35,0,D331-1)-SUM('Actual RAB roll forward'!H348:OFFSET('Actual RAB roll forward'!H348,0,Input!$W$7-1))</f>
        <v>6.4370867982889743</v>
      </c>
      <c r="G331" s="276">
        <f ca="1">IF(A24stdlife="N/A","n/a",IF(F331=0,0,A24stdlife+D331-Input!$W$7))</f>
        <v>41.738430264949827</v>
      </c>
      <c r="H331" s="263"/>
      <c r="I331" s="44"/>
      <c r="J331" s="44"/>
      <c r="K331" s="44"/>
      <c r="L331" s="44"/>
      <c r="M331" s="44"/>
      <c r="N331" s="44"/>
      <c r="O331" s="44"/>
      <c r="P331" s="44"/>
      <c r="Q331" s="44"/>
      <c r="R331" s="44"/>
      <c r="S331" s="44"/>
      <c r="T331" s="44"/>
      <c r="U331" s="44"/>
      <c r="V331" s="44"/>
      <c r="W331" s="44"/>
      <c r="X331" s="44"/>
      <c r="Y331" s="44"/>
      <c r="Z331" s="44"/>
      <c r="AA331" s="44"/>
      <c r="AB331" s="44"/>
    </row>
    <row r="332" spans="1:28" hidden="1" outlineLevel="1">
      <c r="A332" s="9"/>
      <c r="B332" s="318"/>
      <c r="C332" s="380"/>
      <c r="D332" s="85">
        <v>2</v>
      </c>
      <c r="E332" s="306">
        <f t="shared" si="23"/>
        <v>0</v>
      </c>
      <c r="F332" s="276">
        <f ca="1">OFFSET('Actual RAB roll forward'!H$35,0,D332-1)-SUM('Actual RAB roll forward'!H349:OFFSET('Actual RAB roll forward'!H349,0,Input!$W$7-1))</f>
        <v>0</v>
      </c>
      <c r="G332" s="276">
        <f ca="1">IF(A24stdlife="N/A","n/a",IF(F332=0,0,A24stdlife+D332-Input!$W$7))</f>
        <v>0</v>
      </c>
      <c r="H332" s="263"/>
      <c r="I332" s="44"/>
      <c r="J332" s="44"/>
      <c r="K332" s="44"/>
      <c r="L332" s="44"/>
      <c r="M332" s="44"/>
      <c r="N332" s="44"/>
      <c r="O332" s="44"/>
      <c r="P332" s="44"/>
      <c r="Q332" s="44"/>
      <c r="R332" s="44"/>
      <c r="S332" s="44"/>
      <c r="T332" s="44"/>
      <c r="U332" s="44"/>
      <c r="V332" s="44"/>
      <c r="W332" s="44"/>
      <c r="X332" s="44"/>
      <c r="Y332" s="44"/>
      <c r="Z332" s="44"/>
      <c r="AA332" s="44"/>
      <c r="AB332" s="44"/>
    </row>
    <row r="333" spans="1:28" hidden="1" outlineLevel="1">
      <c r="A333" s="9"/>
      <c r="B333" s="318"/>
      <c r="C333" s="380"/>
      <c r="D333" s="85">
        <v>3</v>
      </c>
      <c r="E333" s="306">
        <f t="shared" si="23"/>
        <v>0</v>
      </c>
      <c r="F333" s="276">
        <f ca="1">OFFSET('Actual RAB roll forward'!H$35,0,D333-1)-SUM('Actual RAB roll forward'!H350:OFFSET('Actual RAB roll forward'!H350,0,Input!$W$7-1))</f>
        <v>0</v>
      </c>
      <c r="G333" s="276">
        <f ca="1">IF(A24stdlife="N/A","n/a",IF(F333=0,0,A24stdlife+D333-Input!$W$7))</f>
        <v>0</v>
      </c>
      <c r="H333" s="263"/>
      <c r="I333" s="44"/>
      <c r="J333" s="44"/>
      <c r="K333" s="44"/>
      <c r="L333" s="44"/>
      <c r="M333" s="44"/>
      <c r="N333" s="44"/>
      <c r="O333" s="44"/>
      <c r="P333" s="44"/>
      <c r="Q333" s="44"/>
      <c r="R333" s="44"/>
      <c r="S333" s="44"/>
      <c r="T333" s="44"/>
      <c r="U333" s="44"/>
      <c r="V333" s="44"/>
      <c r="W333" s="44"/>
      <c r="X333" s="44"/>
      <c r="Y333" s="44"/>
      <c r="Z333" s="44"/>
      <c r="AA333" s="44"/>
      <c r="AB333" s="44"/>
    </row>
    <row r="334" spans="1:28" hidden="1" outlineLevel="1">
      <c r="A334" s="9"/>
      <c r="B334" s="318"/>
      <c r="C334" s="380"/>
      <c r="D334" s="85">
        <v>4</v>
      </c>
      <c r="E334" s="306">
        <f t="shared" si="23"/>
        <v>0</v>
      </c>
      <c r="F334" s="276">
        <f ca="1">OFFSET('Actual RAB roll forward'!H$35,0,D334-1)-SUM('Actual RAB roll forward'!H351:OFFSET('Actual RAB roll forward'!H351,0,Input!$W$7-1))</f>
        <v>0</v>
      </c>
      <c r="G334" s="276">
        <f ca="1">IF(A24stdlife="N/A","n/a",IF(F334=0,0,A24stdlife+D334-Input!$W$7))</f>
        <v>0</v>
      </c>
      <c r="H334" s="263"/>
      <c r="I334" s="44"/>
      <c r="J334" s="44"/>
      <c r="K334" s="44"/>
      <c r="L334" s="44"/>
      <c r="M334" s="44"/>
      <c r="N334" s="44"/>
      <c r="O334" s="44"/>
      <c r="P334" s="44"/>
      <c r="Q334" s="44"/>
      <c r="R334" s="44"/>
      <c r="S334" s="44"/>
      <c r="T334" s="44"/>
      <c r="U334" s="44"/>
      <c r="V334" s="44"/>
      <c r="W334" s="44"/>
      <c r="X334" s="44"/>
      <c r="Y334" s="44"/>
      <c r="Z334" s="44"/>
      <c r="AA334" s="44"/>
      <c r="AB334" s="44"/>
    </row>
    <row r="335" spans="1:28" hidden="1" outlineLevel="1">
      <c r="A335" s="9"/>
      <c r="B335" s="318"/>
      <c r="C335" s="380"/>
      <c r="D335" s="85">
        <v>5</v>
      </c>
      <c r="E335" s="306">
        <f t="shared" si="23"/>
        <v>0</v>
      </c>
      <c r="F335" s="276">
        <f ca="1">OFFSET('Actual RAB roll forward'!H$35,0,D335-1)-SUM('Actual RAB roll forward'!H352:OFFSET('Actual RAB roll forward'!H352,0,Input!$W$7-1))</f>
        <v>0</v>
      </c>
      <c r="G335" s="276">
        <f ca="1">IF(A24stdlife="N/A","n/a",IF(F335=0,0,A24stdlife+D335-Input!$W$7))</f>
        <v>0</v>
      </c>
      <c r="H335" s="263"/>
      <c r="I335" s="44"/>
      <c r="J335" s="44"/>
      <c r="K335" s="44"/>
      <c r="L335" s="44"/>
      <c r="M335" s="44"/>
      <c r="N335" s="44"/>
      <c r="O335" s="44"/>
      <c r="P335" s="44"/>
      <c r="Q335" s="44"/>
      <c r="R335" s="44"/>
      <c r="S335" s="44"/>
      <c r="T335" s="44"/>
      <c r="U335" s="44"/>
      <c r="V335" s="44"/>
      <c r="W335" s="44"/>
      <c r="X335" s="44"/>
      <c r="Y335" s="44"/>
      <c r="Z335" s="44"/>
      <c r="AA335" s="44"/>
      <c r="AB335" s="44"/>
    </row>
    <row r="336" spans="1:28" hidden="1" outlineLevel="1">
      <c r="A336" s="9"/>
      <c r="B336" s="318"/>
      <c r="C336" s="380"/>
      <c r="D336" s="85">
        <v>6</v>
      </c>
      <c r="E336" s="306"/>
      <c r="F336" s="276">
        <f ca="1">OFFSET('Actual RAB roll forward'!H$35,0,D336-1)-SUM('Actual RAB roll forward'!H353:OFFSET('Actual RAB roll forward'!H353,0,Input!$W$7-1))</f>
        <v>0</v>
      </c>
      <c r="G336" s="276">
        <f ca="1">IF(A24stdlife="N/A","n/a",IF(F336=0,0,A24stdlife+D336-Input!$W$7))</f>
        <v>0</v>
      </c>
      <c r="H336" s="263"/>
      <c r="I336" s="44"/>
      <c r="J336" s="44"/>
      <c r="K336" s="44"/>
      <c r="L336" s="44"/>
      <c r="M336" s="44"/>
      <c r="N336" s="44"/>
      <c r="O336" s="44"/>
      <c r="P336" s="44"/>
      <c r="Q336" s="44"/>
      <c r="R336" s="44"/>
      <c r="S336" s="44"/>
      <c r="T336" s="44"/>
      <c r="U336" s="44"/>
      <c r="V336" s="44"/>
      <c r="W336" s="44"/>
      <c r="X336" s="44"/>
      <c r="Y336" s="44"/>
      <c r="Z336" s="44"/>
      <c r="AA336" s="44"/>
      <c r="AB336" s="44"/>
    </row>
    <row r="337" spans="1:28" hidden="1" outlineLevel="1">
      <c r="A337" s="9"/>
      <c r="B337" s="318"/>
      <c r="C337" s="380"/>
      <c r="D337" s="85">
        <v>7</v>
      </c>
      <c r="E337" s="306"/>
      <c r="F337" s="276">
        <f ca="1">OFFSET('Actual RAB roll forward'!H$35,0,D337-1)-SUM('Actual RAB roll forward'!H354:OFFSET('Actual RAB roll forward'!H354,0,Input!$W$7-1))</f>
        <v>0</v>
      </c>
      <c r="G337" s="276">
        <f ca="1">IF(A24stdlife="N/A","n/a",IF(F337=0,0,A24stdlife+D337-Input!$W$7))</f>
        <v>0</v>
      </c>
      <c r="H337" s="263"/>
      <c r="I337" s="44"/>
      <c r="J337" s="44"/>
      <c r="K337" s="44"/>
      <c r="L337" s="44"/>
      <c r="M337" s="44"/>
      <c r="N337" s="44"/>
      <c r="O337" s="44"/>
      <c r="P337" s="44"/>
      <c r="Q337" s="44"/>
      <c r="R337" s="44"/>
      <c r="S337" s="44"/>
      <c r="T337" s="44"/>
      <c r="U337" s="44"/>
      <c r="V337" s="44"/>
      <c r="W337" s="44"/>
      <c r="X337" s="44"/>
      <c r="Y337" s="44"/>
      <c r="Z337" s="44"/>
      <c r="AA337" s="44"/>
      <c r="AB337" s="44"/>
    </row>
    <row r="338" spans="1:28" hidden="1" outlineLevel="1">
      <c r="A338" s="9"/>
      <c r="B338" s="318"/>
      <c r="C338" s="380"/>
      <c r="D338" s="85">
        <v>8</v>
      </c>
      <c r="E338" s="306"/>
      <c r="F338" s="276">
        <f ca="1">OFFSET('Actual RAB roll forward'!H$35,0,D338-1)-SUM('Actual RAB roll forward'!H355:OFFSET('Actual RAB roll forward'!H355,0,Input!$W$7-1))</f>
        <v>0.5629477672058919</v>
      </c>
      <c r="G338" s="276">
        <f ca="1">IF(A24stdlife="N/A","n/a",IF(F338=0,0,A24stdlife+D338-Input!$W$7))</f>
        <v>48.738430264949827</v>
      </c>
      <c r="H338" s="263"/>
      <c r="I338" s="44"/>
      <c r="J338" s="44"/>
      <c r="K338" s="44"/>
      <c r="L338" s="44"/>
      <c r="M338" s="44"/>
      <c r="N338" s="44"/>
      <c r="O338" s="44"/>
      <c r="P338" s="44"/>
      <c r="Q338" s="44"/>
      <c r="R338" s="44"/>
      <c r="S338" s="44"/>
      <c r="T338" s="44"/>
      <c r="U338" s="44"/>
      <c r="V338" s="44"/>
      <c r="W338" s="44"/>
      <c r="X338" s="44"/>
      <c r="Y338" s="44"/>
      <c r="Z338" s="44"/>
      <c r="AA338" s="44"/>
      <c r="AB338" s="44"/>
    </row>
    <row r="339" spans="1:28" hidden="1" outlineLevel="1">
      <c r="A339" s="9"/>
      <c r="B339" s="318"/>
      <c r="C339" s="380"/>
      <c r="D339" s="85">
        <v>9</v>
      </c>
      <c r="E339" s="306"/>
      <c r="F339" s="276">
        <f ca="1">OFFSET('Actual RAB roll forward'!H$35,0,D339-1)-SUM('Actual RAB roll forward'!H356:OFFSET('Actual RAB roll forward'!H356,0,Input!$W$7-1))</f>
        <v>0</v>
      </c>
      <c r="G339" s="276">
        <f ca="1">IF(A24stdlife="N/A","n/a",IF(F339=0,0,A24stdlife+D339-Input!$W$7))</f>
        <v>0</v>
      </c>
      <c r="H339" s="263"/>
      <c r="I339" s="44"/>
      <c r="J339" s="44"/>
      <c r="K339" s="44"/>
      <c r="L339" s="44"/>
      <c r="M339" s="44"/>
      <c r="N339" s="44"/>
      <c r="O339" s="44"/>
      <c r="P339" s="44"/>
      <c r="Q339" s="44"/>
      <c r="R339" s="44"/>
      <c r="S339" s="44"/>
      <c r="T339" s="44"/>
      <c r="U339" s="44"/>
      <c r="V339" s="44"/>
      <c r="W339" s="44"/>
      <c r="X339" s="44"/>
      <c r="Y339" s="44"/>
      <c r="Z339" s="44"/>
      <c r="AA339" s="44"/>
      <c r="AB339" s="44"/>
    </row>
    <row r="340" spans="1:28" hidden="1" outlineLevel="1" collapsed="1">
      <c r="A340" s="9"/>
      <c r="B340" s="318"/>
      <c r="C340" s="381"/>
      <c r="D340" s="86">
        <v>10</v>
      </c>
      <c r="E340" s="306"/>
      <c r="F340" s="276">
        <f ca="1">OFFSET('Actual RAB roll forward'!H$35,0,D340-1)-SUM('Actual RAB roll forward'!H357:OFFSET('Actual RAB roll forward'!H357,0,Input!$W$7-1))</f>
        <v>0</v>
      </c>
      <c r="G340" s="276">
        <f ca="1">IF(A24stdlife="N/A","n/a",IF(F340=0,0,A24stdlife+D340-Input!$W$7))</f>
        <v>0</v>
      </c>
      <c r="H340" s="263"/>
      <c r="I340" s="44"/>
      <c r="J340" s="44"/>
      <c r="K340" s="44"/>
      <c r="L340" s="44"/>
      <c r="M340" s="44"/>
      <c r="N340" s="44"/>
      <c r="O340" s="44"/>
      <c r="P340" s="44"/>
      <c r="Q340" s="44"/>
      <c r="R340" s="44"/>
      <c r="S340" s="44"/>
      <c r="T340" s="44"/>
      <c r="U340" s="44"/>
      <c r="V340" s="44"/>
      <c r="W340" s="44"/>
      <c r="X340" s="44"/>
      <c r="Y340" s="44"/>
      <c r="Z340" s="44"/>
      <c r="AA340" s="44"/>
      <c r="AB340" s="44"/>
    </row>
    <row r="341" spans="1:28" collapsed="1">
      <c r="A341" s="9"/>
      <c r="B341" s="318"/>
      <c r="C341" s="109" t="str">
        <f>B329</f>
        <v>Equity raising costs</v>
      </c>
      <c r="D341" s="9"/>
      <c r="E341" s="306">
        <f>SUM(E330:E340)</f>
        <v>0</v>
      </c>
      <c r="F341" s="276">
        <f ca="1">SUM(F330:F340)</f>
        <v>7.0000345654948664</v>
      </c>
      <c r="G341" s="276">
        <f ca="1">IF(F341=0,0,SUMPRODUCT(F330:F340,G330:G340)/F341)</f>
        <v>42.301375252373994</v>
      </c>
      <c r="H341" s="263"/>
      <c r="I341" s="44"/>
      <c r="J341" s="44"/>
      <c r="K341" s="44"/>
      <c r="L341" s="44"/>
      <c r="M341" s="44"/>
      <c r="N341" s="44"/>
      <c r="O341" s="44"/>
      <c r="P341" s="44"/>
      <c r="Q341" s="44"/>
      <c r="R341" s="44"/>
      <c r="S341" s="44"/>
      <c r="T341" s="44"/>
      <c r="U341" s="44"/>
      <c r="V341" s="44"/>
      <c r="W341" s="44"/>
      <c r="X341" s="44"/>
      <c r="Y341" s="44"/>
      <c r="Z341" s="44"/>
      <c r="AA341" s="44"/>
      <c r="AB341" s="44"/>
    </row>
    <row r="342" spans="1:28">
      <c r="A342" s="9"/>
      <c r="B342" s="318"/>
      <c r="C342" s="319"/>
      <c r="D342" s="318"/>
      <c r="E342" s="320"/>
      <c r="F342" s="320"/>
      <c r="G342" s="320"/>
      <c r="H342" s="263"/>
      <c r="I342" s="44"/>
      <c r="J342" s="44"/>
      <c r="K342" s="44"/>
      <c r="L342" s="44"/>
      <c r="M342" s="44"/>
      <c r="N342" s="44"/>
      <c r="O342" s="44"/>
      <c r="P342" s="44"/>
      <c r="Q342" s="44"/>
      <c r="R342" s="44"/>
      <c r="S342" s="44"/>
      <c r="T342" s="44"/>
      <c r="U342" s="44"/>
      <c r="V342" s="44"/>
      <c r="W342" s="44"/>
      <c r="X342" s="44"/>
      <c r="Y342" s="44"/>
      <c r="Z342" s="44"/>
      <c r="AA342" s="44"/>
      <c r="AB342" s="44"/>
    </row>
    <row r="343" spans="1:28">
      <c r="A343" s="9"/>
      <c r="B343" s="318"/>
      <c r="C343" s="319"/>
      <c r="D343" s="318"/>
      <c r="E343" s="320"/>
      <c r="F343" s="320"/>
      <c r="G343" s="320"/>
      <c r="H343" s="263"/>
      <c r="I343" s="44"/>
      <c r="J343" s="44"/>
      <c r="K343" s="44"/>
      <c r="L343" s="44"/>
      <c r="M343" s="44"/>
      <c r="N343" s="44"/>
      <c r="O343" s="44"/>
      <c r="P343" s="44"/>
      <c r="Q343" s="44"/>
      <c r="R343" s="44"/>
      <c r="S343" s="44"/>
      <c r="T343" s="44"/>
      <c r="U343" s="44"/>
      <c r="V343" s="44"/>
      <c r="W343" s="44"/>
      <c r="X343" s="44"/>
      <c r="Y343" s="44"/>
      <c r="Z343" s="44"/>
      <c r="AA343" s="44"/>
      <c r="AB343" s="44"/>
    </row>
    <row r="344" spans="1:28">
      <c r="A344" s="9"/>
      <c r="B344" s="44"/>
      <c r="C344" s="44"/>
      <c r="D344" s="9"/>
      <c r="F344" s="363"/>
      <c r="G344" s="278"/>
      <c r="H344" s="263"/>
      <c r="I344" s="44"/>
      <c r="J344" s="44"/>
      <c r="K344" s="44"/>
      <c r="L344" s="44"/>
      <c r="M344" s="44"/>
      <c r="N344" s="44"/>
      <c r="O344" s="44"/>
      <c r="P344" s="44"/>
      <c r="Q344" s="44"/>
      <c r="R344" s="44"/>
      <c r="S344" s="44"/>
      <c r="T344" s="44"/>
      <c r="U344" s="44"/>
      <c r="V344" s="44"/>
      <c r="W344" s="44"/>
      <c r="X344" s="44"/>
      <c r="Y344" s="44"/>
      <c r="Z344" s="44"/>
      <c r="AA344" s="44"/>
      <c r="AB344" s="44"/>
    </row>
    <row r="345" spans="1:28" ht="12.75" customHeight="1">
      <c r="A345" s="9"/>
      <c r="B345" s="9"/>
      <c r="C345" s="44" t="s">
        <v>165</v>
      </c>
      <c r="D345" s="9"/>
      <c r="E345" s="36"/>
      <c r="F345" s="36">
        <f>'Total actual RAB roll forward'!L198</f>
        <v>2201.1934914000376</v>
      </c>
      <c r="G345" s="278"/>
      <c r="H345" s="263"/>
      <c r="I345" s="44"/>
      <c r="J345" s="44"/>
      <c r="K345" s="44"/>
      <c r="L345" s="44"/>
      <c r="M345" s="44"/>
      <c r="N345" s="44"/>
      <c r="O345" s="44"/>
      <c r="P345" s="44"/>
      <c r="Q345" s="44"/>
      <c r="R345" s="44"/>
      <c r="S345" s="44"/>
      <c r="T345" s="44"/>
      <c r="U345" s="44"/>
      <c r="V345" s="44"/>
      <c r="W345" s="44"/>
      <c r="X345" s="44"/>
      <c r="Y345" s="44"/>
      <c r="Z345" s="44"/>
      <c r="AA345" s="44"/>
      <c r="AB345" s="44"/>
    </row>
    <row r="346" spans="1:28">
      <c r="A346" s="9"/>
      <c r="B346" s="9"/>
      <c r="C346" s="44"/>
      <c r="D346" s="9"/>
      <c r="E346" s="36"/>
      <c r="F346" s="36"/>
      <c r="G346" s="278"/>
      <c r="H346" s="263"/>
      <c r="I346" s="44"/>
      <c r="J346" s="44"/>
      <c r="K346" s="44"/>
      <c r="L346" s="44"/>
      <c r="M346" s="44"/>
      <c r="N346" s="44"/>
      <c r="O346" s="44"/>
      <c r="P346" s="44"/>
      <c r="Q346" s="44"/>
      <c r="R346" s="44"/>
      <c r="S346" s="44"/>
      <c r="T346" s="44"/>
      <c r="U346" s="44"/>
      <c r="V346" s="44"/>
      <c r="W346" s="44"/>
      <c r="X346" s="44"/>
      <c r="Y346" s="44"/>
      <c r="Z346" s="44"/>
      <c r="AA346" s="44"/>
      <c r="AB346" s="44"/>
    </row>
    <row r="347" spans="1:28">
      <c r="A347" s="9"/>
      <c r="B347" s="9"/>
      <c r="C347" s="9"/>
      <c r="D347" s="9"/>
      <c r="E347" s="21"/>
      <c r="F347" s="21"/>
      <c r="G347" s="278"/>
      <c r="H347" s="263"/>
      <c r="I347" s="44"/>
      <c r="J347" s="44"/>
      <c r="K347" s="44"/>
      <c r="L347" s="44"/>
      <c r="M347" s="44"/>
      <c r="N347" s="44"/>
      <c r="O347" s="44"/>
      <c r="P347" s="44"/>
      <c r="Q347" s="44"/>
      <c r="R347" s="44"/>
      <c r="S347" s="44"/>
      <c r="T347" s="44"/>
      <c r="U347" s="44"/>
      <c r="V347" s="44"/>
      <c r="W347" s="44"/>
      <c r="X347" s="44"/>
      <c r="Y347" s="44"/>
      <c r="Z347" s="44"/>
      <c r="AA347" s="44"/>
      <c r="AB347" s="44"/>
    </row>
    <row r="348" spans="1:28" ht="12.75" hidden="1" customHeight="1" outlineLevel="1">
      <c r="A348" s="9"/>
      <c r="B348" s="9"/>
      <c r="C348" s="9"/>
      <c r="D348" s="9"/>
      <c r="E348" s="291"/>
      <c r="F348" s="291"/>
      <c r="G348" s="296"/>
      <c r="H348" s="297"/>
      <c r="I348" s="44"/>
      <c r="J348" s="44"/>
      <c r="K348" s="44"/>
      <c r="L348" s="44"/>
      <c r="M348" s="44"/>
      <c r="N348" s="44"/>
      <c r="O348" s="44"/>
      <c r="P348" s="44"/>
      <c r="Q348" s="44"/>
      <c r="R348" s="44"/>
      <c r="S348" s="44"/>
      <c r="T348" s="44"/>
      <c r="U348" s="44"/>
      <c r="V348" s="44"/>
      <c r="W348" s="44"/>
      <c r="X348" s="44"/>
      <c r="Y348" s="44"/>
      <c r="Z348" s="44"/>
      <c r="AA348" s="44"/>
      <c r="AB348" s="44"/>
    </row>
    <row r="349" spans="1:28" ht="12.75" hidden="1" customHeight="1" outlineLevel="1">
      <c r="A349" s="9"/>
      <c r="B349" s="9"/>
      <c r="C349" s="44"/>
      <c r="D349" s="44"/>
      <c r="E349" s="115"/>
      <c r="F349" s="115"/>
      <c r="G349" s="298"/>
      <c r="H349" s="299"/>
      <c r="I349" s="44"/>
      <c r="J349" s="44"/>
      <c r="K349" s="44"/>
      <c r="L349" s="44"/>
      <c r="M349" s="44"/>
      <c r="N349" s="44"/>
      <c r="O349" s="44"/>
      <c r="P349" s="44"/>
      <c r="Q349" s="44"/>
      <c r="R349" s="44"/>
      <c r="S349" s="44"/>
      <c r="T349" s="44"/>
      <c r="U349" s="44"/>
      <c r="V349" s="44"/>
      <c r="W349" s="44"/>
      <c r="X349" s="44"/>
      <c r="Y349" s="44"/>
      <c r="Z349" s="44"/>
      <c r="AA349" s="44"/>
      <c r="AB349" s="44"/>
    </row>
    <row r="350" spans="1:28" ht="12.75" hidden="1" customHeight="1" outlineLevel="1">
      <c r="A350" s="9"/>
      <c r="B350" s="9"/>
      <c r="C350" s="44"/>
      <c r="D350" s="44"/>
      <c r="E350" s="115"/>
      <c r="F350" s="115"/>
      <c r="G350" s="298"/>
      <c r="H350" s="299"/>
      <c r="I350" s="44"/>
      <c r="J350" s="44"/>
      <c r="K350" s="44"/>
      <c r="L350" s="44"/>
      <c r="M350" s="44"/>
      <c r="N350" s="44"/>
      <c r="O350" s="44"/>
      <c r="P350" s="44"/>
      <c r="Q350" s="44"/>
      <c r="R350" s="44"/>
      <c r="S350" s="44"/>
      <c r="T350" s="44"/>
      <c r="U350" s="44"/>
      <c r="V350" s="44"/>
      <c r="W350" s="44"/>
      <c r="X350" s="44"/>
      <c r="Y350" s="44"/>
      <c r="Z350" s="44"/>
      <c r="AA350" s="44"/>
      <c r="AB350" s="44"/>
    </row>
    <row r="351" spans="1:28" ht="12.75" hidden="1" customHeight="1" outlineLevel="1">
      <c r="A351" s="9"/>
      <c r="B351" s="9"/>
      <c r="C351" s="44"/>
      <c r="D351" s="44"/>
      <c r="E351" s="115"/>
      <c r="F351" s="115"/>
      <c r="G351" s="298"/>
      <c r="H351" s="299"/>
      <c r="I351" s="44"/>
      <c r="J351" s="44"/>
      <c r="K351" s="44"/>
      <c r="L351" s="44"/>
      <c r="M351" s="44"/>
      <c r="N351" s="44"/>
      <c r="O351" s="44"/>
      <c r="P351" s="44"/>
      <c r="Q351" s="44"/>
      <c r="R351" s="44"/>
      <c r="S351" s="44"/>
      <c r="T351" s="44"/>
      <c r="U351" s="44"/>
      <c r="V351" s="44"/>
      <c r="W351" s="44"/>
      <c r="X351" s="44"/>
      <c r="Y351" s="44"/>
      <c r="Z351" s="44"/>
      <c r="AA351" s="44"/>
      <c r="AB351" s="44"/>
    </row>
    <row r="352" spans="1:28" ht="12.75" hidden="1" customHeight="1" outlineLevel="1">
      <c r="A352" s="9"/>
      <c r="B352" s="9"/>
      <c r="C352" s="44"/>
      <c r="D352" s="44"/>
      <c r="E352" s="115"/>
      <c r="F352" s="115"/>
      <c r="G352" s="298"/>
      <c r="H352" s="299"/>
      <c r="I352" s="44"/>
      <c r="J352" s="44"/>
      <c r="K352" s="44"/>
      <c r="L352" s="44"/>
      <c r="M352" s="44"/>
      <c r="N352" s="44"/>
      <c r="O352" s="44"/>
      <c r="P352" s="44"/>
      <c r="Q352" s="44"/>
      <c r="R352" s="44"/>
      <c r="S352" s="44"/>
      <c r="T352" s="44"/>
      <c r="U352" s="44"/>
      <c r="V352" s="44"/>
      <c r="W352" s="44"/>
      <c r="X352" s="44"/>
      <c r="Y352" s="44"/>
      <c r="Z352" s="44"/>
      <c r="AA352" s="44"/>
      <c r="AB352" s="44"/>
    </row>
    <row r="353" spans="1:28" ht="12.75" hidden="1" customHeight="1" outlineLevel="1">
      <c r="A353" s="9"/>
      <c r="B353" s="9"/>
      <c r="C353" s="44"/>
      <c r="D353" s="44"/>
      <c r="E353" s="115"/>
      <c r="F353" s="115"/>
      <c r="G353" s="298"/>
      <c r="H353" s="299"/>
      <c r="I353" s="44"/>
      <c r="J353" s="44"/>
      <c r="K353" s="44"/>
      <c r="L353" s="44"/>
      <c r="M353" s="44"/>
      <c r="N353" s="44"/>
      <c r="O353" s="44"/>
      <c r="P353" s="44"/>
      <c r="Q353" s="44"/>
      <c r="R353" s="44"/>
      <c r="S353" s="44"/>
      <c r="T353" s="44"/>
      <c r="U353" s="44"/>
      <c r="V353" s="44"/>
      <c r="W353" s="44"/>
      <c r="X353" s="44"/>
      <c r="Y353" s="44"/>
      <c r="Z353" s="44"/>
      <c r="AA353" s="44"/>
      <c r="AB353" s="44"/>
    </row>
    <row r="354" spans="1:28" ht="12.75" hidden="1" customHeight="1" outlineLevel="1">
      <c r="A354" s="9"/>
      <c r="B354" s="9"/>
      <c r="C354" s="44"/>
      <c r="D354" s="44"/>
      <c r="E354" s="115"/>
      <c r="F354" s="115"/>
      <c r="G354" s="298"/>
      <c r="H354" s="299"/>
      <c r="I354" s="44"/>
      <c r="J354" s="44"/>
      <c r="K354" s="44"/>
      <c r="L354" s="44"/>
      <c r="M354" s="44"/>
      <c r="N354" s="44"/>
      <c r="O354" s="44"/>
      <c r="P354" s="44"/>
      <c r="Q354" s="44"/>
      <c r="R354" s="44"/>
      <c r="S354" s="44"/>
      <c r="T354" s="44"/>
      <c r="U354" s="44"/>
      <c r="V354" s="44"/>
      <c r="W354" s="44"/>
      <c r="X354" s="44"/>
      <c r="Y354" s="44"/>
      <c r="Z354" s="44"/>
      <c r="AA354" s="44"/>
      <c r="AB354" s="44"/>
    </row>
    <row r="355" spans="1:28" ht="12.75" hidden="1" customHeight="1" outlineLevel="1">
      <c r="A355" s="9"/>
      <c r="B355" s="9"/>
      <c r="C355" s="44"/>
      <c r="D355" s="44"/>
      <c r="E355" s="115"/>
      <c r="F355" s="115"/>
      <c r="G355" s="298"/>
      <c r="H355" s="299"/>
      <c r="I355" s="44"/>
      <c r="J355" s="44"/>
      <c r="K355" s="44"/>
      <c r="L355" s="44"/>
      <c r="M355" s="44"/>
      <c r="N355" s="44"/>
      <c r="O355" s="44"/>
      <c r="P355" s="44"/>
      <c r="Q355" s="44"/>
      <c r="R355" s="44"/>
      <c r="S355" s="44"/>
      <c r="T355" s="44"/>
      <c r="U355" s="44"/>
      <c r="V355" s="44"/>
      <c r="W355" s="44"/>
      <c r="X355" s="44"/>
      <c r="Y355" s="44"/>
      <c r="Z355" s="44"/>
      <c r="AA355" s="44"/>
      <c r="AB355" s="44"/>
    </row>
    <row r="356" spans="1:28" ht="12.75" hidden="1" customHeight="1" outlineLevel="1">
      <c r="A356" s="9"/>
      <c r="B356" s="9"/>
      <c r="C356" s="44"/>
      <c r="D356" s="44"/>
      <c r="E356" s="115"/>
      <c r="F356" s="115"/>
      <c r="G356" s="298"/>
      <c r="H356" s="299"/>
      <c r="I356" s="44"/>
      <c r="J356" s="44"/>
      <c r="K356" s="44"/>
      <c r="L356" s="44"/>
      <c r="M356" s="44"/>
      <c r="N356" s="44"/>
      <c r="O356" s="44"/>
      <c r="P356" s="44"/>
      <c r="Q356" s="44"/>
      <c r="R356" s="44"/>
      <c r="S356" s="44"/>
      <c r="T356" s="44"/>
      <c r="U356" s="44"/>
      <c r="V356" s="44"/>
      <c r="W356" s="44"/>
      <c r="X356" s="44"/>
      <c r="Y356" s="44"/>
      <c r="Z356" s="44"/>
      <c r="AA356" s="44"/>
      <c r="AB356" s="44"/>
    </row>
    <row r="357" spans="1:28" ht="12.75" hidden="1" customHeight="1" outlineLevel="1">
      <c r="A357" s="9"/>
      <c r="B357" s="9"/>
      <c r="C357" s="44"/>
      <c r="D357" s="44"/>
      <c r="E357" s="115"/>
      <c r="F357" s="115"/>
      <c r="G357" s="298"/>
      <c r="H357" s="299"/>
      <c r="I357" s="44"/>
      <c r="J357" s="44"/>
      <c r="K357" s="44"/>
      <c r="L357" s="44"/>
      <c r="M357" s="44"/>
      <c r="N357" s="44"/>
      <c r="O357" s="44"/>
      <c r="P357" s="44"/>
      <c r="Q357" s="44"/>
      <c r="R357" s="44"/>
      <c r="S357" s="44"/>
      <c r="T357" s="44"/>
      <c r="U357" s="44"/>
      <c r="V357" s="44"/>
      <c r="W357" s="44"/>
      <c r="X357" s="44"/>
      <c r="Y357" s="44"/>
      <c r="Z357" s="44"/>
      <c r="AA357" s="44"/>
      <c r="AB357" s="44"/>
    </row>
    <row r="358" spans="1:28" ht="12.75" hidden="1" customHeight="1" outlineLevel="1">
      <c r="A358" s="9"/>
      <c r="B358" s="9"/>
      <c r="C358" s="44"/>
      <c r="D358" s="44"/>
      <c r="E358" s="115"/>
      <c r="F358" s="115"/>
      <c r="G358" s="298"/>
      <c r="H358" s="299"/>
      <c r="I358" s="44"/>
      <c r="J358" s="44"/>
      <c r="K358" s="44"/>
      <c r="L358" s="44"/>
      <c r="M358" s="44"/>
      <c r="N358" s="44"/>
      <c r="O358" s="44"/>
      <c r="P358" s="44"/>
      <c r="Q358" s="44"/>
      <c r="R358" s="44"/>
      <c r="S358" s="44"/>
      <c r="T358" s="44"/>
      <c r="U358" s="44"/>
      <c r="V358" s="44"/>
      <c r="W358" s="44"/>
      <c r="X358" s="44"/>
      <c r="Y358" s="44"/>
      <c r="Z358" s="44"/>
      <c r="AA358" s="44"/>
      <c r="AB358" s="44"/>
    </row>
    <row r="359" spans="1:28" ht="12.75" hidden="1" customHeight="1" outlineLevel="1">
      <c r="A359" s="9"/>
      <c r="B359" s="9"/>
      <c r="C359" s="44"/>
      <c r="D359" s="44"/>
      <c r="E359" s="115"/>
      <c r="F359" s="115"/>
      <c r="G359" s="298"/>
      <c r="H359" s="299"/>
      <c r="I359" s="44"/>
      <c r="J359" s="44"/>
      <c r="K359" s="44"/>
      <c r="L359" s="44"/>
      <c r="M359" s="44"/>
      <c r="N359" s="44"/>
      <c r="O359" s="44"/>
      <c r="P359" s="44"/>
      <c r="Q359" s="44"/>
      <c r="R359" s="44"/>
      <c r="S359" s="44"/>
      <c r="T359" s="44"/>
      <c r="U359" s="44"/>
      <c r="V359" s="44"/>
      <c r="W359" s="44"/>
      <c r="X359" s="44"/>
      <c r="Y359" s="44"/>
      <c r="Z359" s="44"/>
      <c r="AA359" s="44"/>
      <c r="AB359" s="44"/>
    </row>
    <row r="360" spans="1:28" ht="12.75" hidden="1" customHeight="1" outlineLevel="1">
      <c r="A360" s="9"/>
      <c r="B360" s="9"/>
      <c r="C360" s="44"/>
      <c r="D360" s="44"/>
      <c r="E360" s="115"/>
      <c r="F360" s="115"/>
      <c r="G360" s="298"/>
      <c r="H360" s="299"/>
      <c r="I360" s="44"/>
      <c r="J360" s="44"/>
      <c r="K360" s="44"/>
      <c r="L360" s="44"/>
      <c r="M360" s="44"/>
      <c r="N360" s="44"/>
      <c r="O360" s="44"/>
      <c r="P360" s="44"/>
      <c r="Q360" s="44"/>
      <c r="R360" s="44"/>
      <c r="S360" s="44"/>
      <c r="T360" s="44"/>
      <c r="U360" s="44"/>
      <c r="V360" s="44"/>
      <c r="W360" s="44"/>
      <c r="X360" s="44"/>
      <c r="Y360" s="44"/>
      <c r="Z360" s="44"/>
      <c r="AA360" s="44"/>
      <c r="AB360" s="44"/>
    </row>
    <row r="361" spans="1:28" ht="12.75" hidden="1" customHeight="1" outlineLevel="1">
      <c r="A361" s="9"/>
      <c r="B361" s="9"/>
      <c r="C361" s="44"/>
      <c r="D361" s="44"/>
      <c r="E361" s="115"/>
      <c r="F361" s="115"/>
      <c r="G361" s="298"/>
      <c r="H361" s="299"/>
      <c r="I361" s="44"/>
      <c r="J361" s="44"/>
      <c r="K361" s="44"/>
      <c r="L361" s="44"/>
      <c r="M361" s="44"/>
      <c r="N361" s="44"/>
      <c r="O361" s="44"/>
      <c r="P361" s="44"/>
      <c r="Q361" s="44"/>
      <c r="R361" s="44"/>
      <c r="S361" s="44"/>
      <c r="T361" s="44"/>
      <c r="U361" s="44"/>
      <c r="V361" s="44"/>
      <c r="W361" s="44"/>
      <c r="X361" s="44"/>
      <c r="Y361" s="44"/>
      <c r="Z361" s="44"/>
      <c r="AA361" s="44"/>
      <c r="AB361" s="44"/>
    </row>
    <row r="362" spans="1:28" ht="12.75" hidden="1" customHeight="1" outlineLevel="1">
      <c r="A362" s="9"/>
      <c r="B362" s="9"/>
      <c r="C362" s="44"/>
      <c r="D362" s="44"/>
      <c r="E362" s="115"/>
      <c r="F362" s="115"/>
      <c r="G362" s="298"/>
      <c r="H362" s="299"/>
      <c r="I362" s="44"/>
      <c r="J362" s="44"/>
      <c r="K362" s="44"/>
      <c r="L362" s="44"/>
      <c r="M362" s="44"/>
      <c r="N362" s="44"/>
      <c r="O362" s="44"/>
      <c r="P362" s="44"/>
      <c r="Q362" s="44"/>
      <c r="R362" s="44"/>
      <c r="S362" s="44"/>
      <c r="T362" s="44"/>
      <c r="U362" s="44"/>
      <c r="V362" s="44"/>
      <c r="W362" s="44"/>
      <c r="X362" s="44"/>
      <c r="Y362" s="44"/>
      <c r="Z362" s="44"/>
      <c r="AA362" s="44"/>
      <c r="AB362" s="44"/>
    </row>
    <row r="363" spans="1:28" ht="12.75" hidden="1" customHeight="1" outlineLevel="1">
      <c r="A363" s="9"/>
      <c r="B363" s="9"/>
      <c r="C363" s="44"/>
      <c r="D363" s="44"/>
      <c r="E363" s="115"/>
      <c r="F363" s="115"/>
      <c r="G363" s="298"/>
      <c r="H363" s="299"/>
      <c r="I363" s="44"/>
      <c r="J363" s="44"/>
      <c r="K363" s="44"/>
      <c r="L363" s="44"/>
      <c r="M363" s="44"/>
      <c r="N363" s="44"/>
      <c r="O363" s="44"/>
      <c r="P363" s="44"/>
      <c r="Q363" s="44"/>
      <c r="R363" s="44"/>
      <c r="S363" s="44"/>
      <c r="T363" s="44"/>
      <c r="U363" s="44"/>
      <c r="V363" s="44"/>
      <c r="W363" s="44"/>
      <c r="X363" s="44"/>
      <c r="Y363" s="44"/>
      <c r="Z363" s="44"/>
      <c r="AA363" s="44"/>
      <c r="AB363" s="44"/>
    </row>
    <row r="364" spans="1:28" ht="12.75" hidden="1" customHeight="1" outlineLevel="1">
      <c r="A364" s="9"/>
      <c r="B364" s="9"/>
      <c r="C364" s="44"/>
      <c r="D364" s="44"/>
      <c r="E364" s="115"/>
      <c r="F364" s="115"/>
      <c r="G364" s="298"/>
      <c r="H364" s="299"/>
      <c r="I364" s="44"/>
      <c r="J364" s="44"/>
      <c r="K364" s="44"/>
      <c r="L364" s="44"/>
      <c r="M364" s="44"/>
      <c r="N364" s="44"/>
      <c r="O364" s="44"/>
      <c r="P364" s="44"/>
      <c r="Q364" s="44"/>
      <c r="R364" s="44"/>
      <c r="S364" s="44"/>
      <c r="T364" s="44"/>
      <c r="U364" s="44"/>
      <c r="V364" s="44"/>
      <c r="W364" s="44"/>
      <c r="X364" s="44"/>
      <c r="Y364" s="44"/>
      <c r="Z364" s="44"/>
      <c r="AA364" s="44"/>
      <c r="AB364" s="44"/>
    </row>
    <row r="365" spans="1:28" ht="12.75" hidden="1" customHeight="1" outlineLevel="1">
      <c r="A365" s="9"/>
      <c r="B365" s="9"/>
      <c r="C365" s="44"/>
      <c r="D365" s="44"/>
      <c r="E365" s="115"/>
      <c r="F365" s="115"/>
      <c r="G365" s="298"/>
      <c r="H365" s="299"/>
      <c r="I365" s="44"/>
      <c r="J365" s="44"/>
      <c r="K365" s="44"/>
      <c r="L365" s="44"/>
      <c r="M365" s="44"/>
      <c r="N365" s="44"/>
      <c r="O365" s="44"/>
      <c r="P365" s="44"/>
      <c r="Q365" s="44"/>
      <c r="R365" s="44"/>
      <c r="S365" s="44"/>
      <c r="T365" s="44"/>
      <c r="U365" s="44"/>
      <c r="V365" s="44"/>
      <c r="W365" s="44"/>
      <c r="X365" s="44"/>
      <c r="Y365" s="44"/>
      <c r="Z365" s="44"/>
      <c r="AA365" s="44"/>
      <c r="AB365" s="44"/>
    </row>
    <row r="366" spans="1:28" ht="12.75" hidden="1" customHeight="1" outlineLevel="1">
      <c r="A366" s="9"/>
      <c r="B366" s="9"/>
      <c r="C366" s="44"/>
      <c r="D366" s="44"/>
      <c r="E366" s="115"/>
      <c r="F366" s="115"/>
      <c r="G366" s="298"/>
      <c r="H366" s="299"/>
      <c r="I366" s="44"/>
      <c r="J366" s="44"/>
      <c r="K366" s="44"/>
      <c r="L366" s="44"/>
      <c r="M366" s="44"/>
      <c r="N366" s="44"/>
      <c r="O366" s="44"/>
      <c r="P366" s="44"/>
      <c r="Q366" s="44"/>
      <c r="R366" s="44"/>
      <c r="S366" s="44"/>
      <c r="T366" s="44"/>
      <c r="U366" s="44"/>
      <c r="V366" s="44"/>
      <c r="W366" s="44"/>
      <c r="X366" s="44"/>
      <c r="Y366" s="44"/>
      <c r="Z366" s="44"/>
      <c r="AA366" s="44"/>
      <c r="AB366" s="44"/>
    </row>
    <row r="367" spans="1:28" ht="12.75" hidden="1" customHeight="1" outlineLevel="1">
      <c r="A367" s="9"/>
      <c r="B367" s="9"/>
      <c r="C367" s="44"/>
      <c r="D367" s="44"/>
      <c r="E367" s="115"/>
      <c r="F367" s="115"/>
      <c r="G367" s="298"/>
      <c r="H367" s="299"/>
      <c r="I367" s="44"/>
      <c r="J367" s="44"/>
      <c r="K367" s="44"/>
      <c r="L367" s="44"/>
      <c r="M367" s="44"/>
      <c r="N367" s="44"/>
      <c r="O367" s="44"/>
      <c r="P367" s="44"/>
      <c r="Q367" s="44"/>
      <c r="R367" s="44"/>
      <c r="S367" s="44"/>
      <c r="T367" s="44"/>
      <c r="U367" s="44"/>
      <c r="V367" s="44"/>
      <c r="W367" s="44"/>
      <c r="X367" s="44"/>
      <c r="Y367" s="44"/>
      <c r="Z367" s="44"/>
      <c r="AA367" s="44"/>
      <c r="AB367" s="44"/>
    </row>
    <row r="368" spans="1:28" ht="12.75" hidden="1" customHeight="1" outlineLevel="1">
      <c r="A368" s="9"/>
      <c r="B368" s="9"/>
      <c r="C368" s="44"/>
      <c r="D368" s="44"/>
      <c r="E368" s="115"/>
      <c r="F368" s="115"/>
      <c r="G368" s="298"/>
      <c r="H368" s="299"/>
      <c r="I368" s="44"/>
      <c r="J368" s="44"/>
      <c r="K368" s="44"/>
      <c r="L368" s="44"/>
      <c r="M368" s="44"/>
      <c r="N368" s="44"/>
      <c r="O368" s="44"/>
      <c r="P368" s="44"/>
      <c r="Q368" s="44"/>
      <c r="R368" s="44"/>
      <c r="S368" s="44"/>
      <c r="T368" s="44"/>
      <c r="U368" s="44"/>
      <c r="V368" s="44"/>
      <c r="W368" s="44"/>
      <c r="X368" s="44"/>
      <c r="Y368" s="44"/>
      <c r="Z368" s="44"/>
      <c r="AA368" s="44"/>
      <c r="AB368" s="44"/>
    </row>
    <row r="369" spans="1:28" ht="12.75" hidden="1" customHeight="1" outlineLevel="1">
      <c r="A369" s="9"/>
      <c r="B369" s="9"/>
      <c r="C369" s="44"/>
      <c r="D369" s="44"/>
      <c r="E369" s="115"/>
      <c r="F369" s="115"/>
      <c r="G369" s="300"/>
      <c r="H369" s="299"/>
      <c r="I369" s="44"/>
      <c r="J369" s="44"/>
      <c r="K369" s="44"/>
      <c r="L369" s="44"/>
      <c r="M369" s="44"/>
      <c r="N369" s="44"/>
      <c r="O369" s="44"/>
      <c r="P369" s="44"/>
      <c r="Q369" s="44"/>
      <c r="R369" s="44"/>
      <c r="S369" s="44"/>
      <c r="T369" s="44"/>
      <c r="U369" s="44"/>
      <c r="V369" s="44"/>
      <c r="W369" s="44"/>
      <c r="X369" s="44"/>
      <c r="Y369" s="44"/>
      <c r="Z369" s="44"/>
      <c r="AA369" s="44"/>
      <c r="AB369" s="44"/>
    </row>
    <row r="370" spans="1:28" collapsed="1">
      <c r="A370" s="9"/>
      <c r="B370" s="9"/>
      <c r="C370" s="289"/>
      <c r="D370" s="289"/>
      <c r="E370" s="287"/>
      <c r="F370" s="287"/>
      <c r="G370" s="287"/>
      <c r="H370" s="290"/>
      <c r="I370" s="44"/>
      <c r="J370" s="44"/>
      <c r="K370" s="44"/>
      <c r="L370" s="44"/>
      <c r="M370" s="44"/>
      <c r="N370" s="44"/>
      <c r="O370" s="44"/>
      <c r="P370" s="44"/>
      <c r="Q370" s="44"/>
      <c r="R370" s="44"/>
      <c r="S370" s="44"/>
      <c r="T370" s="44"/>
      <c r="U370" s="44"/>
      <c r="V370" s="44"/>
      <c r="W370" s="44"/>
      <c r="X370" s="44"/>
      <c r="Y370" s="44"/>
      <c r="Z370" s="44"/>
      <c r="AA370" s="44"/>
      <c r="AB370" s="44"/>
    </row>
    <row r="371" spans="1:28">
      <c r="A371" s="9"/>
      <c r="B371" s="9"/>
      <c r="C371" s="9" t="s">
        <v>143</v>
      </c>
      <c r="D371" s="9"/>
      <c r="E371" s="36"/>
      <c r="F371" s="36"/>
      <c r="G371" s="321">
        <f ca="1">G19</f>
        <v>0</v>
      </c>
      <c r="H371" s="263"/>
      <c r="I371" s="44"/>
      <c r="J371" s="44"/>
      <c r="K371" s="44"/>
      <c r="L371" s="44"/>
      <c r="M371" s="44"/>
      <c r="N371" s="44"/>
      <c r="O371" s="44"/>
      <c r="P371" s="44"/>
      <c r="Q371" s="44"/>
      <c r="R371" s="44"/>
      <c r="S371" s="44"/>
      <c r="T371" s="44"/>
      <c r="U371" s="44"/>
      <c r="V371" s="44"/>
      <c r="W371" s="44"/>
      <c r="X371" s="44"/>
      <c r="Y371" s="44"/>
      <c r="Z371" s="44"/>
      <c r="AA371" s="44"/>
      <c r="AB371" s="44"/>
    </row>
    <row r="372" spans="1:28">
      <c r="A372" s="9"/>
      <c r="B372" s="9"/>
      <c r="C372" s="9" t="s">
        <v>144</v>
      </c>
      <c r="D372" s="9"/>
      <c r="E372" s="36"/>
      <c r="F372" s="36"/>
      <c r="G372" s="321">
        <f ca="1">G33</f>
        <v>46.400915462677332</v>
      </c>
      <c r="H372" s="263"/>
      <c r="I372" s="270"/>
      <c r="J372" s="262"/>
      <c r="K372" s="270"/>
      <c r="L372" s="262"/>
      <c r="M372" s="109"/>
      <c r="N372" s="304"/>
      <c r="O372" s="304"/>
      <c r="P372" s="304"/>
      <c r="Q372" s="304"/>
      <c r="R372" s="9"/>
      <c r="S372" s="9"/>
      <c r="T372" s="9"/>
      <c r="U372" s="44"/>
      <c r="V372" s="44"/>
      <c r="W372" s="44"/>
      <c r="X372" s="44"/>
      <c r="Y372" s="44"/>
      <c r="Z372" s="44"/>
      <c r="AA372" s="44"/>
      <c r="AB372" s="44"/>
    </row>
    <row r="373" spans="1:28">
      <c r="A373" s="9"/>
      <c r="B373" s="9"/>
      <c r="C373" s="9" t="s">
        <v>145</v>
      </c>
      <c r="D373" s="9"/>
      <c r="E373" s="36"/>
      <c r="F373" s="36"/>
      <c r="G373" s="321">
        <f ca="1">G47</f>
        <v>51.109089310941563</v>
      </c>
      <c r="H373" s="263"/>
      <c r="I373" s="270"/>
      <c r="J373" s="262"/>
      <c r="K373" s="270"/>
      <c r="L373" s="262"/>
      <c r="M373" s="109"/>
      <c r="N373" s="304"/>
      <c r="O373" s="304"/>
      <c r="P373" s="304"/>
      <c r="Q373" s="304"/>
      <c r="R373" s="9"/>
      <c r="S373" s="9"/>
      <c r="T373" s="9"/>
      <c r="U373" s="44"/>
      <c r="V373" s="44"/>
      <c r="W373" s="44"/>
      <c r="X373" s="44"/>
      <c r="Y373" s="44"/>
      <c r="Z373" s="44"/>
      <c r="AA373" s="44"/>
      <c r="AB373" s="44"/>
    </row>
    <row r="374" spans="1:28">
      <c r="A374" s="9"/>
      <c r="B374" s="9"/>
      <c r="C374" s="9" t="s">
        <v>146</v>
      </c>
      <c r="D374" s="9"/>
      <c r="E374" s="36"/>
      <c r="F374" s="36"/>
      <c r="G374" s="321">
        <f ca="1">G61</f>
        <v>38.05568567690559</v>
      </c>
      <c r="H374" s="263"/>
      <c r="I374" s="270"/>
      <c r="J374" s="262"/>
      <c r="K374" s="270"/>
      <c r="L374" s="262"/>
      <c r="M374" s="109"/>
      <c r="N374" s="304"/>
      <c r="O374" s="304"/>
      <c r="P374" s="304"/>
      <c r="Q374" s="304"/>
      <c r="R374" s="9"/>
      <c r="S374" s="9"/>
      <c r="T374" s="9"/>
      <c r="U374" s="44"/>
      <c r="V374" s="44"/>
      <c r="W374" s="44"/>
      <c r="X374" s="44"/>
      <c r="Y374" s="44"/>
      <c r="Z374" s="44"/>
      <c r="AA374" s="44"/>
      <c r="AB374" s="44"/>
    </row>
    <row r="375" spans="1:28">
      <c r="A375" s="9"/>
      <c r="B375" s="9"/>
      <c r="C375" s="9" t="s">
        <v>147</v>
      </c>
      <c r="D375" s="9"/>
      <c r="E375" s="36"/>
      <c r="F375" s="36"/>
      <c r="G375" s="321">
        <f ca="1">G75</f>
        <v>34.042127946130393</v>
      </c>
      <c r="H375" s="263"/>
      <c r="I375" s="270"/>
      <c r="J375" s="262"/>
      <c r="K375" s="270"/>
      <c r="L375" s="262"/>
      <c r="M375" s="109"/>
      <c r="N375" s="304"/>
      <c r="O375" s="304"/>
      <c r="P375" s="304"/>
      <c r="Q375" s="304"/>
      <c r="R375" s="9"/>
      <c r="S375" s="9"/>
      <c r="T375" s="9"/>
      <c r="U375" s="44"/>
      <c r="V375" s="44"/>
      <c r="W375" s="44"/>
      <c r="X375" s="44"/>
      <c r="Y375" s="44"/>
      <c r="Z375" s="44"/>
      <c r="AA375" s="44"/>
      <c r="AB375" s="44"/>
    </row>
    <row r="376" spans="1:28">
      <c r="A376" s="9"/>
      <c r="B376" s="9"/>
      <c r="C376" s="9" t="s">
        <v>148</v>
      </c>
      <c r="D376" s="9"/>
      <c r="E376" s="36"/>
      <c r="F376" s="36"/>
      <c r="G376" s="321">
        <f ca="1">G89</f>
        <v>33.952573562918069</v>
      </c>
      <c r="H376" s="263"/>
      <c r="I376" s="270"/>
      <c r="J376" s="262"/>
      <c r="K376" s="270"/>
      <c r="L376" s="262"/>
      <c r="M376" s="109"/>
      <c r="N376" s="304"/>
      <c r="O376" s="304"/>
      <c r="P376" s="304"/>
      <c r="Q376" s="304"/>
      <c r="R376" s="9"/>
      <c r="S376" s="9"/>
      <c r="T376" s="9"/>
      <c r="U376" s="44"/>
      <c r="V376" s="44"/>
      <c r="W376" s="44"/>
      <c r="X376" s="44"/>
      <c r="Y376" s="44"/>
      <c r="Z376" s="44"/>
      <c r="AA376" s="44"/>
      <c r="AB376" s="44"/>
    </row>
    <row r="377" spans="1:28">
      <c r="A377" s="9"/>
      <c r="B377" s="9"/>
      <c r="C377" s="9" t="s">
        <v>149</v>
      </c>
      <c r="D377" s="9"/>
      <c r="E377" s="36"/>
      <c r="F377" s="36"/>
      <c r="G377" s="321">
        <f ca="1">G103</f>
        <v>37.922158986990823</v>
      </c>
      <c r="H377" s="263"/>
      <c r="I377" s="270"/>
      <c r="J377" s="262"/>
      <c r="K377" s="270"/>
      <c r="L377" s="262"/>
      <c r="M377" s="109"/>
      <c r="N377" s="304"/>
      <c r="O377" s="304"/>
      <c r="P377" s="304"/>
      <c r="Q377" s="304"/>
      <c r="R377" s="9"/>
      <c r="S377" s="9"/>
      <c r="T377" s="9"/>
      <c r="U377" s="44"/>
      <c r="V377" s="44"/>
      <c r="W377" s="44"/>
      <c r="X377" s="44"/>
      <c r="Y377" s="44"/>
      <c r="Z377" s="44"/>
      <c r="AA377" s="44"/>
      <c r="AB377" s="44"/>
    </row>
    <row r="378" spans="1:28">
      <c r="A378" s="9"/>
      <c r="B378" s="9"/>
      <c r="C378" s="9" t="s">
        <v>150</v>
      </c>
      <c r="D378" s="9"/>
      <c r="E378" s="36"/>
      <c r="F378" s="36"/>
      <c r="G378" s="321">
        <f ca="1">G117</f>
        <v>35</v>
      </c>
      <c r="H378" s="263"/>
      <c r="I378" s="270"/>
      <c r="J378" s="262"/>
      <c r="K378" s="270"/>
      <c r="L378" s="262"/>
      <c r="M378" s="109"/>
      <c r="N378" s="304"/>
      <c r="O378" s="304"/>
      <c r="P378" s="304"/>
      <c r="Q378" s="304"/>
      <c r="R378" s="9"/>
      <c r="S378" s="9"/>
      <c r="T378" s="9"/>
      <c r="U378" s="44"/>
      <c r="V378" s="44"/>
      <c r="W378" s="44"/>
      <c r="X378" s="44"/>
      <c r="Y378" s="44"/>
      <c r="Z378" s="44"/>
      <c r="AA378" s="44"/>
      <c r="AB378" s="44"/>
    </row>
    <row r="379" spans="1:28">
      <c r="A379" s="9"/>
      <c r="B379" s="9"/>
      <c r="C379" s="9" t="s">
        <v>151</v>
      </c>
      <c r="D379" s="9"/>
      <c r="E379" s="36"/>
      <c r="F379" s="36"/>
      <c r="G379" s="321">
        <f ca="1">G131</f>
        <v>14.058458013785273</v>
      </c>
      <c r="H379" s="263"/>
      <c r="I379" s="270"/>
      <c r="J379" s="262"/>
      <c r="K379" s="270"/>
      <c r="L379" s="262"/>
      <c r="M379" s="109"/>
      <c r="N379" s="304"/>
      <c r="O379" s="304"/>
      <c r="P379" s="304"/>
      <c r="Q379" s="304"/>
      <c r="R379" s="9"/>
      <c r="S379" s="9"/>
      <c r="T379" s="9"/>
      <c r="U379" s="44"/>
      <c r="V379" s="44"/>
      <c r="W379" s="44"/>
      <c r="X379" s="44"/>
      <c r="Y379" s="44"/>
      <c r="Z379" s="44"/>
      <c r="AA379" s="44"/>
      <c r="AB379" s="44"/>
    </row>
    <row r="380" spans="1:28">
      <c r="A380" s="9"/>
      <c r="B380" s="9"/>
      <c r="C380" s="9" t="s">
        <v>152</v>
      </c>
      <c r="D380" s="9"/>
      <c r="E380" s="36"/>
      <c r="F380" s="36"/>
      <c r="G380" s="321">
        <f ca="1">G145</f>
        <v>41.094280728588686</v>
      </c>
      <c r="H380" s="263"/>
      <c r="I380" s="270"/>
      <c r="J380" s="262"/>
      <c r="K380" s="270"/>
      <c r="L380" s="262"/>
      <c r="M380" s="109"/>
      <c r="N380" s="304"/>
      <c r="O380" s="304"/>
      <c r="P380" s="304"/>
      <c r="Q380" s="304"/>
      <c r="R380" s="9"/>
      <c r="S380" s="9"/>
      <c r="T380" s="9"/>
      <c r="U380" s="44"/>
      <c r="V380" s="44"/>
      <c r="W380" s="44"/>
      <c r="X380" s="44"/>
      <c r="Y380" s="44"/>
      <c r="Z380" s="44"/>
      <c r="AA380" s="44"/>
      <c r="AB380" s="44"/>
    </row>
    <row r="381" spans="1:28">
      <c r="A381" s="9"/>
      <c r="B381" s="9"/>
      <c r="C381" s="9" t="s">
        <v>153</v>
      </c>
      <c r="D381" s="9"/>
      <c r="E381" s="36"/>
      <c r="F381" s="36"/>
      <c r="G381" s="321">
        <f ca="1">G159</f>
        <v>46.168460451075426</v>
      </c>
      <c r="H381" s="263"/>
      <c r="I381" s="270"/>
      <c r="J381" s="262"/>
      <c r="K381" s="270"/>
      <c r="L381" s="262"/>
      <c r="M381" s="109"/>
      <c r="N381" s="304"/>
      <c r="O381" s="304"/>
      <c r="P381" s="304"/>
      <c r="Q381" s="304"/>
      <c r="R381" s="9"/>
      <c r="S381" s="9"/>
      <c r="T381" s="9"/>
      <c r="U381" s="44"/>
      <c r="V381" s="44"/>
      <c r="W381" s="44"/>
      <c r="X381" s="44"/>
      <c r="Y381" s="44"/>
      <c r="Z381" s="44"/>
      <c r="AA381" s="44"/>
      <c r="AB381" s="44"/>
    </row>
    <row r="382" spans="1:28">
      <c r="A382" s="9"/>
      <c r="B382" s="9"/>
      <c r="C382" s="9" t="s">
        <v>154</v>
      </c>
      <c r="D382" s="9"/>
      <c r="E382" s="36"/>
      <c r="F382" s="36"/>
      <c r="G382" s="321">
        <f ca="1">G173</f>
        <v>30.216662979990097</v>
      </c>
      <c r="H382" s="263"/>
      <c r="I382" s="270"/>
      <c r="J382" s="262"/>
      <c r="K382" s="270"/>
      <c r="L382" s="262"/>
      <c r="M382" s="109"/>
      <c r="N382" s="304"/>
      <c r="O382" s="304"/>
      <c r="P382" s="304"/>
      <c r="Q382" s="304"/>
      <c r="R382" s="9"/>
      <c r="S382" s="9"/>
      <c r="T382" s="9"/>
      <c r="U382" s="44"/>
      <c r="V382" s="44"/>
      <c r="W382" s="44"/>
      <c r="X382" s="44"/>
      <c r="Y382" s="44"/>
      <c r="Z382" s="44"/>
      <c r="AA382" s="44"/>
      <c r="AB382" s="44"/>
    </row>
    <row r="383" spans="1:28">
      <c r="A383" s="9"/>
      <c r="B383" s="9"/>
      <c r="C383" s="9" t="s">
        <v>155</v>
      </c>
      <c r="D383" s="9"/>
      <c r="E383" s="36"/>
      <c r="F383" s="36"/>
      <c r="G383" s="321">
        <f ca="1">G187</f>
        <v>36.887126362290381</v>
      </c>
      <c r="H383" s="263"/>
      <c r="I383" s="270"/>
      <c r="J383" s="262"/>
      <c r="K383" s="270"/>
      <c r="L383" s="262"/>
      <c r="M383" s="109"/>
      <c r="N383" s="304"/>
      <c r="O383" s="304"/>
      <c r="P383" s="304"/>
      <c r="Q383" s="304"/>
      <c r="R383" s="9"/>
      <c r="S383" s="9"/>
      <c r="T383" s="9"/>
      <c r="U383" s="44"/>
      <c r="V383" s="44"/>
      <c r="W383" s="44"/>
      <c r="X383" s="44"/>
      <c r="Y383" s="44"/>
      <c r="Z383" s="44"/>
      <c r="AA383" s="44"/>
      <c r="AB383" s="44"/>
    </row>
    <row r="384" spans="1:28">
      <c r="A384" s="9"/>
      <c r="B384" s="9"/>
      <c r="C384" s="9" t="s">
        <v>156</v>
      </c>
      <c r="D384" s="9"/>
      <c r="E384" s="36"/>
      <c r="F384" s="36"/>
      <c r="G384" s="321">
        <f ca="1">G201</f>
        <v>60.219240388879996</v>
      </c>
      <c r="H384" s="263"/>
      <c r="I384" s="270"/>
      <c r="J384" s="262"/>
      <c r="K384" s="270"/>
      <c r="L384" s="262"/>
      <c r="M384" s="109"/>
      <c r="N384" s="304"/>
      <c r="O384" s="304"/>
      <c r="P384" s="304"/>
      <c r="Q384" s="304"/>
      <c r="R384" s="9"/>
      <c r="S384" s="9"/>
      <c r="T384" s="9"/>
      <c r="U384" s="44"/>
      <c r="V384" s="44"/>
      <c r="W384" s="44"/>
      <c r="X384" s="44"/>
      <c r="Y384" s="44"/>
      <c r="Z384" s="44"/>
      <c r="AA384" s="44"/>
      <c r="AB384" s="44"/>
    </row>
    <row r="385" spans="1:28">
      <c r="A385" s="9"/>
      <c r="B385" s="9"/>
      <c r="C385" s="9" t="s">
        <v>157</v>
      </c>
      <c r="D385" s="9"/>
      <c r="E385" s="36"/>
      <c r="F385" s="36"/>
      <c r="G385" s="321">
        <f ca="1">G215</f>
        <v>17.478790977606295</v>
      </c>
      <c r="H385" s="263"/>
      <c r="I385" s="270"/>
      <c r="J385" s="262"/>
      <c r="K385" s="270"/>
      <c r="L385" s="262"/>
      <c r="M385" s="109"/>
      <c r="N385" s="304"/>
      <c r="O385" s="304"/>
      <c r="P385" s="304"/>
      <c r="Q385" s="304"/>
      <c r="R385" s="9"/>
      <c r="S385" s="9"/>
      <c r="T385" s="9"/>
      <c r="U385" s="44"/>
      <c r="V385" s="44"/>
      <c r="W385" s="44"/>
      <c r="X385" s="44"/>
      <c r="Y385" s="44"/>
      <c r="Z385" s="44"/>
      <c r="AA385" s="44"/>
      <c r="AB385" s="44"/>
    </row>
    <row r="386" spans="1:28">
      <c r="A386" s="9"/>
      <c r="B386" s="9"/>
      <c r="C386" s="9" t="s">
        <v>158</v>
      </c>
      <c r="D386" s="9"/>
      <c r="E386" s="36"/>
      <c r="F386" s="36"/>
      <c r="G386" s="321">
        <f ca="1">G229</f>
        <v>8.19417629500564</v>
      </c>
      <c r="H386" s="263"/>
      <c r="I386" s="270"/>
      <c r="J386" s="262"/>
      <c r="K386" s="270"/>
      <c r="L386" s="262"/>
      <c r="M386" s="109"/>
      <c r="N386" s="304"/>
      <c r="O386" s="304"/>
      <c r="P386" s="304"/>
      <c r="Q386" s="304"/>
      <c r="R386" s="9"/>
      <c r="S386" s="9"/>
      <c r="T386" s="9"/>
      <c r="U386" s="44"/>
      <c r="V386" s="44"/>
      <c r="W386" s="44"/>
      <c r="X386" s="44"/>
      <c r="Y386" s="44"/>
      <c r="Z386" s="44"/>
      <c r="AA386" s="44"/>
      <c r="AB386" s="44"/>
    </row>
    <row r="387" spans="1:28">
      <c r="A387" s="9"/>
      <c r="B387" s="9"/>
      <c r="C387" s="9" t="s">
        <v>159</v>
      </c>
      <c r="D387" s="9"/>
      <c r="E387" s="36"/>
      <c r="F387" s="36"/>
      <c r="G387" s="321">
        <f ca="1">G243</f>
        <v>5.1689950473042492</v>
      </c>
      <c r="H387" s="263"/>
      <c r="I387" s="270"/>
      <c r="J387" s="262"/>
      <c r="K387" s="270"/>
      <c r="L387" s="262"/>
      <c r="M387" s="109"/>
      <c r="N387" s="304"/>
      <c r="O387" s="304"/>
      <c r="P387" s="304"/>
      <c r="Q387" s="304"/>
      <c r="R387" s="9"/>
      <c r="S387" s="9"/>
      <c r="T387" s="9"/>
      <c r="U387" s="44"/>
      <c r="V387" s="44"/>
      <c r="W387" s="44"/>
      <c r="X387" s="44"/>
      <c r="Y387" s="44"/>
      <c r="Z387" s="44"/>
      <c r="AA387" s="44"/>
      <c r="AB387" s="44"/>
    </row>
    <row r="388" spans="1:28">
      <c r="A388" s="9"/>
      <c r="B388" s="9"/>
      <c r="C388" s="9" t="s">
        <v>127</v>
      </c>
      <c r="D388" s="9"/>
      <c r="E388" s="36"/>
      <c r="F388" s="36"/>
      <c r="G388" s="321">
        <f ca="1">G257</f>
        <v>3.1910861046311254</v>
      </c>
      <c r="H388" s="263"/>
      <c r="I388" s="270"/>
      <c r="J388" s="262"/>
      <c r="K388" s="270"/>
      <c r="L388" s="262"/>
      <c r="M388" s="109"/>
      <c r="N388" s="304"/>
      <c r="O388" s="304"/>
      <c r="P388" s="304"/>
      <c r="Q388" s="304"/>
      <c r="R388" s="9"/>
      <c r="S388" s="9"/>
      <c r="T388" s="9"/>
      <c r="U388" s="44"/>
      <c r="V388" s="44"/>
      <c r="W388" s="44"/>
      <c r="X388" s="44"/>
      <c r="Y388" s="44"/>
      <c r="Z388" s="44"/>
      <c r="AA388" s="44"/>
      <c r="AB388" s="44"/>
    </row>
    <row r="389" spans="1:28">
      <c r="A389" s="9"/>
      <c r="B389" s="9"/>
      <c r="C389" s="9" t="s">
        <v>124</v>
      </c>
      <c r="D389" s="9"/>
      <c r="E389" s="36"/>
      <c r="F389" s="36"/>
      <c r="G389" s="321">
        <f ca="1">G271</f>
        <v>12.444184387858794</v>
      </c>
      <c r="H389" s="263"/>
      <c r="I389" s="270"/>
      <c r="J389" s="262"/>
      <c r="K389" s="270"/>
      <c r="L389" s="262"/>
      <c r="M389" s="109"/>
      <c r="N389" s="304"/>
      <c r="O389" s="304"/>
      <c r="P389" s="304"/>
      <c r="Q389" s="304"/>
      <c r="R389" s="9"/>
      <c r="S389" s="9"/>
      <c r="T389" s="9"/>
      <c r="U389" s="44"/>
      <c r="V389" s="44"/>
      <c r="W389" s="44"/>
      <c r="X389" s="44"/>
      <c r="Y389" s="44"/>
      <c r="Z389" s="44"/>
      <c r="AA389" s="44"/>
      <c r="AB389" s="44"/>
    </row>
    <row r="390" spans="1:28">
      <c r="A390" s="9"/>
      <c r="B390" s="9"/>
      <c r="C390" s="9" t="s">
        <v>128</v>
      </c>
      <c r="D390" s="9"/>
      <c r="E390" s="36"/>
      <c r="F390" s="36"/>
      <c r="G390" s="321">
        <f ca="1">G285</f>
        <v>6.4701430270232736</v>
      </c>
      <c r="H390" s="263"/>
      <c r="I390" s="270"/>
      <c r="J390" s="262"/>
      <c r="K390" s="270"/>
      <c r="L390" s="262"/>
      <c r="M390" s="109"/>
      <c r="N390" s="304"/>
      <c r="O390" s="304"/>
      <c r="P390" s="304"/>
      <c r="Q390" s="304"/>
      <c r="R390" s="9"/>
      <c r="S390" s="9"/>
      <c r="T390" s="9"/>
      <c r="U390" s="44"/>
      <c r="V390" s="44"/>
      <c r="W390" s="44"/>
      <c r="X390" s="44"/>
      <c r="Y390" s="44"/>
      <c r="Z390" s="44"/>
      <c r="AA390" s="44"/>
      <c r="AB390" s="44"/>
    </row>
    <row r="391" spans="1:28">
      <c r="A391" s="9"/>
      <c r="B391" s="9"/>
      <c r="C391" s="9" t="s">
        <v>129</v>
      </c>
      <c r="D391" s="9"/>
      <c r="E391" s="36"/>
      <c r="F391" s="36"/>
      <c r="G391" s="321">
        <f ca="1">G299</f>
        <v>29.825185908602151</v>
      </c>
      <c r="H391" s="263"/>
      <c r="I391" s="270"/>
      <c r="J391" s="262"/>
      <c r="K391" s="270"/>
      <c r="L391" s="262"/>
      <c r="M391" s="109"/>
      <c r="N391" s="304"/>
      <c r="O391" s="304"/>
      <c r="P391" s="304"/>
      <c r="Q391" s="304"/>
      <c r="R391" s="9"/>
      <c r="S391" s="9"/>
      <c r="T391" s="9"/>
      <c r="U391" s="44"/>
      <c r="V391" s="44"/>
      <c r="W391" s="44"/>
      <c r="X391" s="44"/>
      <c r="Y391" s="44"/>
      <c r="Z391" s="44"/>
      <c r="AA391" s="44"/>
      <c r="AB391" s="44"/>
    </row>
    <row r="392" spans="1:28">
      <c r="A392" s="9"/>
      <c r="B392" s="9"/>
      <c r="C392" s="9" t="s">
        <v>125</v>
      </c>
      <c r="D392" s="9"/>
      <c r="E392" s="36"/>
      <c r="F392" s="36"/>
      <c r="G392" s="321">
        <f ca="1">G313</f>
        <v>0</v>
      </c>
      <c r="H392" s="263"/>
      <c r="I392" s="270"/>
      <c r="J392" s="262"/>
      <c r="K392" s="270"/>
      <c r="L392" s="262"/>
      <c r="M392" s="109"/>
      <c r="N392" s="304"/>
      <c r="O392" s="304"/>
      <c r="P392" s="304"/>
      <c r="Q392" s="304"/>
      <c r="R392" s="9"/>
      <c r="S392" s="9"/>
      <c r="T392" s="9"/>
      <c r="U392" s="44"/>
      <c r="V392" s="44"/>
      <c r="W392" s="44"/>
      <c r="X392" s="44"/>
      <c r="Y392" s="44"/>
      <c r="Z392" s="44"/>
      <c r="AA392" s="44"/>
      <c r="AB392" s="44"/>
    </row>
    <row r="393" spans="1:28">
      <c r="A393" s="9"/>
      <c r="B393" s="9"/>
      <c r="C393" s="9" t="s">
        <v>126</v>
      </c>
      <c r="D393" s="9"/>
      <c r="E393" s="36"/>
      <c r="F393" s="36"/>
      <c r="G393" s="321">
        <f ca="1">G327</f>
        <v>18.12721579838805</v>
      </c>
      <c r="H393" s="263"/>
      <c r="I393" s="270"/>
      <c r="J393" s="262"/>
      <c r="K393" s="270"/>
      <c r="L393" s="262"/>
      <c r="M393" s="109"/>
      <c r="N393" s="304"/>
      <c r="O393" s="304"/>
      <c r="P393" s="304"/>
      <c r="Q393" s="304"/>
      <c r="R393" s="9"/>
      <c r="S393" s="9"/>
      <c r="T393" s="9"/>
      <c r="U393" s="44"/>
      <c r="V393" s="44"/>
      <c r="W393" s="44"/>
      <c r="X393" s="44"/>
      <c r="Y393" s="44"/>
      <c r="Z393" s="44"/>
      <c r="AA393" s="44"/>
      <c r="AB393" s="44"/>
    </row>
    <row r="394" spans="1:28">
      <c r="A394" s="9"/>
      <c r="B394" s="9"/>
      <c r="C394" s="9" t="s">
        <v>137</v>
      </c>
      <c r="D394" s="9"/>
      <c r="E394" s="36"/>
      <c r="F394" s="36"/>
      <c r="G394" s="321">
        <f ca="1">G341</f>
        <v>42.301375252373994</v>
      </c>
      <c r="H394" s="263"/>
      <c r="I394" s="270"/>
      <c r="J394" s="262"/>
      <c r="K394" s="270"/>
      <c r="L394" s="262"/>
      <c r="M394" s="109"/>
      <c r="N394" s="304"/>
      <c r="O394" s="304"/>
      <c r="P394" s="304"/>
      <c r="Q394" s="304"/>
      <c r="R394" s="9"/>
      <c r="S394" s="9"/>
      <c r="T394" s="9"/>
      <c r="U394" s="44"/>
      <c r="V394" s="44"/>
      <c r="W394" s="44"/>
      <c r="X394" s="44"/>
      <c r="Y394" s="44"/>
      <c r="Z394" s="44"/>
      <c r="AA394" s="44"/>
      <c r="AB394" s="44"/>
    </row>
    <row r="395" spans="1:28">
      <c r="A395" s="9"/>
      <c r="B395" s="9"/>
      <c r="C395" s="9"/>
      <c r="D395" s="9"/>
      <c r="E395" s="36"/>
      <c r="F395" s="36"/>
      <c r="G395" s="36"/>
      <c r="H395" s="263"/>
      <c r="I395" s="270"/>
      <c r="J395" s="262"/>
      <c r="K395" s="270"/>
      <c r="L395" s="262"/>
      <c r="M395" s="109"/>
      <c r="N395" s="304"/>
      <c r="O395" s="304"/>
      <c r="P395" s="304"/>
      <c r="Q395" s="304"/>
      <c r="R395" s="9"/>
      <c r="S395" s="9"/>
      <c r="T395" s="9"/>
      <c r="U395" s="44"/>
      <c r="V395" s="44"/>
      <c r="W395" s="44"/>
      <c r="X395" s="44"/>
      <c r="Y395" s="44"/>
      <c r="Z395" s="44"/>
      <c r="AA395" s="44"/>
      <c r="AB395" s="44"/>
    </row>
    <row r="396" spans="1:28">
      <c r="A396" s="9"/>
      <c r="B396" s="9"/>
      <c r="C396" s="9"/>
      <c r="D396" s="9"/>
      <c r="E396" s="36"/>
      <c r="F396" s="36"/>
      <c r="G396" s="36"/>
      <c r="H396" s="263"/>
      <c r="I396" s="270"/>
      <c r="J396" s="262"/>
      <c r="K396" s="270"/>
      <c r="L396" s="262"/>
      <c r="M396" s="109"/>
      <c r="N396" s="304"/>
      <c r="O396" s="304"/>
      <c r="P396" s="304"/>
      <c r="Q396" s="304"/>
      <c r="R396" s="9"/>
      <c r="S396" s="9"/>
      <c r="T396" s="9"/>
      <c r="U396" s="44"/>
      <c r="V396" s="44"/>
      <c r="W396" s="44"/>
      <c r="X396" s="44"/>
      <c r="Y396" s="44"/>
      <c r="Z396" s="44"/>
      <c r="AA396" s="44"/>
      <c r="AB396" s="44"/>
    </row>
    <row r="397" spans="1:28">
      <c r="A397" s="9"/>
      <c r="B397" s="9"/>
      <c r="C397" s="9"/>
      <c r="D397" s="9"/>
      <c r="E397" s="36"/>
      <c r="F397" s="36"/>
      <c r="G397" s="36"/>
      <c r="H397" s="263"/>
      <c r="I397" s="270"/>
      <c r="J397" s="262"/>
      <c r="K397" s="270"/>
      <c r="L397" s="262"/>
      <c r="M397" s="109"/>
      <c r="N397" s="304"/>
      <c r="O397" s="304"/>
      <c r="P397" s="304"/>
      <c r="Q397" s="304"/>
      <c r="R397" s="9"/>
      <c r="S397" s="9"/>
      <c r="T397" s="9"/>
      <c r="U397" s="44"/>
      <c r="V397" s="44"/>
      <c r="W397" s="44"/>
      <c r="X397" s="44"/>
      <c r="Y397" s="44"/>
      <c r="Z397" s="44"/>
      <c r="AA397" s="44"/>
      <c r="AB397" s="44"/>
    </row>
    <row r="398" spans="1:28">
      <c r="A398" s="9"/>
      <c r="B398" s="9"/>
      <c r="C398" s="9"/>
      <c r="D398" s="9"/>
      <c r="E398" s="36"/>
      <c r="F398" s="36"/>
      <c r="G398" s="36"/>
      <c r="H398" s="263"/>
      <c r="I398" s="270"/>
      <c r="J398" s="262"/>
      <c r="K398" s="270"/>
      <c r="L398" s="262"/>
      <c r="M398" s="109"/>
      <c r="N398" s="304"/>
      <c r="O398" s="304"/>
      <c r="P398" s="304"/>
      <c r="Q398" s="304"/>
      <c r="R398" s="9"/>
      <c r="S398" s="9"/>
      <c r="T398" s="9"/>
      <c r="U398" s="44"/>
      <c r="V398" s="44"/>
      <c r="W398" s="44"/>
      <c r="X398" s="44"/>
      <c r="Y398" s="44"/>
      <c r="Z398" s="44"/>
      <c r="AA398" s="44"/>
      <c r="AB398" s="44"/>
    </row>
    <row r="399" spans="1:28">
      <c r="A399" s="9"/>
      <c r="B399" s="9"/>
      <c r="C399" s="9"/>
      <c r="D399" s="9"/>
      <c r="E399" s="36"/>
      <c r="F399" s="36"/>
      <c r="G399" s="36"/>
      <c r="H399" s="263"/>
      <c r="I399" s="270"/>
      <c r="J399" s="262"/>
      <c r="K399" s="270"/>
      <c r="L399" s="262"/>
      <c r="M399" s="109"/>
      <c r="N399" s="304"/>
      <c r="O399" s="304"/>
      <c r="P399" s="304"/>
      <c r="Q399" s="304"/>
      <c r="R399" s="9"/>
      <c r="S399" s="9"/>
      <c r="T399" s="9"/>
      <c r="U399" s="44"/>
      <c r="V399" s="44"/>
      <c r="W399" s="44"/>
      <c r="X399" s="44"/>
      <c r="Y399" s="44"/>
      <c r="Z399" s="44"/>
      <c r="AA399" s="44"/>
      <c r="AB399" s="44"/>
    </row>
    <row r="400" spans="1:28">
      <c r="A400" s="9"/>
      <c r="B400" s="9"/>
      <c r="C400" s="9"/>
      <c r="D400" s="9"/>
      <c r="E400" s="36"/>
      <c r="F400" s="36"/>
      <c r="G400" s="36"/>
      <c r="H400" s="263"/>
      <c r="I400" s="270"/>
      <c r="J400" s="262"/>
      <c r="K400" s="270"/>
      <c r="L400" s="262"/>
      <c r="M400" s="109"/>
      <c r="N400" s="304"/>
      <c r="O400" s="304"/>
      <c r="P400" s="304"/>
      <c r="Q400" s="304"/>
      <c r="R400" s="9"/>
      <c r="S400" s="9"/>
      <c r="T400" s="9"/>
      <c r="U400" s="44"/>
      <c r="V400" s="44"/>
      <c r="W400" s="44"/>
      <c r="X400" s="44"/>
      <c r="Y400" s="44"/>
      <c r="Z400" s="44"/>
      <c r="AA400" s="44"/>
      <c r="AB400" s="44"/>
    </row>
    <row r="401" spans="1:28">
      <c r="A401" s="9"/>
      <c r="B401" s="9"/>
      <c r="C401" s="9"/>
      <c r="D401" s="9"/>
      <c r="E401" s="36"/>
      <c r="F401" s="36"/>
      <c r="G401" s="36"/>
      <c r="H401" s="263"/>
      <c r="I401" s="270"/>
      <c r="J401" s="262"/>
      <c r="K401" s="270"/>
      <c r="L401" s="262"/>
      <c r="M401" s="109"/>
      <c r="N401" s="304"/>
      <c r="O401" s="304"/>
      <c r="P401" s="304"/>
      <c r="Q401" s="304"/>
      <c r="R401" s="9"/>
      <c r="S401" s="9"/>
      <c r="T401" s="9"/>
      <c r="U401" s="44"/>
      <c r="V401" s="44"/>
      <c r="W401" s="44"/>
      <c r="X401" s="44"/>
      <c r="Y401" s="44"/>
      <c r="Z401" s="44"/>
      <c r="AA401" s="44"/>
      <c r="AB401" s="44"/>
    </row>
    <row r="402" spans="1:28">
      <c r="A402" s="9"/>
      <c r="B402" s="9"/>
      <c r="C402" s="9"/>
      <c r="D402" s="9"/>
      <c r="E402" s="36"/>
      <c r="F402" s="36"/>
      <c r="G402" s="36"/>
      <c r="H402" s="263"/>
      <c r="I402" s="270"/>
      <c r="J402" s="262"/>
      <c r="K402" s="270"/>
      <c r="L402" s="262"/>
      <c r="M402" s="109"/>
      <c r="N402" s="304"/>
      <c r="O402" s="304"/>
      <c r="P402" s="304"/>
      <c r="Q402" s="304"/>
      <c r="R402" s="9"/>
      <c r="S402" s="9"/>
      <c r="T402" s="9"/>
      <c r="U402" s="44"/>
      <c r="V402" s="44"/>
      <c r="W402" s="44"/>
      <c r="X402" s="44"/>
      <c r="Y402" s="44"/>
      <c r="Z402" s="44"/>
      <c r="AA402" s="44"/>
      <c r="AB402" s="44"/>
    </row>
    <row r="403" spans="1:28">
      <c r="A403" s="9"/>
      <c r="B403" s="9"/>
      <c r="C403" s="9"/>
      <c r="D403" s="9"/>
      <c r="E403" s="36"/>
      <c r="F403" s="36"/>
      <c r="G403" s="36"/>
      <c r="H403" s="263"/>
      <c r="I403" s="270"/>
      <c r="J403" s="262"/>
      <c r="K403" s="270"/>
      <c r="L403" s="262"/>
      <c r="M403" s="109"/>
      <c r="N403" s="304"/>
      <c r="O403" s="304"/>
      <c r="P403" s="304"/>
      <c r="Q403" s="304"/>
      <c r="R403" s="9"/>
      <c r="S403" s="9"/>
      <c r="T403" s="9"/>
      <c r="U403" s="44"/>
      <c r="V403" s="44"/>
      <c r="W403" s="44"/>
      <c r="X403" s="44"/>
      <c r="Y403" s="44"/>
      <c r="Z403" s="44"/>
      <c r="AA403" s="44"/>
      <c r="AB403" s="44"/>
    </row>
    <row r="404" spans="1:28">
      <c r="A404" s="9"/>
      <c r="B404" s="9"/>
      <c r="C404" s="9"/>
      <c r="D404" s="9"/>
      <c r="E404" s="36"/>
      <c r="F404" s="36"/>
      <c r="G404" s="36"/>
      <c r="H404" s="263"/>
      <c r="I404" s="270"/>
      <c r="J404" s="262"/>
      <c r="K404" s="270"/>
      <c r="L404" s="262"/>
      <c r="M404" s="109"/>
      <c r="N404" s="304"/>
      <c r="O404" s="304"/>
      <c r="P404" s="304"/>
      <c r="Q404" s="304"/>
      <c r="R404" s="9"/>
      <c r="S404" s="9"/>
      <c r="T404" s="9"/>
      <c r="U404" s="44"/>
      <c r="V404" s="44"/>
      <c r="W404" s="44"/>
      <c r="X404" s="44"/>
      <c r="Y404" s="44"/>
      <c r="Z404" s="44"/>
      <c r="AA404" s="44"/>
      <c r="AB404" s="44"/>
    </row>
    <row r="405" spans="1:28">
      <c r="A405" s="9"/>
      <c r="B405" s="9"/>
      <c r="C405" s="9"/>
      <c r="D405" s="9"/>
      <c r="E405" s="36"/>
      <c r="F405" s="36"/>
      <c r="G405" s="36"/>
      <c r="H405" s="263"/>
      <c r="I405" s="270"/>
      <c r="J405" s="262"/>
      <c r="K405" s="270"/>
      <c r="L405" s="262"/>
      <c r="M405" s="109"/>
      <c r="N405" s="304"/>
      <c r="O405" s="304"/>
      <c r="P405" s="304"/>
      <c r="Q405" s="304"/>
      <c r="R405" s="9"/>
      <c r="S405" s="9"/>
      <c r="T405" s="9"/>
      <c r="U405" s="44"/>
      <c r="V405" s="44"/>
      <c r="W405" s="44"/>
      <c r="X405" s="44"/>
      <c r="Y405" s="44"/>
      <c r="Z405" s="44"/>
      <c r="AA405" s="44"/>
      <c r="AB405" s="44"/>
    </row>
    <row r="406" spans="1:28">
      <c r="A406" s="9"/>
      <c r="B406" s="9"/>
      <c r="C406" s="9"/>
      <c r="D406" s="9"/>
      <c r="E406" s="36"/>
      <c r="F406" s="36"/>
      <c r="G406" s="36"/>
      <c r="H406" s="263"/>
      <c r="I406" s="270"/>
      <c r="J406" s="262"/>
      <c r="K406" s="270"/>
      <c r="L406" s="262"/>
      <c r="M406" s="109"/>
      <c r="N406" s="304"/>
      <c r="O406" s="304"/>
      <c r="P406" s="304"/>
      <c r="Q406" s="304"/>
      <c r="R406" s="9"/>
      <c r="S406" s="9"/>
      <c r="T406" s="9"/>
      <c r="U406" s="44"/>
      <c r="V406" s="44"/>
      <c r="W406" s="44"/>
      <c r="X406" s="44"/>
      <c r="Y406" s="44"/>
      <c r="Z406" s="44"/>
      <c r="AA406" s="44"/>
      <c r="AB406" s="44"/>
    </row>
    <row r="407" spans="1:28">
      <c r="A407" s="9"/>
      <c r="B407" s="9"/>
      <c r="C407" s="9"/>
      <c r="D407" s="9"/>
      <c r="E407" s="36"/>
      <c r="F407" s="36"/>
      <c r="G407" s="36"/>
      <c r="H407" s="263"/>
      <c r="I407" s="270"/>
      <c r="J407" s="262"/>
      <c r="K407" s="270"/>
      <c r="L407" s="262"/>
      <c r="M407" s="109"/>
      <c r="N407" s="304"/>
      <c r="O407" s="304"/>
      <c r="P407" s="304"/>
      <c r="Q407" s="304"/>
      <c r="R407" s="9"/>
      <c r="S407" s="9"/>
      <c r="T407" s="9"/>
      <c r="U407" s="44"/>
      <c r="V407" s="44"/>
      <c r="W407" s="44"/>
      <c r="X407" s="44"/>
      <c r="Y407" s="44"/>
      <c r="Z407" s="44"/>
      <c r="AA407" s="44"/>
      <c r="AB407" s="44"/>
    </row>
    <row r="408" spans="1:28">
      <c r="A408" s="9"/>
      <c r="B408" s="9"/>
      <c r="C408" s="9"/>
      <c r="D408" s="9"/>
      <c r="E408" s="36"/>
      <c r="F408" s="36"/>
      <c r="G408" s="36"/>
      <c r="H408" s="263"/>
      <c r="I408" s="270"/>
      <c r="J408" s="262"/>
      <c r="K408" s="270"/>
      <c r="L408" s="262"/>
      <c r="M408" s="109"/>
      <c r="N408" s="304"/>
      <c r="O408" s="304"/>
      <c r="P408" s="304"/>
      <c r="Q408" s="304"/>
      <c r="R408" s="9"/>
      <c r="S408" s="9"/>
      <c r="T408" s="9"/>
      <c r="U408" s="44"/>
      <c r="V408" s="44"/>
      <c r="W408" s="44"/>
      <c r="X408" s="44"/>
      <c r="Y408" s="44"/>
      <c r="Z408" s="44"/>
      <c r="AA408" s="44"/>
      <c r="AB408" s="44"/>
    </row>
    <row r="409" spans="1:28">
      <c r="A409" s="9"/>
      <c r="B409" s="9"/>
      <c r="C409" s="9"/>
      <c r="D409" s="9"/>
      <c r="E409" s="36"/>
      <c r="F409" s="36"/>
      <c r="G409" s="36"/>
      <c r="H409" s="263"/>
      <c r="I409" s="270"/>
      <c r="J409" s="262"/>
      <c r="K409" s="270"/>
      <c r="L409" s="262"/>
      <c r="M409" s="109"/>
      <c r="N409" s="304"/>
      <c r="O409" s="304"/>
      <c r="P409" s="304"/>
      <c r="Q409" s="304"/>
      <c r="R409" s="9"/>
      <c r="S409" s="9"/>
      <c r="T409" s="9"/>
      <c r="U409" s="44"/>
      <c r="V409" s="44"/>
      <c r="W409" s="44"/>
      <c r="X409" s="44"/>
      <c r="Y409" s="44"/>
      <c r="Z409" s="44"/>
      <c r="AA409" s="44"/>
      <c r="AB409" s="44"/>
    </row>
    <row r="410" spans="1:28">
      <c r="A410" s="9"/>
      <c r="B410" s="9"/>
      <c r="C410" s="9"/>
      <c r="D410" s="9"/>
      <c r="E410" s="36"/>
      <c r="F410" s="36"/>
      <c r="G410" s="36"/>
      <c r="H410" s="263"/>
      <c r="I410" s="270"/>
      <c r="J410" s="262"/>
      <c r="K410" s="270"/>
      <c r="L410" s="262"/>
      <c r="M410" s="109"/>
      <c r="N410" s="304"/>
      <c r="O410" s="304"/>
      <c r="P410" s="304"/>
      <c r="Q410" s="304"/>
      <c r="R410" s="9"/>
      <c r="S410" s="9"/>
      <c r="T410" s="9"/>
      <c r="U410" s="44"/>
      <c r="V410" s="44"/>
      <c r="W410" s="44"/>
      <c r="X410" s="44"/>
      <c r="Y410" s="44"/>
      <c r="Z410" s="44"/>
      <c r="AA410" s="44"/>
      <c r="AB410" s="44"/>
    </row>
    <row r="411" spans="1:28">
      <c r="A411" s="9"/>
      <c r="B411" s="9"/>
      <c r="C411" s="9"/>
      <c r="D411" s="9"/>
      <c r="E411" s="36"/>
      <c r="F411" s="36"/>
      <c r="G411" s="36"/>
      <c r="H411" s="263"/>
      <c r="I411" s="270"/>
      <c r="J411" s="262"/>
      <c r="K411" s="270"/>
      <c r="L411" s="262"/>
      <c r="M411" s="109"/>
      <c r="N411" s="304"/>
      <c r="O411" s="304"/>
      <c r="P411" s="304"/>
      <c r="Q411" s="304"/>
      <c r="R411" s="9"/>
      <c r="S411" s="9"/>
      <c r="T411" s="9"/>
      <c r="U411" s="44"/>
      <c r="V411" s="44"/>
      <c r="W411" s="44"/>
      <c r="X411" s="44"/>
      <c r="Y411" s="44"/>
      <c r="Z411" s="44"/>
      <c r="AA411" s="44"/>
      <c r="AB411" s="44"/>
    </row>
    <row r="412" spans="1:28">
      <c r="A412" s="9"/>
      <c r="B412" s="9"/>
      <c r="C412" s="9"/>
      <c r="D412" s="9"/>
      <c r="E412" s="36"/>
      <c r="F412" s="36"/>
      <c r="G412" s="36"/>
      <c r="H412" s="263"/>
      <c r="I412" s="270"/>
      <c r="J412" s="262"/>
      <c r="K412" s="270"/>
      <c r="L412" s="262"/>
      <c r="M412" s="109"/>
      <c r="N412" s="304"/>
      <c r="O412" s="304"/>
      <c r="P412" s="304"/>
      <c r="Q412" s="304"/>
      <c r="R412" s="9"/>
      <c r="S412" s="9"/>
      <c r="T412" s="9"/>
      <c r="U412" s="44"/>
      <c r="V412" s="44"/>
      <c r="W412" s="44"/>
      <c r="X412" s="44"/>
      <c r="Y412" s="44"/>
      <c r="Z412" s="44"/>
      <c r="AA412" s="44"/>
      <c r="AB412" s="44"/>
    </row>
    <row r="413" spans="1:28">
      <c r="A413" s="9"/>
      <c r="B413" s="9"/>
      <c r="C413" s="9"/>
      <c r="D413" s="9"/>
      <c r="E413" s="36"/>
      <c r="F413" s="36"/>
      <c r="G413" s="36"/>
      <c r="H413" s="263"/>
      <c r="I413" s="270"/>
      <c r="J413" s="262"/>
      <c r="K413" s="270"/>
      <c r="L413" s="262"/>
      <c r="M413" s="109"/>
      <c r="N413" s="304"/>
      <c r="O413" s="304"/>
      <c r="P413" s="304"/>
      <c r="Q413" s="304"/>
      <c r="R413" s="9"/>
      <c r="S413" s="9"/>
      <c r="T413" s="9"/>
      <c r="U413" s="44"/>
      <c r="V413" s="44"/>
      <c r="W413" s="44"/>
      <c r="X413" s="44"/>
      <c r="Y413" s="44"/>
      <c r="Z413" s="44"/>
      <c r="AA413" s="44"/>
      <c r="AB413" s="44"/>
    </row>
    <row r="414" spans="1:28">
      <c r="A414" s="9"/>
      <c r="B414" s="9"/>
      <c r="C414" s="9"/>
      <c r="D414" s="9"/>
      <c r="E414" s="36"/>
      <c r="F414" s="36"/>
      <c r="G414" s="36"/>
      <c r="H414" s="263"/>
      <c r="I414" s="270"/>
      <c r="J414" s="262"/>
      <c r="K414" s="270"/>
      <c r="L414" s="262"/>
      <c r="M414" s="109"/>
      <c r="N414" s="304"/>
      <c r="O414" s="304"/>
      <c r="P414" s="304"/>
      <c r="Q414" s="304"/>
      <c r="R414" s="9"/>
      <c r="S414" s="9"/>
      <c r="T414" s="9"/>
      <c r="U414" s="44"/>
      <c r="V414" s="44"/>
      <c r="W414" s="44"/>
      <c r="X414" s="44"/>
      <c r="Y414" s="44"/>
      <c r="Z414" s="44"/>
      <c r="AA414" s="44"/>
      <c r="AB414" s="44"/>
    </row>
    <row r="415" spans="1:28">
      <c r="A415" s="9"/>
      <c r="B415" s="9"/>
      <c r="C415" s="9"/>
      <c r="D415" s="9"/>
      <c r="E415" s="36"/>
      <c r="F415" s="36"/>
      <c r="G415" s="36"/>
      <c r="H415" s="263"/>
      <c r="I415" s="270"/>
      <c r="J415" s="262"/>
      <c r="K415" s="270"/>
      <c r="L415" s="262"/>
      <c r="M415" s="109"/>
      <c r="N415" s="304"/>
      <c r="O415" s="304"/>
      <c r="P415" s="304"/>
      <c r="Q415" s="304"/>
      <c r="R415" s="9"/>
      <c r="S415" s="9"/>
      <c r="T415" s="9"/>
      <c r="U415" s="44"/>
      <c r="V415" s="44"/>
      <c r="W415" s="44"/>
      <c r="X415" s="44"/>
      <c r="Y415" s="44"/>
      <c r="Z415" s="44"/>
      <c r="AA415" s="44"/>
      <c r="AB415" s="44"/>
    </row>
    <row r="416" spans="1:28">
      <c r="A416" s="9"/>
      <c r="B416" s="9"/>
      <c r="C416" s="9"/>
      <c r="D416" s="9"/>
      <c r="E416" s="36"/>
      <c r="F416" s="36"/>
      <c r="G416" s="36"/>
      <c r="H416" s="263"/>
      <c r="I416" s="270"/>
      <c r="J416" s="262"/>
      <c r="K416" s="270"/>
      <c r="L416" s="262"/>
      <c r="M416" s="109"/>
      <c r="N416" s="304"/>
      <c r="O416" s="304"/>
      <c r="P416" s="304"/>
      <c r="Q416" s="304"/>
      <c r="R416" s="9"/>
      <c r="S416" s="9"/>
      <c r="T416" s="9"/>
      <c r="U416" s="44"/>
      <c r="V416" s="44"/>
      <c r="W416" s="44"/>
      <c r="X416" s="44"/>
      <c r="Y416" s="44"/>
      <c r="Z416" s="44"/>
      <c r="AA416" s="44"/>
      <c r="AB416" s="44"/>
    </row>
    <row r="417" spans="1:28">
      <c r="A417" s="9"/>
      <c r="B417" s="9"/>
      <c r="C417" s="9"/>
      <c r="D417" s="9"/>
      <c r="E417" s="36"/>
      <c r="F417" s="36"/>
      <c r="G417" s="36"/>
      <c r="H417" s="263"/>
      <c r="I417" s="270"/>
      <c r="J417" s="262"/>
      <c r="K417" s="270"/>
      <c r="L417" s="262"/>
      <c r="M417" s="109"/>
      <c r="N417" s="304"/>
      <c r="O417" s="304"/>
      <c r="P417" s="304"/>
      <c r="Q417" s="304"/>
      <c r="R417" s="9"/>
      <c r="S417" s="9"/>
      <c r="T417" s="9"/>
      <c r="U417" s="44"/>
      <c r="V417" s="44"/>
      <c r="W417" s="44"/>
      <c r="X417" s="44"/>
      <c r="Y417" s="44"/>
      <c r="Z417" s="44"/>
      <c r="AA417" s="44"/>
      <c r="AB417" s="44"/>
    </row>
    <row r="418" spans="1:28">
      <c r="A418" s="9"/>
      <c r="B418" s="9"/>
      <c r="C418" s="9"/>
      <c r="D418" s="9"/>
      <c r="E418" s="36"/>
      <c r="F418" s="36"/>
      <c r="G418" s="36"/>
      <c r="H418" s="263"/>
      <c r="I418" s="270"/>
      <c r="J418" s="262"/>
      <c r="K418" s="270"/>
      <c r="L418" s="262"/>
      <c r="M418" s="109"/>
      <c r="N418" s="304"/>
      <c r="O418" s="304"/>
      <c r="P418" s="304"/>
      <c r="Q418" s="304"/>
      <c r="R418" s="9"/>
      <c r="S418" s="9"/>
      <c r="T418" s="9"/>
      <c r="U418" s="44"/>
      <c r="V418" s="44"/>
      <c r="W418" s="44"/>
      <c r="X418" s="44"/>
      <c r="Y418" s="44"/>
      <c r="Z418" s="44"/>
      <c r="AA418" s="44"/>
      <c r="AB418" s="44"/>
    </row>
    <row r="419" spans="1:28">
      <c r="A419" s="9"/>
      <c r="B419" s="9"/>
      <c r="C419" s="9"/>
      <c r="D419" s="9"/>
      <c r="E419" s="36"/>
      <c r="F419" s="36"/>
      <c r="G419" s="36"/>
      <c r="H419" s="263"/>
      <c r="I419" s="270"/>
      <c r="J419" s="262"/>
      <c r="K419" s="270"/>
      <c r="L419" s="262"/>
      <c r="M419" s="109"/>
      <c r="N419" s="304"/>
      <c r="O419" s="304"/>
      <c r="P419" s="304"/>
      <c r="Q419" s="304"/>
      <c r="R419" s="9"/>
      <c r="S419" s="9"/>
      <c r="T419" s="9"/>
      <c r="U419" s="44"/>
      <c r="V419" s="44"/>
      <c r="W419" s="44"/>
      <c r="X419" s="44"/>
      <c r="Y419" s="44"/>
      <c r="Z419" s="44"/>
      <c r="AA419" s="44"/>
      <c r="AB419" s="44"/>
    </row>
    <row r="420" spans="1:28">
      <c r="A420" s="9"/>
      <c r="B420" s="9"/>
      <c r="C420" s="9"/>
      <c r="D420" s="9"/>
      <c r="E420" s="36"/>
      <c r="F420" s="36"/>
      <c r="G420" s="36"/>
      <c r="H420" s="263"/>
      <c r="I420" s="270"/>
      <c r="J420" s="262"/>
      <c r="K420" s="270"/>
      <c r="L420" s="262"/>
      <c r="M420" s="109"/>
      <c r="N420" s="304"/>
      <c r="O420" s="304"/>
      <c r="P420" s="304"/>
      <c r="Q420" s="304"/>
      <c r="R420" s="9"/>
      <c r="S420" s="9"/>
      <c r="T420" s="9"/>
      <c r="U420" s="44"/>
      <c r="V420" s="44"/>
      <c r="W420" s="44"/>
      <c r="X420" s="44"/>
      <c r="Y420" s="44"/>
      <c r="Z420" s="44"/>
      <c r="AA420" s="44"/>
      <c r="AB420" s="44"/>
    </row>
    <row r="421" spans="1:28">
      <c r="A421" s="9"/>
      <c r="B421" s="9"/>
      <c r="C421" s="9"/>
      <c r="D421" s="9"/>
      <c r="E421" s="36"/>
      <c r="F421" s="36"/>
      <c r="G421" s="36"/>
      <c r="H421" s="263"/>
      <c r="I421" s="270"/>
      <c r="J421" s="262"/>
      <c r="K421" s="270"/>
      <c r="L421" s="262"/>
      <c r="M421" s="109"/>
      <c r="N421" s="304"/>
      <c r="O421" s="304"/>
      <c r="P421" s="304"/>
      <c r="Q421" s="304"/>
      <c r="R421" s="9"/>
      <c r="S421" s="9"/>
      <c r="T421" s="9"/>
      <c r="U421" s="44"/>
      <c r="V421" s="44"/>
      <c r="W421" s="44"/>
      <c r="X421" s="44"/>
      <c r="Y421" s="44"/>
      <c r="Z421" s="44"/>
      <c r="AA421" s="44"/>
      <c r="AB421" s="44"/>
    </row>
    <row r="422" spans="1:28">
      <c r="A422" s="9"/>
      <c r="B422" s="9"/>
      <c r="C422" s="9"/>
      <c r="D422" s="9"/>
      <c r="E422" s="36"/>
      <c r="F422" s="36"/>
      <c r="G422" s="36"/>
      <c r="H422" s="263"/>
      <c r="I422" s="270"/>
      <c r="J422" s="262"/>
      <c r="K422" s="270"/>
      <c r="L422" s="262"/>
      <c r="M422" s="109"/>
      <c r="N422" s="304"/>
      <c r="O422" s="304"/>
      <c r="P422" s="304"/>
      <c r="Q422" s="304"/>
      <c r="R422" s="9"/>
      <c r="S422" s="9"/>
      <c r="T422" s="9"/>
      <c r="U422" s="44"/>
      <c r="V422" s="44"/>
      <c r="W422" s="44"/>
      <c r="X422" s="44"/>
      <c r="Y422" s="44"/>
      <c r="Z422" s="44"/>
      <c r="AA422" s="44"/>
      <c r="AB422" s="44"/>
    </row>
    <row r="423" spans="1:28">
      <c r="A423" s="9"/>
      <c r="B423" s="9"/>
      <c r="C423" s="9"/>
      <c r="D423" s="9"/>
      <c r="E423" s="36"/>
      <c r="F423" s="36"/>
      <c r="G423" s="36"/>
      <c r="H423" s="263"/>
      <c r="I423" s="270"/>
      <c r="J423" s="262"/>
      <c r="K423" s="270"/>
      <c r="L423" s="262"/>
      <c r="M423" s="109"/>
      <c r="N423" s="304"/>
      <c r="O423" s="304"/>
      <c r="P423" s="304"/>
      <c r="Q423" s="304"/>
      <c r="R423" s="9"/>
      <c r="S423" s="9"/>
      <c r="T423" s="9"/>
      <c r="U423" s="44"/>
      <c r="V423" s="44"/>
      <c r="W423" s="44"/>
      <c r="X423" s="44"/>
      <c r="Y423" s="44"/>
      <c r="Z423" s="44"/>
      <c r="AA423" s="44"/>
      <c r="AB423" s="44"/>
    </row>
    <row r="424" spans="1:28">
      <c r="A424" s="9"/>
      <c r="B424" s="9"/>
      <c r="C424" s="9"/>
      <c r="D424" s="9"/>
      <c r="E424" s="36"/>
      <c r="F424" s="36"/>
      <c r="G424" s="36"/>
      <c r="H424" s="263"/>
      <c r="I424" s="270"/>
      <c r="J424" s="262"/>
      <c r="K424" s="270"/>
      <c r="L424" s="262"/>
      <c r="M424" s="109"/>
      <c r="N424" s="304"/>
      <c r="O424" s="304"/>
      <c r="P424" s="304"/>
      <c r="Q424" s="304"/>
      <c r="R424" s="9"/>
      <c r="S424" s="9"/>
      <c r="T424" s="9"/>
      <c r="U424" s="44"/>
      <c r="V424" s="44"/>
      <c r="W424" s="44"/>
      <c r="X424" s="44"/>
      <c r="Y424" s="44"/>
      <c r="Z424" s="44"/>
      <c r="AA424" s="44"/>
      <c r="AB424" s="44"/>
    </row>
    <row r="425" spans="1:28">
      <c r="A425" s="9"/>
      <c r="B425" s="9"/>
      <c r="C425" s="9"/>
      <c r="D425" s="9"/>
      <c r="E425" s="36"/>
      <c r="F425" s="36"/>
      <c r="G425" s="36"/>
      <c r="H425" s="263"/>
      <c r="I425" s="270"/>
      <c r="J425" s="262"/>
      <c r="K425" s="270"/>
      <c r="L425" s="262"/>
      <c r="M425" s="109"/>
      <c r="N425" s="304"/>
      <c r="O425" s="304"/>
      <c r="P425" s="304"/>
      <c r="Q425" s="304"/>
      <c r="R425" s="9"/>
      <c r="S425" s="9"/>
      <c r="T425" s="9"/>
      <c r="U425" s="44"/>
      <c r="V425" s="44"/>
      <c r="W425" s="44"/>
      <c r="X425" s="44"/>
      <c r="Y425" s="44"/>
      <c r="Z425" s="44"/>
      <c r="AA425" s="44"/>
      <c r="AB425" s="44"/>
    </row>
    <row r="426" spans="1:28">
      <c r="A426" s="9"/>
      <c r="B426" s="9"/>
      <c r="C426" s="9"/>
      <c r="D426" s="9"/>
      <c r="E426" s="36"/>
      <c r="F426" s="36"/>
      <c r="G426" s="36"/>
      <c r="H426" s="263"/>
      <c r="I426" s="270"/>
      <c r="J426" s="262"/>
      <c r="K426" s="270"/>
      <c r="L426" s="262"/>
      <c r="M426" s="109"/>
      <c r="N426" s="304"/>
      <c r="O426" s="304"/>
      <c r="P426" s="304"/>
      <c r="Q426" s="304"/>
      <c r="R426" s="9"/>
      <c r="S426" s="9"/>
      <c r="T426" s="9"/>
      <c r="U426" s="44"/>
      <c r="V426" s="44"/>
      <c r="W426" s="44"/>
      <c r="X426" s="44"/>
      <c r="Y426" s="44"/>
      <c r="Z426" s="44"/>
      <c r="AA426" s="44"/>
      <c r="AB426" s="44"/>
    </row>
    <row r="427" spans="1:28">
      <c r="A427" s="9"/>
      <c r="B427" s="9"/>
      <c r="C427" s="9"/>
      <c r="D427" s="9"/>
      <c r="E427" s="36"/>
      <c r="F427" s="36"/>
      <c r="G427" s="36"/>
      <c r="H427" s="263"/>
      <c r="I427" s="270"/>
      <c r="J427" s="262"/>
      <c r="K427" s="270"/>
      <c r="L427" s="262"/>
      <c r="M427" s="109"/>
      <c r="N427" s="304"/>
      <c r="O427" s="304"/>
      <c r="P427" s="304"/>
      <c r="Q427" s="304"/>
      <c r="R427" s="9"/>
      <c r="S427" s="9"/>
      <c r="T427" s="9"/>
      <c r="U427" s="44"/>
      <c r="V427" s="44"/>
      <c r="W427" s="44"/>
      <c r="X427" s="44"/>
      <c r="Y427" s="44"/>
      <c r="Z427" s="44"/>
      <c r="AA427" s="44"/>
      <c r="AB427" s="44"/>
    </row>
    <row r="428" spans="1:28">
      <c r="A428" s="9"/>
      <c r="B428" s="9"/>
      <c r="C428" s="9"/>
      <c r="D428" s="9"/>
      <c r="E428" s="36"/>
      <c r="F428" s="36"/>
      <c r="G428" s="36"/>
      <c r="H428" s="263"/>
      <c r="I428" s="270"/>
      <c r="J428" s="262"/>
      <c r="K428" s="270"/>
      <c r="L428" s="262"/>
      <c r="M428" s="109"/>
      <c r="N428" s="304"/>
      <c r="O428" s="304"/>
      <c r="P428" s="304"/>
      <c r="Q428" s="304"/>
      <c r="R428" s="9"/>
      <c r="S428" s="9"/>
      <c r="T428" s="9"/>
      <c r="U428" s="44"/>
      <c r="V428" s="44"/>
      <c r="W428" s="44"/>
      <c r="X428" s="44"/>
      <c r="Y428" s="44"/>
      <c r="Z428" s="44"/>
      <c r="AA428" s="44"/>
      <c r="AB428" s="44"/>
    </row>
    <row r="429" spans="1:28">
      <c r="A429" s="9"/>
      <c r="B429" s="9"/>
      <c r="C429" s="9"/>
      <c r="D429" s="9"/>
      <c r="E429" s="36"/>
      <c r="F429" s="36"/>
      <c r="G429" s="36"/>
      <c r="H429" s="263"/>
      <c r="I429" s="270"/>
      <c r="J429" s="262"/>
      <c r="K429" s="270"/>
      <c r="L429" s="262"/>
      <c r="M429" s="109"/>
      <c r="N429" s="304"/>
      <c r="O429" s="304"/>
      <c r="P429" s="304"/>
      <c r="Q429" s="304"/>
      <c r="R429" s="9"/>
      <c r="S429" s="9"/>
      <c r="T429" s="9"/>
      <c r="U429" s="44"/>
      <c r="V429" s="44"/>
      <c r="W429" s="44"/>
      <c r="X429" s="44"/>
      <c r="Y429" s="44"/>
      <c r="Z429" s="44"/>
      <c r="AA429" s="44"/>
      <c r="AB429" s="44"/>
    </row>
    <row r="430" spans="1:28">
      <c r="A430" s="9"/>
      <c r="B430" s="9"/>
      <c r="C430" s="9"/>
      <c r="D430" s="9"/>
      <c r="E430" s="36"/>
      <c r="F430" s="36"/>
      <c r="G430" s="36"/>
      <c r="H430" s="263"/>
      <c r="I430" s="270"/>
      <c r="J430" s="262"/>
      <c r="K430" s="270"/>
      <c r="L430" s="262"/>
      <c r="M430" s="109"/>
      <c r="N430" s="304"/>
      <c r="O430" s="304"/>
      <c r="P430" s="304"/>
      <c r="Q430" s="304"/>
      <c r="R430" s="9"/>
      <c r="S430" s="9"/>
      <c r="T430" s="9"/>
      <c r="U430" s="44"/>
      <c r="V430" s="44"/>
      <c r="W430" s="44"/>
      <c r="X430" s="44"/>
      <c r="Y430" s="44"/>
      <c r="Z430" s="44"/>
      <c r="AA430" s="44"/>
      <c r="AB430" s="44"/>
    </row>
    <row r="431" spans="1:28">
      <c r="A431" s="9"/>
      <c r="B431" s="9"/>
      <c r="C431" s="9"/>
      <c r="D431" s="9"/>
      <c r="E431" s="36"/>
      <c r="F431" s="36"/>
      <c r="G431" s="36"/>
      <c r="H431" s="263"/>
      <c r="I431" s="270"/>
      <c r="J431" s="262"/>
      <c r="K431" s="270"/>
      <c r="L431" s="262"/>
      <c r="M431" s="109"/>
      <c r="N431" s="304"/>
      <c r="O431" s="304"/>
      <c r="P431" s="304"/>
      <c r="Q431" s="304"/>
      <c r="R431" s="9"/>
      <c r="S431" s="9"/>
      <c r="T431" s="9"/>
      <c r="U431" s="44"/>
      <c r="V431" s="44"/>
      <c r="W431" s="44"/>
      <c r="X431" s="44"/>
      <c r="Y431" s="44"/>
      <c r="Z431" s="44"/>
      <c r="AA431" s="44"/>
      <c r="AB431" s="44"/>
    </row>
    <row r="432" spans="1:28">
      <c r="A432" s="9"/>
      <c r="B432" s="9"/>
      <c r="C432" s="9"/>
      <c r="D432" s="9"/>
      <c r="E432" s="36"/>
      <c r="F432" s="36"/>
      <c r="G432" s="36"/>
      <c r="H432" s="263"/>
      <c r="I432" s="270"/>
      <c r="J432" s="262"/>
      <c r="K432" s="270"/>
      <c r="L432" s="262"/>
      <c r="M432" s="109"/>
      <c r="N432" s="304"/>
      <c r="O432" s="304"/>
      <c r="P432" s="304"/>
      <c r="Q432" s="304"/>
      <c r="R432" s="9"/>
      <c r="S432" s="9"/>
      <c r="T432" s="9"/>
      <c r="U432" s="44"/>
      <c r="V432" s="44"/>
      <c r="W432" s="44"/>
      <c r="X432" s="44"/>
      <c r="Y432" s="44"/>
      <c r="Z432" s="44"/>
      <c r="AA432" s="44"/>
      <c r="AB432" s="44"/>
    </row>
    <row r="433" spans="1:28">
      <c r="A433" s="9"/>
      <c r="B433" s="9"/>
      <c r="C433" s="9"/>
      <c r="D433" s="9"/>
      <c r="E433" s="36"/>
      <c r="F433" s="36"/>
      <c r="G433" s="36"/>
      <c r="H433" s="263"/>
      <c r="I433" s="270"/>
      <c r="J433" s="262"/>
      <c r="K433" s="270"/>
      <c r="L433" s="262"/>
      <c r="M433" s="109"/>
      <c r="N433" s="304"/>
      <c r="O433" s="304"/>
      <c r="P433" s="304"/>
      <c r="Q433" s="304"/>
      <c r="R433" s="9"/>
      <c r="S433" s="9"/>
      <c r="T433" s="9"/>
      <c r="U433" s="44"/>
      <c r="V433" s="44"/>
      <c r="W433" s="44"/>
      <c r="X433" s="44"/>
      <c r="Y433" s="44"/>
      <c r="Z433" s="44"/>
      <c r="AA433" s="44"/>
      <c r="AB433" s="44"/>
    </row>
    <row r="434" spans="1:28">
      <c r="A434" s="9"/>
      <c r="B434" s="9"/>
      <c r="C434" s="9"/>
      <c r="D434" s="9"/>
      <c r="E434" s="36"/>
      <c r="F434" s="36"/>
      <c r="G434" s="36"/>
      <c r="H434" s="263"/>
      <c r="I434" s="270"/>
      <c r="J434" s="262"/>
      <c r="K434" s="270"/>
      <c r="L434" s="262"/>
      <c r="M434" s="109"/>
      <c r="N434" s="304"/>
      <c r="O434" s="304"/>
      <c r="P434" s="304"/>
      <c r="Q434" s="304"/>
      <c r="R434" s="9"/>
      <c r="S434" s="9"/>
      <c r="T434" s="9"/>
      <c r="U434" s="44"/>
      <c r="V434" s="44"/>
      <c r="W434" s="44"/>
      <c r="X434" s="44"/>
      <c r="Y434" s="44"/>
      <c r="Z434" s="44"/>
      <c r="AA434" s="44"/>
      <c r="AB434" s="44"/>
    </row>
    <row r="435" spans="1:28">
      <c r="A435" s="9"/>
      <c r="B435" s="9"/>
      <c r="C435" s="9"/>
      <c r="D435" s="9"/>
      <c r="E435" s="36"/>
      <c r="F435" s="36"/>
      <c r="G435" s="36"/>
      <c r="H435" s="263"/>
      <c r="I435" s="270"/>
      <c r="J435" s="262"/>
      <c r="K435" s="270"/>
      <c r="L435" s="262"/>
      <c r="M435" s="109"/>
      <c r="N435" s="304"/>
      <c r="O435" s="304"/>
      <c r="P435" s="304"/>
      <c r="Q435" s="304"/>
      <c r="R435" s="9"/>
      <c r="S435" s="9"/>
      <c r="T435" s="9"/>
      <c r="U435" s="44"/>
      <c r="V435" s="44"/>
      <c r="W435" s="44"/>
      <c r="X435" s="44"/>
      <c r="Y435" s="44"/>
      <c r="Z435" s="44"/>
      <c r="AA435" s="44"/>
      <c r="AB435" s="44"/>
    </row>
    <row r="436" spans="1:28">
      <c r="A436" s="9"/>
      <c r="B436" s="9"/>
      <c r="C436" s="9"/>
      <c r="D436" s="9"/>
      <c r="E436" s="36"/>
      <c r="F436" s="36"/>
      <c r="G436" s="36"/>
      <c r="H436" s="263"/>
      <c r="I436" s="270"/>
      <c r="J436" s="262"/>
      <c r="K436" s="270"/>
      <c r="L436" s="262"/>
      <c r="M436" s="109"/>
      <c r="N436" s="304"/>
      <c r="O436" s="304"/>
      <c r="P436" s="304"/>
      <c r="Q436" s="304"/>
      <c r="R436" s="9"/>
      <c r="S436" s="9"/>
      <c r="T436" s="9"/>
      <c r="U436" s="44"/>
      <c r="V436" s="44"/>
      <c r="W436" s="44"/>
      <c r="X436" s="44"/>
      <c r="Y436" s="44"/>
      <c r="Z436" s="44"/>
      <c r="AA436" s="44"/>
      <c r="AB436" s="44"/>
    </row>
    <row r="437" spans="1:28">
      <c r="A437" s="9"/>
      <c r="B437" s="9"/>
      <c r="C437" s="9"/>
      <c r="D437" s="9"/>
      <c r="E437" s="36"/>
      <c r="F437" s="36"/>
      <c r="G437" s="36"/>
      <c r="H437" s="263"/>
      <c r="I437" s="270"/>
      <c r="J437" s="262"/>
      <c r="K437" s="270"/>
      <c r="L437" s="262"/>
      <c r="M437" s="109"/>
      <c r="N437" s="304"/>
      <c r="O437" s="304"/>
      <c r="P437" s="304"/>
      <c r="Q437" s="304"/>
      <c r="R437" s="9"/>
      <c r="S437" s="9"/>
      <c r="T437" s="9"/>
      <c r="U437" s="44"/>
      <c r="V437" s="44"/>
      <c r="W437" s="44"/>
      <c r="X437" s="44"/>
      <c r="Y437" s="44"/>
      <c r="Z437" s="44"/>
      <c r="AA437" s="44"/>
      <c r="AB437" s="44"/>
    </row>
    <row r="438" spans="1:28">
      <c r="A438" s="9"/>
      <c r="B438" s="9"/>
      <c r="C438" s="9"/>
      <c r="D438" s="9"/>
      <c r="E438" s="36"/>
      <c r="F438" s="36"/>
      <c r="G438" s="36"/>
      <c r="H438" s="263"/>
      <c r="I438" s="270"/>
      <c r="J438" s="262"/>
      <c r="K438" s="270"/>
      <c r="L438" s="262"/>
      <c r="M438" s="109"/>
      <c r="N438" s="304"/>
      <c r="O438" s="304"/>
      <c r="P438" s="304"/>
      <c r="Q438" s="304"/>
      <c r="R438" s="9"/>
      <c r="S438" s="9"/>
      <c r="T438" s="9"/>
      <c r="U438" s="44"/>
      <c r="V438" s="44"/>
      <c r="W438" s="44"/>
      <c r="X438" s="44"/>
      <c r="Y438" s="44"/>
      <c r="Z438" s="44"/>
      <c r="AA438" s="44"/>
      <c r="AB438" s="44"/>
    </row>
    <row r="439" spans="1:28">
      <c r="A439" s="9"/>
      <c r="B439" s="9"/>
      <c r="C439" s="9"/>
      <c r="D439" s="9"/>
      <c r="E439" s="36"/>
      <c r="F439" s="36"/>
      <c r="G439" s="36"/>
      <c r="H439" s="263"/>
      <c r="I439" s="270"/>
      <c r="J439" s="262"/>
      <c r="K439" s="270"/>
      <c r="L439" s="262"/>
      <c r="M439" s="109"/>
      <c r="N439" s="304"/>
      <c r="O439" s="304"/>
      <c r="P439" s="304"/>
      <c r="Q439" s="304"/>
      <c r="R439" s="9"/>
      <c r="S439" s="9"/>
      <c r="T439" s="9"/>
      <c r="U439" s="44"/>
      <c r="V439" s="44"/>
      <c r="W439" s="44"/>
      <c r="X439" s="44"/>
      <c r="Y439" s="44"/>
      <c r="Z439" s="44"/>
      <c r="AA439" s="44"/>
      <c r="AB439" s="44"/>
    </row>
    <row r="440" spans="1:28">
      <c r="A440" s="9"/>
      <c r="B440" s="9"/>
      <c r="C440" s="9"/>
      <c r="D440" s="9"/>
      <c r="E440" s="36"/>
      <c r="F440" s="36"/>
      <c r="G440" s="36"/>
      <c r="H440" s="263"/>
      <c r="I440" s="270"/>
      <c r="J440" s="262"/>
      <c r="K440" s="270"/>
      <c r="L440" s="262"/>
      <c r="M440" s="109"/>
      <c r="N440" s="304"/>
      <c r="O440" s="304"/>
      <c r="P440" s="304"/>
      <c r="Q440" s="304"/>
      <c r="R440" s="9"/>
      <c r="S440" s="9"/>
      <c r="T440" s="9"/>
      <c r="U440" s="44"/>
      <c r="V440" s="44"/>
      <c r="W440" s="44"/>
      <c r="X440" s="44"/>
      <c r="Y440" s="44"/>
      <c r="Z440" s="44"/>
      <c r="AA440" s="44"/>
      <c r="AB440" s="44"/>
    </row>
    <row r="441" spans="1:28">
      <c r="A441" s="9"/>
      <c r="B441" s="9"/>
      <c r="C441" s="9"/>
      <c r="D441" s="9"/>
      <c r="E441" s="36"/>
      <c r="F441" s="36"/>
      <c r="G441" s="36"/>
      <c r="H441" s="263"/>
      <c r="I441" s="270"/>
      <c r="J441" s="262"/>
      <c r="K441" s="270"/>
      <c r="L441" s="262"/>
      <c r="M441" s="109"/>
      <c r="N441" s="304"/>
      <c r="O441" s="304"/>
      <c r="P441" s="304"/>
      <c r="Q441" s="304"/>
      <c r="R441" s="9"/>
      <c r="S441" s="9"/>
      <c r="T441" s="9"/>
      <c r="U441" s="44"/>
      <c r="V441" s="44"/>
      <c r="W441" s="44"/>
      <c r="X441" s="44"/>
      <c r="Y441" s="44"/>
      <c r="Z441" s="44"/>
      <c r="AA441" s="44"/>
      <c r="AB441" s="44"/>
    </row>
    <row r="442" spans="1:28">
      <c r="A442" s="9"/>
      <c r="B442" s="9"/>
      <c r="C442" s="9"/>
      <c r="D442" s="9"/>
      <c r="E442" s="36"/>
      <c r="F442" s="36"/>
      <c r="G442" s="36"/>
      <c r="H442" s="263"/>
      <c r="I442" s="270"/>
      <c r="J442" s="262"/>
      <c r="K442" s="270"/>
      <c r="L442" s="262"/>
      <c r="M442" s="109"/>
      <c r="N442" s="304"/>
      <c r="O442" s="304"/>
      <c r="P442" s="304"/>
      <c r="Q442" s="304"/>
      <c r="R442" s="9"/>
      <c r="S442" s="9"/>
      <c r="T442" s="9"/>
      <c r="U442" s="44"/>
      <c r="V442" s="44"/>
      <c r="W442" s="44"/>
      <c r="X442" s="44"/>
      <c r="Y442" s="44"/>
      <c r="Z442" s="44"/>
      <c r="AA442" s="44"/>
      <c r="AB442" s="44"/>
    </row>
    <row r="443" spans="1:28">
      <c r="A443" s="9"/>
      <c r="B443" s="9"/>
      <c r="C443" s="9"/>
      <c r="D443" s="9"/>
      <c r="E443" s="36"/>
      <c r="F443" s="36"/>
      <c r="G443" s="36"/>
      <c r="H443" s="263"/>
      <c r="I443" s="270"/>
      <c r="J443" s="262"/>
      <c r="K443" s="270"/>
      <c r="L443" s="262"/>
      <c r="M443" s="109"/>
      <c r="N443" s="304"/>
      <c r="O443" s="304"/>
      <c r="P443" s="304"/>
      <c r="Q443" s="304"/>
      <c r="R443" s="9"/>
      <c r="S443" s="9"/>
      <c r="T443" s="9"/>
      <c r="U443" s="44"/>
      <c r="V443" s="44"/>
      <c r="W443" s="44"/>
      <c r="X443" s="44"/>
      <c r="Y443" s="44"/>
      <c r="Z443" s="44"/>
      <c r="AA443" s="44"/>
      <c r="AB443" s="44"/>
    </row>
    <row r="444" spans="1:28">
      <c r="A444" s="9"/>
      <c r="B444" s="9"/>
      <c r="C444" s="9"/>
      <c r="D444" s="9"/>
      <c r="E444" s="36"/>
      <c r="F444" s="36"/>
      <c r="G444" s="36"/>
      <c r="H444" s="263"/>
      <c r="I444" s="270"/>
      <c r="J444" s="262"/>
      <c r="K444" s="270"/>
      <c r="L444" s="262"/>
      <c r="M444" s="109"/>
      <c r="N444" s="304"/>
      <c r="O444" s="304"/>
      <c r="P444" s="304"/>
      <c r="Q444" s="304"/>
      <c r="R444" s="9"/>
      <c r="S444" s="9"/>
      <c r="T444" s="9"/>
      <c r="U444" s="44"/>
      <c r="V444" s="44"/>
      <c r="W444" s="44"/>
      <c r="X444" s="44"/>
      <c r="Y444" s="44"/>
      <c r="Z444" s="44"/>
      <c r="AA444" s="44"/>
      <c r="AB444" s="44"/>
    </row>
    <row r="445" spans="1:28">
      <c r="A445" s="9"/>
      <c r="B445" s="9"/>
      <c r="C445" s="9"/>
      <c r="D445" s="9"/>
      <c r="E445" s="36"/>
      <c r="F445" s="36"/>
      <c r="G445" s="36"/>
      <c r="H445" s="263"/>
      <c r="I445" s="270"/>
      <c r="J445" s="262"/>
      <c r="K445" s="270"/>
      <c r="L445" s="262"/>
      <c r="M445" s="109"/>
      <c r="N445" s="304"/>
      <c r="O445" s="304"/>
      <c r="P445" s="304"/>
      <c r="Q445" s="304"/>
      <c r="R445" s="9"/>
      <c r="S445" s="9"/>
      <c r="T445" s="9"/>
      <c r="U445" s="44"/>
      <c r="V445" s="44"/>
      <c r="W445" s="44"/>
      <c r="X445" s="44"/>
      <c r="Y445" s="44"/>
      <c r="Z445" s="44"/>
      <c r="AA445" s="44"/>
      <c r="AB445" s="44"/>
    </row>
    <row r="446" spans="1:28">
      <c r="A446" s="9"/>
      <c r="B446" s="9"/>
      <c r="C446" s="9"/>
      <c r="D446" s="9"/>
      <c r="E446" s="36"/>
      <c r="F446" s="36"/>
      <c r="G446" s="36"/>
      <c r="H446" s="263"/>
      <c r="I446" s="270"/>
      <c r="J446" s="262"/>
      <c r="K446" s="270"/>
      <c r="L446" s="262"/>
      <c r="M446" s="109"/>
      <c r="N446" s="304"/>
      <c r="O446" s="304"/>
      <c r="P446" s="304"/>
      <c r="Q446" s="304"/>
      <c r="R446" s="9"/>
      <c r="S446" s="9"/>
      <c r="T446" s="9"/>
      <c r="U446" s="44"/>
      <c r="V446" s="44"/>
      <c r="W446" s="44"/>
      <c r="X446" s="44"/>
      <c r="Y446" s="44"/>
      <c r="Z446" s="44"/>
      <c r="AA446" s="44"/>
      <c r="AB446" s="44"/>
    </row>
    <row r="447" spans="1:28">
      <c r="A447" s="9"/>
      <c r="B447" s="9"/>
      <c r="C447" s="9"/>
      <c r="D447" s="9"/>
      <c r="E447" s="36"/>
      <c r="F447" s="36"/>
      <c r="G447" s="36"/>
      <c r="H447" s="263"/>
      <c r="I447" s="270"/>
      <c r="J447" s="262"/>
      <c r="K447" s="270"/>
      <c r="L447" s="262"/>
      <c r="M447" s="109"/>
      <c r="N447" s="304"/>
      <c r="O447" s="304"/>
      <c r="P447" s="304"/>
      <c r="Q447" s="304"/>
      <c r="R447" s="9"/>
      <c r="S447" s="9"/>
      <c r="T447" s="9"/>
      <c r="U447" s="44"/>
      <c r="V447" s="44"/>
      <c r="W447" s="44"/>
      <c r="X447" s="44"/>
      <c r="Y447" s="44"/>
      <c r="Z447" s="44"/>
      <c r="AA447" s="44"/>
      <c r="AB447" s="44"/>
    </row>
    <row r="448" spans="1:28">
      <c r="A448" s="9"/>
      <c r="B448" s="9"/>
      <c r="C448" s="9"/>
      <c r="D448" s="9"/>
      <c r="E448" s="36"/>
      <c r="F448" s="36"/>
      <c r="G448" s="36"/>
      <c r="H448" s="263"/>
      <c r="I448" s="270"/>
      <c r="J448" s="262"/>
      <c r="K448" s="270"/>
      <c r="L448" s="262"/>
      <c r="M448" s="109"/>
      <c r="N448" s="304"/>
      <c r="O448" s="304"/>
      <c r="P448" s="304"/>
      <c r="Q448" s="304"/>
      <c r="R448" s="9"/>
      <c r="S448" s="9"/>
      <c r="T448" s="9"/>
      <c r="U448" s="44"/>
      <c r="V448" s="44"/>
      <c r="W448" s="44"/>
      <c r="X448" s="44"/>
      <c r="Y448" s="44"/>
      <c r="Z448" s="44"/>
      <c r="AA448" s="44"/>
      <c r="AB448" s="44"/>
    </row>
    <row r="449" spans="1:28">
      <c r="A449" s="9"/>
      <c r="B449" s="9"/>
      <c r="C449" s="9"/>
      <c r="D449" s="9"/>
      <c r="E449" s="36"/>
      <c r="F449" s="36"/>
      <c r="G449" s="36"/>
      <c r="H449" s="263"/>
      <c r="I449" s="270"/>
      <c r="J449" s="262"/>
      <c r="K449" s="270"/>
      <c r="L449" s="262"/>
      <c r="M449" s="109"/>
      <c r="N449" s="304"/>
      <c r="O449" s="304"/>
      <c r="P449" s="304"/>
      <c r="Q449" s="304"/>
      <c r="R449" s="9"/>
      <c r="S449" s="9"/>
      <c r="T449" s="9"/>
      <c r="U449" s="44"/>
      <c r="V449" s="44"/>
      <c r="W449" s="44"/>
      <c r="X449" s="44"/>
      <c r="Y449" s="44"/>
      <c r="Z449" s="44"/>
      <c r="AA449" s="44"/>
      <c r="AB449" s="44"/>
    </row>
    <row r="450" spans="1:28">
      <c r="A450" s="9"/>
      <c r="B450" s="9"/>
      <c r="C450" s="9"/>
      <c r="D450" s="9"/>
      <c r="E450" s="36"/>
      <c r="F450" s="36"/>
      <c r="G450" s="36"/>
      <c r="H450" s="263"/>
      <c r="I450" s="270"/>
      <c r="J450" s="262"/>
      <c r="K450" s="270"/>
      <c r="L450" s="262"/>
      <c r="M450" s="109"/>
      <c r="N450" s="304"/>
      <c r="O450" s="304"/>
      <c r="P450" s="304"/>
      <c r="Q450" s="304"/>
      <c r="R450" s="9"/>
      <c r="S450" s="9"/>
      <c r="T450" s="9"/>
      <c r="U450" s="44"/>
      <c r="V450" s="44"/>
      <c r="W450" s="44"/>
      <c r="X450" s="44"/>
      <c r="Y450" s="44"/>
      <c r="Z450" s="44"/>
      <c r="AA450" s="44"/>
      <c r="AB450" s="44"/>
    </row>
    <row r="451" spans="1:28">
      <c r="A451" s="9"/>
      <c r="B451" s="9"/>
      <c r="C451" s="9"/>
      <c r="D451" s="9"/>
      <c r="E451" s="36"/>
      <c r="F451" s="36"/>
      <c r="G451" s="36"/>
      <c r="H451" s="263"/>
      <c r="I451" s="270"/>
      <c r="J451" s="262"/>
      <c r="K451" s="270"/>
      <c r="L451" s="262"/>
      <c r="M451" s="109"/>
      <c r="N451" s="304"/>
      <c r="O451" s="304"/>
      <c r="P451" s="304"/>
      <c r="Q451" s="304"/>
      <c r="R451" s="9"/>
      <c r="S451" s="9"/>
      <c r="T451" s="9"/>
      <c r="U451" s="44"/>
      <c r="V451" s="44"/>
      <c r="W451" s="44"/>
      <c r="X451" s="44"/>
      <c r="Y451" s="44"/>
      <c r="Z451" s="44"/>
      <c r="AA451" s="44"/>
      <c r="AB451" s="44"/>
    </row>
    <row r="452" spans="1:28">
      <c r="A452" s="9"/>
      <c r="B452" s="9"/>
      <c r="C452" s="9"/>
      <c r="D452" s="9"/>
      <c r="E452" s="36"/>
      <c r="F452" s="36"/>
      <c r="G452" s="36"/>
      <c r="H452" s="263"/>
      <c r="I452" s="270"/>
      <c r="J452" s="262"/>
      <c r="K452" s="270"/>
      <c r="L452" s="262"/>
      <c r="M452" s="109"/>
      <c r="N452" s="304"/>
      <c r="O452" s="304"/>
      <c r="P452" s="304"/>
      <c r="Q452" s="304"/>
      <c r="R452" s="9"/>
      <c r="S452" s="9"/>
      <c r="T452" s="9"/>
      <c r="U452" s="44"/>
      <c r="V452" s="44"/>
      <c r="W452" s="44"/>
      <c r="X452" s="44"/>
      <c r="Y452" s="44"/>
      <c r="Z452" s="44"/>
      <c r="AA452" s="44"/>
      <c r="AB452" s="44"/>
    </row>
    <row r="453" spans="1:28">
      <c r="A453" s="9"/>
      <c r="B453" s="9"/>
      <c r="C453" s="9"/>
      <c r="D453" s="9"/>
      <c r="E453" s="36"/>
      <c r="F453" s="36"/>
      <c r="G453" s="36"/>
      <c r="H453" s="263"/>
      <c r="I453" s="270"/>
      <c r="J453" s="262"/>
      <c r="K453" s="270"/>
      <c r="L453" s="262"/>
      <c r="M453" s="109"/>
      <c r="N453" s="304"/>
      <c r="O453" s="304"/>
      <c r="P453" s="304"/>
      <c r="Q453" s="304"/>
      <c r="R453" s="9"/>
      <c r="S453" s="9"/>
      <c r="T453" s="9"/>
      <c r="U453" s="44"/>
      <c r="V453" s="44"/>
      <c r="W453" s="44"/>
      <c r="X453" s="44"/>
      <c r="Y453" s="44"/>
      <c r="Z453" s="44"/>
      <c r="AA453" s="44"/>
      <c r="AB453" s="44"/>
    </row>
    <row r="454" spans="1:28">
      <c r="A454" s="9"/>
      <c r="B454" s="9"/>
      <c r="C454" s="9"/>
      <c r="D454" s="9"/>
      <c r="E454" s="36"/>
      <c r="F454" s="36"/>
      <c r="G454" s="36"/>
      <c r="H454" s="263"/>
      <c r="I454" s="270"/>
      <c r="J454" s="262"/>
      <c r="K454" s="270"/>
      <c r="L454" s="262"/>
      <c r="M454" s="109"/>
      <c r="N454" s="304"/>
      <c r="O454" s="304"/>
      <c r="P454" s="304"/>
      <c r="Q454" s="304"/>
      <c r="R454" s="9"/>
      <c r="S454" s="9"/>
      <c r="T454" s="9"/>
      <c r="U454" s="44"/>
      <c r="V454" s="44"/>
      <c r="W454" s="44"/>
      <c r="X454" s="44"/>
      <c r="Y454" s="44"/>
      <c r="Z454" s="44"/>
      <c r="AA454" s="44"/>
      <c r="AB454" s="44"/>
    </row>
    <row r="455" spans="1:28">
      <c r="A455" s="9"/>
      <c r="B455" s="9"/>
      <c r="C455" s="9"/>
      <c r="D455" s="9"/>
      <c r="E455" s="36"/>
      <c r="F455" s="36"/>
      <c r="G455" s="36"/>
      <c r="H455" s="263"/>
      <c r="I455" s="270"/>
      <c r="J455" s="262"/>
      <c r="K455" s="270"/>
      <c r="L455" s="262"/>
      <c r="M455" s="109"/>
      <c r="N455" s="304"/>
      <c r="O455" s="304"/>
      <c r="P455" s="304"/>
      <c r="Q455" s="304"/>
      <c r="R455" s="9"/>
      <c r="S455" s="9"/>
      <c r="T455" s="9"/>
      <c r="U455" s="44"/>
      <c r="V455" s="44"/>
      <c r="W455" s="44"/>
      <c r="X455" s="44"/>
      <c r="Y455" s="44"/>
      <c r="Z455" s="44"/>
      <c r="AA455" s="44"/>
      <c r="AB455" s="44"/>
    </row>
    <row r="456" spans="1:28">
      <c r="A456" s="9"/>
      <c r="B456" s="9"/>
      <c r="C456" s="9"/>
      <c r="D456" s="9"/>
      <c r="E456" s="36"/>
      <c r="F456" s="36"/>
      <c r="G456" s="36"/>
      <c r="H456" s="263"/>
      <c r="I456" s="270"/>
      <c r="J456" s="262"/>
      <c r="K456" s="270"/>
      <c r="L456" s="262"/>
      <c r="M456" s="109"/>
      <c r="N456" s="304"/>
      <c r="O456" s="304"/>
      <c r="P456" s="304"/>
      <c r="Q456" s="304"/>
      <c r="R456" s="9"/>
      <c r="S456" s="9"/>
      <c r="T456" s="9"/>
      <c r="U456" s="44"/>
      <c r="V456" s="44"/>
      <c r="W456" s="44"/>
      <c r="X456" s="44"/>
      <c r="Y456" s="44"/>
      <c r="Z456" s="44"/>
      <c r="AA456" s="44"/>
      <c r="AB456" s="44"/>
    </row>
    <row r="457" spans="1:28">
      <c r="A457" s="9"/>
      <c r="B457" s="9"/>
      <c r="C457" s="9"/>
      <c r="D457" s="9"/>
      <c r="E457" s="36"/>
      <c r="F457" s="36"/>
      <c r="G457" s="36"/>
      <c r="H457" s="263"/>
      <c r="I457" s="270"/>
      <c r="J457" s="262"/>
      <c r="K457" s="270"/>
      <c r="L457" s="262"/>
      <c r="M457" s="109"/>
      <c r="N457" s="304"/>
      <c r="O457" s="304"/>
      <c r="P457" s="304"/>
      <c r="Q457" s="304"/>
      <c r="R457" s="9"/>
      <c r="S457" s="9"/>
      <c r="T457" s="9"/>
      <c r="U457" s="44"/>
      <c r="V457" s="44"/>
      <c r="W457" s="44"/>
      <c r="X457" s="44"/>
      <c r="Y457" s="44"/>
      <c r="Z457" s="44"/>
      <c r="AA457" s="44"/>
      <c r="AB457" s="44"/>
    </row>
    <row r="458" spans="1:28">
      <c r="A458" s="9"/>
      <c r="B458" s="9"/>
      <c r="C458" s="9"/>
      <c r="D458" s="9"/>
      <c r="E458" s="36"/>
      <c r="F458" s="36"/>
      <c r="G458" s="36"/>
      <c r="H458" s="263"/>
      <c r="I458" s="270"/>
      <c r="J458" s="262"/>
      <c r="K458" s="270"/>
      <c r="L458" s="262"/>
      <c r="M458" s="109"/>
      <c r="N458" s="304"/>
      <c r="O458" s="304"/>
      <c r="P458" s="304"/>
      <c r="Q458" s="304"/>
      <c r="R458" s="9"/>
      <c r="S458" s="9"/>
      <c r="T458" s="9"/>
      <c r="U458" s="44"/>
      <c r="V458" s="44"/>
      <c r="W458" s="44"/>
      <c r="X458" s="44"/>
      <c r="Y458" s="44"/>
      <c r="Z458" s="44"/>
      <c r="AA458" s="44"/>
      <c r="AB458" s="44"/>
    </row>
    <row r="459" spans="1:28">
      <c r="A459" s="9"/>
      <c r="B459" s="9"/>
      <c r="C459" s="9"/>
      <c r="D459" s="9"/>
      <c r="E459" s="36"/>
      <c r="F459" s="36"/>
      <c r="G459" s="36"/>
      <c r="H459" s="263"/>
      <c r="I459" s="270"/>
      <c r="J459" s="262"/>
      <c r="K459" s="270"/>
      <c r="L459" s="262"/>
      <c r="M459" s="109"/>
      <c r="N459" s="304"/>
      <c r="O459" s="304"/>
      <c r="P459" s="304"/>
      <c r="Q459" s="304"/>
      <c r="R459" s="9"/>
      <c r="S459" s="9"/>
      <c r="T459" s="9"/>
      <c r="U459" s="44"/>
      <c r="V459" s="44"/>
      <c r="W459" s="44"/>
      <c r="X459" s="44"/>
      <c r="Y459" s="44"/>
      <c r="Z459" s="44"/>
      <c r="AA459" s="44"/>
      <c r="AB459" s="44"/>
    </row>
    <row r="460" spans="1:28">
      <c r="A460" s="9"/>
      <c r="B460" s="9"/>
      <c r="C460" s="9"/>
      <c r="D460" s="9"/>
      <c r="E460" s="36"/>
      <c r="F460" s="36"/>
      <c r="G460" s="36"/>
      <c r="H460" s="263"/>
      <c r="I460" s="270"/>
      <c r="J460" s="262"/>
      <c r="K460" s="270"/>
      <c r="L460" s="262"/>
      <c r="M460" s="109"/>
      <c r="N460" s="304"/>
      <c r="O460" s="304"/>
      <c r="P460" s="304"/>
      <c r="Q460" s="304"/>
      <c r="R460" s="9"/>
      <c r="S460" s="9"/>
      <c r="T460" s="9"/>
      <c r="U460" s="44"/>
      <c r="V460" s="44"/>
      <c r="W460" s="44"/>
      <c r="X460" s="44"/>
      <c r="Y460" s="44"/>
      <c r="Z460" s="44"/>
      <c r="AA460" s="44"/>
      <c r="AB460" s="44"/>
    </row>
    <row r="461" spans="1:28">
      <c r="A461" s="9"/>
      <c r="B461" s="9"/>
      <c r="C461" s="9"/>
      <c r="D461" s="9"/>
      <c r="E461" s="36"/>
      <c r="F461" s="36"/>
      <c r="G461" s="36"/>
      <c r="H461" s="263"/>
      <c r="I461" s="270"/>
      <c r="J461" s="262"/>
      <c r="K461" s="270"/>
      <c r="L461" s="262"/>
      <c r="M461" s="109"/>
      <c r="N461" s="304"/>
      <c r="O461" s="304"/>
      <c r="P461" s="304"/>
      <c r="Q461" s="304"/>
      <c r="R461" s="9"/>
      <c r="S461" s="9"/>
      <c r="T461" s="9"/>
      <c r="U461" s="44"/>
      <c r="V461" s="44"/>
      <c r="W461" s="44"/>
      <c r="X461" s="44"/>
      <c r="Y461" s="44"/>
      <c r="Z461" s="44"/>
      <c r="AA461" s="44"/>
      <c r="AB461" s="44"/>
    </row>
    <row r="462" spans="1:28">
      <c r="A462" s="9"/>
      <c r="B462" s="9"/>
      <c r="C462" s="9"/>
      <c r="D462" s="9"/>
      <c r="E462" s="36"/>
      <c r="F462" s="36"/>
      <c r="G462" s="36"/>
      <c r="H462" s="263"/>
      <c r="I462" s="270"/>
      <c r="J462" s="262"/>
      <c r="K462" s="270"/>
      <c r="L462" s="262"/>
      <c r="M462" s="109"/>
      <c r="N462" s="304"/>
      <c r="O462" s="304"/>
      <c r="P462" s="304"/>
      <c r="Q462" s="304"/>
      <c r="R462" s="9"/>
      <c r="S462" s="9"/>
      <c r="T462" s="9"/>
      <c r="U462" s="44"/>
      <c r="V462" s="44"/>
      <c r="W462" s="44"/>
      <c r="X462" s="44"/>
      <c r="Y462" s="44"/>
      <c r="Z462" s="44"/>
      <c r="AA462" s="44"/>
      <c r="AB462" s="44"/>
    </row>
    <row r="463" spans="1:28">
      <c r="A463" s="9"/>
      <c r="B463" s="9"/>
      <c r="C463" s="9"/>
      <c r="D463" s="9"/>
      <c r="E463" s="36"/>
      <c r="F463" s="36"/>
      <c r="G463" s="36"/>
      <c r="H463" s="263"/>
      <c r="I463" s="270"/>
      <c r="J463" s="262"/>
      <c r="K463" s="270"/>
      <c r="L463" s="262"/>
      <c r="M463" s="109"/>
      <c r="N463" s="304"/>
      <c r="O463" s="304"/>
      <c r="P463" s="304"/>
      <c r="Q463" s="304"/>
      <c r="R463" s="9"/>
      <c r="S463" s="9"/>
      <c r="T463" s="9"/>
      <c r="U463" s="44"/>
      <c r="V463" s="44"/>
      <c r="W463" s="44"/>
      <c r="X463" s="44"/>
      <c r="Y463" s="44"/>
      <c r="Z463" s="44"/>
      <c r="AA463" s="44"/>
      <c r="AB463" s="44"/>
    </row>
    <row r="464" spans="1:28">
      <c r="A464" s="9"/>
      <c r="B464" s="9"/>
      <c r="C464" s="9"/>
      <c r="D464" s="9"/>
      <c r="E464" s="36"/>
      <c r="F464" s="36"/>
      <c r="G464" s="36"/>
      <c r="H464" s="263"/>
      <c r="I464" s="270"/>
      <c r="J464" s="262"/>
      <c r="K464" s="270"/>
      <c r="L464" s="262"/>
      <c r="M464" s="109"/>
      <c r="N464" s="304"/>
      <c r="O464" s="304"/>
      <c r="P464" s="304"/>
      <c r="Q464" s="304"/>
      <c r="R464" s="9"/>
      <c r="S464" s="9"/>
      <c r="T464" s="9"/>
      <c r="U464" s="44"/>
      <c r="V464" s="44"/>
      <c r="W464" s="44"/>
      <c r="X464" s="44"/>
      <c r="Y464" s="44"/>
      <c r="Z464" s="44"/>
      <c r="AA464" s="44"/>
      <c r="AB464" s="44"/>
    </row>
    <row r="465" spans="1:28">
      <c r="A465" s="9"/>
      <c r="B465" s="9"/>
      <c r="C465" s="9"/>
      <c r="D465" s="9"/>
      <c r="E465" s="36"/>
      <c r="F465" s="36"/>
      <c r="G465" s="36"/>
      <c r="H465" s="263"/>
      <c r="I465" s="270"/>
      <c r="J465" s="262"/>
      <c r="K465" s="270"/>
      <c r="L465" s="262"/>
      <c r="M465" s="109"/>
      <c r="N465" s="304"/>
      <c r="O465" s="304"/>
      <c r="P465" s="304"/>
      <c r="Q465" s="304"/>
      <c r="R465" s="9"/>
      <c r="S465" s="9"/>
      <c r="T465" s="9"/>
      <c r="U465" s="44"/>
      <c r="V465" s="44"/>
      <c r="W465" s="44"/>
      <c r="X465" s="44"/>
      <c r="Y465" s="44"/>
      <c r="Z465" s="44"/>
      <c r="AA465" s="44"/>
      <c r="AB465" s="44"/>
    </row>
    <row r="466" spans="1:28">
      <c r="A466" s="9"/>
      <c r="B466" s="9"/>
      <c r="C466" s="9"/>
      <c r="D466" s="9"/>
      <c r="E466" s="36"/>
      <c r="F466" s="36"/>
      <c r="G466" s="36"/>
      <c r="H466" s="263"/>
      <c r="I466" s="270"/>
      <c r="J466" s="262"/>
      <c r="K466" s="270"/>
      <c r="L466" s="262"/>
      <c r="M466" s="109"/>
      <c r="N466" s="304"/>
      <c r="O466" s="304"/>
      <c r="P466" s="304"/>
      <c r="Q466" s="304"/>
      <c r="R466" s="9"/>
      <c r="S466" s="9"/>
      <c r="T466" s="9"/>
      <c r="U466" s="44"/>
      <c r="V466" s="44"/>
      <c r="W466" s="44"/>
      <c r="X466" s="44"/>
      <c r="Y466" s="44"/>
      <c r="Z466" s="44"/>
      <c r="AA466" s="44"/>
      <c r="AB466" s="44"/>
    </row>
    <row r="467" spans="1:28">
      <c r="A467" s="9"/>
      <c r="B467" s="9"/>
      <c r="C467" s="9"/>
      <c r="D467" s="9"/>
      <c r="E467" s="36"/>
      <c r="F467" s="36"/>
      <c r="G467" s="36"/>
      <c r="H467" s="263"/>
      <c r="I467" s="270"/>
      <c r="J467" s="262"/>
      <c r="K467" s="270"/>
      <c r="L467" s="262"/>
      <c r="M467" s="109"/>
      <c r="N467" s="304"/>
      <c r="O467" s="304"/>
      <c r="P467" s="304"/>
      <c r="Q467" s="304"/>
      <c r="R467" s="9"/>
      <c r="S467" s="9"/>
      <c r="T467" s="9"/>
      <c r="U467" s="44"/>
      <c r="V467" s="44"/>
      <c r="W467" s="44"/>
      <c r="X467" s="44"/>
      <c r="Y467" s="44"/>
      <c r="Z467" s="44"/>
      <c r="AA467" s="44"/>
      <c r="AB467" s="44"/>
    </row>
    <row r="468" spans="1:28">
      <c r="A468" s="9"/>
      <c r="B468" s="9"/>
      <c r="C468" s="9"/>
      <c r="D468" s="9"/>
      <c r="E468" s="36"/>
      <c r="F468" s="36"/>
      <c r="G468" s="36"/>
      <c r="H468" s="263"/>
      <c r="I468" s="270"/>
      <c r="J468" s="262"/>
      <c r="K468" s="270"/>
      <c r="L468" s="262"/>
      <c r="M468" s="109"/>
      <c r="N468" s="304"/>
      <c r="O468" s="304"/>
      <c r="P468" s="304"/>
      <c r="Q468" s="304"/>
      <c r="R468" s="9"/>
      <c r="S468" s="9"/>
      <c r="T468" s="9"/>
      <c r="U468" s="44"/>
      <c r="V468" s="44"/>
      <c r="W468" s="44"/>
      <c r="X468" s="44"/>
      <c r="Y468" s="44"/>
      <c r="Z468" s="44"/>
      <c r="AA468" s="44"/>
      <c r="AB468" s="44"/>
    </row>
    <row r="469" spans="1:28">
      <c r="A469" s="9"/>
      <c r="B469" s="9"/>
      <c r="C469" s="9"/>
      <c r="D469" s="9"/>
      <c r="E469" s="36"/>
      <c r="F469" s="36"/>
      <c r="G469" s="36"/>
      <c r="H469" s="263"/>
      <c r="I469" s="270"/>
      <c r="J469" s="262"/>
      <c r="K469" s="270"/>
      <c r="L469" s="262"/>
      <c r="M469" s="109"/>
      <c r="N469" s="304"/>
      <c r="O469" s="304"/>
      <c r="P469" s="304"/>
      <c r="Q469" s="304"/>
      <c r="R469" s="9"/>
      <c r="S469" s="9"/>
      <c r="T469" s="9"/>
      <c r="U469" s="44"/>
      <c r="V469" s="44"/>
      <c r="W469" s="44"/>
      <c r="X469" s="44"/>
      <c r="Y469" s="44"/>
      <c r="Z469" s="44"/>
      <c r="AA469" s="44"/>
      <c r="AB469" s="44"/>
    </row>
    <row r="470" spans="1:28">
      <c r="A470" s="9"/>
      <c r="B470" s="9"/>
      <c r="C470" s="9"/>
      <c r="D470" s="9"/>
      <c r="E470" s="36"/>
      <c r="F470" s="36"/>
      <c r="G470" s="36"/>
      <c r="H470" s="263"/>
      <c r="I470" s="270"/>
      <c r="J470" s="262"/>
      <c r="K470" s="270"/>
      <c r="L470" s="262"/>
      <c r="M470" s="109"/>
      <c r="N470" s="304"/>
      <c r="O470" s="304"/>
      <c r="P470" s="304"/>
      <c r="Q470" s="304"/>
      <c r="R470" s="9"/>
      <c r="S470" s="9"/>
      <c r="T470" s="9"/>
      <c r="U470" s="44"/>
      <c r="V470" s="44"/>
      <c r="W470" s="44"/>
      <c r="X470" s="44"/>
      <c r="Y470" s="44"/>
      <c r="Z470" s="44"/>
      <c r="AA470" s="44"/>
      <c r="AB470" s="44"/>
    </row>
    <row r="471" spans="1:28">
      <c r="A471" s="9"/>
      <c r="B471" s="9"/>
      <c r="C471" s="9"/>
      <c r="D471" s="9"/>
      <c r="E471" s="36"/>
      <c r="F471" s="36"/>
      <c r="G471" s="36"/>
      <c r="H471" s="263"/>
      <c r="I471" s="270"/>
      <c r="J471" s="262"/>
      <c r="K471" s="270"/>
      <c r="L471" s="262"/>
      <c r="M471" s="109"/>
      <c r="N471" s="304"/>
      <c r="O471" s="304"/>
      <c r="P471" s="304"/>
      <c r="Q471" s="304"/>
      <c r="R471" s="9"/>
      <c r="S471" s="9"/>
      <c r="T471" s="9"/>
      <c r="U471" s="44"/>
      <c r="V471" s="44"/>
      <c r="W471" s="44"/>
      <c r="X471" s="44"/>
      <c r="Y471" s="44"/>
      <c r="Z471" s="44"/>
      <c r="AA471" s="44"/>
      <c r="AB471" s="44"/>
    </row>
    <row r="472" spans="1:28">
      <c r="A472" s="9"/>
      <c r="B472" s="9"/>
      <c r="C472" s="9"/>
      <c r="D472" s="9"/>
      <c r="E472" s="36"/>
      <c r="F472" s="36"/>
      <c r="G472" s="36"/>
      <c r="H472" s="263"/>
      <c r="I472" s="270"/>
      <c r="J472" s="262"/>
      <c r="K472" s="270"/>
      <c r="L472" s="262"/>
      <c r="M472" s="109"/>
      <c r="N472" s="304"/>
      <c r="O472" s="304"/>
      <c r="P472" s="304"/>
      <c r="Q472" s="304"/>
      <c r="R472" s="9"/>
      <c r="S472" s="9"/>
      <c r="T472" s="9"/>
      <c r="U472" s="44"/>
      <c r="V472" s="44"/>
      <c r="W472" s="44"/>
      <c r="X472" s="44"/>
      <c r="Y472" s="44"/>
      <c r="Z472" s="44"/>
      <c r="AA472" s="44"/>
      <c r="AB472" s="44"/>
    </row>
    <row r="473" spans="1:28">
      <c r="A473" s="9"/>
      <c r="B473" s="9"/>
      <c r="C473" s="9"/>
      <c r="D473" s="9"/>
      <c r="E473" s="36"/>
      <c r="F473" s="36"/>
      <c r="G473" s="36"/>
      <c r="H473" s="263"/>
      <c r="I473" s="270"/>
      <c r="J473" s="262"/>
      <c r="K473" s="270"/>
      <c r="L473" s="262"/>
      <c r="M473" s="109"/>
      <c r="N473" s="304"/>
      <c r="O473" s="304"/>
      <c r="P473" s="304"/>
      <c r="Q473" s="304"/>
      <c r="R473" s="9"/>
      <c r="S473" s="9"/>
      <c r="T473" s="9"/>
      <c r="U473" s="44"/>
      <c r="V473" s="44"/>
      <c r="W473" s="44"/>
      <c r="X473" s="44"/>
      <c r="Y473" s="44"/>
      <c r="Z473" s="44"/>
      <c r="AA473" s="44"/>
      <c r="AB473" s="44"/>
    </row>
    <row r="474" spans="1:28">
      <c r="A474" s="9"/>
      <c r="B474" s="9"/>
      <c r="C474" s="9"/>
      <c r="D474" s="9"/>
      <c r="E474" s="36"/>
      <c r="F474" s="36"/>
      <c r="G474" s="36"/>
      <c r="H474" s="263"/>
      <c r="I474" s="270"/>
      <c r="J474" s="262"/>
      <c r="K474" s="270"/>
      <c r="L474" s="262"/>
      <c r="M474" s="109"/>
      <c r="N474" s="304"/>
      <c r="O474" s="304"/>
      <c r="P474" s="304"/>
      <c r="Q474" s="304"/>
      <c r="R474" s="9"/>
      <c r="S474" s="9"/>
      <c r="T474" s="9"/>
      <c r="U474" s="44"/>
      <c r="V474" s="44"/>
      <c r="W474" s="44"/>
      <c r="X474" s="44"/>
      <c r="Y474" s="44"/>
      <c r="Z474" s="44"/>
      <c r="AA474" s="44"/>
      <c r="AB474" s="44"/>
    </row>
    <row r="475" spans="1:28">
      <c r="A475" s="9"/>
      <c r="B475" s="9"/>
      <c r="C475" s="9"/>
      <c r="D475" s="9"/>
      <c r="E475" s="36"/>
      <c r="F475" s="36"/>
      <c r="G475" s="36"/>
      <c r="H475" s="263"/>
      <c r="I475" s="270"/>
      <c r="J475" s="262"/>
      <c r="K475" s="270"/>
      <c r="L475" s="262"/>
      <c r="M475" s="109"/>
      <c r="N475" s="304"/>
      <c r="O475" s="304"/>
      <c r="P475" s="304"/>
      <c r="Q475" s="304"/>
      <c r="R475" s="9"/>
      <c r="S475" s="9"/>
      <c r="T475" s="9"/>
      <c r="U475" s="44"/>
      <c r="V475" s="44"/>
      <c r="W475" s="44"/>
      <c r="X475" s="44"/>
      <c r="Y475" s="44"/>
      <c r="Z475" s="44"/>
      <c r="AA475" s="44"/>
      <c r="AB475" s="44"/>
    </row>
    <row r="476" spans="1:28">
      <c r="A476" s="9"/>
      <c r="B476" s="9"/>
      <c r="C476" s="9"/>
      <c r="D476" s="9"/>
      <c r="E476" s="36"/>
      <c r="F476" s="36"/>
      <c r="G476" s="36"/>
      <c r="H476" s="263"/>
      <c r="I476" s="270"/>
      <c r="J476" s="262"/>
      <c r="K476" s="270"/>
      <c r="L476" s="262"/>
      <c r="M476" s="109"/>
      <c r="N476" s="304"/>
      <c r="O476" s="304"/>
      <c r="P476" s="304"/>
      <c r="Q476" s="304"/>
      <c r="R476" s="9"/>
      <c r="S476" s="9"/>
      <c r="T476" s="9"/>
      <c r="U476" s="44"/>
      <c r="V476" s="44"/>
      <c r="W476" s="44"/>
      <c r="X476" s="44"/>
      <c r="Y476" s="44"/>
      <c r="Z476" s="44"/>
      <c r="AA476" s="44"/>
      <c r="AB476" s="44"/>
    </row>
    <row r="477" spans="1:28">
      <c r="A477" s="9"/>
      <c r="B477" s="9"/>
      <c r="C477" s="9"/>
      <c r="D477" s="9"/>
      <c r="E477" s="36"/>
      <c r="F477" s="36"/>
      <c r="G477" s="36"/>
      <c r="H477" s="263"/>
      <c r="I477" s="270"/>
      <c r="J477" s="262"/>
      <c r="K477" s="270"/>
      <c r="L477" s="262"/>
      <c r="M477" s="109"/>
      <c r="N477" s="304"/>
      <c r="O477" s="304"/>
      <c r="P477" s="304"/>
      <c r="Q477" s="304"/>
      <c r="R477" s="9"/>
      <c r="S477" s="9"/>
      <c r="T477" s="9"/>
      <c r="U477" s="44"/>
      <c r="V477" s="44"/>
      <c r="W477" s="44"/>
      <c r="X477" s="44"/>
      <c r="Y477" s="44"/>
      <c r="Z477" s="44"/>
      <c r="AA477" s="44"/>
      <c r="AB477" s="44"/>
    </row>
    <row r="478" spans="1:28">
      <c r="A478" s="9"/>
      <c r="B478" s="9"/>
      <c r="C478" s="9"/>
      <c r="D478" s="9"/>
      <c r="E478" s="36"/>
      <c r="F478" s="36"/>
      <c r="G478" s="36"/>
      <c r="H478" s="263"/>
      <c r="I478" s="270"/>
      <c r="J478" s="262"/>
      <c r="K478" s="270"/>
      <c r="L478" s="262"/>
      <c r="M478" s="109"/>
      <c r="N478" s="304"/>
      <c r="O478" s="304"/>
      <c r="P478" s="304"/>
      <c r="Q478" s="304"/>
      <c r="R478" s="9"/>
      <c r="S478" s="9"/>
      <c r="T478" s="9"/>
      <c r="U478" s="44"/>
      <c r="V478" s="44"/>
      <c r="W478" s="44"/>
      <c r="X478" s="44"/>
      <c r="Y478" s="44"/>
      <c r="Z478" s="44"/>
      <c r="AA478" s="44"/>
      <c r="AB478" s="44"/>
    </row>
    <row r="479" spans="1:28">
      <c r="A479" s="9"/>
      <c r="B479" s="9"/>
      <c r="C479" s="9"/>
      <c r="D479" s="9"/>
      <c r="E479" s="36"/>
      <c r="F479" s="36"/>
      <c r="G479" s="36"/>
      <c r="H479" s="263"/>
      <c r="I479" s="270"/>
      <c r="J479" s="262"/>
      <c r="K479" s="270"/>
      <c r="L479" s="262"/>
      <c r="M479" s="109"/>
      <c r="N479" s="304"/>
      <c r="O479" s="304"/>
      <c r="P479" s="304"/>
      <c r="Q479" s="304"/>
      <c r="R479" s="9"/>
      <c r="S479" s="9"/>
      <c r="T479" s="9"/>
      <c r="U479" s="44"/>
      <c r="V479" s="44"/>
      <c r="W479" s="44"/>
      <c r="X479" s="44"/>
      <c r="Y479" s="44"/>
      <c r="Z479" s="44"/>
      <c r="AA479" s="44"/>
      <c r="AB479" s="44"/>
    </row>
    <row r="480" spans="1:28">
      <c r="A480" s="9"/>
      <c r="B480" s="9"/>
      <c r="C480" s="9"/>
      <c r="D480" s="9"/>
      <c r="E480" s="36"/>
      <c r="F480" s="36"/>
      <c r="G480" s="36"/>
      <c r="H480" s="263"/>
      <c r="I480" s="270"/>
      <c r="J480" s="262"/>
      <c r="K480" s="270"/>
      <c r="L480" s="262"/>
      <c r="M480" s="109"/>
      <c r="N480" s="304"/>
      <c r="O480" s="304"/>
      <c r="P480" s="304"/>
      <c r="Q480" s="304"/>
      <c r="R480" s="9"/>
      <c r="S480" s="9"/>
      <c r="T480" s="9"/>
      <c r="U480" s="44"/>
      <c r="V480" s="44"/>
      <c r="W480" s="44"/>
      <c r="X480" s="44"/>
      <c r="Y480" s="44"/>
      <c r="Z480" s="44"/>
      <c r="AA480" s="44"/>
      <c r="AB480" s="44"/>
    </row>
    <row r="481" spans="1:28">
      <c r="A481" s="9"/>
      <c r="B481" s="9"/>
      <c r="C481" s="9"/>
      <c r="D481" s="9"/>
      <c r="E481" s="36"/>
      <c r="F481" s="36"/>
      <c r="G481" s="36"/>
      <c r="H481" s="263"/>
      <c r="I481" s="270"/>
      <c r="J481" s="262"/>
      <c r="K481" s="270"/>
      <c r="L481" s="262"/>
      <c r="M481" s="109"/>
      <c r="N481" s="304"/>
      <c r="O481" s="304"/>
      <c r="P481" s="304"/>
      <c r="Q481" s="304"/>
      <c r="R481" s="9"/>
      <c r="S481" s="9"/>
      <c r="T481" s="9"/>
      <c r="U481" s="44"/>
      <c r="V481" s="44"/>
      <c r="W481" s="44"/>
      <c r="X481" s="44"/>
      <c r="Y481" s="44"/>
      <c r="Z481" s="44"/>
      <c r="AA481" s="44"/>
      <c r="AB481" s="44"/>
    </row>
    <row r="482" spans="1:28">
      <c r="A482" s="9"/>
      <c r="B482" s="9"/>
      <c r="C482" s="9"/>
      <c r="D482" s="9"/>
      <c r="E482" s="36"/>
      <c r="F482" s="36"/>
      <c r="G482" s="36"/>
      <c r="H482" s="263"/>
      <c r="I482" s="270"/>
      <c r="J482" s="262"/>
      <c r="K482" s="270"/>
      <c r="L482" s="262"/>
      <c r="M482" s="109"/>
      <c r="N482" s="304"/>
      <c r="O482" s="304"/>
      <c r="P482" s="304"/>
      <c r="Q482" s="304"/>
      <c r="R482" s="9"/>
      <c r="S482" s="9"/>
      <c r="T482" s="9"/>
      <c r="U482" s="44"/>
      <c r="V482" s="44"/>
      <c r="W482" s="44"/>
      <c r="X482" s="44"/>
      <c r="Y482" s="44"/>
      <c r="Z482" s="44"/>
      <c r="AA482" s="44"/>
      <c r="AB482" s="44"/>
    </row>
    <row r="483" spans="1:28">
      <c r="A483" s="9"/>
      <c r="B483" s="9"/>
      <c r="C483" s="9"/>
      <c r="D483" s="9"/>
      <c r="E483" s="36"/>
      <c r="F483" s="36"/>
      <c r="G483" s="36"/>
      <c r="H483" s="263"/>
      <c r="I483" s="270"/>
      <c r="J483" s="262"/>
      <c r="K483" s="270"/>
      <c r="L483" s="262"/>
      <c r="M483" s="109"/>
      <c r="N483" s="304"/>
      <c r="O483" s="304"/>
      <c r="P483" s="304"/>
      <c r="Q483" s="304"/>
      <c r="R483" s="9"/>
      <c r="S483" s="9"/>
      <c r="T483" s="9"/>
      <c r="U483" s="44"/>
      <c r="V483" s="44"/>
      <c r="W483" s="44"/>
      <c r="X483" s="44"/>
      <c r="Y483" s="44"/>
      <c r="Z483" s="44"/>
      <c r="AA483" s="44"/>
      <c r="AB483" s="44"/>
    </row>
    <row r="484" spans="1:28">
      <c r="A484" s="9"/>
      <c r="B484" s="9"/>
      <c r="C484" s="9"/>
      <c r="D484" s="9"/>
      <c r="E484" s="36"/>
      <c r="F484" s="36"/>
      <c r="G484" s="36"/>
      <c r="H484" s="263"/>
      <c r="I484" s="270"/>
      <c r="J484" s="262"/>
      <c r="K484" s="270"/>
      <c r="L484" s="262"/>
      <c r="M484" s="109"/>
      <c r="N484" s="304"/>
      <c r="O484" s="304"/>
      <c r="P484" s="304"/>
      <c r="Q484" s="304"/>
      <c r="R484" s="9"/>
      <c r="S484" s="9"/>
      <c r="T484" s="9"/>
      <c r="U484" s="44"/>
      <c r="V484" s="44"/>
      <c r="W484" s="44"/>
      <c r="X484" s="44"/>
      <c r="Y484" s="44"/>
      <c r="Z484" s="44"/>
      <c r="AA484" s="44"/>
      <c r="AB484" s="44"/>
    </row>
    <row r="485" spans="1:28">
      <c r="A485" s="9"/>
      <c r="B485" s="9"/>
      <c r="C485" s="9"/>
      <c r="D485" s="9"/>
      <c r="E485" s="36"/>
      <c r="F485" s="36"/>
      <c r="G485" s="36"/>
      <c r="H485" s="263"/>
      <c r="I485" s="270"/>
      <c r="J485" s="262"/>
      <c r="K485" s="270"/>
      <c r="L485" s="262"/>
      <c r="M485" s="109"/>
      <c r="N485" s="304"/>
      <c r="O485" s="304"/>
      <c r="P485" s="304"/>
      <c r="Q485" s="304"/>
      <c r="R485" s="9"/>
      <c r="S485" s="9"/>
      <c r="T485" s="9"/>
      <c r="U485" s="44"/>
      <c r="V485" s="44"/>
      <c r="W485" s="44"/>
      <c r="X485" s="44"/>
      <c r="Y485" s="44"/>
      <c r="Z485" s="44"/>
      <c r="AA485" s="44"/>
      <c r="AB485" s="44"/>
    </row>
    <row r="486" spans="1:28">
      <c r="A486" s="9"/>
      <c r="B486" s="9"/>
      <c r="C486" s="9"/>
      <c r="D486" s="9"/>
      <c r="E486" s="36"/>
      <c r="F486" s="36"/>
      <c r="G486" s="36"/>
      <c r="H486" s="263"/>
      <c r="I486" s="270"/>
      <c r="J486" s="262"/>
      <c r="K486" s="270"/>
      <c r="L486" s="262"/>
      <c r="M486" s="109"/>
      <c r="N486" s="304"/>
      <c r="O486" s="304"/>
      <c r="P486" s="304"/>
      <c r="Q486" s="304"/>
      <c r="R486" s="9"/>
      <c r="S486" s="9"/>
      <c r="T486" s="9"/>
      <c r="U486" s="44"/>
      <c r="V486" s="44"/>
      <c r="W486" s="44"/>
      <c r="X486" s="44"/>
      <c r="Y486" s="44"/>
      <c r="Z486" s="44"/>
      <c r="AA486" s="44"/>
      <c r="AB486" s="44"/>
    </row>
    <row r="487" spans="1:28">
      <c r="A487" s="9"/>
      <c r="B487" s="9"/>
      <c r="C487" s="9"/>
      <c r="D487" s="9"/>
      <c r="E487" s="36"/>
      <c r="F487" s="36"/>
      <c r="G487" s="36"/>
      <c r="H487" s="263"/>
      <c r="I487" s="270"/>
      <c r="J487" s="262"/>
      <c r="K487" s="270"/>
      <c r="L487" s="262"/>
      <c r="M487" s="109"/>
      <c r="N487" s="304"/>
      <c r="O487" s="304"/>
      <c r="P487" s="304"/>
      <c r="Q487" s="304"/>
      <c r="R487" s="9"/>
      <c r="S487" s="9"/>
      <c r="T487" s="9"/>
      <c r="U487" s="44"/>
      <c r="V487" s="44"/>
      <c r="W487" s="44"/>
      <c r="X487" s="44"/>
      <c r="Y487" s="44"/>
      <c r="Z487" s="44"/>
      <c r="AA487" s="44"/>
      <c r="AB487" s="44"/>
    </row>
    <row r="488" spans="1:28">
      <c r="A488" s="9"/>
      <c r="B488" s="9"/>
      <c r="C488" s="9"/>
      <c r="D488" s="9"/>
      <c r="E488" s="36"/>
      <c r="F488" s="36"/>
      <c r="G488" s="36"/>
      <c r="H488" s="263"/>
      <c r="I488" s="270"/>
      <c r="J488" s="262"/>
      <c r="K488" s="270"/>
      <c r="L488" s="262"/>
      <c r="M488" s="109"/>
      <c r="N488" s="304"/>
      <c r="O488" s="304"/>
      <c r="P488" s="304"/>
      <c r="Q488" s="304"/>
      <c r="R488" s="9"/>
      <c r="S488" s="9"/>
      <c r="T488" s="9"/>
      <c r="U488" s="44"/>
      <c r="V488" s="44"/>
      <c r="W488" s="44"/>
      <c r="X488" s="44"/>
      <c r="Y488" s="44"/>
      <c r="Z488" s="44"/>
      <c r="AA488" s="44"/>
      <c r="AB488" s="44"/>
    </row>
    <row r="489" spans="1:28">
      <c r="A489" s="9"/>
      <c r="B489" s="9"/>
      <c r="C489" s="9"/>
      <c r="D489" s="9"/>
      <c r="E489" s="36"/>
      <c r="F489" s="36"/>
      <c r="G489" s="36"/>
      <c r="H489" s="263"/>
      <c r="I489" s="270"/>
      <c r="J489" s="262"/>
      <c r="K489" s="270"/>
      <c r="L489" s="262"/>
      <c r="M489" s="109"/>
      <c r="N489" s="304"/>
      <c r="O489" s="304"/>
      <c r="P489" s="304"/>
      <c r="Q489" s="304"/>
      <c r="R489" s="9"/>
      <c r="S489" s="9"/>
      <c r="T489" s="9"/>
      <c r="U489" s="44"/>
      <c r="V489" s="44"/>
      <c r="W489" s="44"/>
      <c r="X489" s="44"/>
      <c r="Y489" s="44"/>
      <c r="Z489" s="44"/>
      <c r="AA489" s="44"/>
      <c r="AB489" s="44"/>
    </row>
    <row r="490" spans="1:28">
      <c r="A490" s="9"/>
      <c r="B490" s="9"/>
      <c r="C490" s="9"/>
      <c r="D490" s="9"/>
      <c r="E490" s="36"/>
      <c r="F490" s="36"/>
      <c r="G490" s="36"/>
      <c r="H490" s="263"/>
      <c r="I490" s="270"/>
      <c r="J490" s="262"/>
      <c r="K490" s="270"/>
      <c r="L490" s="262"/>
      <c r="M490" s="109"/>
      <c r="N490" s="304"/>
      <c r="O490" s="304"/>
      <c r="P490" s="304"/>
      <c r="Q490" s="304"/>
      <c r="R490" s="9"/>
      <c r="S490" s="9"/>
      <c r="T490" s="9"/>
      <c r="U490" s="44"/>
      <c r="V490" s="44"/>
      <c r="W490" s="44"/>
      <c r="X490" s="44"/>
      <c r="Y490" s="44"/>
      <c r="Z490" s="44"/>
      <c r="AA490" s="44"/>
      <c r="AB490" s="44"/>
    </row>
    <row r="491" spans="1:28">
      <c r="A491" s="9"/>
      <c r="B491" s="9"/>
      <c r="C491" s="9"/>
      <c r="D491" s="9"/>
      <c r="E491" s="36"/>
      <c r="F491" s="36"/>
      <c r="G491" s="36"/>
      <c r="H491" s="263"/>
      <c r="I491" s="270"/>
      <c r="J491" s="262"/>
      <c r="K491" s="270"/>
      <c r="L491" s="262"/>
      <c r="M491" s="109"/>
      <c r="N491" s="304"/>
      <c r="O491" s="304"/>
      <c r="P491" s="304"/>
      <c r="Q491" s="304"/>
      <c r="R491" s="9"/>
      <c r="S491" s="9"/>
      <c r="T491" s="9"/>
      <c r="U491" s="44"/>
      <c r="V491" s="44"/>
      <c r="W491" s="44"/>
      <c r="X491" s="44"/>
      <c r="Y491" s="44"/>
      <c r="Z491" s="44"/>
      <c r="AA491" s="44"/>
      <c r="AB491" s="44"/>
    </row>
    <row r="492" spans="1:28">
      <c r="A492" s="9"/>
      <c r="B492" s="9"/>
      <c r="C492" s="9"/>
      <c r="D492" s="9"/>
      <c r="E492" s="36"/>
      <c r="F492" s="36"/>
      <c r="G492" s="36"/>
      <c r="H492" s="263"/>
      <c r="I492" s="270"/>
      <c r="J492" s="262"/>
      <c r="K492" s="270"/>
      <c r="L492" s="262"/>
      <c r="M492" s="109"/>
      <c r="N492" s="304"/>
      <c r="O492" s="304"/>
      <c r="P492" s="304"/>
      <c r="Q492" s="304"/>
      <c r="R492" s="9"/>
      <c r="S492" s="9"/>
      <c r="T492" s="9"/>
      <c r="U492" s="44"/>
      <c r="V492" s="44"/>
      <c r="W492" s="44"/>
      <c r="X492" s="44"/>
      <c r="Y492" s="44"/>
      <c r="Z492" s="44"/>
      <c r="AA492" s="44"/>
      <c r="AB492" s="44"/>
    </row>
    <row r="493" spans="1:28">
      <c r="A493" s="9"/>
      <c r="B493" s="9"/>
      <c r="C493" s="9"/>
      <c r="D493" s="9"/>
      <c r="E493" s="36"/>
      <c r="F493" s="36"/>
      <c r="G493" s="36"/>
      <c r="H493" s="263"/>
      <c r="I493" s="270"/>
      <c r="J493" s="262"/>
      <c r="K493" s="270"/>
      <c r="L493" s="262"/>
      <c r="M493" s="109"/>
      <c r="N493" s="304"/>
      <c r="O493" s="304"/>
      <c r="P493" s="304"/>
      <c r="Q493" s="304"/>
      <c r="R493" s="9"/>
      <c r="S493" s="9"/>
      <c r="T493" s="9"/>
      <c r="U493" s="44"/>
      <c r="V493" s="44"/>
      <c r="W493" s="44"/>
      <c r="X493" s="44"/>
      <c r="Y493" s="44"/>
      <c r="Z493" s="44"/>
      <c r="AA493" s="44"/>
      <c r="AB493" s="44"/>
    </row>
    <row r="494" spans="1:28">
      <c r="A494" s="9"/>
      <c r="B494" s="9"/>
      <c r="C494" s="9"/>
      <c r="D494" s="9"/>
      <c r="E494" s="36"/>
      <c r="F494" s="36"/>
      <c r="G494" s="36"/>
      <c r="H494" s="263"/>
      <c r="I494" s="270"/>
      <c r="J494" s="262"/>
      <c r="K494" s="270"/>
      <c r="L494" s="262"/>
      <c r="M494" s="109"/>
      <c r="N494" s="304"/>
      <c r="O494" s="304"/>
      <c r="P494" s="304"/>
      <c r="Q494" s="304"/>
      <c r="R494" s="9"/>
      <c r="S494" s="9"/>
      <c r="T494" s="9"/>
      <c r="U494" s="44"/>
      <c r="V494" s="44"/>
      <c r="W494" s="44"/>
      <c r="X494" s="44"/>
      <c r="Y494" s="44"/>
      <c r="Z494" s="44"/>
      <c r="AA494" s="44"/>
      <c r="AB494" s="44"/>
    </row>
    <row r="495" spans="1:28">
      <c r="A495" s="9"/>
      <c r="B495" s="9"/>
      <c r="C495" s="9"/>
      <c r="D495" s="9"/>
      <c r="E495" s="36"/>
      <c r="F495" s="36"/>
      <c r="G495" s="36"/>
      <c r="H495" s="263"/>
      <c r="I495" s="270"/>
      <c r="J495" s="262"/>
      <c r="K495" s="270"/>
      <c r="L495" s="262"/>
      <c r="M495" s="109"/>
      <c r="N495" s="304"/>
      <c r="O495" s="304"/>
      <c r="P495" s="304"/>
      <c r="Q495" s="304"/>
      <c r="R495" s="9"/>
      <c r="S495" s="9"/>
      <c r="T495" s="9"/>
      <c r="U495" s="44"/>
      <c r="V495" s="44"/>
      <c r="W495" s="44"/>
      <c r="X495" s="44"/>
      <c r="Y495" s="44"/>
      <c r="Z495" s="44"/>
      <c r="AA495" s="44"/>
      <c r="AB495" s="44"/>
    </row>
    <row r="496" spans="1:28">
      <c r="A496" s="9"/>
      <c r="B496" s="9"/>
      <c r="C496" s="9"/>
      <c r="D496" s="9"/>
      <c r="E496" s="36"/>
      <c r="F496" s="36"/>
      <c r="G496" s="36"/>
      <c r="H496" s="263"/>
      <c r="I496" s="270"/>
      <c r="J496" s="262"/>
      <c r="K496" s="270"/>
      <c r="L496" s="262"/>
      <c r="M496" s="109"/>
      <c r="N496" s="304"/>
      <c r="O496" s="304"/>
      <c r="P496" s="304"/>
      <c r="Q496" s="304"/>
      <c r="R496" s="9"/>
      <c r="S496" s="9"/>
      <c r="T496" s="9"/>
      <c r="U496" s="44"/>
      <c r="V496" s="44"/>
      <c r="W496" s="44"/>
      <c r="X496" s="44"/>
      <c r="Y496" s="44"/>
      <c r="Z496" s="44"/>
      <c r="AA496" s="44"/>
      <c r="AB496" s="44"/>
    </row>
    <row r="497" spans="1:28">
      <c r="A497" s="9"/>
      <c r="B497" s="9"/>
      <c r="C497" s="9"/>
      <c r="D497" s="9"/>
      <c r="E497" s="36"/>
      <c r="F497" s="36"/>
      <c r="G497" s="36"/>
      <c r="H497" s="263"/>
      <c r="I497" s="270"/>
      <c r="J497" s="262"/>
      <c r="K497" s="270"/>
      <c r="L497" s="262"/>
      <c r="M497" s="109"/>
      <c r="N497" s="304"/>
      <c r="O497" s="304"/>
      <c r="P497" s="304"/>
      <c r="Q497" s="304"/>
      <c r="R497" s="9"/>
      <c r="S497" s="9"/>
      <c r="T497" s="9"/>
      <c r="U497" s="44"/>
      <c r="V497" s="44"/>
      <c r="W497" s="44"/>
      <c r="X497" s="44"/>
      <c r="Y497" s="44"/>
      <c r="Z497" s="44"/>
      <c r="AA497" s="44"/>
      <c r="AB497" s="44"/>
    </row>
    <row r="498" spans="1:28">
      <c r="A498" s="9"/>
      <c r="B498" s="9"/>
      <c r="C498" s="9"/>
      <c r="D498" s="9"/>
      <c r="E498" s="36"/>
      <c r="F498" s="36"/>
      <c r="G498" s="36"/>
      <c r="H498" s="263"/>
      <c r="I498" s="270"/>
      <c r="J498" s="262"/>
      <c r="K498" s="270"/>
      <c r="L498" s="262"/>
      <c r="M498" s="109"/>
      <c r="N498" s="304"/>
      <c r="O498" s="304"/>
      <c r="P498" s="304"/>
      <c r="Q498" s="304"/>
      <c r="R498" s="9"/>
      <c r="S498" s="9"/>
      <c r="T498" s="9"/>
      <c r="U498" s="44"/>
      <c r="V498" s="44"/>
      <c r="W498" s="44"/>
      <c r="X498" s="44"/>
      <c r="Y498" s="44"/>
      <c r="Z498" s="44"/>
      <c r="AA498" s="44"/>
      <c r="AB498" s="44"/>
    </row>
    <row r="499" spans="1:28">
      <c r="A499" s="9"/>
      <c r="B499" s="9"/>
      <c r="C499" s="9"/>
      <c r="D499" s="9"/>
      <c r="E499" s="36"/>
      <c r="F499" s="36"/>
      <c r="G499" s="36"/>
      <c r="H499" s="263"/>
      <c r="I499" s="270"/>
      <c r="J499" s="262"/>
      <c r="K499" s="270"/>
      <c r="L499" s="262"/>
      <c r="M499" s="109"/>
      <c r="N499" s="304"/>
      <c r="O499" s="304"/>
      <c r="P499" s="304"/>
      <c r="Q499" s="304"/>
      <c r="R499" s="9"/>
      <c r="S499" s="9"/>
      <c r="T499" s="9"/>
      <c r="U499" s="44"/>
      <c r="V499" s="44"/>
      <c r="W499" s="44"/>
      <c r="X499" s="44"/>
      <c r="Y499" s="44"/>
      <c r="Z499" s="44"/>
      <c r="AA499" s="44"/>
      <c r="AB499" s="44"/>
    </row>
    <row r="500" spans="1:28">
      <c r="A500" s="9"/>
      <c r="B500" s="9"/>
      <c r="C500" s="9"/>
      <c r="D500" s="9"/>
      <c r="E500" s="36"/>
      <c r="F500" s="36"/>
      <c r="G500" s="36"/>
      <c r="H500" s="263"/>
      <c r="I500" s="270"/>
      <c r="J500" s="262"/>
      <c r="K500" s="270"/>
      <c r="L500" s="262"/>
      <c r="M500" s="109"/>
      <c r="N500" s="304"/>
      <c r="O500" s="304"/>
      <c r="P500" s="304"/>
      <c r="Q500" s="304"/>
      <c r="R500" s="9"/>
      <c r="S500" s="9"/>
      <c r="T500" s="9"/>
      <c r="U500" s="44"/>
      <c r="V500" s="44"/>
      <c r="W500" s="44"/>
      <c r="X500" s="44"/>
      <c r="Y500" s="44"/>
      <c r="Z500" s="44"/>
      <c r="AA500" s="44"/>
      <c r="AB500" s="44"/>
    </row>
    <row r="501" spans="1:28">
      <c r="A501" s="9"/>
      <c r="B501" s="9"/>
      <c r="C501" s="9"/>
      <c r="D501" s="9"/>
      <c r="E501" s="36"/>
      <c r="F501" s="36"/>
      <c r="G501" s="36"/>
      <c r="H501" s="263"/>
      <c r="I501" s="270"/>
      <c r="J501" s="262"/>
      <c r="K501" s="270"/>
      <c r="L501" s="262"/>
      <c r="M501" s="109"/>
      <c r="N501" s="304"/>
      <c r="O501" s="304"/>
      <c r="P501" s="304"/>
      <c r="Q501" s="304"/>
      <c r="R501" s="9"/>
      <c r="S501" s="9"/>
      <c r="T501" s="9"/>
      <c r="U501" s="44"/>
      <c r="V501" s="44"/>
      <c r="W501" s="44"/>
      <c r="X501" s="44"/>
      <c r="Y501" s="44"/>
      <c r="Z501" s="44"/>
      <c r="AA501" s="44"/>
      <c r="AB501" s="44"/>
    </row>
    <row r="502" spans="1:28">
      <c r="A502" s="9"/>
      <c r="B502" s="9"/>
      <c r="C502" s="9"/>
      <c r="D502" s="9"/>
      <c r="E502" s="36"/>
      <c r="F502" s="36"/>
      <c r="G502" s="36"/>
      <c r="H502" s="263"/>
      <c r="I502" s="270"/>
      <c r="J502" s="262"/>
      <c r="K502" s="270"/>
      <c r="L502" s="262"/>
      <c r="M502" s="109"/>
      <c r="N502" s="304"/>
      <c r="O502" s="304"/>
      <c r="P502" s="304"/>
      <c r="Q502" s="304"/>
      <c r="R502" s="9"/>
      <c r="S502" s="9"/>
      <c r="T502" s="9"/>
      <c r="U502" s="44"/>
      <c r="V502" s="44"/>
      <c r="W502" s="44"/>
      <c r="X502" s="44"/>
      <c r="Y502" s="44"/>
      <c r="Z502" s="44"/>
      <c r="AA502" s="44"/>
      <c r="AB502" s="44"/>
    </row>
    <row r="503" spans="1:28">
      <c r="A503" s="9"/>
      <c r="B503" s="9"/>
      <c r="C503" s="9"/>
      <c r="D503" s="9"/>
      <c r="E503" s="36"/>
      <c r="F503" s="36"/>
      <c r="G503" s="36"/>
      <c r="H503" s="263"/>
      <c r="I503" s="270"/>
      <c r="J503" s="262"/>
      <c r="K503" s="270"/>
      <c r="L503" s="262"/>
      <c r="M503" s="109"/>
      <c r="N503" s="304"/>
      <c r="O503" s="304"/>
      <c r="P503" s="304"/>
      <c r="Q503" s="304"/>
      <c r="R503" s="9"/>
      <c r="S503" s="9"/>
      <c r="T503" s="9"/>
      <c r="U503" s="44"/>
      <c r="V503" s="44"/>
      <c r="W503" s="44"/>
      <c r="X503" s="44"/>
      <c r="Y503" s="44"/>
      <c r="Z503" s="44"/>
      <c r="AA503" s="44"/>
      <c r="AB503" s="44"/>
    </row>
    <row r="504" spans="1:28">
      <c r="A504" s="9"/>
      <c r="B504" s="9"/>
      <c r="C504" s="9"/>
      <c r="D504" s="9"/>
      <c r="E504" s="36"/>
      <c r="F504" s="36"/>
      <c r="G504" s="36"/>
      <c r="H504" s="263"/>
      <c r="I504" s="270"/>
      <c r="J504" s="262"/>
      <c r="K504" s="270"/>
      <c r="L504" s="262"/>
      <c r="M504" s="109"/>
      <c r="N504" s="304"/>
      <c r="O504" s="304"/>
      <c r="P504" s="304"/>
      <c r="Q504" s="304"/>
      <c r="R504" s="9"/>
      <c r="S504" s="9"/>
      <c r="T504" s="9"/>
      <c r="U504" s="44"/>
      <c r="V504" s="44"/>
      <c r="W504" s="44"/>
      <c r="X504" s="44"/>
      <c r="Y504" s="44"/>
      <c r="Z504" s="44"/>
      <c r="AA504" s="44"/>
      <c r="AB504" s="44"/>
    </row>
    <row r="505" spans="1:28">
      <c r="A505" s="9"/>
      <c r="B505" s="9"/>
      <c r="C505" s="9"/>
      <c r="D505" s="9"/>
      <c r="E505" s="36"/>
      <c r="F505" s="36"/>
      <c r="G505" s="36"/>
      <c r="H505" s="263"/>
      <c r="I505" s="270"/>
      <c r="J505" s="262"/>
      <c r="K505" s="270"/>
      <c r="L505" s="262"/>
      <c r="M505" s="109"/>
      <c r="N505" s="304"/>
      <c r="O505" s="304"/>
      <c r="P505" s="304"/>
      <c r="Q505" s="304"/>
      <c r="R505" s="9"/>
      <c r="S505" s="9"/>
      <c r="T505" s="9"/>
      <c r="U505" s="44"/>
      <c r="V505" s="44"/>
      <c r="W505" s="44"/>
      <c r="X505" s="44"/>
      <c r="Y505" s="44"/>
      <c r="Z505" s="44"/>
      <c r="AA505" s="44"/>
      <c r="AB505" s="44"/>
    </row>
    <row r="506" spans="1:28">
      <c r="A506" s="9"/>
      <c r="B506" s="9"/>
      <c r="C506" s="9"/>
      <c r="D506" s="9"/>
      <c r="E506" s="36"/>
      <c r="F506" s="36"/>
      <c r="G506" s="36"/>
      <c r="H506" s="263"/>
      <c r="I506" s="270"/>
      <c r="J506" s="262"/>
      <c r="K506" s="270"/>
      <c r="L506" s="262"/>
      <c r="M506" s="109"/>
      <c r="N506" s="304"/>
      <c r="O506" s="304"/>
      <c r="P506" s="304"/>
      <c r="Q506" s="304"/>
      <c r="R506" s="9"/>
      <c r="S506" s="9"/>
      <c r="T506" s="9"/>
      <c r="U506" s="44"/>
      <c r="V506" s="44"/>
      <c r="W506" s="44"/>
      <c r="X506" s="44"/>
      <c r="Y506" s="44"/>
      <c r="Z506" s="44"/>
      <c r="AA506" s="44"/>
      <c r="AB506" s="44"/>
    </row>
    <row r="507" spans="1:28">
      <c r="A507" s="9"/>
      <c r="B507" s="9"/>
      <c r="C507" s="9"/>
      <c r="D507" s="9"/>
      <c r="E507" s="36"/>
      <c r="F507" s="36"/>
      <c r="G507" s="36"/>
      <c r="H507" s="263"/>
      <c r="I507" s="270"/>
      <c r="J507" s="262"/>
      <c r="K507" s="270"/>
      <c r="L507" s="262"/>
      <c r="M507" s="109"/>
      <c r="N507" s="304"/>
      <c r="O507" s="304"/>
      <c r="P507" s="304"/>
      <c r="Q507" s="304"/>
      <c r="R507" s="9"/>
      <c r="S507" s="9"/>
      <c r="T507" s="9"/>
      <c r="U507" s="44"/>
      <c r="V507" s="44"/>
      <c r="W507" s="44"/>
      <c r="X507" s="44"/>
      <c r="Y507" s="44"/>
      <c r="Z507" s="44"/>
      <c r="AA507" s="44"/>
      <c r="AB507" s="44"/>
    </row>
    <row r="508" spans="1:28">
      <c r="A508" s="9"/>
      <c r="B508" s="9"/>
      <c r="C508" s="9"/>
      <c r="D508" s="9"/>
      <c r="E508" s="36"/>
      <c r="F508" s="36"/>
      <c r="G508" s="36"/>
      <c r="H508" s="263"/>
      <c r="I508" s="270"/>
      <c r="J508" s="262"/>
      <c r="K508" s="270"/>
      <c r="L508" s="262"/>
      <c r="M508" s="109"/>
      <c r="N508" s="304"/>
      <c r="O508" s="304"/>
      <c r="P508" s="304"/>
      <c r="Q508" s="304"/>
      <c r="R508" s="9"/>
      <c r="S508" s="9"/>
      <c r="T508" s="9"/>
      <c r="U508" s="44"/>
      <c r="V508" s="44"/>
      <c r="W508" s="44"/>
      <c r="X508" s="44"/>
      <c r="Y508" s="44"/>
      <c r="Z508" s="44"/>
      <c r="AA508" s="44"/>
      <c r="AB508" s="44"/>
    </row>
    <row r="509" spans="1:28">
      <c r="A509" s="9"/>
      <c r="B509" s="9"/>
      <c r="C509" s="9"/>
      <c r="D509" s="9"/>
      <c r="E509" s="36"/>
      <c r="F509" s="36"/>
      <c r="G509" s="36"/>
      <c r="H509" s="263"/>
      <c r="I509" s="270"/>
      <c r="J509" s="262"/>
      <c r="K509" s="270"/>
      <c r="L509" s="262"/>
      <c r="M509" s="109"/>
      <c r="N509" s="304"/>
      <c r="O509" s="304"/>
      <c r="P509" s="304"/>
      <c r="Q509" s="304"/>
      <c r="R509" s="9"/>
      <c r="S509" s="9"/>
      <c r="T509" s="9"/>
      <c r="U509" s="44"/>
      <c r="V509" s="44"/>
      <c r="W509" s="44"/>
      <c r="X509" s="44"/>
      <c r="Y509" s="44"/>
      <c r="Z509" s="44"/>
      <c r="AA509" s="44"/>
      <c r="AB509" s="44"/>
    </row>
    <row r="510" spans="1:28">
      <c r="A510" s="9"/>
      <c r="B510" s="9"/>
      <c r="C510" s="9"/>
      <c r="D510" s="9"/>
      <c r="E510" s="36"/>
      <c r="F510" s="36"/>
      <c r="G510" s="36"/>
      <c r="H510" s="263"/>
      <c r="I510" s="270"/>
      <c r="J510" s="262"/>
      <c r="K510" s="270"/>
      <c r="L510" s="262"/>
      <c r="M510" s="109"/>
      <c r="N510" s="304"/>
      <c r="O510" s="304"/>
      <c r="P510" s="304"/>
      <c r="Q510" s="304"/>
      <c r="R510" s="9"/>
      <c r="S510" s="9"/>
      <c r="T510" s="9"/>
      <c r="U510" s="44"/>
      <c r="V510" s="44"/>
      <c r="W510" s="44"/>
      <c r="X510" s="44"/>
      <c r="Y510" s="44"/>
      <c r="Z510" s="44"/>
      <c r="AA510" s="44"/>
      <c r="AB510" s="44"/>
    </row>
    <row r="511" spans="1:28">
      <c r="A511" s="9"/>
      <c r="B511" s="9"/>
      <c r="C511" s="9"/>
      <c r="D511" s="9"/>
      <c r="E511" s="36"/>
      <c r="F511" s="36"/>
      <c r="G511" s="36"/>
      <c r="H511" s="263"/>
      <c r="I511" s="270"/>
      <c r="J511" s="262"/>
      <c r="K511" s="270"/>
      <c r="L511" s="262"/>
      <c r="M511" s="109"/>
      <c r="N511" s="304"/>
      <c r="O511" s="304"/>
      <c r="P511" s="304"/>
      <c r="Q511" s="304"/>
      <c r="R511" s="9"/>
      <c r="S511" s="9"/>
      <c r="T511" s="9"/>
      <c r="U511" s="44"/>
      <c r="V511" s="44"/>
      <c r="W511" s="44"/>
      <c r="X511" s="44"/>
      <c r="Y511" s="44"/>
      <c r="Z511" s="44"/>
      <c r="AA511" s="44"/>
      <c r="AB511" s="44"/>
    </row>
    <row r="512" spans="1:28">
      <c r="A512" s="9"/>
      <c r="B512" s="9"/>
      <c r="C512" s="9"/>
      <c r="D512" s="9"/>
      <c r="E512" s="36"/>
      <c r="F512" s="36"/>
      <c r="G512" s="36"/>
      <c r="H512" s="263"/>
      <c r="I512" s="270"/>
      <c r="J512" s="262"/>
      <c r="K512" s="270"/>
      <c r="L512" s="262"/>
      <c r="M512" s="109"/>
      <c r="N512" s="304"/>
      <c r="O512" s="304"/>
      <c r="P512" s="304"/>
      <c r="Q512" s="304"/>
      <c r="R512" s="9"/>
      <c r="S512" s="9"/>
      <c r="T512" s="9"/>
      <c r="U512" s="44"/>
      <c r="V512" s="44"/>
      <c r="W512" s="44"/>
      <c r="X512" s="44"/>
      <c r="Y512" s="44"/>
      <c r="Z512" s="44"/>
      <c r="AA512" s="44"/>
      <c r="AB512" s="44"/>
    </row>
    <row r="513" spans="1:28">
      <c r="A513" s="9"/>
      <c r="B513" s="9"/>
      <c r="C513" s="9"/>
      <c r="D513" s="9"/>
      <c r="E513" s="36"/>
      <c r="F513" s="36"/>
      <c r="G513" s="36"/>
      <c r="H513" s="263"/>
      <c r="I513" s="270"/>
      <c r="J513" s="262"/>
      <c r="K513" s="270"/>
      <c r="L513" s="262"/>
      <c r="M513" s="109"/>
      <c r="N513" s="304"/>
      <c r="O513" s="304"/>
      <c r="P513" s="304"/>
      <c r="Q513" s="304"/>
      <c r="R513" s="9"/>
      <c r="S513" s="9"/>
      <c r="T513" s="9"/>
      <c r="U513" s="44"/>
      <c r="V513" s="44"/>
      <c r="W513" s="44"/>
      <c r="X513" s="44"/>
      <c r="Y513" s="44"/>
      <c r="Z513" s="44"/>
      <c r="AA513" s="44"/>
      <c r="AB513" s="44"/>
    </row>
    <row r="514" spans="1:28">
      <c r="A514" s="9"/>
      <c r="B514" s="9"/>
      <c r="C514" s="9"/>
      <c r="D514" s="9"/>
      <c r="E514" s="36"/>
      <c r="F514" s="36"/>
      <c r="G514" s="36"/>
      <c r="H514" s="263"/>
      <c r="I514" s="270"/>
      <c r="J514" s="262"/>
      <c r="K514" s="270"/>
      <c r="L514" s="262"/>
      <c r="M514" s="109"/>
      <c r="N514" s="304"/>
      <c r="O514" s="304"/>
      <c r="P514" s="304"/>
      <c r="Q514" s="304"/>
      <c r="R514" s="9"/>
      <c r="S514" s="9"/>
      <c r="T514" s="9"/>
      <c r="U514" s="44"/>
      <c r="V514" s="44"/>
      <c r="W514" s="44"/>
      <c r="X514" s="44"/>
      <c r="Y514" s="44"/>
      <c r="Z514" s="44"/>
      <c r="AA514" s="44"/>
      <c r="AB514" s="44"/>
    </row>
    <row r="515" spans="1:28">
      <c r="A515" s="9"/>
      <c r="B515" s="9"/>
      <c r="C515" s="9"/>
      <c r="D515" s="9"/>
      <c r="E515" s="36"/>
      <c r="F515" s="36"/>
      <c r="G515" s="36"/>
      <c r="H515" s="263"/>
      <c r="I515" s="270"/>
      <c r="J515" s="262"/>
      <c r="K515" s="270"/>
      <c r="L515" s="262"/>
      <c r="M515" s="109"/>
      <c r="N515" s="304"/>
      <c r="O515" s="304"/>
      <c r="P515" s="304"/>
      <c r="Q515" s="304"/>
      <c r="R515" s="9"/>
      <c r="S515" s="9"/>
      <c r="T515" s="9"/>
      <c r="U515" s="44"/>
      <c r="V515" s="44"/>
      <c r="W515" s="44"/>
      <c r="X515" s="44"/>
      <c r="Y515" s="44"/>
      <c r="Z515" s="44"/>
      <c r="AA515" s="44"/>
      <c r="AB515" s="44"/>
    </row>
    <row r="516" spans="1:28">
      <c r="A516" s="9"/>
      <c r="B516" s="9"/>
      <c r="C516" s="9"/>
      <c r="D516" s="9"/>
      <c r="E516" s="36"/>
      <c r="F516" s="36"/>
      <c r="G516" s="36"/>
      <c r="H516" s="263"/>
      <c r="I516" s="270"/>
      <c r="J516" s="262"/>
      <c r="K516" s="270"/>
      <c r="L516" s="262"/>
      <c r="M516" s="109"/>
      <c r="N516" s="304"/>
      <c r="O516" s="304"/>
      <c r="P516" s="304"/>
      <c r="Q516" s="304"/>
      <c r="R516" s="9"/>
      <c r="S516" s="9"/>
      <c r="T516" s="9"/>
      <c r="U516" s="44"/>
      <c r="V516" s="44"/>
      <c r="W516" s="44"/>
      <c r="X516" s="44"/>
      <c r="Y516" s="44"/>
      <c r="Z516" s="44"/>
      <c r="AA516" s="44"/>
      <c r="AB516" s="44"/>
    </row>
    <row r="517" spans="1:28">
      <c r="A517" s="9"/>
      <c r="B517" s="9"/>
      <c r="C517" s="9"/>
      <c r="D517" s="9"/>
      <c r="E517" s="36"/>
      <c r="F517" s="36"/>
      <c r="G517" s="36"/>
      <c r="H517" s="263"/>
      <c r="I517" s="270"/>
      <c r="J517" s="262"/>
      <c r="K517" s="270"/>
      <c r="L517" s="262"/>
      <c r="M517" s="109"/>
      <c r="N517" s="304"/>
      <c r="O517" s="304"/>
      <c r="P517" s="304"/>
      <c r="Q517" s="304"/>
      <c r="R517" s="9"/>
      <c r="S517" s="9"/>
      <c r="T517" s="9"/>
      <c r="U517" s="44"/>
      <c r="V517" s="44"/>
      <c r="W517" s="44"/>
      <c r="X517" s="44"/>
      <c r="Y517" s="44"/>
      <c r="Z517" s="44"/>
      <c r="AA517" s="44"/>
      <c r="AB517" s="44"/>
    </row>
    <row r="518" spans="1:28">
      <c r="A518" s="9"/>
      <c r="B518" s="9"/>
      <c r="C518" s="9"/>
      <c r="D518" s="9"/>
      <c r="E518" s="36"/>
      <c r="F518" s="36"/>
      <c r="G518" s="36"/>
      <c r="H518" s="263"/>
      <c r="I518" s="270"/>
      <c r="J518" s="262"/>
      <c r="K518" s="270"/>
      <c r="L518" s="262"/>
      <c r="M518" s="109"/>
      <c r="N518" s="304"/>
      <c r="O518" s="304"/>
      <c r="P518" s="304"/>
      <c r="Q518" s="304"/>
      <c r="R518" s="9"/>
      <c r="S518" s="9"/>
      <c r="T518" s="9"/>
      <c r="U518" s="44"/>
      <c r="V518" s="44"/>
      <c r="W518" s="44"/>
      <c r="X518" s="44"/>
      <c r="Y518" s="44"/>
      <c r="Z518" s="44"/>
      <c r="AA518" s="44"/>
      <c r="AB518" s="44"/>
    </row>
    <row r="519" spans="1:28">
      <c r="A519" s="9"/>
      <c r="B519" s="9"/>
      <c r="C519" s="9"/>
      <c r="D519" s="9"/>
      <c r="E519" s="36"/>
      <c r="F519" s="36"/>
      <c r="G519" s="36"/>
      <c r="H519" s="263"/>
      <c r="I519" s="270"/>
      <c r="J519" s="262"/>
      <c r="K519" s="270"/>
      <c r="L519" s="262"/>
      <c r="M519" s="109"/>
      <c r="N519" s="304"/>
      <c r="O519" s="304"/>
      <c r="P519" s="304"/>
      <c r="Q519" s="304"/>
      <c r="R519" s="9"/>
      <c r="S519" s="9"/>
      <c r="T519" s="9"/>
      <c r="U519" s="44"/>
      <c r="V519" s="44"/>
      <c r="W519" s="44"/>
      <c r="X519" s="44"/>
      <c r="Y519" s="44"/>
      <c r="Z519" s="44"/>
      <c r="AA519" s="44"/>
      <c r="AB519" s="44"/>
    </row>
    <row r="520" spans="1:28">
      <c r="A520" s="9"/>
      <c r="B520" s="9"/>
      <c r="C520" s="9"/>
      <c r="D520" s="9"/>
      <c r="E520" s="36"/>
      <c r="F520" s="36"/>
      <c r="G520" s="36"/>
      <c r="H520" s="263"/>
      <c r="I520" s="270"/>
      <c r="J520" s="262"/>
      <c r="K520" s="270"/>
      <c r="L520" s="262"/>
      <c r="M520" s="109"/>
      <c r="N520" s="304"/>
      <c r="O520" s="304"/>
      <c r="P520" s="304"/>
      <c r="Q520" s="304"/>
      <c r="R520" s="9"/>
      <c r="S520" s="9"/>
      <c r="T520" s="9"/>
      <c r="U520" s="44"/>
      <c r="V520" s="44"/>
      <c r="W520" s="44"/>
      <c r="X520" s="44"/>
      <c r="Y520" s="44"/>
      <c r="Z520" s="44"/>
      <c r="AA520" s="44"/>
      <c r="AB520" s="44"/>
    </row>
    <row r="521" spans="1:28">
      <c r="A521" s="9"/>
      <c r="B521" s="9"/>
      <c r="C521" s="9"/>
      <c r="D521" s="9"/>
      <c r="E521" s="36"/>
      <c r="F521" s="36"/>
      <c r="G521" s="36"/>
      <c r="H521" s="263"/>
      <c r="I521" s="270"/>
      <c r="J521" s="262"/>
      <c r="K521" s="270"/>
      <c r="L521" s="262"/>
      <c r="M521" s="109"/>
      <c r="N521" s="304"/>
      <c r="O521" s="304"/>
      <c r="P521" s="304"/>
      <c r="Q521" s="304"/>
      <c r="R521" s="9"/>
      <c r="S521" s="9"/>
      <c r="T521" s="9"/>
      <c r="U521" s="44"/>
      <c r="V521" s="44"/>
      <c r="W521" s="44"/>
      <c r="X521" s="44"/>
      <c r="Y521" s="44"/>
      <c r="Z521" s="44"/>
      <c r="AA521" s="44"/>
      <c r="AB521" s="44"/>
    </row>
    <row r="522" spans="1:28">
      <c r="A522" s="9"/>
      <c r="B522" s="9"/>
      <c r="C522" s="9"/>
      <c r="D522" s="9"/>
      <c r="E522" s="36"/>
      <c r="F522" s="36"/>
      <c r="G522" s="36"/>
      <c r="H522" s="263"/>
      <c r="I522" s="270"/>
      <c r="J522" s="262"/>
      <c r="K522" s="270"/>
      <c r="L522" s="262"/>
      <c r="M522" s="109"/>
      <c r="N522" s="304"/>
      <c r="O522" s="304"/>
      <c r="P522" s="304"/>
      <c r="Q522" s="304"/>
      <c r="R522" s="9"/>
      <c r="S522" s="9"/>
      <c r="T522" s="9"/>
      <c r="U522" s="44"/>
      <c r="V522" s="44"/>
      <c r="W522" s="44"/>
      <c r="X522" s="44"/>
      <c r="Y522" s="44"/>
      <c r="Z522" s="44"/>
      <c r="AA522" s="44"/>
      <c r="AB522" s="44"/>
    </row>
    <row r="523" spans="1:28">
      <c r="A523" s="9"/>
      <c r="B523" s="9"/>
      <c r="C523" s="9"/>
      <c r="D523" s="9"/>
      <c r="E523" s="36"/>
      <c r="F523" s="36"/>
      <c r="G523" s="36"/>
      <c r="H523" s="263"/>
      <c r="I523" s="270"/>
      <c r="J523" s="262"/>
      <c r="K523" s="270"/>
      <c r="L523" s="262"/>
      <c r="M523" s="109"/>
      <c r="N523" s="304"/>
      <c r="O523" s="304"/>
      <c r="P523" s="304"/>
      <c r="Q523" s="304"/>
      <c r="R523" s="9"/>
      <c r="S523" s="9"/>
      <c r="T523" s="9"/>
      <c r="U523" s="44"/>
      <c r="V523" s="44"/>
      <c r="W523" s="44"/>
      <c r="X523" s="44"/>
      <c r="Y523" s="44"/>
      <c r="Z523" s="44"/>
      <c r="AA523" s="44"/>
      <c r="AB523" s="44"/>
    </row>
    <row r="524" spans="1:28">
      <c r="A524" s="9"/>
      <c r="B524" s="9"/>
      <c r="C524" s="9"/>
      <c r="D524" s="9"/>
      <c r="E524" s="36"/>
      <c r="F524" s="36"/>
      <c r="G524" s="36"/>
      <c r="H524" s="263"/>
      <c r="I524" s="270"/>
      <c r="J524" s="262"/>
      <c r="K524" s="270"/>
      <c r="L524" s="262"/>
      <c r="M524" s="109"/>
      <c r="N524" s="304"/>
      <c r="O524" s="304"/>
      <c r="P524" s="304"/>
      <c r="Q524" s="304"/>
      <c r="R524" s="9"/>
      <c r="S524" s="9"/>
      <c r="T524" s="9"/>
      <c r="U524" s="44"/>
      <c r="V524" s="44"/>
      <c r="W524" s="44"/>
      <c r="X524" s="44"/>
      <c r="Y524" s="44"/>
      <c r="Z524" s="44"/>
      <c r="AA524" s="44"/>
      <c r="AB524" s="44"/>
    </row>
    <row r="525" spans="1:28">
      <c r="A525" s="9"/>
      <c r="B525" s="9"/>
      <c r="C525" s="9"/>
      <c r="D525" s="9"/>
      <c r="E525" s="36"/>
      <c r="F525" s="36"/>
      <c r="G525" s="36"/>
      <c r="H525" s="263"/>
      <c r="I525" s="270"/>
      <c r="J525" s="262"/>
      <c r="K525" s="270"/>
      <c r="L525" s="262"/>
      <c r="M525" s="109"/>
      <c r="N525" s="304"/>
      <c r="O525" s="304"/>
      <c r="P525" s="304"/>
      <c r="Q525" s="304"/>
      <c r="R525" s="9"/>
      <c r="S525" s="9"/>
      <c r="T525" s="9"/>
      <c r="U525" s="44"/>
      <c r="V525" s="44"/>
      <c r="W525" s="44"/>
      <c r="X525" s="44"/>
      <c r="Y525" s="44"/>
      <c r="Z525" s="44"/>
      <c r="AA525" s="44"/>
      <c r="AB525" s="44"/>
    </row>
    <row r="526" spans="1:28">
      <c r="A526" s="9"/>
      <c r="B526" s="9"/>
      <c r="C526" s="9"/>
      <c r="D526" s="9"/>
      <c r="E526" s="36"/>
      <c r="F526" s="36"/>
      <c r="G526" s="36"/>
      <c r="H526" s="263"/>
      <c r="I526" s="270"/>
      <c r="J526" s="262"/>
      <c r="K526" s="270"/>
      <c r="L526" s="262"/>
      <c r="M526" s="109"/>
      <c r="N526" s="304"/>
      <c r="O526" s="304"/>
      <c r="P526" s="304"/>
      <c r="Q526" s="304"/>
      <c r="R526" s="9"/>
      <c r="S526" s="9"/>
      <c r="T526" s="9"/>
      <c r="U526" s="44"/>
      <c r="V526" s="44"/>
      <c r="W526" s="44"/>
      <c r="X526" s="44"/>
      <c r="Y526" s="44"/>
      <c r="Z526" s="44"/>
      <c r="AA526" s="44"/>
      <c r="AB526" s="44"/>
    </row>
    <row r="527" spans="1:28">
      <c r="A527" s="9"/>
      <c r="B527" s="9"/>
      <c r="C527" s="9"/>
      <c r="D527" s="9"/>
      <c r="E527" s="36"/>
      <c r="F527" s="36"/>
      <c r="G527" s="36"/>
      <c r="H527" s="263"/>
      <c r="I527" s="270"/>
      <c r="J527" s="262"/>
      <c r="K527" s="270"/>
      <c r="L527" s="262"/>
      <c r="M527" s="109"/>
      <c r="N527" s="304"/>
      <c r="O527" s="304"/>
      <c r="P527" s="304"/>
      <c r="Q527" s="304"/>
      <c r="R527" s="9"/>
      <c r="S527" s="9"/>
      <c r="T527" s="9"/>
      <c r="U527" s="9"/>
      <c r="V527" s="9"/>
      <c r="W527" s="9"/>
      <c r="X527" s="9"/>
      <c r="Y527" s="9"/>
      <c r="Z527" s="9"/>
      <c r="AA527" s="9"/>
      <c r="AB527" s="9"/>
    </row>
    <row r="528" spans="1:28">
      <c r="A528" s="9"/>
      <c r="B528" s="9"/>
      <c r="C528" s="9"/>
      <c r="D528" s="9"/>
      <c r="E528" s="36"/>
      <c r="F528" s="36"/>
      <c r="G528" s="36"/>
      <c r="H528" s="263"/>
      <c r="I528" s="270"/>
      <c r="J528" s="262"/>
      <c r="K528" s="270"/>
      <c r="L528" s="262"/>
      <c r="M528" s="109"/>
      <c r="N528" s="304"/>
      <c r="O528" s="304"/>
      <c r="P528" s="304"/>
      <c r="Q528" s="304"/>
      <c r="R528" s="9"/>
      <c r="S528" s="9"/>
      <c r="T528" s="9"/>
      <c r="U528" s="9"/>
      <c r="V528" s="9"/>
      <c r="W528" s="9"/>
      <c r="X528" s="9"/>
      <c r="Y528" s="9"/>
      <c r="Z528" s="9"/>
      <c r="AA528" s="9"/>
      <c r="AB528" s="9"/>
    </row>
    <row r="529" spans="1:28">
      <c r="A529" s="9"/>
      <c r="B529" s="9"/>
      <c r="C529" s="9"/>
      <c r="D529" s="9"/>
      <c r="E529" s="36"/>
      <c r="F529" s="36"/>
      <c r="G529" s="36"/>
      <c r="H529" s="263"/>
      <c r="I529" s="270"/>
      <c r="J529" s="262"/>
      <c r="K529" s="270"/>
      <c r="L529" s="262"/>
      <c r="M529" s="109"/>
      <c r="N529" s="304"/>
      <c r="O529" s="304"/>
      <c r="P529" s="304"/>
      <c r="Q529" s="304"/>
      <c r="R529" s="9"/>
      <c r="S529" s="9"/>
      <c r="T529" s="9"/>
      <c r="U529" s="9"/>
      <c r="V529" s="9"/>
      <c r="W529" s="9"/>
      <c r="X529" s="9"/>
      <c r="Y529" s="9"/>
      <c r="Z529" s="9"/>
      <c r="AA529" s="9"/>
      <c r="AB529" s="9"/>
    </row>
    <row r="530" spans="1:28">
      <c r="A530" s="9"/>
      <c r="B530" s="9"/>
      <c r="C530" s="9"/>
      <c r="D530" s="9"/>
      <c r="E530" s="36"/>
      <c r="F530" s="36"/>
      <c r="G530" s="36"/>
      <c r="H530" s="263"/>
      <c r="I530" s="270"/>
      <c r="J530" s="262"/>
      <c r="K530" s="270"/>
      <c r="L530" s="262"/>
      <c r="M530" s="109"/>
      <c r="N530" s="304"/>
      <c r="O530" s="304"/>
      <c r="P530" s="304"/>
      <c r="Q530" s="304"/>
      <c r="R530" s="9"/>
      <c r="S530" s="9"/>
      <c r="T530" s="9"/>
      <c r="U530" s="9"/>
      <c r="V530" s="9"/>
      <c r="W530" s="9"/>
      <c r="X530" s="9"/>
      <c r="Y530" s="9"/>
      <c r="Z530" s="9"/>
      <c r="AA530" s="9"/>
      <c r="AB530" s="9"/>
    </row>
    <row r="531" spans="1:28">
      <c r="A531" s="9"/>
      <c r="B531" s="9"/>
      <c r="C531" s="9"/>
      <c r="D531" s="9"/>
      <c r="E531" s="36"/>
      <c r="F531" s="36"/>
      <c r="G531" s="36"/>
      <c r="H531" s="263"/>
      <c r="I531" s="270"/>
      <c r="J531" s="262"/>
      <c r="K531" s="270"/>
      <c r="L531" s="262"/>
      <c r="M531" s="109"/>
      <c r="N531" s="304"/>
      <c r="O531" s="304"/>
      <c r="P531" s="304"/>
      <c r="Q531" s="304"/>
      <c r="R531" s="9"/>
      <c r="S531" s="9"/>
      <c r="T531" s="9"/>
      <c r="U531" s="9"/>
      <c r="V531" s="9"/>
      <c r="W531" s="9"/>
      <c r="X531" s="9"/>
      <c r="Y531" s="9"/>
      <c r="Z531" s="9"/>
      <c r="AA531" s="9"/>
      <c r="AB531" s="9"/>
    </row>
    <row r="532" spans="1:28">
      <c r="A532" s="9"/>
      <c r="B532" s="9"/>
      <c r="C532" s="9"/>
      <c r="D532" s="9"/>
      <c r="E532" s="36"/>
      <c r="F532" s="36"/>
      <c r="G532" s="36"/>
      <c r="H532" s="263"/>
      <c r="I532" s="270"/>
      <c r="J532" s="262"/>
      <c r="K532" s="270"/>
      <c r="L532" s="262"/>
      <c r="M532" s="109"/>
      <c r="N532" s="304"/>
      <c r="O532" s="304"/>
      <c r="P532" s="304"/>
      <c r="Q532" s="304"/>
      <c r="R532" s="9"/>
      <c r="S532" s="9"/>
      <c r="T532" s="9"/>
      <c r="U532" s="9"/>
      <c r="V532" s="9"/>
      <c r="W532" s="9"/>
      <c r="X532" s="9"/>
      <c r="Y532" s="9"/>
      <c r="Z532" s="9"/>
      <c r="AA532" s="9"/>
      <c r="AB532" s="9"/>
    </row>
    <row r="533" spans="1:28">
      <c r="A533" s="9"/>
      <c r="B533" s="9"/>
      <c r="C533" s="9"/>
      <c r="D533" s="9"/>
      <c r="E533" s="36"/>
      <c r="F533" s="36"/>
      <c r="G533" s="36"/>
      <c r="H533" s="263"/>
      <c r="I533" s="270"/>
      <c r="J533" s="262"/>
      <c r="K533" s="270"/>
      <c r="L533" s="262"/>
      <c r="M533" s="109"/>
      <c r="N533" s="304"/>
      <c r="O533" s="304"/>
      <c r="P533" s="304"/>
      <c r="Q533" s="304"/>
      <c r="R533" s="9"/>
      <c r="S533" s="9"/>
      <c r="T533" s="9"/>
      <c r="U533" s="9"/>
      <c r="V533" s="9"/>
      <c r="W533" s="9"/>
      <c r="X533" s="9"/>
      <c r="Y533" s="9"/>
      <c r="Z533" s="9"/>
      <c r="AA533" s="9"/>
      <c r="AB533" s="9"/>
    </row>
    <row r="534" spans="1:28">
      <c r="A534" s="9"/>
      <c r="B534" s="9"/>
      <c r="C534" s="9"/>
      <c r="D534" s="9"/>
      <c r="E534" s="36"/>
      <c r="F534" s="36"/>
      <c r="G534" s="36"/>
      <c r="H534" s="263"/>
      <c r="I534" s="270"/>
      <c r="J534" s="262"/>
      <c r="K534" s="270"/>
      <c r="L534" s="262"/>
      <c r="M534" s="109"/>
      <c r="N534" s="304"/>
      <c r="O534" s="304"/>
      <c r="P534" s="304"/>
      <c r="Q534" s="304"/>
      <c r="R534" s="9"/>
      <c r="S534" s="9"/>
      <c r="T534" s="9"/>
      <c r="U534" s="9"/>
      <c r="V534" s="9"/>
      <c r="W534" s="9"/>
      <c r="X534" s="9"/>
      <c r="Y534" s="9"/>
      <c r="Z534" s="9"/>
      <c r="AA534" s="9"/>
      <c r="AB534" s="9"/>
    </row>
    <row r="535" spans="1:28">
      <c r="A535" s="9"/>
      <c r="B535" s="9"/>
      <c r="C535" s="9"/>
      <c r="D535" s="9"/>
      <c r="E535" s="36"/>
      <c r="F535" s="36"/>
      <c r="G535" s="36"/>
      <c r="H535" s="263"/>
      <c r="I535" s="270"/>
      <c r="J535" s="262"/>
      <c r="K535" s="270"/>
      <c r="L535" s="262"/>
      <c r="M535" s="109"/>
      <c r="N535" s="304"/>
      <c r="O535" s="304"/>
      <c r="P535" s="304"/>
      <c r="Q535" s="304"/>
      <c r="R535" s="9"/>
      <c r="S535" s="9"/>
      <c r="T535" s="9"/>
      <c r="U535" s="9"/>
      <c r="V535" s="9"/>
      <c r="W535" s="9"/>
      <c r="X535" s="9"/>
      <c r="Y535" s="9"/>
      <c r="Z535" s="9"/>
      <c r="AA535" s="9"/>
      <c r="AB535" s="9"/>
    </row>
    <row r="536" spans="1:28">
      <c r="A536" s="9"/>
      <c r="B536" s="9"/>
      <c r="C536" s="9"/>
      <c r="D536" s="9"/>
      <c r="E536" s="36"/>
      <c r="F536" s="36"/>
      <c r="G536" s="36"/>
      <c r="H536" s="263"/>
      <c r="I536" s="270"/>
      <c r="J536" s="262"/>
      <c r="K536" s="270"/>
      <c r="L536" s="262"/>
      <c r="M536" s="109"/>
      <c r="N536" s="304"/>
      <c r="O536" s="304"/>
      <c r="P536" s="304"/>
      <c r="Q536" s="304"/>
      <c r="R536" s="9"/>
      <c r="S536" s="9"/>
      <c r="T536" s="9"/>
      <c r="U536" s="9"/>
      <c r="V536" s="9"/>
      <c r="W536" s="9"/>
      <c r="X536" s="9"/>
      <c r="Y536" s="9"/>
      <c r="Z536" s="9"/>
      <c r="AA536" s="9"/>
      <c r="AB536" s="9"/>
    </row>
    <row r="537" spans="1:28">
      <c r="A537" s="9"/>
      <c r="B537" s="9"/>
      <c r="C537" s="9"/>
      <c r="D537" s="9"/>
      <c r="E537" s="36"/>
      <c r="F537" s="36"/>
      <c r="G537" s="36"/>
      <c r="H537" s="263"/>
      <c r="I537" s="270"/>
      <c r="J537" s="262"/>
      <c r="K537" s="270"/>
      <c r="L537" s="262"/>
      <c r="M537" s="109"/>
      <c r="N537" s="304"/>
      <c r="O537" s="304"/>
      <c r="P537" s="304"/>
      <c r="Q537" s="304"/>
      <c r="R537" s="9"/>
      <c r="S537" s="9"/>
      <c r="T537" s="9"/>
      <c r="U537" s="9"/>
      <c r="V537" s="9"/>
      <c r="W537" s="9"/>
      <c r="X537" s="9"/>
      <c r="Y537" s="9"/>
      <c r="Z537" s="9"/>
      <c r="AA537" s="9"/>
      <c r="AB537" s="9"/>
    </row>
    <row r="538" spans="1:28">
      <c r="A538" s="9"/>
      <c r="B538" s="9"/>
      <c r="C538" s="9"/>
      <c r="D538" s="9"/>
      <c r="E538" s="36"/>
      <c r="F538" s="36"/>
      <c r="G538" s="36"/>
      <c r="H538" s="263"/>
      <c r="I538" s="270"/>
      <c r="J538" s="262"/>
      <c r="K538" s="270"/>
      <c r="L538" s="262"/>
      <c r="M538" s="109"/>
      <c r="N538" s="304"/>
      <c r="O538" s="304"/>
      <c r="P538" s="304"/>
      <c r="Q538" s="304"/>
      <c r="R538" s="9"/>
      <c r="S538" s="9"/>
      <c r="T538" s="9"/>
      <c r="U538" s="9"/>
      <c r="V538" s="9"/>
      <c r="W538" s="9"/>
      <c r="X538" s="9"/>
      <c r="Y538" s="9"/>
      <c r="Z538" s="9"/>
      <c r="AA538" s="9"/>
      <c r="AB538" s="9"/>
    </row>
    <row r="539" spans="1:28">
      <c r="A539" s="9"/>
      <c r="B539" s="9"/>
      <c r="C539" s="9"/>
      <c r="D539" s="9"/>
      <c r="E539" s="36"/>
      <c r="F539" s="36"/>
      <c r="G539" s="36"/>
      <c r="H539" s="263"/>
      <c r="I539" s="270"/>
      <c r="J539" s="262"/>
      <c r="K539" s="270"/>
      <c r="L539" s="262"/>
      <c r="M539" s="109"/>
      <c r="N539" s="304"/>
      <c r="O539" s="304"/>
      <c r="P539" s="304"/>
      <c r="Q539" s="304"/>
      <c r="R539" s="9"/>
      <c r="S539" s="9"/>
      <c r="T539" s="9"/>
      <c r="U539" s="9"/>
      <c r="V539" s="9"/>
      <c r="W539" s="9"/>
      <c r="X539" s="9"/>
      <c r="Y539" s="9"/>
      <c r="Z539" s="9"/>
      <c r="AA539" s="9"/>
      <c r="AB539" s="9"/>
    </row>
    <row r="540" spans="1:28">
      <c r="A540" s="9"/>
      <c r="B540" s="9"/>
      <c r="C540" s="9"/>
      <c r="D540" s="9"/>
      <c r="E540" s="36"/>
      <c r="F540" s="36"/>
      <c r="G540" s="36"/>
      <c r="H540" s="263"/>
      <c r="I540" s="270"/>
      <c r="J540" s="262"/>
      <c r="K540" s="270"/>
      <c r="L540" s="262"/>
      <c r="M540" s="109"/>
      <c r="N540" s="304"/>
      <c r="O540" s="304"/>
      <c r="P540" s="304"/>
      <c r="Q540" s="304"/>
      <c r="R540" s="9"/>
      <c r="S540" s="9"/>
      <c r="T540" s="9"/>
      <c r="U540" s="9"/>
      <c r="V540" s="9"/>
      <c r="W540" s="9"/>
      <c r="X540" s="9"/>
      <c r="Y540" s="9"/>
      <c r="Z540" s="9"/>
      <c r="AA540" s="9"/>
      <c r="AB540" s="9"/>
    </row>
    <row r="541" spans="1:28">
      <c r="A541" s="9"/>
      <c r="B541" s="9"/>
      <c r="C541" s="9"/>
      <c r="D541" s="9"/>
      <c r="E541" s="36"/>
      <c r="F541" s="36"/>
      <c r="G541" s="36"/>
      <c r="H541" s="263"/>
      <c r="I541" s="270"/>
      <c r="J541" s="262"/>
      <c r="K541" s="270"/>
      <c r="L541" s="262"/>
      <c r="M541" s="109"/>
      <c r="N541" s="304"/>
      <c r="O541" s="304"/>
      <c r="P541" s="304"/>
      <c r="Q541" s="304"/>
      <c r="R541" s="9"/>
      <c r="S541" s="9"/>
      <c r="T541" s="9"/>
      <c r="U541" s="9"/>
      <c r="V541" s="9"/>
      <c r="W541" s="9"/>
      <c r="X541" s="9"/>
      <c r="Y541" s="9"/>
      <c r="Z541" s="9"/>
      <c r="AA541" s="9"/>
      <c r="AB541" s="9"/>
    </row>
    <row r="542" spans="1:28">
      <c r="A542" s="9"/>
      <c r="B542" s="9"/>
      <c r="C542" s="9"/>
      <c r="D542" s="9"/>
      <c r="E542" s="36"/>
      <c r="F542" s="36"/>
      <c r="G542" s="36"/>
      <c r="H542" s="263"/>
      <c r="I542" s="270"/>
      <c r="J542" s="262"/>
      <c r="K542" s="270"/>
      <c r="L542" s="262"/>
      <c r="M542" s="109"/>
      <c r="N542" s="304"/>
      <c r="O542" s="304"/>
      <c r="P542" s="304"/>
      <c r="Q542" s="304"/>
      <c r="R542" s="9"/>
      <c r="S542" s="9"/>
      <c r="T542" s="9"/>
      <c r="U542" s="9"/>
      <c r="V542" s="9"/>
      <c r="W542" s="9"/>
      <c r="X542" s="9"/>
      <c r="Y542" s="9"/>
      <c r="Z542" s="9"/>
      <c r="AA542" s="9"/>
      <c r="AB542" s="9"/>
    </row>
    <row r="543" spans="1:28">
      <c r="A543" s="9"/>
      <c r="B543" s="9"/>
      <c r="C543" s="9"/>
      <c r="D543" s="9"/>
      <c r="E543" s="36"/>
      <c r="F543" s="36"/>
      <c r="G543" s="36"/>
      <c r="H543" s="263"/>
      <c r="I543" s="270"/>
      <c r="J543" s="262"/>
      <c r="K543" s="270"/>
      <c r="L543" s="262"/>
      <c r="M543" s="109"/>
      <c r="N543" s="304"/>
      <c r="O543" s="304"/>
      <c r="P543" s="304"/>
      <c r="Q543" s="304"/>
      <c r="R543" s="9"/>
      <c r="S543" s="9"/>
      <c r="T543" s="9"/>
      <c r="U543" s="9"/>
      <c r="V543" s="9"/>
      <c r="W543" s="9"/>
      <c r="X543" s="9"/>
      <c r="Y543" s="9"/>
      <c r="Z543" s="9"/>
      <c r="AA543" s="9"/>
      <c r="AB543" s="9"/>
    </row>
    <row r="544" spans="1:28">
      <c r="A544" s="9"/>
      <c r="B544" s="9"/>
      <c r="C544" s="9"/>
      <c r="D544" s="9"/>
      <c r="E544" s="36"/>
      <c r="F544" s="36"/>
      <c r="G544" s="36"/>
      <c r="H544" s="263"/>
      <c r="I544" s="270"/>
      <c r="J544" s="262"/>
      <c r="K544" s="270"/>
      <c r="L544" s="262"/>
      <c r="M544" s="109"/>
      <c r="N544" s="304"/>
      <c r="O544" s="304"/>
      <c r="P544" s="304"/>
      <c r="Q544" s="304"/>
      <c r="R544" s="9"/>
      <c r="S544" s="9"/>
      <c r="T544" s="9"/>
      <c r="U544" s="9"/>
      <c r="V544" s="9"/>
      <c r="W544" s="9"/>
      <c r="X544" s="9"/>
      <c r="Y544" s="9"/>
      <c r="Z544" s="9"/>
      <c r="AA544" s="9"/>
      <c r="AB544" s="9"/>
    </row>
    <row r="545" spans="1:28">
      <c r="A545" s="9"/>
      <c r="B545" s="9"/>
      <c r="C545" s="9"/>
      <c r="D545" s="9"/>
      <c r="E545" s="36"/>
      <c r="F545" s="36"/>
      <c r="G545" s="36"/>
      <c r="H545" s="263"/>
      <c r="I545" s="270"/>
      <c r="J545" s="262"/>
      <c r="K545" s="270"/>
      <c r="L545" s="262"/>
      <c r="M545" s="109"/>
      <c r="N545" s="304"/>
      <c r="O545" s="304"/>
      <c r="P545" s="304"/>
      <c r="Q545" s="304"/>
      <c r="R545" s="9"/>
      <c r="S545" s="9"/>
      <c r="T545" s="9"/>
      <c r="U545" s="9"/>
      <c r="V545" s="9"/>
      <c r="W545" s="9"/>
      <c r="X545" s="9"/>
      <c r="Y545" s="9"/>
      <c r="Z545" s="9"/>
      <c r="AA545" s="9"/>
      <c r="AB545" s="9"/>
    </row>
    <row r="546" spans="1:28">
      <c r="A546" s="9"/>
      <c r="B546" s="9"/>
      <c r="C546" s="9"/>
      <c r="D546" s="9"/>
      <c r="E546" s="36"/>
      <c r="F546" s="36"/>
      <c r="G546" s="36"/>
      <c r="H546" s="263"/>
      <c r="I546" s="270"/>
      <c r="J546" s="262"/>
      <c r="K546" s="270"/>
      <c r="L546" s="262"/>
      <c r="M546" s="109"/>
      <c r="N546" s="304"/>
      <c r="O546" s="304"/>
      <c r="P546" s="304"/>
      <c r="Q546" s="304"/>
      <c r="R546" s="9"/>
      <c r="S546" s="9"/>
      <c r="T546" s="9"/>
      <c r="U546" s="9"/>
      <c r="V546" s="9"/>
      <c r="W546" s="9"/>
      <c r="X546" s="9"/>
      <c r="Y546" s="9"/>
      <c r="Z546" s="9"/>
      <c r="AA546" s="9"/>
      <c r="AB546" s="9"/>
    </row>
    <row r="547" spans="1:28">
      <c r="A547" s="9"/>
      <c r="B547" s="9"/>
      <c r="C547" s="9"/>
      <c r="D547" s="9"/>
      <c r="E547" s="36"/>
      <c r="F547" s="36"/>
      <c r="G547" s="36"/>
      <c r="H547" s="263"/>
      <c r="I547" s="270"/>
      <c r="J547" s="262"/>
      <c r="K547" s="270"/>
      <c r="L547" s="262"/>
      <c r="M547" s="109"/>
      <c r="N547" s="304"/>
      <c r="O547" s="304"/>
      <c r="P547" s="304"/>
      <c r="Q547" s="304"/>
      <c r="R547" s="9"/>
      <c r="S547" s="9"/>
      <c r="T547" s="9"/>
      <c r="U547" s="9"/>
      <c r="V547" s="9"/>
      <c r="W547" s="9"/>
      <c r="X547" s="9"/>
      <c r="Y547" s="9"/>
      <c r="Z547" s="9"/>
      <c r="AA547" s="9"/>
      <c r="AB547" s="9"/>
    </row>
    <row r="548" spans="1:28">
      <c r="A548" s="9"/>
      <c r="B548" s="9"/>
      <c r="C548" s="9"/>
      <c r="D548" s="9"/>
      <c r="E548" s="36"/>
      <c r="F548" s="36"/>
      <c r="G548" s="36"/>
      <c r="H548" s="263"/>
      <c r="I548" s="270"/>
      <c r="J548" s="262"/>
      <c r="K548" s="270"/>
      <c r="L548" s="262"/>
      <c r="M548" s="109"/>
      <c r="N548" s="304"/>
      <c r="O548" s="304"/>
      <c r="P548" s="304"/>
      <c r="Q548" s="304"/>
      <c r="R548" s="9"/>
      <c r="S548" s="9"/>
      <c r="T548" s="9"/>
      <c r="U548" s="9"/>
      <c r="V548" s="9"/>
      <c r="W548" s="9"/>
      <c r="X548" s="9"/>
      <c r="Y548" s="9"/>
      <c r="Z548" s="9"/>
      <c r="AA548" s="9"/>
      <c r="AB548" s="9"/>
    </row>
    <row r="549" spans="1:28">
      <c r="A549" s="9"/>
      <c r="B549" s="9"/>
      <c r="C549" s="9"/>
      <c r="D549" s="9"/>
      <c r="E549" s="36"/>
      <c r="F549" s="36"/>
      <c r="G549" s="36"/>
      <c r="H549" s="263"/>
      <c r="I549" s="270"/>
      <c r="J549" s="262"/>
      <c r="K549" s="270"/>
      <c r="L549" s="262"/>
      <c r="M549" s="109"/>
      <c r="N549" s="304"/>
      <c r="O549" s="304"/>
      <c r="P549" s="304"/>
      <c r="Q549" s="304"/>
      <c r="R549" s="9"/>
      <c r="S549" s="9"/>
      <c r="T549" s="9"/>
      <c r="U549" s="9"/>
      <c r="V549" s="9"/>
      <c r="W549" s="9"/>
      <c r="X549" s="9"/>
      <c r="Y549" s="9"/>
      <c r="Z549" s="9"/>
      <c r="AA549" s="9"/>
      <c r="AB549" s="9"/>
    </row>
    <row r="550" spans="1:28">
      <c r="A550" s="9"/>
      <c r="B550" s="9"/>
      <c r="C550" s="9"/>
      <c r="D550" s="9"/>
      <c r="E550" s="36"/>
      <c r="F550" s="36"/>
      <c r="G550" s="36"/>
      <c r="H550" s="263"/>
      <c r="I550" s="270"/>
      <c r="J550" s="262"/>
      <c r="K550" s="270"/>
      <c r="L550" s="262"/>
      <c r="M550" s="109"/>
      <c r="N550" s="304"/>
      <c r="O550" s="304"/>
      <c r="P550" s="304"/>
      <c r="Q550" s="304"/>
      <c r="R550" s="9"/>
      <c r="S550" s="9"/>
      <c r="T550" s="9"/>
      <c r="U550" s="9"/>
      <c r="V550" s="9"/>
      <c r="W550" s="9"/>
      <c r="X550" s="9"/>
      <c r="Y550" s="9"/>
      <c r="Z550" s="9"/>
      <c r="AA550" s="9"/>
      <c r="AB550" s="9"/>
    </row>
    <row r="551" spans="1:28">
      <c r="A551" s="9"/>
      <c r="B551" s="9"/>
      <c r="C551" s="9"/>
      <c r="D551" s="9"/>
      <c r="E551" s="36"/>
      <c r="F551" s="36"/>
      <c r="G551" s="36"/>
      <c r="H551" s="263"/>
      <c r="I551" s="270"/>
      <c r="J551" s="262"/>
      <c r="K551" s="270"/>
      <c r="L551" s="262"/>
      <c r="M551" s="109"/>
      <c r="N551" s="304"/>
      <c r="O551" s="304"/>
      <c r="P551" s="304"/>
      <c r="Q551" s="304"/>
      <c r="R551" s="9"/>
      <c r="S551" s="9"/>
      <c r="T551" s="9"/>
      <c r="U551" s="9"/>
      <c r="V551" s="9"/>
      <c r="W551" s="9"/>
      <c r="X551" s="9"/>
      <c r="Y551" s="9"/>
      <c r="Z551" s="9"/>
      <c r="AA551" s="9"/>
      <c r="AB551" s="9"/>
    </row>
    <row r="552" spans="1:28">
      <c r="A552" s="9"/>
      <c r="B552" s="9"/>
      <c r="C552" s="9"/>
      <c r="D552" s="9"/>
      <c r="E552" s="36"/>
      <c r="F552" s="36"/>
      <c r="G552" s="36"/>
      <c r="H552" s="263"/>
      <c r="I552" s="270"/>
      <c r="J552" s="262"/>
      <c r="K552" s="270"/>
      <c r="L552" s="262"/>
      <c r="M552" s="109"/>
      <c r="N552" s="304"/>
      <c r="O552" s="304"/>
      <c r="P552" s="304"/>
      <c r="Q552" s="304"/>
      <c r="R552" s="9"/>
      <c r="S552" s="9"/>
      <c r="T552" s="9"/>
      <c r="U552" s="9"/>
      <c r="V552" s="9"/>
      <c r="W552" s="9"/>
      <c r="X552" s="9"/>
      <c r="Y552" s="9"/>
      <c r="Z552" s="9"/>
      <c r="AA552" s="9"/>
      <c r="AB552" s="9"/>
    </row>
    <row r="553" spans="1:28">
      <c r="A553" s="9"/>
      <c r="B553" s="9"/>
      <c r="C553" s="9"/>
      <c r="D553" s="9"/>
      <c r="E553" s="36"/>
      <c r="F553" s="36"/>
      <c r="G553" s="36"/>
      <c r="H553" s="263"/>
      <c r="I553" s="270"/>
      <c r="J553" s="262"/>
      <c r="K553" s="270"/>
      <c r="L553" s="262"/>
      <c r="M553" s="109"/>
      <c r="N553" s="304"/>
      <c r="O553" s="304"/>
      <c r="P553" s="304"/>
      <c r="Q553" s="304"/>
      <c r="R553" s="9"/>
      <c r="S553" s="9"/>
      <c r="T553" s="9"/>
      <c r="U553" s="9"/>
      <c r="V553" s="9"/>
      <c r="W553" s="9"/>
      <c r="X553" s="9"/>
      <c r="Y553" s="9"/>
      <c r="Z553" s="9"/>
      <c r="AA553" s="9"/>
      <c r="AB553" s="9"/>
    </row>
    <row r="554" spans="1:28">
      <c r="A554" s="9"/>
      <c r="B554" s="9"/>
      <c r="C554" s="9"/>
      <c r="D554" s="9"/>
      <c r="E554" s="36"/>
      <c r="F554" s="36"/>
      <c r="G554" s="36"/>
      <c r="H554" s="263"/>
      <c r="I554" s="270"/>
      <c r="J554" s="262"/>
      <c r="K554" s="270"/>
      <c r="L554" s="262"/>
      <c r="M554" s="109"/>
      <c r="N554" s="304"/>
      <c r="O554" s="304"/>
      <c r="P554" s="304"/>
      <c r="Q554" s="304"/>
      <c r="R554" s="9"/>
      <c r="S554" s="9"/>
      <c r="T554" s="9"/>
      <c r="U554" s="9"/>
      <c r="V554" s="9"/>
      <c r="W554" s="9"/>
      <c r="X554" s="9"/>
      <c r="Y554" s="9"/>
      <c r="Z554" s="9"/>
      <c r="AA554" s="9"/>
      <c r="AB554" s="9"/>
    </row>
    <row r="555" spans="1:28">
      <c r="A555" s="9"/>
      <c r="B555" s="9"/>
      <c r="C555" s="9"/>
      <c r="D555" s="9"/>
      <c r="E555" s="36"/>
      <c r="F555" s="36"/>
      <c r="G555" s="36"/>
      <c r="H555" s="263"/>
      <c r="I555" s="270"/>
      <c r="J555" s="262"/>
      <c r="K555" s="270"/>
      <c r="L555" s="262"/>
      <c r="M555" s="109"/>
      <c r="N555" s="304"/>
      <c r="O555" s="304"/>
      <c r="P555" s="304"/>
      <c r="Q555" s="304"/>
      <c r="R555" s="9"/>
      <c r="S555" s="9"/>
      <c r="T555" s="9"/>
      <c r="U555" s="9"/>
      <c r="V555" s="9"/>
      <c r="W555" s="9"/>
      <c r="X555" s="9"/>
      <c r="Y555" s="9"/>
      <c r="Z555" s="9"/>
      <c r="AA555" s="9"/>
      <c r="AB555" s="9"/>
    </row>
  </sheetData>
  <mergeCells count="48">
    <mergeCell ref="C8:D8"/>
    <mergeCell ref="C9:C18"/>
    <mergeCell ref="C22:D22"/>
    <mergeCell ref="C23:C32"/>
    <mergeCell ref="C64:D64"/>
    <mergeCell ref="C65:C74"/>
    <mergeCell ref="C78:D78"/>
    <mergeCell ref="C79:C88"/>
    <mergeCell ref="C36:D36"/>
    <mergeCell ref="C37:C46"/>
    <mergeCell ref="C50:D50"/>
    <mergeCell ref="C51:C60"/>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 ref="C330:D330"/>
    <mergeCell ref="C331:C340"/>
    <mergeCell ref="C302:D302"/>
    <mergeCell ref="C303:C312"/>
    <mergeCell ref="C316:D316"/>
    <mergeCell ref="C317:C326"/>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Sheet4"/>
  <dimension ref="A1:IU480"/>
  <sheetViews>
    <sheetView zoomScaleNormal="100" workbookViewId="0">
      <selection activeCell="H480" sqref="H480:H481"/>
    </sheetView>
  </sheetViews>
  <sheetFormatPr defaultRowHeight="12.75" outlineLevelRow="2"/>
  <cols>
    <col min="1" max="1" width="3.5703125" customWidth="1"/>
    <col min="2" max="2" width="22.85546875" customWidth="1"/>
    <col min="3" max="3" width="12.42578125" customWidth="1"/>
    <col min="5" max="5" width="3.5703125" customWidth="1"/>
    <col min="6" max="6" width="10" customWidth="1"/>
    <col min="7" max="7" width="10.140625" customWidth="1"/>
    <col min="8" max="9" width="10" customWidth="1"/>
    <col min="10" max="10" width="9.5703125" bestFit="1" customWidth="1"/>
    <col min="11" max="11" width="9.5703125" customWidth="1"/>
    <col min="12" max="12" width="10.28515625" customWidth="1"/>
    <col min="13" max="18" width="9.5703125" customWidth="1"/>
    <col min="19" max="20" width="15.14062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185"/>
      <c r="BJ1" s="185"/>
      <c r="BK1" s="185"/>
      <c r="BL1" s="185"/>
      <c r="BM1" s="185"/>
      <c r="BN1" s="185"/>
    </row>
    <row r="2" spans="1:255" ht="15.75">
      <c r="A2" s="9"/>
      <c r="B2" s="55" t="s">
        <v>78</v>
      </c>
      <c r="C2" s="9"/>
      <c r="D2" s="9"/>
      <c r="E2" s="9"/>
      <c r="F2" s="9"/>
      <c r="G2" s="9"/>
      <c r="H2" s="9"/>
      <c r="I2" s="9"/>
      <c r="J2" s="9"/>
      <c r="K2" s="9"/>
      <c r="L2" s="9"/>
      <c r="M2" s="9"/>
      <c r="N2" s="9"/>
      <c r="O2" s="9"/>
      <c r="P2" s="9"/>
      <c r="Q2" s="9"/>
      <c r="R2" s="9"/>
      <c r="S2" s="9"/>
      <c r="T2" s="9"/>
      <c r="U2" s="9"/>
      <c r="V2" s="9"/>
      <c r="W2" s="9"/>
      <c r="X2" s="9"/>
      <c r="Y2" s="9"/>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row>
    <row r="3" spans="1:255" s="1" customFormat="1">
      <c r="A3" s="56"/>
      <c r="B3" s="57"/>
      <c r="C3" s="56"/>
      <c r="D3" s="56"/>
      <c r="E3" s="56"/>
      <c r="F3" s="284">
        <v>0</v>
      </c>
      <c r="G3" s="284">
        <v>4</v>
      </c>
      <c r="H3" s="284">
        <v>5</v>
      </c>
      <c r="I3" s="284">
        <v>6</v>
      </c>
      <c r="J3" s="284">
        <v>7</v>
      </c>
      <c r="K3" s="284">
        <v>8</v>
      </c>
      <c r="L3" s="284">
        <v>9</v>
      </c>
      <c r="M3" s="56">
        <f>L3+1</f>
        <v>10</v>
      </c>
      <c r="N3" s="56">
        <f>M3+1</f>
        <v>11</v>
      </c>
      <c r="O3" s="56">
        <f>N3+1</f>
        <v>12</v>
      </c>
      <c r="P3" s="56">
        <f>O3+1</f>
        <v>13</v>
      </c>
      <c r="Q3" s="56">
        <f>P3+1</f>
        <v>14</v>
      </c>
      <c r="R3" s="15"/>
      <c r="S3" s="15"/>
      <c r="T3" s="15"/>
      <c r="U3" s="15"/>
      <c r="V3" s="15"/>
      <c r="W3" s="15"/>
      <c r="X3" s="15"/>
      <c r="Y3" s="15"/>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0"/>
      <c r="BJ3" s="210"/>
      <c r="BK3" s="210"/>
      <c r="BL3" s="210"/>
      <c r="BM3" s="210"/>
      <c r="BN3" s="210"/>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4" t="str">
        <f>Input!G40</f>
        <v>2008-09</v>
      </c>
      <c r="G4" s="144" t="str">
        <f>Input!H40</f>
        <v>2009-10</v>
      </c>
      <c r="H4" s="144" t="str">
        <f>Input!I40</f>
        <v>2010-11</v>
      </c>
      <c r="I4" s="144" t="str">
        <f>Input!J40</f>
        <v>2011-12</v>
      </c>
      <c r="J4" s="144" t="str">
        <f>Input!K40</f>
        <v>2012-13</v>
      </c>
      <c r="K4" s="144" t="str">
        <f>Input!L40</f>
        <v>2013-14</v>
      </c>
      <c r="L4" s="144" t="str">
        <f>Input!M40</f>
        <v>2014-15</v>
      </c>
      <c r="M4" s="144" t="str">
        <f>Input!N40</f>
        <v>2015-16</v>
      </c>
      <c r="N4" s="144" t="str">
        <f>Input!O40</f>
        <v>2016-17</v>
      </c>
      <c r="O4" s="144" t="str">
        <f>Input!P40</f>
        <v>2017-18</v>
      </c>
      <c r="P4" s="144" t="str">
        <f>Input!Q40</f>
        <v>2018-19</v>
      </c>
      <c r="Q4" s="144" t="str">
        <f>CONCATENATE(LEFT(P4, 4)+1 &amp;"-" &amp;IF(P4&gt;"2007-08",,"0") &amp;RIGHT(P4,2)+1)</f>
        <v>2019-20</v>
      </c>
      <c r="R4" s="144"/>
      <c r="S4" s="16"/>
      <c r="T4" s="16"/>
      <c r="U4" s="16"/>
      <c r="V4" s="16"/>
      <c r="W4" s="16"/>
      <c r="X4" s="16"/>
      <c r="Y4" s="16"/>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185"/>
      <c r="BJ4" s="185"/>
      <c r="BK4" s="185"/>
      <c r="BL4" s="185"/>
      <c r="BM4" s="185"/>
      <c r="BN4" s="185"/>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5" customFormat="1">
      <c r="A5" s="72"/>
      <c r="B5" s="79" t="s">
        <v>70</v>
      </c>
      <c r="C5" s="72"/>
      <c r="D5" s="72"/>
      <c r="E5" s="72"/>
      <c r="F5" s="83"/>
      <c r="G5" s="83"/>
      <c r="H5" s="83"/>
      <c r="I5" s="83"/>
      <c r="J5" s="83"/>
      <c r="K5" s="83"/>
      <c r="L5" s="83"/>
      <c r="M5" s="83"/>
      <c r="N5" s="83"/>
      <c r="O5" s="83"/>
      <c r="P5" s="83"/>
      <c r="Q5" s="83"/>
      <c r="R5" s="83"/>
      <c r="S5" s="105"/>
      <c r="T5" s="105"/>
      <c r="U5" s="105"/>
      <c r="V5" s="105"/>
      <c r="W5" s="105"/>
      <c r="X5" s="105"/>
      <c r="Y5" s="105"/>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row>
    <row r="6" spans="1:255" s="185" customFormat="1">
      <c r="A6" s="11"/>
      <c r="B6" s="16"/>
      <c r="C6" s="11"/>
      <c r="D6" s="11"/>
      <c r="E6" s="11"/>
      <c r="F6" s="105"/>
      <c r="G6" s="105"/>
      <c r="H6" s="105"/>
      <c r="I6" s="105"/>
      <c r="J6" s="105"/>
      <c r="K6" s="105"/>
      <c r="L6" s="105"/>
      <c r="M6" s="105"/>
      <c r="N6" s="105"/>
      <c r="O6" s="105"/>
      <c r="P6" s="105"/>
      <c r="Q6" s="105"/>
      <c r="R6" s="105"/>
      <c r="S6" s="105"/>
      <c r="T6" s="105"/>
      <c r="U6" s="105"/>
      <c r="V6" s="105"/>
      <c r="W6" s="105"/>
      <c r="X6" s="105"/>
      <c r="Y6" s="105"/>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row>
    <row r="7" spans="1:255" s="185" customFormat="1">
      <c r="A7" s="9"/>
      <c r="B7" s="44" t="s">
        <v>69</v>
      </c>
      <c r="C7" s="9"/>
      <c r="D7" s="9"/>
      <c r="E7" s="9"/>
      <c r="F7" s="198"/>
      <c r="G7" s="114">
        <f t="shared" ref="G7:L7" si="0">SUM(G8:G37)</f>
        <v>645.49125539258739</v>
      </c>
      <c r="H7" s="114">
        <f t="shared" si="0"/>
        <v>836.89711149799791</v>
      </c>
      <c r="I7" s="114">
        <f t="shared" si="0"/>
        <v>1077.1815521543792</v>
      </c>
      <c r="J7" s="114">
        <f t="shared" si="0"/>
        <v>1369.0126343576892</v>
      </c>
      <c r="K7" s="114">
        <f>SUM(K8:K37)</f>
        <v>1531.2890530278905</v>
      </c>
      <c r="L7" s="114">
        <f t="shared" si="0"/>
        <v>1630.956345006857</v>
      </c>
      <c r="M7" s="114">
        <f>SUM(M8:M27)</f>
        <v>0</v>
      </c>
      <c r="N7" s="114">
        <f>SUM(N8:N27)</f>
        <v>0</v>
      </c>
      <c r="O7" s="114">
        <f>SUM(O8:O27)</f>
        <v>0</v>
      </c>
      <c r="P7" s="114">
        <f>SUM(P8:P27)</f>
        <v>0</v>
      </c>
      <c r="Q7" s="114">
        <f>SUM(Q8:Q27)</f>
        <v>0</v>
      </c>
      <c r="R7" s="105"/>
      <c r="S7" s="105"/>
      <c r="T7" s="105"/>
      <c r="U7" s="105"/>
      <c r="V7" s="105"/>
      <c r="W7" s="105"/>
      <c r="X7" s="105"/>
      <c r="Y7" s="105"/>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row>
    <row r="8" spans="1:255" s="185" customFormat="1" ht="12.75" hidden="1" customHeight="1" outlineLevel="1">
      <c r="A8" s="9"/>
      <c r="B8" s="9"/>
      <c r="C8" s="128" t="str">
        <f>Asset1</f>
        <v>Transmission &amp; Zone land &amp; easements</v>
      </c>
      <c r="D8" s="9"/>
      <c r="E8" s="9"/>
      <c r="F8" s="191"/>
      <c r="G8" s="109">
        <f>A1taxvalue</f>
        <v>231.50052526227867</v>
      </c>
      <c r="H8" s="109">
        <f>G8+G40+G84</f>
        <v>231.50052526227867</v>
      </c>
      <c r="I8" s="109">
        <f>H8+H40+H84</f>
        <v>245.34459563227867</v>
      </c>
      <c r="J8" s="109">
        <f>I8+I40+I84</f>
        <v>248.10894987227866</v>
      </c>
      <c r="K8" s="109">
        <f>J8+J40+J84</f>
        <v>249.92265809507865</v>
      </c>
      <c r="L8" s="109">
        <f>K8+K40+K84</f>
        <v>251.32950507076026</v>
      </c>
      <c r="M8" s="109">
        <f>IF(Input!M$173&gt;0, L8+L40+L84, 0)</f>
        <v>0</v>
      </c>
      <c r="N8" s="109">
        <f>IF(Input!N$173&gt;0, M8+M40+M84, 0)</f>
        <v>0</v>
      </c>
      <c r="O8" s="109">
        <f>IF(Input!O$173&gt;0, N8+N40+N84, 0)</f>
        <v>0</v>
      </c>
      <c r="P8" s="109">
        <f>IF(Input!P$173&gt;0, O8+O40+O84, 0)</f>
        <v>0</v>
      </c>
      <c r="Q8" s="109">
        <f>IF(Input!Q$173&gt;0, P8+P40+P84, 0)</f>
        <v>0</v>
      </c>
      <c r="R8" s="105"/>
      <c r="S8" s="119"/>
      <c r="T8" s="105"/>
      <c r="U8" s="105"/>
      <c r="V8" s="105"/>
      <c r="W8" s="105"/>
      <c r="X8" s="105"/>
      <c r="Y8" s="105"/>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row>
    <row r="9" spans="1:255" s="185" customFormat="1" ht="12.75" hidden="1" customHeight="1" outlineLevel="1">
      <c r="A9" s="9"/>
      <c r="B9" s="44"/>
      <c r="C9" s="128" t="str">
        <f>Asset2</f>
        <v>Transmission buildings 132/66kV</v>
      </c>
      <c r="D9" s="9"/>
      <c r="E9" s="9"/>
      <c r="F9" s="191"/>
      <c r="G9" s="109">
        <f>A2taxvalue</f>
        <v>16.466837269762816</v>
      </c>
      <c r="H9" s="109">
        <f>G9+G41+G97</f>
        <v>34.086775584087185</v>
      </c>
      <c r="I9" s="109">
        <f>H9+H41+H97</f>
        <v>37.237465766092775</v>
      </c>
      <c r="J9" s="109">
        <f>I9+I41+I97</f>
        <v>39.234735726041279</v>
      </c>
      <c r="K9" s="109">
        <f>J9+J41+J97</f>
        <v>44.376251515932559</v>
      </c>
      <c r="L9" s="109">
        <f>K9+K41+K97</f>
        <v>47.980493956192696</v>
      </c>
      <c r="M9" s="109">
        <f>IF(Input!M$173&gt;0, L9+L41+L97, 0)</f>
        <v>0</v>
      </c>
      <c r="N9" s="109">
        <f>IF(Input!N$173&gt;0, M9+M41+M97, 0)</f>
        <v>0</v>
      </c>
      <c r="O9" s="109">
        <f>IF(Input!O$173&gt;0, N9+N41+N97, 0)</f>
        <v>0</v>
      </c>
      <c r="P9" s="109">
        <f>IF(Input!P$173&gt;0, O9+O41+O97, 0)</f>
        <v>0</v>
      </c>
      <c r="Q9" s="109">
        <f>IF(Input!Q$173&gt;0, P9+P41+P97, 0)</f>
        <v>0</v>
      </c>
      <c r="R9" s="105"/>
      <c r="S9" s="119"/>
      <c r="T9" s="105"/>
      <c r="U9" s="105"/>
      <c r="V9" s="105"/>
      <c r="W9" s="105"/>
      <c r="X9" s="105"/>
      <c r="Y9" s="105"/>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255" s="185" customFormat="1" ht="12.75" hidden="1" customHeight="1" outlineLevel="1">
      <c r="A10" s="9"/>
      <c r="B10" s="44"/>
      <c r="C10" s="128" t="str">
        <f>Asset3</f>
        <v>Zone buildings 132/66kV</v>
      </c>
      <c r="D10" s="9"/>
      <c r="E10" s="9"/>
      <c r="F10" s="191"/>
      <c r="G10" s="109">
        <f>A3taxvalue</f>
        <v>15.922275566260293</v>
      </c>
      <c r="H10" s="109">
        <f>G10+G42+G110</f>
        <v>15.751224191212744</v>
      </c>
      <c r="I10" s="109">
        <f>H10+H42+H110</f>
        <v>21.754425877669846</v>
      </c>
      <c r="J10" s="109">
        <f>I10+I42+I110</f>
        <v>25.883286982623162</v>
      </c>
      <c r="K10" s="109">
        <f>J10+J42+J110</f>
        <v>58.066338073100241</v>
      </c>
      <c r="L10" s="109">
        <f>K10+K42+K110</f>
        <v>82.327469757468705</v>
      </c>
      <c r="M10" s="109">
        <f>IF(Input!M$173&gt;0, L10+L42+L110, 0)</f>
        <v>0</v>
      </c>
      <c r="N10" s="109">
        <f>IF(Input!N$173&gt;0, M10+M42+M110, 0)</f>
        <v>0</v>
      </c>
      <c r="O10" s="109">
        <f>IF(Input!O$173&gt;0, N10+N42+N110, 0)</f>
        <v>0</v>
      </c>
      <c r="P10" s="109">
        <f>IF(Input!P$173&gt;0, O10+O42+O110, 0)</f>
        <v>0</v>
      </c>
      <c r="Q10" s="109">
        <f>IF(Input!Q$173&gt;0, P10+P42+P110, 0)</f>
        <v>0</v>
      </c>
      <c r="R10" s="105"/>
      <c r="S10" s="119"/>
      <c r="T10" s="105"/>
      <c r="U10" s="105"/>
      <c r="V10" s="105"/>
      <c r="W10" s="105"/>
      <c r="X10" s="105"/>
      <c r="Y10" s="105"/>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255" s="185" customFormat="1" ht="12.75" hidden="1" customHeight="1" outlineLevel="1">
      <c r="A11" s="9"/>
      <c r="B11" s="44"/>
      <c r="C11" s="128" t="str">
        <f>Asset4</f>
        <v>Transmission transformers 132/66kV</v>
      </c>
      <c r="D11" s="9"/>
      <c r="E11" s="9"/>
      <c r="F11" s="191"/>
      <c r="G11" s="109">
        <f>A4taxvalue</f>
        <v>13.817848234040349</v>
      </c>
      <c r="H11" s="109">
        <f>G11+G43+G123</f>
        <v>16.345562326405513</v>
      </c>
      <c r="I11" s="109">
        <f>H11+H43+H123</f>
        <v>17.050096743727082</v>
      </c>
      <c r="J11" s="109">
        <f>I11+I43+I123</f>
        <v>19.15906567854918</v>
      </c>
      <c r="K11" s="109">
        <f>J11+J43+J123</f>
        <v>24.428007689565867</v>
      </c>
      <c r="L11" s="109">
        <f>K11+K43+K123</f>
        <v>28.607651595817295</v>
      </c>
      <c r="M11" s="109">
        <f>IF(Input!M$173&gt;0, L11+L43+L123, 0)</f>
        <v>0</v>
      </c>
      <c r="N11" s="109">
        <f>IF(Input!N$173&gt;0, M11+M43+M123, 0)</f>
        <v>0</v>
      </c>
      <c r="O11" s="109">
        <f>IF(Input!O$173&gt;0, N11+N43+N123, 0)</f>
        <v>0</v>
      </c>
      <c r="P11" s="109">
        <f>IF(Input!P$173&gt;0, O11+O43+O123, 0)</f>
        <v>0</v>
      </c>
      <c r="Q11" s="109">
        <f>IF(Input!Q$173&gt;0, P11+P43+P123, 0)</f>
        <v>0</v>
      </c>
      <c r="R11" s="105"/>
      <c r="S11" s="119"/>
      <c r="T11" s="105"/>
      <c r="U11" s="105"/>
      <c r="V11" s="105"/>
      <c r="W11" s="105"/>
      <c r="X11" s="105"/>
      <c r="Y11" s="105"/>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255" s="185" customFormat="1" ht="12.75" hidden="1" customHeight="1" outlineLevel="1">
      <c r="A12" s="9"/>
      <c r="B12" s="44"/>
      <c r="C12" s="128" t="str">
        <f>Asset5</f>
        <v>Zone transformers 132/66kV</v>
      </c>
      <c r="D12" s="9"/>
      <c r="E12" s="9"/>
      <c r="F12" s="191"/>
      <c r="G12" s="109">
        <f>A5taxvalue</f>
        <v>4.7181017762620723</v>
      </c>
      <c r="H12" s="109">
        <f>G12+G44+G136</f>
        <v>7.4990314497335495</v>
      </c>
      <c r="I12" s="109">
        <f>H12+H44+H136</f>
        <v>10.224500049552061</v>
      </c>
      <c r="J12" s="109">
        <f>I12+I44+I136</f>
        <v>12.973163004663476</v>
      </c>
      <c r="K12" s="109">
        <f>J12+J44+J136</f>
        <v>12.664912588132358</v>
      </c>
      <c r="L12" s="109">
        <f>K12+K44+K136</f>
        <v>12.356662289093903</v>
      </c>
      <c r="M12" s="109">
        <f>IF(Input!M$173&gt;0, L12+L44+L136, 0)</f>
        <v>0</v>
      </c>
      <c r="N12" s="109">
        <f>IF(Input!N$173&gt;0, M12+M44+M136, 0)</f>
        <v>0</v>
      </c>
      <c r="O12" s="109">
        <f>IF(Input!O$173&gt;0, N12+N44+N136, 0)</f>
        <v>0</v>
      </c>
      <c r="P12" s="109">
        <f>IF(Input!P$173&gt;0, O12+O44+O136, 0)</f>
        <v>0</v>
      </c>
      <c r="Q12" s="109">
        <f>IF(Input!Q$173&gt;0, P12+P44+P136, 0)</f>
        <v>0</v>
      </c>
      <c r="R12" s="105"/>
      <c r="S12" s="119"/>
      <c r="T12" s="105"/>
      <c r="U12" s="105"/>
      <c r="V12" s="105"/>
      <c r="W12" s="105"/>
      <c r="X12" s="105"/>
      <c r="Y12" s="105"/>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255" s="185" customFormat="1" ht="12.75" hidden="1" customHeight="1" outlineLevel="1">
      <c r="A13" s="9"/>
      <c r="B13" s="44"/>
      <c r="C13" s="128" t="str">
        <f>Asset6</f>
        <v>Transmission substation equip 132/66kV</v>
      </c>
      <c r="D13" s="9"/>
      <c r="E13" s="9"/>
      <c r="F13" s="191"/>
      <c r="G13" s="109">
        <f>A6taxvalue</f>
        <v>79.908301058638386</v>
      </c>
      <c r="H13" s="109">
        <f>G13+G45+G149</f>
        <v>98.339035606192439</v>
      </c>
      <c r="I13" s="109">
        <f>H13+H45+H149</f>
        <v>114.51817611238644</v>
      </c>
      <c r="J13" s="109">
        <f>I13+I45+I149</f>
        <v>137.99259174601551</v>
      </c>
      <c r="K13" s="109">
        <f>J13+J45+J149</f>
        <v>152.10515506989003</v>
      </c>
      <c r="L13" s="109">
        <f>K13+K45+K149</f>
        <v>161.68783089782252</v>
      </c>
      <c r="M13" s="109">
        <f>IF(Input!M$173&gt;0, L13+L45+L149, 0)</f>
        <v>0</v>
      </c>
      <c r="N13" s="109">
        <f>IF(Input!N$173&gt;0, M13+M45+M149, 0)</f>
        <v>0</v>
      </c>
      <c r="O13" s="109">
        <f>IF(Input!O$173&gt;0, N13+N45+N149, 0)</f>
        <v>0</v>
      </c>
      <c r="P13" s="109">
        <f>IF(Input!P$173&gt;0, O13+O45+O149, 0)</f>
        <v>0</v>
      </c>
      <c r="Q13" s="109">
        <f>IF(Input!Q$173&gt;0, P13+P45+P149, 0)</f>
        <v>0</v>
      </c>
      <c r="R13" s="105"/>
      <c r="S13" s="119"/>
      <c r="T13" s="105"/>
      <c r="U13" s="105"/>
      <c r="V13" s="105"/>
      <c r="W13" s="105"/>
      <c r="X13" s="105"/>
      <c r="Y13" s="105"/>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255" s="185" customFormat="1" ht="12.75" hidden="1" customHeight="1" outlineLevel="1">
      <c r="A14" s="9"/>
      <c r="B14" s="44"/>
      <c r="C14" s="128" t="str">
        <f>Asset7</f>
        <v>Zone substation equip 132/66kV</v>
      </c>
      <c r="D14" s="9"/>
      <c r="E14" s="9"/>
      <c r="F14" s="191"/>
      <c r="G14" s="109">
        <f>A7taxvalue</f>
        <v>50.802125914217264</v>
      </c>
      <c r="H14" s="109">
        <f>G14+G46+G162</f>
        <v>84.410853588910499</v>
      </c>
      <c r="I14" s="109">
        <f>H14+H46+H162</f>
        <v>166.33476570828407</v>
      </c>
      <c r="J14" s="109">
        <f>I14+I46+I162</f>
        <v>242.77259628429908</v>
      </c>
      <c r="K14" s="109">
        <f>J14+J46+J162</f>
        <v>269.29043418404802</v>
      </c>
      <c r="L14" s="109">
        <f>K14+K46+K162</f>
        <v>287.37902067948545</v>
      </c>
      <c r="M14" s="109">
        <f>IF(Input!M$173&gt;0, L14+L46+L162, 0)</f>
        <v>0</v>
      </c>
      <c r="N14" s="109">
        <f>IF(Input!N$173&gt;0, M14+M46+M162, 0)</f>
        <v>0</v>
      </c>
      <c r="O14" s="109">
        <f>IF(Input!O$173&gt;0, N14+N46+N162, 0)</f>
        <v>0</v>
      </c>
      <c r="P14" s="109">
        <f>IF(Input!P$173&gt;0, O14+O46+O162, 0)</f>
        <v>0</v>
      </c>
      <c r="Q14" s="109">
        <f>IF(Input!Q$173&gt;0, P14+P46+P162, 0)</f>
        <v>0</v>
      </c>
      <c r="R14" s="105"/>
      <c r="S14" s="119"/>
      <c r="T14" s="105"/>
      <c r="U14" s="105"/>
      <c r="V14" s="105"/>
      <c r="W14" s="105"/>
      <c r="X14" s="105"/>
      <c r="Y14" s="105"/>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255" s="185" customFormat="1" ht="12.75" hidden="1" customHeight="1" outlineLevel="1">
      <c r="A15" s="9"/>
      <c r="B15" s="44"/>
      <c r="C15" s="128" t="str">
        <f>Asset8</f>
        <v>Transmission &amp; Zone emergency spares</v>
      </c>
      <c r="D15" s="9"/>
      <c r="E15" s="9"/>
      <c r="F15" s="191"/>
      <c r="G15" s="109">
        <f>A8taxvalue</f>
        <v>1.0440326764070269</v>
      </c>
      <c r="H15" s="109">
        <f>G15+G47+G175</f>
        <v>1.0440326764070269</v>
      </c>
      <c r="I15" s="109">
        <f>H15+H47+H175</f>
        <v>1.0440326764070269</v>
      </c>
      <c r="J15" s="109">
        <f>I15+I47+I175</f>
        <v>1.0440326764070269</v>
      </c>
      <c r="K15" s="109">
        <f>J15+J47+J175</f>
        <v>1.0440326764070269</v>
      </c>
      <c r="L15" s="109">
        <f>K15+K47+K175</f>
        <v>1.0440326764070269</v>
      </c>
      <c r="M15" s="109">
        <f>IF(Input!M$173&gt;0, L15+L47+L175, 0)</f>
        <v>0</v>
      </c>
      <c r="N15" s="109">
        <f>IF(Input!N$173&gt;0, M15+M47+M175, 0)</f>
        <v>0</v>
      </c>
      <c r="O15" s="109">
        <f>IF(Input!O$173&gt;0, N15+N47+N175, 0)</f>
        <v>0</v>
      </c>
      <c r="P15" s="109">
        <f>IF(Input!P$173&gt;0, O15+O47+O175, 0)</f>
        <v>0</v>
      </c>
      <c r="Q15" s="109">
        <f>IF(Input!Q$173&gt;0, P15+P47+P175, 0)</f>
        <v>0</v>
      </c>
      <c r="R15" s="105"/>
      <c r="S15" s="119"/>
      <c r="T15" s="105"/>
      <c r="U15" s="105"/>
      <c r="V15" s="105"/>
      <c r="W15" s="105"/>
      <c r="X15" s="105"/>
      <c r="Y15" s="105"/>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255" s="185" customFormat="1" ht="12.75" hidden="1" customHeight="1" outlineLevel="1">
      <c r="A16" s="9"/>
      <c r="B16" s="44"/>
      <c r="C16" s="128" t="str">
        <f>Asset9</f>
        <v>Ancillary substation equipment (tx)</v>
      </c>
      <c r="D16" s="9"/>
      <c r="E16" s="9"/>
      <c r="F16" s="191"/>
      <c r="G16" s="109">
        <f>A9taxvalue</f>
        <v>0</v>
      </c>
      <c r="H16" s="109">
        <f>G16+G48+G188</f>
        <v>1.1234827461900003</v>
      </c>
      <c r="I16" s="109">
        <f>H16+H48+H188</f>
        <v>4.1516898399690003</v>
      </c>
      <c r="J16" s="109">
        <f>I16+I48+I188</f>
        <v>10.417185346549665</v>
      </c>
      <c r="K16" s="109">
        <f>J16+J48+J188</f>
        <v>31.482253753675295</v>
      </c>
      <c r="L16" s="109">
        <f>K16+K48+K188</f>
        <v>46.057638933563375</v>
      </c>
      <c r="M16" s="109">
        <f>IF(Input!M$173&gt;0, L16+L48+L188, 0)</f>
        <v>0</v>
      </c>
      <c r="N16" s="109">
        <f>IF(Input!N$173&gt;0, M16+M48+M188, 0)</f>
        <v>0</v>
      </c>
      <c r="O16" s="109">
        <f>IF(Input!O$173&gt;0, N16+N48+N188, 0)</f>
        <v>0</v>
      </c>
      <c r="P16" s="109">
        <f>IF(Input!P$173&gt;0, O16+O48+O188, 0)</f>
        <v>0</v>
      </c>
      <c r="Q16" s="109">
        <f>IF(Input!Q$173&gt;0, P16+P48+P188, 0)</f>
        <v>0</v>
      </c>
      <c r="R16" s="105"/>
      <c r="S16" s="119"/>
      <c r="T16" s="105"/>
      <c r="U16" s="105"/>
      <c r="V16" s="105"/>
      <c r="W16" s="105"/>
      <c r="X16" s="105"/>
      <c r="Y16" s="105"/>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s="185" customFormat="1" ht="12.75" hidden="1" customHeight="1" outlineLevel="1">
      <c r="A17" s="9"/>
      <c r="B17" s="44"/>
      <c r="C17" s="128" t="str">
        <f>Asset10</f>
        <v>132kV tower lines</v>
      </c>
      <c r="D17" s="9"/>
      <c r="E17" s="9"/>
      <c r="F17" s="191"/>
      <c r="G17" s="109">
        <f>A10taxvalue</f>
        <v>10.576957570649979</v>
      </c>
      <c r="H17" s="109">
        <f>G17+G49+G201</f>
        <v>13.266160840935449</v>
      </c>
      <c r="I17" s="109">
        <f>H17+H49+H201</f>
        <v>21.561021056203327</v>
      </c>
      <c r="J17" s="109">
        <f>I17+I49+I201</f>
        <v>26.88615377561861</v>
      </c>
      <c r="K17" s="109">
        <f>J17+J49+J201</f>
        <v>25.401000636746229</v>
      </c>
      <c r="L17" s="109">
        <f>K17+K49+K201</f>
        <v>25.153725356263006</v>
      </c>
      <c r="M17" s="109">
        <f>IF(Input!M$173&gt;0, L17+L49+L201, 0)</f>
        <v>0</v>
      </c>
      <c r="N17" s="109">
        <f>IF(Input!N$173&gt;0, M17+M49+M201, 0)</f>
        <v>0</v>
      </c>
      <c r="O17" s="109">
        <f>IF(Input!O$173&gt;0, N17+N49+N201, 0)</f>
        <v>0</v>
      </c>
      <c r="P17" s="109">
        <f>IF(Input!P$173&gt;0, O17+O49+O201, 0)</f>
        <v>0</v>
      </c>
      <c r="Q17" s="109">
        <f>IF(Input!Q$173&gt;0, P17+P49+P201, 0)</f>
        <v>0</v>
      </c>
      <c r="R17" s="105"/>
      <c r="S17" s="119"/>
      <c r="T17" s="105"/>
      <c r="U17" s="105"/>
      <c r="V17" s="105"/>
      <c r="W17" s="105"/>
      <c r="X17" s="105"/>
      <c r="Y17" s="105"/>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s="185" customFormat="1" ht="12.75" hidden="1" customHeight="1" outlineLevel="1">
      <c r="A18" s="9"/>
      <c r="B18" s="44"/>
      <c r="C18" s="128" t="str">
        <f>Asset11</f>
        <v>132kV concrete &amp; steel pole lines</v>
      </c>
      <c r="D18" s="9"/>
      <c r="E18" s="9"/>
      <c r="F18" s="191"/>
      <c r="G18" s="109">
        <f>A11taxvalue</f>
        <v>3.6320613521957328</v>
      </c>
      <c r="H18" s="109">
        <f>G18+G50+G214</f>
        <v>17.621412229500891</v>
      </c>
      <c r="I18" s="109">
        <f>H18+H50+H214</f>
        <v>21.153584200466565</v>
      </c>
      <c r="J18" s="109">
        <f>I18+I50+I214</f>
        <v>21.482382908173754</v>
      </c>
      <c r="K18" s="109">
        <f>J18+J50+J214</f>
        <v>18.902226320992522</v>
      </c>
      <c r="L18" s="109">
        <f>K18+K50+K214</f>
        <v>18.220736784112407</v>
      </c>
      <c r="M18" s="109">
        <f>IF(Input!M$173&gt;0, L18+L50+L214, 0)</f>
        <v>0</v>
      </c>
      <c r="N18" s="109">
        <f>IF(Input!N$173&gt;0, M18+M50+M214, 0)</f>
        <v>0</v>
      </c>
      <c r="O18" s="109">
        <f>IF(Input!O$173&gt;0, N18+N50+N214, 0)</f>
        <v>0</v>
      </c>
      <c r="P18" s="109">
        <f>IF(Input!P$173&gt;0, O18+O50+O214, 0)</f>
        <v>0</v>
      </c>
      <c r="Q18" s="109">
        <f>IF(Input!Q$173&gt;0, P18+P50+P214, 0)</f>
        <v>0</v>
      </c>
      <c r="R18" s="105"/>
      <c r="S18" s="119"/>
      <c r="T18" s="105"/>
      <c r="U18" s="105"/>
      <c r="V18" s="105"/>
      <c r="W18" s="105"/>
      <c r="X18" s="105"/>
      <c r="Y18" s="105"/>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s="185" customFormat="1" ht="12.75" hidden="1" customHeight="1" outlineLevel="1">
      <c r="A19" s="9"/>
      <c r="B19" s="44"/>
      <c r="C19" s="128" t="str">
        <f>Asset12</f>
        <v>132kV wood pole lines</v>
      </c>
      <c r="D19" s="9"/>
      <c r="E19" s="9"/>
      <c r="F19" s="191"/>
      <c r="G19" s="109">
        <f>A12taxvalue</f>
        <v>15.864281954056768</v>
      </c>
      <c r="H19" s="109">
        <f>G19+G51+G227</f>
        <v>25.208225910634802</v>
      </c>
      <c r="I19" s="109">
        <f>H19+H51+H227</f>
        <v>24.971817169005366</v>
      </c>
      <c r="J19" s="109">
        <f>I19+I51+I227</f>
        <v>24.678802254238231</v>
      </c>
      <c r="K19" s="109">
        <f>J19+J51+J227</f>
        <v>24.586443784734893</v>
      </c>
      <c r="L19" s="109">
        <f>K19+K51+K227</f>
        <v>24.401474165487677</v>
      </c>
      <c r="M19" s="109">
        <f>IF(Input!M$173&gt;0, L19+L51+L227, 0)</f>
        <v>0</v>
      </c>
      <c r="N19" s="109">
        <f>IF(Input!N$173&gt;0, M19+M51+M227, 0)</f>
        <v>0</v>
      </c>
      <c r="O19" s="109">
        <f>IF(Input!O$173&gt;0, N19+N51+N227, 0)</f>
        <v>0</v>
      </c>
      <c r="P19" s="109">
        <f>IF(Input!P$173&gt;0, O19+O51+O227, 0)</f>
        <v>0</v>
      </c>
      <c r="Q19" s="109">
        <f>IF(Input!Q$173&gt;0, P19+P51+P227, 0)</f>
        <v>0</v>
      </c>
      <c r="R19" s="105"/>
      <c r="S19" s="119"/>
      <c r="T19" s="105"/>
      <c r="U19" s="105"/>
      <c r="V19" s="105"/>
      <c r="W19" s="105"/>
      <c r="X19" s="105"/>
      <c r="Y19" s="105"/>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s="185" customFormat="1" ht="12.75" hidden="1" customHeight="1" outlineLevel="1">
      <c r="A20" s="9"/>
      <c r="B20" s="44"/>
      <c r="C20" s="128" t="str">
        <f>Asset13</f>
        <v>132kV feeders underground</v>
      </c>
      <c r="D20" s="9"/>
      <c r="E20" s="9"/>
      <c r="F20" s="191"/>
      <c r="G20" s="109">
        <f>A13taxvalue</f>
        <v>125.1969418945696</v>
      </c>
      <c r="H20" s="109">
        <f>G20+G52+G240</f>
        <v>188.96819215981853</v>
      </c>
      <c r="I20" s="109">
        <f>H20+H52+H240</f>
        <v>270.98392989723902</v>
      </c>
      <c r="J20" s="109">
        <f>I20+I52+I240</f>
        <v>427.62386851469034</v>
      </c>
      <c r="K20" s="109">
        <f>J20+J52+J240</f>
        <v>488.8901714546837</v>
      </c>
      <c r="L20" s="109">
        <f>K20+K52+K240</f>
        <v>532.42056634020116</v>
      </c>
      <c r="M20" s="109">
        <f>IF(Input!M$173&gt;0, L20+L52+L240, 0)</f>
        <v>0</v>
      </c>
      <c r="N20" s="109">
        <f>IF(Input!N$173&gt;0, M20+M52+M240, 0)</f>
        <v>0</v>
      </c>
      <c r="O20" s="109">
        <f>IF(Input!O$173&gt;0, N20+N52+N240, 0)</f>
        <v>0</v>
      </c>
      <c r="P20" s="109">
        <f>IF(Input!P$173&gt;0, O20+O52+O240, 0)</f>
        <v>0</v>
      </c>
      <c r="Q20" s="109">
        <f>IF(Input!Q$173&gt;0, P20+P52+P240, 0)</f>
        <v>0</v>
      </c>
      <c r="R20" s="105"/>
      <c r="S20" s="105"/>
      <c r="T20" s="105"/>
      <c r="U20" s="105"/>
      <c r="V20" s="105"/>
      <c r="W20" s="105"/>
      <c r="X20" s="105"/>
      <c r="Y20" s="105"/>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s="185" customFormat="1" ht="12.75" hidden="1" customHeight="1" outlineLevel="1">
      <c r="A21" s="9"/>
      <c r="B21" s="44"/>
      <c r="C21" s="128" t="str">
        <f>Asset14</f>
        <v>Cable tunnel (tx)</v>
      </c>
      <c r="D21" s="9"/>
      <c r="E21" s="9"/>
      <c r="F21" s="191"/>
      <c r="G21" s="109">
        <f>A14taxvalue</f>
        <v>0</v>
      </c>
      <c r="H21" s="109">
        <f>G21+G53+G253</f>
        <v>0</v>
      </c>
      <c r="I21" s="109">
        <f>H21+H53+H253</f>
        <v>0</v>
      </c>
      <c r="J21" s="109">
        <f>I21+I53+I253</f>
        <v>0.50669688999999996</v>
      </c>
      <c r="K21" s="109">
        <f>J21+J53+J253</f>
        <v>0.66827815735294116</v>
      </c>
      <c r="L21" s="109">
        <f>K21+K53+K253</f>
        <v>0.78641339490761664</v>
      </c>
      <c r="M21" s="109">
        <f>IF(Input!M$173&gt;0, L21+L53+L253, 0)</f>
        <v>0</v>
      </c>
      <c r="N21" s="109">
        <f>IF(Input!N$173&gt;0, M21+M53+M253, 0)</f>
        <v>0</v>
      </c>
      <c r="O21" s="109">
        <f>IF(Input!O$173&gt;0, N21+N53+N253, 0)</f>
        <v>0</v>
      </c>
      <c r="P21" s="109">
        <f>IF(Input!P$173&gt;0, O21+O53+O253, 0)</f>
        <v>0</v>
      </c>
      <c r="Q21" s="109">
        <f>IF(Input!Q$173&gt;0, P21+P53+P253, 0)</f>
        <v>0</v>
      </c>
      <c r="R21" s="105"/>
      <c r="S21" s="105"/>
      <c r="T21" s="105"/>
      <c r="U21" s="105"/>
      <c r="V21" s="105"/>
      <c r="W21" s="105"/>
      <c r="X21" s="105"/>
      <c r="Y21" s="105"/>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s="185" customFormat="1" ht="12.75" hidden="1" customHeight="1" outlineLevel="1">
      <c r="A22" s="9"/>
      <c r="B22" s="44"/>
      <c r="C22" s="128" t="str">
        <f>Asset15</f>
        <v>Network control &amp; com systems</v>
      </c>
      <c r="D22" s="9"/>
      <c r="E22" s="9"/>
      <c r="F22" s="191"/>
      <c r="G22" s="109">
        <f>A15taxvalue</f>
        <v>9.0350446583686619</v>
      </c>
      <c r="H22" s="109">
        <f>G22+G54+G266</f>
        <v>10.024367962662462</v>
      </c>
      <c r="I22" s="109">
        <f>H22+H54+H266</f>
        <v>9.3175373310207394</v>
      </c>
      <c r="J22" s="109">
        <f>I22+I54+I266</f>
        <v>8.6424343934393875</v>
      </c>
      <c r="K22" s="109">
        <f>J22+J54+J266</f>
        <v>7.8843120434068936</v>
      </c>
      <c r="L22" s="109">
        <f>K22+K54+K266</f>
        <v>7.1261896933743998</v>
      </c>
      <c r="M22" s="109">
        <f>IF(Input!M$173&gt;0, L22+L54+L266, 0)</f>
        <v>0</v>
      </c>
      <c r="N22" s="109">
        <f>IF(Input!N$173&gt;0, M22+M54+M266, 0)</f>
        <v>0</v>
      </c>
      <c r="O22" s="109">
        <f>IF(Input!O$173&gt;0, N22+N54+N266, 0)</f>
        <v>0</v>
      </c>
      <c r="P22" s="109">
        <f>IF(Input!P$173&gt;0, O22+O54+O266, 0)</f>
        <v>0</v>
      </c>
      <c r="Q22" s="109">
        <f>IF(Input!Q$173&gt;0, P22+P54+P266, 0)</f>
        <v>0</v>
      </c>
      <c r="R22" s="105"/>
      <c r="S22" s="119"/>
      <c r="T22" s="105"/>
      <c r="U22" s="105"/>
      <c r="V22" s="105"/>
      <c r="W22" s="105"/>
      <c r="X22" s="105"/>
      <c r="Y22" s="105"/>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s="185" customFormat="1" ht="12.75" hidden="1" customHeight="1" outlineLevel="1">
      <c r="A23" s="9"/>
      <c r="B23" s="44"/>
      <c r="C23" s="128" t="str">
        <f>Asset16</f>
        <v>Communications (digital) - tx</v>
      </c>
      <c r="D23" s="9"/>
      <c r="E23" s="9"/>
      <c r="F23" s="191"/>
      <c r="G23" s="109">
        <f>A16taxvalue</f>
        <v>0</v>
      </c>
      <c r="H23" s="109">
        <f>G23+G55+G279</f>
        <v>0</v>
      </c>
      <c r="I23" s="109">
        <f>H23+H55+H279</f>
        <v>0.32362712999999999</v>
      </c>
      <c r="J23" s="109">
        <f>I23+I55+I279</f>
        <v>0.77580187499999986</v>
      </c>
      <c r="K23" s="109">
        <f>J23+J55+J279</f>
        <v>0.86877645619999988</v>
      </c>
      <c r="L23" s="109">
        <f>K23+K55+K279</f>
        <v>0.90418221689145595</v>
      </c>
      <c r="M23" s="109">
        <f>IF(Input!M$173&gt;0, L23+L55+L279, 0)</f>
        <v>0</v>
      </c>
      <c r="N23" s="109">
        <f>IF(Input!N$173&gt;0, M23+M55+M279, 0)</f>
        <v>0</v>
      </c>
      <c r="O23" s="109">
        <f>IF(Input!O$173&gt;0, N23+N55+N279, 0)</f>
        <v>0</v>
      </c>
      <c r="P23" s="109">
        <f>IF(Input!P$173&gt;0, O23+O55+O279, 0)</f>
        <v>0</v>
      </c>
      <c r="Q23" s="109">
        <f>IF(Input!Q$173&gt;0, P23+P55+P279, 0)</f>
        <v>0</v>
      </c>
      <c r="R23" s="105"/>
      <c r="S23" s="105"/>
      <c r="T23" s="105"/>
      <c r="U23" s="105"/>
      <c r="V23" s="105"/>
      <c r="W23" s="105"/>
      <c r="X23" s="105"/>
      <c r="Y23" s="105"/>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s="185" customFormat="1" ht="12.75" hidden="1" customHeight="1" outlineLevel="1">
      <c r="A24" s="9"/>
      <c r="B24" s="44"/>
      <c r="C24" s="128" t="str">
        <f>Asset17</f>
        <v>System IT (tx)</v>
      </c>
      <c r="D24" s="9"/>
      <c r="E24" s="9"/>
      <c r="F24" s="191"/>
      <c r="G24" s="109">
        <f>A17taxvalue</f>
        <v>0</v>
      </c>
      <c r="H24" s="109">
        <f>G24+G56+G292</f>
        <v>3.5523082593050002</v>
      </c>
      <c r="I24" s="109">
        <f>H24+H56+H292</f>
        <v>11.066683389857857</v>
      </c>
      <c r="J24" s="109">
        <f>I24+I56+I292</f>
        <v>18.789223251053571</v>
      </c>
      <c r="K24" s="109">
        <f>J24+J56+J292</f>
        <v>20.768736583506431</v>
      </c>
      <c r="L24" s="109">
        <f>K24+K56+K292</f>
        <v>20.888027355677487</v>
      </c>
      <c r="M24" s="109">
        <f>IF(Input!M$173&gt;0, L24+L56+L292, 0)</f>
        <v>0</v>
      </c>
      <c r="N24" s="109">
        <f>IF(Input!N$173&gt;0, M24+M56+M292, 0)</f>
        <v>0</v>
      </c>
      <c r="O24" s="109">
        <f>IF(Input!O$173&gt;0, N24+N56+N292, 0)</f>
        <v>0</v>
      </c>
      <c r="P24" s="109">
        <f>IF(Input!P$173&gt;0, O24+O56+O292, 0)</f>
        <v>0</v>
      </c>
      <c r="Q24" s="109">
        <f>IF(Input!Q$173&gt;0, P24+P56+P292, 0)</f>
        <v>0</v>
      </c>
      <c r="R24" s="105"/>
      <c r="S24" s="119"/>
      <c r="T24" s="105"/>
      <c r="U24" s="105"/>
      <c r="V24" s="105"/>
      <c r="W24" s="105"/>
      <c r="X24" s="105"/>
      <c r="Y24" s="105"/>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s="185" customFormat="1" ht="12.75" hidden="1" customHeight="1" outlineLevel="1">
      <c r="A25" s="9"/>
      <c r="B25" s="44"/>
      <c r="C25" s="128" t="str">
        <f>Asset18</f>
        <v>IT systems</v>
      </c>
      <c r="D25" s="9"/>
      <c r="E25" s="9"/>
      <c r="F25" s="191"/>
      <c r="G25" s="109">
        <f>A18taxvalue</f>
        <v>21.427164666045112</v>
      </c>
      <c r="H25" s="109">
        <f>G25+G57+G305</f>
        <v>23.362325123381549</v>
      </c>
      <c r="I25" s="109">
        <f>H25+H57+H305</f>
        <v>24.903288727453095</v>
      </c>
      <c r="J25" s="109">
        <f>I25+I57+I305</f>
        <v>19.926063465679718</v>
      </c>
      <c r="K25" s="109">
        <f>J25+J57+J305</f>
        <v>15.577587033925504</v>
      </c>
      <c r="L25" s="109">
        <f>K25+K57+K305</f>
        <v>12.557840569906869</v>
      </c>
      <c r="M25" s="109">
        <f>IF(Input!M$173&gt;0, L25+L57+L305, 0)</f>
        <v>0</v>
      </c>
      <c r="N25" s="109">
        <f>IF(Input!N$173&gt;0, M25+M57+M305, 0)</f>
        <v>0</v>
      </c>
      <c r="O25" s="109">
        <f>IF(Input!O$173&gt;0, N25+N57+N305, 0)</f>
        <v>0</v>
      </c>
      <c r="P25" s="109">
        <f>IF(Input!P$173&gt;0, O25+O57+O305, 0)</f>
        <v>0</v>
      </c>
      <c r="Q25" s="109">
        <f>IF(Input!Q$173&gt;0, P25+P57+P305, 0)</f>
        <v>0</v>
      </c>
      <c r="R25" s="105"/>
      <c r="S25" s="119"/>
      <c r="T25" s="105"/>
      <c r="U25" s="105"/>
      <c r="V25" s="105"/>
      <c r="W25" s="105"/>
      <c r="X25" s="105"/>
      <c r="Y25" s="105"/>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s="185" customFormat="1" ht="12.75" hidden="1" customHeight="1" outlineLevel="1">
      <c r="A26" s="9"/>
      <c r="B26" s="44"/>
      <c r="C26" s="128" t="str">
        <f>Asset19</f>
        <v>Furniture, fittings, plant and equipment</v>
      </c>
      <c r="D26" s="9"/>
      <c r="E26" s="9"/>
      <c r="F26" s="191"/>
      <c r="G26" s="109">
        <f>A19taxvalue</f>
        <v>3.1254161840169101</v>
      </c>
      <c r="H26" s="109">
        <f>G26+G58+G318</f>
        <v>3.7243190967851607</v>
      </c>
      <c r="I26" s="109">
        <f>H26+H58+H318</f>
        <v>4.1540711714227072</v>
      </c>
      <c r="J26" s="109">
        <f>I26+I58+I318</f>
        <v>4.554504813950766</v>
      </c>
      <c r="K26" s="109">
        <f>J26+J58+J318</f>
        <v>4.527382448203789</v>
      </c>
      <c r="L26" s="109">
        <f>K26+K58+K318</f>
        <v>4.3403426943425725</v>
      </c>
      <c r="M26" s="109">
        <f>IF(Input!M$173&gt;0, L26+L58+L318, 0)</f>
        <v>0</v>
      </c>
      <c r="N26" s="109">
        <f>IF(Input!N$173&gt;0, M26+M58+M318, 0)</f>
        <v>0</v>
      </c>
      <c r="O26" s="109">
        <f>IF(Input!O$173&gt;0, N26+N58+N318, 0)</f>
        <v>0</v>
      </c>
      <c r="P26" s="109">
        <f>IF(Input!P$173&gt;0, O26+O58+O318, 0)</f>
        <v>0</v>
      </c>
      <c r="Q26" s="109">
        <f>IF(Input!Q$173&gt;0, P26+P58+P318, 0)</f>
        <v>0</v>
      </c>
      <c r="R26" s="105"/>
      <c r="S26" s="119"/>
      <c r="T26" s="105"/>
      <c r="U26" s="105"/>
      <c r="V26" s="105"/>
      <c r="W26" s="105"/>
      <c r="X26" s="105"/>
      <c r="Y26" s="105"/>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s="185" customFormat="1" ht="12.75" hidden="1" customHeight="1" outlineLevel="1">
      <c r="A27" s="9"/>
      <c r="B27" s="44"/>
      <c r="C27" s="128" t="str">
        <f>Asset20</f>
        <v>Motor vehicles</v>
      </c>
      <c r="D27" s="9"/>
      <c r="E27" s="9"/>
      <c r="F27" s="191"/>
      <c r="G27" s="109">
        <f>A20taxvalue</f>
        <v>10.732206592744841</v>
      </c>
      <c r="H27" s="109">
        <f>G27+G59+G331</f>
        <v>12.51541316749613</v>
      </c>
      <c r="I27" s="109">
        <f>H27+H59+H331</f>
        <v>14.570030077076733</v>
      </c>
      <c r="J27" s="109">
        <f>I27+I59+I331</f>
        <v>17.001597678263956</v>
      </c>
      <c r="K27" s="109">
        <f>J27+J59+J331</f>
        <v>17.420285299097173</v>
      </c>
      <c r="L27" s="109">
        <f>K27+K59+K331</f>
        <v>17.916271051746868</v>
      </c>
      <c r="M27" s="109">
        <f>IF(Input!M$173&gt;0, L27+L59+L331, 0)</f>
        <v>0</v>
      </c>
      <c r="N27" s="109">
        <f>IF(Input!N$173&gt;0, M27+M59+M331, 0)</f>
        <v>0</v>
      </c>
      <c r="O27" s="109">
        <f>IF(Input!O$173&gt;0, N27+N59+N331, 0)</f>
        <v>0</v>
      </c>
      <c r="P27" s="109">
        <f>IF(Input!P$173&gt;0, O27+O59+O331, 0)</f>
        <v>0</v>
      </c>
      <c r="Q27" s="109">
        <f>IF(Input!Q$173&gt;0, P27+P59+P331, 0)</f>
        <v>0</v>
      </c>
      <c r="R27" s="105"/>
      <c r="S27" s="119"/>
      <c r="T27" s="105"/>
      <c r="U27" s="105"/>
      <c r="V27" s="105"/>
      <c r="W27" s="105"/>
      <c r="X27" s="105"/>
      <c r="Y27" s="105"/>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s="185" customFormat="1" ht="13.5" hidden="1" customHeight="1" outlineLevel="1">
      <c r="A28" s="9"/>
      <c r="B28" s="44"/>
      <c r="C28" s="128" t="str">
        <f>Asset21</f>
        <v>Buildings</v>
      </c>
      <c r="D28" s="9"/>
      <c r="E28" s="9"/>
      <c r="F28" s="191"/>
      <c r="G28" s="109">
        <f>A21taxvalue</f>
        <v>20.322813333220054</v>
      </c>
      <c r="H28" s="109">
        <f>G28+G60+G344</f>
        <v>28.293449311463426</v>
      </c>
      <c r="I28" s="109">
        <f>H28+H60+H344</f>
        <v>35.552790525387898</v>
      </c>
      <c r="J28" s="109">
        <f>I28+I60+I344</f>
        <v>38.491291452164141</v>
      </c>
      <c r="K28" s="109">
        <f>J28+J60+J344</f>
        <v>40.531962771887059</v>
      </c>
      <c r="L28" s="109">
        <f>K28+K60+K344</f>
        <v>33.755312162635526</v>
      </c>
      <c r="M28" s="109">
        <f>IF(Input!M$173&gt;0, L28+L60+L332, 0)</f>
        <v>0</v>
      </c>
      <c r="N28" s="109">
        <f>IF(Input!N$173&gt;0, M28+M60+M344, 0)</f>
        <v>0</v>
      </c>
      <c r="O28" s="109">
        <f>IF(Input!O$173&gt;0, N28+N60+N344, 0)</f>
        <v>0</v>
      </c>
      <c r="P28" s="109">
        <f>IF(Input!P$173&gt;0, O28+O60+O344, 0)</f>
        <v>0</v>
      </c>
      <c r="Q28" s="109">
        <f>IF(Input!Q$173&gt;0, P28+P60+P344, 0)</f>
        <v>0</v>
      </c>
      <c r="R28" s="105"/>
      <c r="S28" s="119"/>
      <c r="T28" s="105"/>
      <c r="U28" s="105"/>
      <c r="V28" s="105"/>
      <c r="W28" s="105"/>
      <c r="X28" s="105"/>
      <c r="Y28" s="105"/>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s="185" customFormat="1" ht="13.5" hidden="1" customHeight="1" outlineLevel="1">
      <c r="A29" s="9"/>
      <c r="B29" s="44"/>
      <c r="C29" s="128" t="str">
        <f>Asset22</f>
        <v>Land (non-system)</v>
      </c>
      <c r="D29" s="9"/>
      <c r="E29" s="9"/>
      <c r="F29" s="191"/>
      <c r="G29" s="109">
        <f>A22taxvalue</f>
        <v>11.153806075646319</v>
      </c>
      <c r="H29" s="109">
        <f>G29+G61+G358</f>
        <v>13.778304575646318</v>
      </c>
      <c r="I29" s="109">
        <f>H29+H61+H358</f>
        <v>14.649967575646318</v>
      </c>
      <c r="J29" s="109">
        <f>I29+I61+I358</f>
        <v>15.774175481116318</v>
      </c>
      <c r="K29" s="109">
        <f>J29+J61+J358</f>
        <v>15.759399282219118</v>
      </c>
      <c r="L29" s="109">
        <f>K29+K61+K358</f>
        <v>7.7707552253814534</v>
      </c>
      <c r="M29" s="109">
        <f>IF(Input!M$173&gt;0, L29+L61+L333, 0)</f>
        <v>0</v>
      </c>
      <c r="N29" s="109">
        <f>IF(Input!N$173&gt;0, M29+M61+M358, 0)</f>
        <v>0</v>
      </c>
      <c r="O29" s="109">
        <f>IF(Input!O$173&gt;0, N29+N61+N358, 0)</f>
        <v>0</v>
      </c>
      <c r="P29" s="109">
        <f>IF(Input!P$173&gt;0, O29+O61+O358, 0)</f>
        <v>0</v>
      </c>
      <c r="Q29" s="109">
        <f>IF(Input!Q$173&gt;0, P29+P61+P358, 0)</f>
        <v>0</v>
      </c>
      <c r="R29" s="105"/>
      <c r="S29" s="105"/>
      <c r="T29" s="105"/>
      <c r="U29" s="105"/>
      <c r="V29" s="105"/>
      <c r="W29" s="105"/>
      <c r="X29" s="105"/>
      <c r="Y29" s="105"/>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s="185" customFormat="1" ht="13.5" hidden="1" customHeight="1" outlineLevel="1">
      <c r="A30" s="9"/>
      <c r="B30" s="44"/>
      <c r="C30" s="128" t="str">
        <f>Asset23</f>
        <v>Other non system assets</v>
      </c>
      <c r="D30" s="9"/>
      <c r="E30" s="9"/>
      <c r="F30" s="191"/>
      <c r="G30" s="109">
        <f>A23taxvalue</f>
        <v>0.24451335320656728</v>
      </c>
      <c r="H30" s="109">
        <f>G30+G62+G372</f>
        <v>0.20648332420658619</v>
      </c>
      <c r="I30" s="109">
        <f>H30+H62+H372</f>
        <v>0.17503624607772508</v>
      </c>
      <c r="J30" s="109">
        <f>I30+I62+I372</f>
        <v>0.29281788930638802</v>
      </c>
      <c r="K30" s="109">
        <f>J30+J62+J372</f>
        <v>0.25844156512645405</v>
      </c>
      <c r="L30" s="109">
        <f>K30+K62+K372</f>
        <v>0.21740344892855012</v>
      </c>
      <c r="M30" s="109">
        <f>IF(Input!M$173&gt;0, L30+L62+#REF!, 0)</f>
        <v>0</v>
      </c>
      <c r="N30" s="109">
        <f>IF(Input!N$173&gt;0, M30+M62+M372, 0)</f>
        <v>0</v>
      </c>
      <c r="O30" s="109">
        <f>IF(Input!O$173&gt;0, N30+N62+N372, 0)</f>
        <v>0</v>
      </c>
      <c r="P30" s="109">
        <f>IF(Input!P$173&gt;0, O30+O62+O372, 0)</f>
        <v>0</v>
      </c>
      <c r="Q30" s="109">
        <f>IF(Input!Q$173&gt;0, P30+P62+P372, 0)</f>
        <v>0</v>
      </c>
      <c r="R30" s="105"/>
      <c r="S30" s="105"/>
      <c r="T30" s="105"/>
      <c r="U30" s="105"/>
      <c r="V30" s="105"/>
      <c r="W30" s="105"/>
      <c r="X30" s="105"/>
      <c r="Y30" s="105"/>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s="185" customFormat="1" ht="13.5" hidden="1" customHeight="1" outlineLevel="1">
      <c r="A31" s="9"/>
      <c r="B31" s="44"/>
      <c r="C31" s="128" t="str">
        <f>Asset24</f>
        <v>Equity raising costs</v>
      </c>
      <c r="D31" s="9"/>
      <c r="E31" s="9"/>
      <c r="F31" s="191"/>
      <c r="G31" s="109">
        <f>A24taxvalue</f>
        <v>0</v>
      </c>
      <c r="H31" s="109">
        <f>G31+G63+G386</f>
        <v>6.2756261047438846</v>
      </c>
      <c r="I31" s="109">
        <f>H31+H63+H386</f>
        <v>6.1384192511550983</v>
      </c>
      <c r="J31" s="109">
        <f>I31+I63+I386</f>
        <v>6.0012123975663121</v>
      </c>
      <c r="K31" s="109">
        <f>J31+J63+J386</f>
        <v>5.8640055439775258</v>
      </c>
      <c r="L31" s="109">
        <f>K31+K63+K386</f>
        <v>5.7267986903887396</v>
      </c>
      <c r="M31" s="109">
        <f>IF(Input!M$173&gt;0, L31+L63+L334, 0)</f>
        <v>0</v>
      </c>
      <c r="N31" s="109">
        <f>IF(Input!N$173&gt;0, M31+M63+M386, 0)</f>
        <v>0</v>
      </c>
      <c r="O31" s="109">
        <f>IF(Input!O$173&gt;0, N31+N63+N386, 0)</f>
        <v>0</v>
      </c>
      <c r="P31" s="109">
        <f>IF(Input!P$173&gt;0, O31+O63+O386, 0)</f>
        <v>0</v>
      </c>
      <c r="Q31" s="109">
        <f>IF(Input!Q$173&gt;0, P31+P63+P386, 0)</f>
        <v>0</v>
      </c>
      <c r="R31" s="105"/>
      <c r="S31" s="105"/>
      <c r="T31" s="105"/>
      <c r="U31" s="105"/>
      <c r="V31" s="105"/>
      <c r="W31" s="105"/>
      <c r="X31" s="105"/>
      <c r="Y31" s="105"/>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s="185" customFormat="1" ht="13.5" hidden="1" customHeight="1" outlineLevel="1">
      <c r="A32" s="9"/>
      <c r="B32" s="44"/>
      <c r="C32" s="128">
        <f>Asset25</f>
        <v>0</v>
      </c>
      <c r="D32" s="9"/>
      <c r="E32" s="9"/>
      <c r="F32" s="191"/>
      <c r="G32" s="109">
        <f t="shared" ref="G32:L32" si="1">F32+F64+F400</f>
        <v>0</v>
      </c>
      <c r="H32" s="109">
        <f t="shared" si="1"/>
        <v>0</v>
      </c>
      <c r="I32" s="109">
        <f t="shared" si="1"/>
        <v>0</v>
      </c>
      <c r="J32" s="109">
        <f t="shared" si="1"/>
        <v>0</v>
      </c>
      <c r="K32" s="109">
        <f t="shared" si="1"/>
        <v>0</v>
      </c>
      <c r="L32" s="109">
        <f t="shared" si="1"/>
        <v>0</v>
      </c>
      <c r="M32" s="109">
        <f>IF(Input!M$173&gt;0, L32+L64+L335, 0)</f>
        <v>0</v>
      </c>
      <c r="N32" s="109">
        <f>IF(Input!N$173&gt;0, M32+M64+M400, 0)</f>
        <v>0</v>
      </c>
      <c r="O32" s="109">
        <f>IF(Input!O$173&gt;0, N32+N64+N400, 0)</f>
        <v>0</v>
      </c>
      <c r="P32" s="109">
        <f>IF(Input!P$173&gt;0, O32+O64+O400, 0)</f>
        <v>0</v>
      </c>
      <c r="Q32" s="109">
        <f>IF(Input!Q$173&gt;0, P32+P64+P400, 0)</f>
        <v>0</v>
      </c>
      <c r="R32" s="105"/>
      <c r="S32" s="105"/>
      <c r="T32" s="105"/>
      <c r="U32" s="105"/>
      <c r="V32" s="105"/>
      <c r="W32" s="105"/>
      <c r="X32" s="105"/>
      <c r="Y32" s="105"/>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s="185" customFormat="1" ht="13.5" hidden="1" customHeight="1" outlineLevel="1">
      <c r="A33" s="9"/>
      <c r="B33" s="44"/>
      <c r="C33" s="128">
        <f>Asset26</f>
        <v>0</v>
      </c>
      <c r="D33" s="9"/>
      <c r="E33" s="9"/>
      <c r="F33" s="191"/>
      <c r="G33" s="109">
        <f t="shared" ref="G33:L33" si="2">F33+F65+F414</f>
        <v>0</v>
      </c>
      <c r="H33" s="109">
        <f t="shared" si="2"/>
        <v>0</v>
      </c>
      <c r="I33" s="109">
        <f t="shared" si="2"/>
        <v>0</v>
      </c>
      <c r="J33" s="109">
        <f t="shared" si="2"/>
        <v>0</v>
      </c>
      <c r="K33" s="109">
        <f t="shared" si="2"/>
        <v>0</v>
      </c>
      <c r="L33" s="109">
        <f t="shared" si="2"/>
        <v>0</v>
      </c>
      <c r="M33" s="109">
        <f>IF(Input!M$173&gt;0, L33+L65+L336, 0)</f>
        <v>0</v>
      </c>
      <c r="N33" s="109">
        <f>IF(Input!N$173&gt;0, M33+M65+M414, 0)</f>
        <v>0</v>
      </c>
      <c r="O33" s="109">
        <f>IF(Input!O$173&gt;0, N33+N65+N414, 0)</f>
        <v>0</v>
      </c>
      <c r="P33" s="109">
        <f>IF(Input!P$173&gt;0, O33+O65+O414, 0)</f>
        <v>0</v>
      </c>
      <c r="Q33" s="109">
        <f>IF(Input!Q$173&gt;0, P33+P65+P414, 0)</f>
        <v>0</v>
      </c>
      <c r="R33" s="105"/>
      <c r="S33" s="105"/>
      <c r="T33" s="105"/>
      <c r="U33" s="105"/>
      <c r="V33" s="105"/>
      <c r="W33" s="105"/>
      <c r="X33" s="105"/>
      <c r="Y33" s="105"/>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s="185" customFormat="1" ht="13.5" hidden="1" customHeight="1" outlineLevel="1">
      <c r="A34" s="9"/>
      <c r="B34" s="44"/>
      <c r="C34" s="128">
        <f>Asset27</f>
        <v>0</v>
      </c>
      <c r="D34" s="9"/>
      <c r="E34" s="9"/>
      <c r="F34" s="191"/>
      <c r="G34" s="109">
        <f t="shared" ref="G34:L34" si="3">F34+F66+F428</f>
        <v>0</v>
      </c>
      <c r="H34" s="109">
        <f t="shared" si="3"/>
        <v>0</v>
      </c>
      <c r="I34" s="109">
        <f t="shared" si="3"/>
        <v>0</v>
      </c>
      <c r="J34" s="109">
        <f t="shared" si="3"/>
        <v>0</v>
      </c>
      <c r="K34" s="109">
        <f t="shared" si="3"/>
        <v>0</v>
      </c>
      <c r="L34" s="109">
        <f t="shared" si="3"/>
        <v>0</v>
      </c>
      <c r="M34" s="109">
        <f>IF(Input!M$173&gt;0, L34+L66+L337, 0)</f>
        <v>0</v>
      </c>
      <c r="N34" s="109">
        <f>IF(Input!N$173&gt;0, M34+M66+M428, 0)</f>
        <v>0</v>
      </c>
      <c r="O34" s="109">
        <f>IF(Input!O$173&gt;0, N34+N66+N428, 0)</f>
        <v>0</v>
      </c>
      <c r="P34" s="109">
        <f>IF(Input!P$173&gt;0, O34+O66+O428, 0)</f>
        <v>0</v>
      </c>
      <c r="Q34" s="109">
        <f>IF(Input!Q$173&gt;0, P34+P66+P428, 0)</f>
        <v>0</v>
      </c>
      <c r="R34" s="105"/>
      <c r="S34" s="105"/>
      <c r="T34" s="105"/>
      <c r="U34" s="105"/>
      <c r="V34" s="105"/>
      <c r="W34" s="105"/>
      <c r="X34" s="105"/>
      <c r="Y34" s="105"/>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s="185" customFormat="1" ht="13.5" hidden="1" customHeight="1" outlineLevel="1">
      <c r="A35" s="9"/>
      <c r="B35" s="44"/>
      <c r="C35" s="128">
        <f>Asset28</f>
        <v>0</v>
      </c>
      <c r="D35" s="9"/>
      <c r="E35" s="9"/>
      <c r="F35" s="191"/>
      <c r="G35" s="109">
        <f t="shared" ref="G35:L35" si="4">F35+F67+F442</f>
        <v>0</v>
      </c>
      <c r="H35" s="109">
        <f t="shared" si="4"/>
        <v>0</v>
      </c>
      <c r="I35" s="109">
        <f t="shared" si="4"/>
        <v>0</v>
      </c>
      <c r="J35" s="109">
        <f t="shared" si="4"/>
        <v>0</v>
      </c>
      <c r="K35" s="109">
        <f t="shared" si="4"/>
        <v>0</v>
      </c>
      <c r="L35" s="109">
        <f t="shared" si="4"/>
        <v>0</v>
      </c>
      <c r="M35" s="109">
        <f>IF(Input!M$173&gt;0, L35+L67+L338, 0)</f>
        <v>0</v>
      </c>
      <c r="N35" s="109">
        <f>IF(Input!N$173&gt;0, M35+M67+M442, 0)</f>
        <v>0</v>
      </c>
      <c r="O35" s="109">
        <f>IF(Input!O$173&gt;0, N35+N67+N442, 0)</f>
        <v>0</v>
      </c>
      <c r="P35" s="109">
        <f>IF(Input!P$173&gt;0, O35+O67+O442, 0)</f>
        <v>0</v>
      </c>
      <c r="Q35" s="109">
        <f>IF(Input!Q$173&gt;0, P35+P67+P442, 0)</f>
        <v>0</v>
      </c>
      <c r="R35" s="105"/>
      <c r="S35" s="105"/>
      <c r="T35" s="105"/>
      <c r="U35" s="105"/>
      <c r="V35" s="105"/>
      <c r="W35" s="105"/>
      <c r="X35" s="105"/>
      <c r="Y35" s="105"/>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s="185" customFormat="1" ht="13.5" hidden="1" customHeight="1" outlineLevel="1">
      <c r="A36" s="9"/>
      <c r="B36" s="44"/>
      <c r="C36" s="128">
        <f>Asset29</f>
        <v>0</v>
      </c>
      <c r="D36" s="9"/>
      <c r="E36" s="9"/>
      <c r="F36" s="191"/>
      <c r="G36" s="109">
        <f t="shared" ref="G36:L36" si="5">F36+F68+F456</f>
        <v>0</v>
      </c>
      <c r="H36" s="109">
        <f t="shared" si="5"/>
        <v>0</v>
      </c>
      <c r="I36" s="109">
        <f t="shared" si="5"/>
        <v>0</v>
      </c>
      <c r="J36" s="109">
        <f t="shared" si="5"/>
        <v>0</v>
      </c>
      <c r="K36" s="109">
        <f t="shared" si="5"/>
        <v>0</v>
      </c>
      <c r="L36" s="109">
        <f t="shared" si="5"/>
        <v>0</v>
      </c>
      <c r="M36" s="109">
        <f>IF(Input!M$173&gt;0, L36+L68+L339, 0)</f>
        <v>0</v>
      </c>
      <c r="N36" s="109">
        <f>IF(Input!N$173&gt;0, M36+M68+M456, 0)</f>
        <v>0</v>
      </c>
      <c r="O36" s="109">
        <f>IF(Input!O$173&gt;0, N36+N68+N456, 0)</f>
        <v>0</v>
      </c>
      <c r="P36" s="109">
        <f>IF(Input!P$173&gt;0, O36+O68+O456, 0)</f>
        <v>0</v>
      </c>
      <c r="Q36" s="109">
        <f>IF(Input!Q$173&gt;0, P36+P68+P456, 0)</f>
        <v>0</v>
      </c>
      <c r="R36" s="105"/>
      <c r="S36" s="105"/>
      <c r="T36" s="105"/>
      <c r="U36" s="105"/>
      <c r="V36" s="105"/>
      <c r="W36" s="105"/>
      <c r="X36" s="105"/>
      <c r="Y36" s="105"/>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s="185" customFormat="1" ht="13.5" hidden="1" customHeight="1" outlineLevel="1">
      <c r="A37" s="9"/>
      <c r="B37" s="44"/>
      <c r="C37" s="128">
        <f>Asset30</f>
        <v>0</v>
      </c>
      <c r="D37" s="9"/>
      <c r="E37" s="9"/>
      <c r="F37" s="191"/>
      <c r="G37" s="109">
        <f t="shared" ref="G37:L37" si="6">F37+F69+F470</f>
        <v>0</v>
      </c>
      <c r="H37" s="109">
        <f t="shared" si="6"/>
        <v>0</v>
      </c>
      <c r="I37" s="109">
        <f t="shared" si="6"/>
        <v>0</v>
      </c>
      <c r="J37" s="109">
        <f t="shared" si="6"/>
        <v>0</v>
      </c>
      <c r="K37" s="109">
        <f t="shared" si="6"/>
        <v>0</v>
      </c>
      <c r="L37" s="109">
        <f t="shared" si="6"/>
        <v>0</v>
      </c>
      <c r="M37" s="109">
        <f>IF(Input!M$173&gt;0, L37+L69+L340, 0)</f>
        <v>0</v>
      </c>
      <c r="N37" s="109">
        <f>IF(Input!N$173&gt;0, M37+M69+M470, 0)</f>
        <v>0</v>
      </c>
      <c r="O37" s="109">
        <f>IF(Input!O$173&gt;0, N37+N69+N470, 0)</f>
        <v>0</v>
      </c>
      <c r="P37" s="109">
        <f>IF(Input!P$173&gt;0, O37+O69+O470, 0)</f>
        <v>0</v>
      </c>
      <c r="Q37" s="109">
        <f>IF(Input!Q$173&gt;0, P37+P69+P470, 0)</f>
        <v>0</v>
      </c>
      <c r="R37" s="105"/>
      <c r="S37" s="105"/>
      <c r="T37" s="105"/>
      <c r="U37" s="105"/>
      <c r="V37" s="105"/>
      <c r="W37" s="105"/>
      <c r="X37" s="105"/>
      <c r="Y37" s="105"/>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s="185" customFormat="1" ht="13.5" customHeight="1" collapsed="1">
      <c r="A38" s="11"/>
      <c r="B38" s="16"/>
      <c r="C38" s="11"/>
      <c r="D38" s="11"/>
      <c r="E38" s="11"/>
      <c r="F38" s="203"/>
      <c r="G38" s="105"/>
      <c r="H38" s="105"/>
      <c r="I38" s="105"/>
      <c r="J38" s="105"/>
      <c r="K38" s="105"/>
      <c r="L38" s="105"/>
      <c r="M38" s="105"/>
      <c r="N38" s="105"/>
      <c r="O38" s="105"/>
      <c r="P38" s="105"/>
      <c r="Q38" s="105"/>
      <c r="R38" s="105"/>
      <c r="S38" s="105"/>
      <c r="T38" s="105"/>
      <c r="U38" s="105"/>
      <c r="V38" s="105"/>
      <c r="W38" s="105"/>
      <c r="X38" s="105"/>
      <c r="Y38" s="105"/>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s="185" customFormat="1">
      <c r="A39" s="11"/>
      <c r="B39" s="44" t="s">
        <v>68</v>
      </c>
      <c r="C39" s="9"/>
      <c r="D39" s="11"/>
      <c r="E39" s="11"/>
      <c r="F39" s="203"/>
      <c r="G39" s="105">
        <f t="shared" ref="G39:P39" si="7">SUM(G40:G69)</f>
        <v>224.02771939162969</v>
      </c>
      <c r="H39" s="105">
        <f t="shared" si="7"/>
        <v>264.65028465967299</v>
      </c>
      <c r="I39" s="105">
        <f t="shared" si="7"/>
        <v>325.79880858721043</v>
      </c>
      <c r="J39" s="105">
        <f t="shared" si="7"/>
        <v>202.85058111129939</v>
      </c>
      <c r="K39" s="105">
        <f t="shared" si="7"/>
        <v>143.55739027037095</v>
      </c>
      <c r="L39" s="105">
        <f t="shared" si="7"/>
        <v>0</v>
      </c>
      <c r="M39" s="105">
        <f t="shared" si="7"/>
        <v>0</v>
      </c>
      <c r="N39" s="105">
        <f t="shared" si="7"/>
        <v>0</v>
      </c>
      <c r="O39" s="105">
        <f t="shared" si="7"/>
        <v>0</v>
      </c>
      <c r="P39" s="105">
        <f t="shared" si="7"/>
        <v>0</v>
      </c>
      <c r="Q39" s="105"/>
      <c r="R39" s="105"/>
      <c r="S39" s="105"/>
      <c r="T39" s="105"/>
      <c r="U39" s="105"/>
      <c r="V39" s="105"/>
      <c r="W39" s="105"/>
      <c r="X39" s="105"/>
      <c r="Y39" s="105"/>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s="185" customFormat="1" ht="12.75" hidden="1" customHeight="1" outlineLevel="1">
      <c r="A40" s="11"/>
      <c r="B40" s="9"/>
      <c r="C40" s="128" t="str">
        <f>Asset1</f>
        <v>Transmission &amp; Zone land &amp; easements</v>
      </c>
      <c r="D40" s="11"/>
      <c r="E40" s="11"/>
      <c r="F40" s="203"/>
      <c r="G40" s="105">
        <f>Input!H41-Input!H75</f>
        <v>0</v>
      </c>
      <c r="H40" s="105">
        <f>Input!I41-Input!I75</f>
        <v>13.844070369999999</v>
      </c>
      <c r="I40" s="105">
        <f>Input!J41-Input!J75</f>
        <v>2.7643542400000003</v>
      </c>
      <c r="J40" s="105">
        <f>Input!K41-Input!K75</f>
        <v>1.8137082228000003</v>
      </c>
      <c r="K40" s="105">
        <f>Input!L41-Input!L75</f>
        <v>1.4068469756816055</v>
      </c>
      <c r="L40" s="105">
        <f>Input!M41-Input!M75</f>
        <v>0</v>
      </c>
      <c r="M40" s="105">
        <f>Input!N41-Input!N75</f>
        <v>0</v>
      </c>
      <c r="N40" s="105">
        <f>Input!O41-Input!O75</f>
        <v>0</v>
      </c>
      <c r="O40" s="105">
        <f>Input!P41-Input!P75</f>
        <v>0</v>
      </c>
      <c r="P40" s="105">
        <f>Input!Q41-Input!Q75</f>
        <v>0</v>
      </c>
      <c r="Q40" s="105"/>
      <c r="R40" s="105"/>
      <c r="S40" s="105"/>
      <c r="T40" s="105"/>
      <c r="U40" s="105"/>
      <c r="V40" s="105"/>
      <c r="W40" s="105"/>
      <c r="X40" s="105"/>
      <c r="Y40" s="105"/>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s="185" customFormat="1" ht="12.75" hidden="1" customHeight="1" outlineLevel="1">
      <c r="A41" s="11"/>
      <c r="B41" s="44"/>
      <c r="C41" s="128" t="str">
        <f>Asset2</f>
        <v>Transmission buildings 132/66kV</v>
      </c>
      <c r="D41" s="11"/>
      <c r="E41" s="11"/>
      <c r="F41" s="203"/>
      <c r="G41" s="105">
        <f>Input!H42-Input!H76</f>
        <v>18.521588441109998</v>
      </c>
      <c r="H41" s="105">
        <f>Input!I42-Input!I76</f>
        <v>4.5127631175283707</v>
      </c>
      <c r="I41" s="105">
        <f>Input!J42-Input!J76</f>
        <v>3.0420285899999997</v>
      </c>
      <c r="J41" s="105">
        <f>Input!K42-Input!K76</f>
        <v>6.237506672800019</v>
      </c>
      <c r="K41" s="105">
        <f>Input!L42-Input!L76</f>
        <v>4.7950639271902089</v>
      </c>
      <c r="L41" s="105">
        <f>Input!M42-Input!M76</f>
        <v>0</v>
      </c>
      <c r="M41" s="105">
        <f>Input!N42-Input!N76</f>
        <v>0</v>
      </c>
      <c r="N41" s="105">
        <f>Input!O42-Input!O76</f>
        <v>0</v>
      </c>
      <c r="O41" s="105">
        <f>Input!P42-Input!P76</f>
        <v>0</v>
      </c>
      <c r="P41" s="105">
        <f>Input!Q42-Input!Q76</f>
        <v>0</v>
      </c>
      <c r="Q41" s="105"/>
      <c r="R41" s="105"/>
      <c r="S41" s="105"/>
      <c r="T41" s="105"/>
      <c r="U41" s="105"/>
      <c r="V41" s="105"/>
      <c r="W41" s="105"/>
      <c r="X41" s="105"/>
      <c r="Y41" s="105"/>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s="185" customFormat="1" ht="12.75" hidden="1" customHeight="1" outlineLevel="1">
      <c r="A42" s="11"/>
      <c r="B42" s="44"/>
      <c r="C42" s="128" t="str">
        <f>Asset3</f>
        <v>Zone buildings 132/66kV</v>
      </c>
      <c r="D42" s="11"/>
      <c r="E42" s="11"/>
      <c r="F42" s="203"/>
      <c r="G42" s="105">
        <f>Input!H43-Input!H77</f>
        <v>0.39870269864999996</v>
      </c>
      <c r="H42" s="105">
        <f>Input!I43-Input!I77</f>
        <v>6.4959906392126134</v>
      </c>
      <c r="I42" s="105">
        <f>Input!J43-Input!J77</f>
        <v>4.7805255510499984</v>
      </c>
      <c r="J42" s="105">
        <f>Input!K43-Input!K77</f>
        <v>33.029120703600015</v>
      </c>
      <c r="K42" s="105">
        <f>Input!L43-Input!L77</f>
        <v>25.932929315081399</v>
      </c>
      <c r="L42" s="105">
        <f>Input!M43-Input!M77</f>
        <v>0</v>
      </c>
      <c r="M42" s="105">
        <f>Input!N43-Input!N77</f>
        <v>0</v>
      </c>
      <c r="N42" s="105">
        <f>Input!O43-Input!O77</f>
        <v>0</v>
      </c>
      <c r="O42" s="105">
        <f>Input!P43-Input!P77</f>
        <v>0</v>
      </c>
      <c r="P42" s="105">
        <f>Input!Q43-Input!Q77</f>
        <v>0</v>
      </c>
      <c r="Q42" s="105"/>
      <c r="R42" s="105"/>
      <c r="S42" s="105"/>
      <c r="T42" s="105"/>
      <c r="U42" s="105"/>
      <c r="V42" s="105"/>
      <c r="W42" s="105"/>
      <c r="X42" s="105"/>
      <c r="Y42" s="105"/>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s="185" customFormat="1" ht="12.75" hidden="1" customHeight="1" outlineLevel="1">
      <c r="A43" s="11"/>
      <c r="B43" s="44"/>
      <c r="C43" s="128" t="str">
        <f>Asset4</f>
        <v>Transmission transformers 132/66kV</v>
      </c>
      <c r="D43" s="11"/>
      <c r="E43" s="11"/>
      <c r="F43" s="203"/>
      <c r="G43" s="105">
        <f>Input!H44-Input!H78</f>
        <v>3.2111672999999992</v>
      </c>
      <c r="H43" s="105">
        <f>Input!I44-Input!I78</f>
        <v>1.15178113</v>
      </c>
      <c r="I43" s="105">
        <f>Input!J44-Input!J78</f>
        <v>2.5778875099999992</v>
      </c>
      <c r="J43" s="105">
        <f>Input!K44-Input!K78</f>
        <v>5.884098432400001</v>
      </c>
      <c r="K43" s="105">
        <f>Input!L44-Input!L78</f>
        <v>4.938330758977763</v>
      </c>
      <c r="L43" s="105">
        <f>Input!M44-Input!M78</f>
        <v>0</v>
      </c>
      <c r="M43" s="105">
        <f>Input!N44-Input!N78</f>
        <v>0</v>
      </c>
      <c r="N43" s="105">
        <f>Input!O44-Input!O78</f>
        <v>0</v>
      </c>
      <c r="O43" s="105">
        <f>Input!P44-Input!P78</f>
        <v>0</v>
      </c>
      <c r="P43" s="105">
        <f>Input!Q44-Input!Q78</f>
        <v>0</v>
      </c>
      <c r="Q43" s="105"/>
      <c r="R43" s="105"/>
      <c r="S43" s="105"/>
      <c r="T43" s="105"/>
      <c r="U43" s="105"/>
      <c r="V43" s="105"/>
      <c r="W43" s="105"/>
      <c r="X43" s="105"/>
      <c r="Y43" s="105"/>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s="185" customFormat="1" ht="12.75" hidden="1" customHeight="1" outlineLevel="1">
      <c r="A44" s="11"/>
      <c r="B44" s="44"/>
      <c r="C44" s="128" t="str">
        <f>Asset5</f>
        <v>Zone transformers 132/66kV</v>
      </c>
      <c r="D44" s="11"/>
      <c r="E44" s="11"/>
      <c r="F44" s="203"/>
      <c r="G44" s="105">
        <f>Input!H45-Input!H79</f>
        <v>2.9879372024049999</v>
      </c>
      <c r="H44" s="105">
        <f>Input!I45-Input!I79</f>
        <v>2.9039288090433075</v>
      </c>
      <c r="I44" s="105">
        <f>Input!J45-Input!J79</f>
        <v>2.9913460188399998</v>
      </c>
      <c r="J44" s="105">
        <f>Input!K45-Input!K79</f>
        <v>0</v>
      </c>
      <c r="K44" s="105">
        <f>Input!L45-Input!L79</f>
        <v>0</v>
      </c>
      <c r="L44" s="105">
        <f>Input!M45-Input!M79</f>
        <v>0</v>
      </c>
      <c r="M44" s="105">
        <f>Input!N45-Input!N79</f>
        <v>0</v>
      </c>
      <c r="N44" s="105">
        <f>Input!O45-Input!O79</f>
        <v>0</v>
      </c>
      <c r="O44" s="105">
        <f>Input!P45-Input!P79</f>
        <v>0</v>
      </c>
      <c r="P44" s="105">
        <f>Input!Q45-Input!Q79</f>
        <v>0</v>
      </c>
      <c r="Q44" s="105"/>
      <c r="R44" s="105"/>
      <c r="S44" s="105"/>
      <c r="T44" s="105"/>
      <c r="U44" s="105"/>
      <c r="V44" s="105"/>
      <c r="W44" s="105"/>
      <c r="X44" s="105"/>
      <c r="Y44" s="105"/>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s="185" customFormat="1" ht="12.75" hidden="1" customHeight="1" outlineLevel="1">
      <c r="A45" s="11"/>
      <c r="B45" s="44"/>
      <c r="C45" s="128" t="str">
        <f>Asset6</f>
        <v>Transmission substation equip 132/66kV</v>
      </c>
      <c r="D45" s="11"/>
      <c r="E45" s="11"/>
      <c r="F45" s="203"/>
      <c r="G45" s="105">
        <f>Input!H46-Input!H80</f>
        <v>24.855414878560001</v>
      </c>
      <c r="H45" s="105">
        <f>Input!I46-Input!I80</f>
        <v>19.923518647907581</v>
      </c>
      <c r="I45" s="105">
        <f>Input!J46-Input!J80</f>
        <v>27.15159332722774</v>
      </c>
      <c r="J45" s="105">
        <f>Input!K46-Input!K80</f>
        <v>18.351637902217252</v>
      </c>
      <c r="K45" s="105">
        <f>Input!L46-Input!L80</f>
        <v>14.107764772983645</v>
      </c>
      <c r="L45" s="105">
        <f>Input!M46-Input!M80</f>
        <v>0</v>
      </c>
      <c r="M45" s="105">
        <f>Input!N46-Input!N80</f>
        <v>0</v>
      </c>
      <c r="N45" s="105">
        <f>Input!O46-Input!O80</f>
        <v>0</v>
      </c>
      <c r="O45" s="105">
        <f>Input!P46-Input!P80</f>
        <v>0</v>
      </c>
      <c r="P45" s="105">
        <f>Input!Q46-Input!Q80</f>
        <v>0</v>
      </c>
      <c r="Q45" s="105"/>
      <c r="R45" s="105"/>
      <c r="S45" s="105"/>
      <c r="T45" s="105"/>
      <c r="U45" s="105"/>
      <c r="V45" s="105"/>
      <c r="W45" s="105"/>
      <c r="X45" s="105"/>
      <c r="Y45" s="105"/>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s="185" customFormat="1" ht="12.75" hidden="1" customHeight="1" outlineLevel="1">
      <c r="A46" s="11"/>
      <c r="B46" s="44"/>
      <c r="C46" s="128" t="str">
        <f>Asset7</f>
        <v>Zone substation equip 132/66kV</v>
      </c>
      <c r="D46" s="11"/>
      <c r="E46" s="11"/>
      <c r="F46" s="203"/>
      <c r="G46" s="105">
        <f>Input!H47-Input!H81</f>
        <v>35.431366792295009</v>
      </c>
      <c r="H46" s="105">
        <f>Input!I47-Input!I81</f>
        <v>84.499475315017648</v>
      </c>
      <c r="I46" s="105">
        <f>Input!J47-Input!J81</f>
        <v>81.119999016443558</v>
      </c>
      <c r="J46" s="105">
        <f>Input!K47-Input!K81</f>
        <v>33.105755528236919</v>
      </c>
      <c r="K46" s="105">
        <f>Input!L47-Input!L81</f>
        <v>25.449946980909012</v>
      </c>
      <c r="L46" s="105">
        <f>Input!M47-Input!M81</f>
        <v>0</v>
      </c>
      <c r="M46" s="105">
        <f>Input!N47-Input!N81</f>
        <v>0</v>
      </c>
      <c r="N46" s="105">
        <f>Input!O47-Input!O81</f>
        <v>0</v>
      </c>
      <c r="O46" s="105">
        <f>Input!P47-Input!P81</f>
        <v>0</v>
      </c>
      <c r="P46" s="105">
        <f>Input!Q47-Input!Q81</f>
        <v>0</v>
      </c>
      <c r="Q46" s="105"/>
      <c r="R46" s="105"/>
      <c r="S46" s="105"/>
      <c r="T46" s="105"/>
      <c r="U46" s="105"/>
      <c r="V46" s="105"/>
      <c r="W46" s="105"/>
      <c r="X46" s="105"/>
      <c r="Y46" s="105"/>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s="185" customFormat="1" ht="12.75" hidden="1" customHeight="1" outlineLevel="1">
      <c r="A47" s="11"/>
      <c r="B47" s="44"/>
      <c r="C47" s="128" t="str">
        <f>Asset8</f>
        <v>Transmission &amp; Zone emergency spares</v>
      </c>
      <c r="D47" s="11"/>
      <c r="E47" s="11"/>
      <c r="F47" s="203"/>
      <c r="G47" s="105">
        <f>Input!H48-Input!H82</f>
        <v>0</v>
      </c>
      <c r="H47" s="105">
        <f>Input!I48-Input!I82</f>
        <v>0</v>
      </c>
      <c r="I47" s="105">
        <f>Input!J48-Input!J82</f>
        <v>0</v>
      </c>
      <c r="J47" s="105">
        <f>Input!K48-Input!K82</f>
        <v>0</v>
      </c>
      <c r="K47" s="105">
        <f>Input!L48-Input!L82</f>
        <v>0</v>
      </c>
      <c r="L47" s="105">
        <f>Input!M48-Input!M82</f>
        <v>0</v>
      </c>
      <c r="M47" s="105">
        <f>Input!N48-Input!N82</f>
        <v>0</v>
      </c>
      <c r="N47" s="105">
        <f>Input!O48-Input!O82</f>
        <v>0</v>
      </c>
      <c r="O47" s="105">
        <f>Input!P48-Input!P82</f>
        <v>0</v>
      </c>
      <c r="P47" s="105">
        <f>Input!Q48-Input!Q82</f>
        <v>0</v>
      </c>
      <c r="Q47" s="105"/>
      <c r="R47" s="105"/>
      <c r="S47" s="105"/>
      <c r="T47" s="105"/>
      <c r="U47" s="105"/>
      <c r="V47" s="105"/>
      <c r="W47" s="105"/>
      <c r="X47" s="105"/>
      <c r="Y47" s="105"/>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s="185" customFormat="1" ht="12.75" hidden="1" customHeight="1" outlineLevel="1">
      <c r="A48" s="11"/>
      <c r="B48" s="44"/>
      <c r="C48" s="128" t="str">
        <f>Asset9</f>
        <v>Ancillary substation equipment (tx)</v>
      </c>
      <c r="D48" s="11"/>
      <c r="E48" s="11"/>
      <c r="F48" s="203"/>
      <c r="G48" s="105">
        <f>Input!H49-Input!H83</f>
        <v>1.1234827461900003</v>
      </c>
      <c r="H48" s="105">
        <f>Input!I49-Input!I83</f>
        <v>3.1031059435249997</v>
      </c>
      <c r="I48" s="105">
        <f>Input!J49-Input!J83</f>
        <v>6.5472680858949985</v>
      </c>
      <c r="J48" s="105">
        <f>Input!K49-Input!K83</f>
        <v>21.783325525499631</v>
      </c>
      <c r="K48" s="105">
        <f>Input!L49-Input!L83</f>
        <v>16.745863999962058</v>
      </c>
      <c r="L48" s="105">
        <f>Input!M49-Input!M83</f>
        <v>0</v>
      </c>
      <c r="M48" s="105">
        <f>Input!N49-Input!N83</f>
        <v>0</v>
      </c>
      <c r="N48" s="105">
        <f>Input!O49-Input!O83</f>
        <v>0</v>
      </c>
      <c r="O48" s="105">
        <f>Input!P49-Input!P83</f>
        <v>0</v>
      </c>
      <c r="P48" s="105">
        <f>Input!Q49-Input!Q83</f>
        <v>0</v>
      </c>
      <c r="Q48" s="105"/>
      <c r="R48" s="105"/>
      <c r="S48" s="105"/>
      <c r="T48" s="105"/>
      <c r="U48" s="105"/>
      <c r="V48" s="105"/>
      <c r="W48" s="105"/>
      <c r="X48" s="105"/>
      <c r="Y48" s="105"/>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s="185" customFormat="1" ht="12.75" hidden="1" customHeight="1" outlineLevel="1">
      <c r="A49" s="11"/>
      <c r="B49" s="44"/>
      <c r="C49" s="128" t="str">
        <f>Asset10</f>
        <v>132kV tower lines</v>
      </c>
      <c r="D49" s="11"/>
      <c r="E49" s="11"/>
      <c r="F49" s="203"/>
      <c r="G49" s="105">
        <f>Input!H50-Input!H84</f>
        <v>4.1560114769999998</v>
      </c>
      <c r="H49" s="105">
        <f>Input!I50-Input!I84</f>
        <v>8.6769793940684501</v>
      </c>
      <c r="I49" s="105">
        <f>Input!J50-Input!J84</f>
        <v>5.8736540802264781</v>
      </c>
      <c r="J49" s="105">
        <f>Input!K50-Input!K84</f>
        <v>-0.81016403966622974</v>
      </c>
      <c r="K49" s="105">
        <f>Input!L50-Input!L84</f>
        <v>0.37902923781114406</v>
      </c>
      <c r="L49" s="105">
        <f>Input!M50-Input!M84</f>
        <v>0</v>
      </c>
      <c r="M49" s="105">
        <f>Input!N50-Input!N84</f>
        <v>0</v>
      </c>
      <c r="N49" s="105">
        <f>Input!O50-Input!O84</f>
        <v>0</v>
      </c>
      <c r="O49" s="105">
        <f>Input!P50-Input!P84</f>
        <v>0</v>
      </c>
      <c r="P49" s="105">
        <f>Input!Q50-Input!Q84</f>
        <v>0</v>
      </c>
      <c r="Q49" s="105"/>
      <c r="R49" s="105"/>
      <c r="S49" s="105"/>
      <c r="T49" s="105"/>
      <c r="U49" s="105"/>
      <c r="V49" s="105"/>
      <c r="W49" s="105"/>
      <c r="X49" s="105"/>
      <c r="Y49" s="105"/>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s="185" customFormat="1" ht="12.75" hidden="1" customHeight="1" outlineLevel="1">
      <c r="A50" s="11"/>
      <c r="B50" s="44"/>
      <c r="C50" s="128" t="str">
        <f>Asset11</f>
        <v>132kV concrete &amp; steel pole lines</v>
      </c>
      <c r="D50" s="11"/>
      <c r="E50" s="11"/>
      <c r="F50" s="203"/>
      <c r="G50" s="105">
        <f>Input!H51-Input!H85</f>
        <v>14.105720720000001</v>
      </c>
      <c r="H50" s="105">
        <f>Input!I51-Input!I85</f>
        <v>3.9081145562778601</v>
      </c>
      <c r="I50" s="105">
        <f>Input!J51-Input!J85</f>
        <v>0.78684454000000004</v>
      </c>
      <c r="J50" s="105">
        <f>Input!K51-Input!K85</f>
        <v>-2.0980253099999997</v>
      </c>
      <c r="K50" s="105">
        <f>Input!L51-Input!L85</f>
        <v>-0.24347087663885877</v>
      </c>
      <c r="L50" s="105">
        <f>Input!M51-Input!M85</f>
        <v>0</v>
      </c>
      <c r="M50" s="105">
        <f>Input!N51-Input!N85</f>
        <v>0</v>
      </c>
      <c r="N50" s="105">
        <f>Input!O51-Input!O85</f>
        <v>0</v>
      </c>
      <c r="O50" s="105">
        <f>Input!P51-Input!P85</f>
        <v>0</v>
      </c>
      <c r="P50" s="105">
        <f>Input!Q51-Input!Q85</f>
        <v>0</v>
      </c>
      <c r="Q50" s="105"/>
      <c r="R50" s="105"/>
      <c r="S50" s="105"/>
      <c r="T50" s="105"/>
      <c r="U50" s="105"/>
      <c r="V50" s="105"/>
      <c r="W50" s="105"/>
      <c r="X50" s="105"/>
      <c r="Y50" s="105"/>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s="185" customFormat="1" ht="12.75" hidden="1" customHeight="1" outlineLevel="1">
      <c r="A51" s="11"/>
      <c r="B51" s="44"/>
      <c r="C51" s="128" t="str">
        <f>Asset12</f>
        <v>132kV wood pole lines</v>
      </c>
      <c r="D51" s="11"/>
      <c r="E51" s="11"/>
      <c r="F51" s="203"/>
      <c r="G51" s="105">
        <f>Input!H52-Input!H86</f>
        <v>10.043537627579997</v>
      </c>
      <c r="H51" s="105">
        <f>Input!I52-Input!I86</f>
        <v>0.42041962000000005</v>
      </c>
      <c r="I51" s="105">
        <f>Input!J52-Input!J86</f>
        <v>0.35147753999999998</v>
      </c>
      <c r="J51" s="105">
        <f>Input!K52-Input!K86</f>
        <v>0.58556644999999996</v>
      </c>
      <c r="K51" s="105">
        <f>Input!L52-Input!L86</f>
        <v>0.45015239400255314</v>
      </c>
      <c r="L51" s="105">
        <f>Input!M52-Input!M86</f>
        <v>0</v>
      </c>
      <c r="M51" s="105">
        <f>Input!N52-Input!N86</f>
        <v>0</v>
      </c>
      <c r="N51" s="105">
        <f>Input!O52-Input!O86</f>
        <v>0</v>
      </c>
      <c r="O51" s="105">
        <f>Input!P52-Input!P86</f>
        <v>0</v>
      </c>
      <c r="P51" s="105">
        <f>Input!Q52-Input!Q86</f>
        <v>0</v>
      </c>
      <c r="Q51" s="105"/>
      <c r="R51" s="105"/>
      <c r="S51" s="105"/>
      <c r="T51" s="105"/>
      <c r="U51" s="105"/>
      <c r="V51" s="105"/>
      <c r="W51" s="105"/>
      <c r="X51" s="105"/>
      <c r="Y51" s="105"/>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s="185" customFormat="1" ht="12.75" hidden="1" customHeight="1" outlineLevel="1">
      <c r="A52" s="11"/>
      <c r="B52" s="44"/>
      <c r="C52" s="128" t="str">
        <f>Asset13</f>
        <v>132kV feeders underground</v>
      </c>
      <c r="D52" s="11"/>
      <c r="E52" s="11"/>
      <c r="F52" s="203"/>
      <c r="G52" s="105">
        <f>Input!H53-Input!H87</f>
        <v>75.912440244034997</v>
      </c>
      <c r="H52" s="105">
        <f>Input!I53-Input!I87</f>
        <v>86.239340537843262</v>
      </c>
      <c r="I52" s="105">
        <f>Input!J53-Input!J87</f>
        <v>162.67096751199216</v>
      </c>
      <c r="J52" s="105">
        <f>Input!K53-Input!K87</f>
        <v>70.528656774477014</v>
      </c>
      <c r="K52" s="105">
        <f>Input!L53-Input!L87</f>
        <v>54.2186863554345</v>
      </c>
      <c r="L52" s="105">
        <f>Input!M53-Input!M87</f>
        <v>0</v>
      </c>
      <c r="M52" s="105">
        <f>Input!N53-Input!N87</f>
        <v>0</v>
      </c>
      <c r="N52" s="105">
        <f>Input!O53-Input!O87</f>
        <v>0</v>
      </c>
      <c r="O52" s="105">
        <f>Input!P53-Input!P87</f>
        <v>0</v>
      </c>
      <c r="P52" s="105">
        <f>Input!Q53-Input!Q87</f>
        <v>0</v>
      </c>
      <c r="Q52" s="105"/>
      <c r="R52" s="105"/>
      <c r="S52" s="105"/>
      <c r="T52" s="105"/>
      <c r="U52" s="105"/>
      <c r="V52" s="105"/>
      <c r="W52" s="105"/>
      <c r="X52" s="105"/>
      <c r="Y52" s="105"/>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s="185" customFormat="1" ht="12.75" hidden="1" customHeight="1" outlineLevel="1">
      <c r="A53" s="11"/>
      <c r="B53" s="44"/>
      <c r="C53" s="128" t="str">
        <f>Asset14</f>
        <v>Cable tunnel (tx)</v>
      </c>
      <c r="D53" s="11"/>
      <c r="E53" s="11"/>
      <c r="F53" s="203"/>
      <c r="G53" s="105">
        <f>Input!H54-Input!H88</f>
        <v>0</v>
      </c>
      <c r="H53" s="105">
        <f>Input!I54-Input!I88</f>
        <v>0</v>
      </c>
      <c r="I53" s="105">
        <f>Input!J54-Input!J88</f>
        <v>0.50669688999999996</v>
      </c>
      <c r="J53" s="105">
        <f>Input!K54-Input!K88</f>
        <v>0.17222615999999999</v>
      </c>
      <c r="K53" s="105">
        <f>Input!L54-Input!L88</f>
        <v>0.1323983268403898</v>
      </c>
      <c r="L53" s="105">
        <f>Input!M54-Input!M88</f>
        <v>0</v>
      </c>
      <c r="M53" s="105">
        <f>Input!N54-Input!N88</f>
        <v>0</v>
      </c>
      <c r="N53" s="105">
        <f>Input!O54-Input!O88</f>
        <v>0</v>
      </c>
      <c r="O53" s="105">
        <f>Input!P54-Input!P88</f>
        <v>0</v>
      </c>
      <c r="P53" s="105">
        <f>Input!Q54-Input!Q88</f>
        <v>0</v>
      </c>
      <c r="Q53" s="105"/>
      <c r="R53" s="105"/>
      <c r="S53" s="105"/>
      <c r="T53" s="105"/>
      <c r="U53" s="105"/>
      <c r="V53" s="105"/>
      <c r="W53" s="105"/>
      <c r="X53" s="105"/>
      <c r="Y53" s="105"/>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s="185" customFormat="1" ht="12.75" hidden="1" customHeight="1" outlineLevel="1">
      <c r="A54" s="11"/>
      <c r="B54" s="44"/>
      <c r="C54" s="128" t="str">
        <f>Asset15</f>
        <v>Network control &amp; com systems</v>
      </c>
      <c r="D54" s="11"/>
      <c r="E54" s="11"/>
      <c r="F54" s="203"/>
      <c r="G54" s="105">
        <f>Input!H55-Input!H89</f>
        <v>1.4944379257499996</v>
      </c>
      <c r="H54" s="105">
        <f>Input!I55-Input!I89</f>
        <v>0</v>
      </c>
      <c r="I54" s="105">
        <f>Input!J55-Input!J89</f>
        <v>2.472436130036965E-2</v>
      </c>
      <c r="J54" s="105">
        <f>Input!K55-Input!K89</f>
        <v>0</v>
      </c>
      <c r="K54" s="105">
        <f>Input!L55-Input!L89</f>
        <v>0</v>
      </c>
      <c r="L54" s="105">
        <f>Input!M55-Input!M89</f>
        <v>0</v>
      </c>
      <c r="M54" s="105">
        <f>Input!N55-Input!N89</f>
        <v>0</v>
      </c>
      <c r="N54" s="105">
        <f>Input!O55-Input!O89</f>
        <v>0</v>
      </c>
      <c r="O54" s="105">
        <f>Input!P55-Input!P89</f>
        <v>0</v>
      </c>
      <c r="P54" s="105">
        <f>Input!Q55-Input!Q89</f>
        <v>0</v>
      </c>
      <c r="Q54" s="105"/>
      <c r="R54" s="105"/>
      <c r="S54" s="105"/>
      <c r="T54" s="105"/>
      <c r="U54" s="105"/>
      <c r="V54" s="105"/>
      <c r="W54" s="105"/>
      <c r="X54" s="105"/>
      <c r="Y54" s="105"/>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s="185" customFormat="1" ht="12.75" hidden="1" customHeight="1" outlineLevel="1">
      <c r="A55" s="11"/>
      <c r="B55" s="44"/>
      <c r="C55" s="128" t="str">
        <f>Asset16</f>
        <v>Communications (digital) - tx</v>
      </c>
      <c r="D55" s="11"/>
      <c r="E55" s="11"/>
      <c r="F55" s="203"/>
      <c r="G55" s="105">
        <f>Input!H56-Input!H90</f>
        <v>0</v>
      </c>
      <c r="H55" s="105">
        <f>Input!I56-Input!I90</f>
        <v>0.32362712999999999</v>
      </c>
      <c r="I55" s="105">
        <f>Input!J56-Input!J90</f>
        <v>0.48453745799999998</v>
      </c>
      <c r="J55" s="105">
        <f>Input!K56-Input!K90</f>
        <v>0.17379104000000001</v>
      </c>
      <c r="K55" s="105">
        <f>Input!L56-Input!L90</f>
        <v>0.13360132349145598</v>
      </c>
      <c r="L55" s="105">
        <f>Input!M56-Input!M90</f>
        <v>0</v>
      </c>
      <c r="M55" s="105">
        <f>Input!N56-Input!N90</f>
        <v>0</v>
      </c>
      <c r="N55" s="105">
        <f>Input!O56-Input!O90</f>
        <v>0</v>
      </c>
      <c r="O55" s="105">
        <f>Input!P56-Input!P90</f>
        <v>0</v>
      </c>
      <c r="P55" s="105">
        <f>Input!Q56-Input!Q90</f>
        <v>0</v>
      </c>
      <c r="Q55" s="105"/>
      <c r="R55" s="105"/>
      <c r="S55" s="105"/>
      <c r="T55" s="105"/>
      <c r="U55" s="105"/>
      <c r="V55" s="105"/>
      <c r="W55" s="105"/>
      <c r="X55" s="105"/>
      <c r="Y55" s="105"/>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s="185" customFormat="1" ht="12.75" hidden="1" customHeight="1" outlineLevel="1">
      <c r="A56" s="11"/>
      <c r="B56" s="44"/>
      <c r="C56" s="128" t="str">
        <f>Asset17</f>
        <v>System IT (tx)</v>
      </c>
      <c r="D56" s="11"/>
      <c r="E56" s="11"/>
      <c r="F56" s="203"/>
      <c r="G56" s="105">
        <f>Input!H57-Input!H91</f>
        <v>3.5523082593050002</v>
      </c>
      <c r="H56" s="105">
        <f>Input!I57-Input!I91</f>
        <v>8.0218477390250005</v>
      </c>
      <c r="I56" s="105">
        <f>Input!J57-Input!J91</f>
        <v>9.3759907181000006</v>
      </c>
      <c r="J56" s="105">
        <f>Input!K57-Input!K91</f>
        <v>4.9723914348000005</v>
      </c>
      <c r="K56" s="105">
        <f>Input!L57-Input!L91</f>
        <v>3.8225105080610593</v>
      </c>
      <c r="L56" s="105">
        <f>Input!M57-Input!M91</f>
        <v>0</v>
      </c>
      <c r="M56" s="105">
        <f>Input!N57-Input!N91</f>
        <v>0</v>
      </c>
      <c r="N56" s="105">
        <f>Input!O57-Input!O91</f>
        <v>0</v>
      </c>
      <c r="O56" s="105">
        <f>Input!P57-Input!P91</f>
        <v>0</v>
      </c>
      <c r="P56" s="105">
        <f>Input!Q57-Input!Q91</f>
        <v>0</v>
      </c>
      <c r="Q56" s="105"/>
      <c r="R56" s="105"/>
      <c r="S56" s="105"/>
      <c r="T56" s="105"/>
      <c r="U56" s="105"/>
      <c r="V56" s="105"/>
      <c r="W56" s="105"/>
      <c r="X56" s="105"/>
      <c r="Y56" s="105"/>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s="185" customFormat="1" ht="12.75" hidden="1" customHeight="1" outlineLevel="1">
      <c r="A57" s="11"/>
      <c r="B57" s="44"/>
      <c r="C57" s="128" t="str">
        <f>Asset18</f>
        <v>IT systems</v>
      </c>
      <c r="D57" s="11"/>
      <c r="E57" s="11"/>
      <c r="F57" s="203"/>
      <c r="G57" s="105">
        <f>Input!H58-Input!H92</f>
        <v>6.2451121317159419</v>
      </c>
      <c r="H57" s="105">
        <f>Input!I58-Input!I92</f>
        <v>7.0433153250162981</v>
      </c>
      <c r="I57" s="105">
        <f>Input!J58-Input!J92</f>
        <v>4.5420776910323886</v>
      </c>
      <c r="J57" s="105">
        <f>Input!K58-Input!K92</f>
        <v>3.5030335676129192</v>
      </c>
      <c r="K57" s="105">
        <f>Input!L58-Input!L92</f>
        <v>2.6977193084124389</v>
      </c>
      <c r="L57" s="105">
        <f>Input!M58-Input!M92</f>
        <v>0</v>
      </c>
      <c r="M57" s="105">
        <f>Input!N58-Input!N92</f>
        <v>0</v>
      </c>
      <c r="N57" s="105">
        <f>Input!O58-Input!O92</f>
        <v>0</v>
      </c>
      <c r="O57" s="105">
        <f>Input!P58-Input!P92</f>
        <v>0</v>
      </c>
      <c r="P57" s="105">
        <f>Input!Q58-Input!Q92</f>
        <v>0</v>
      </c>
      <c r="Q57" s="105"/>
      <c r="R57" s="105"/>
      <c r="S57" s="105"/>
      <c r="T57" s="105"/>
      <c r="U57" s="105"/>
      <c r="V57" s="105"/>
      <c r="W57" s="105"/>
      <c r="X57" s="105"/>
      <c r="Y57" s="105"/>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s="185" customFormat="1" ht="12.75" hidden="1" customHeight="1" outlineLevel="1">
      <c r="A58" s="11"/>
      <c r="B58" s="44"/>
      <c r="C58" s="128" t="str">
        <f>Asset19</f>
        <v>Furniture, fittings, plant and equipment</v>
      </c>
      <c r="D58" s="11"/>
      <c r="E58" s="11"/>
      <c r="F58" s="203"/>
      <c r="G58" s="105">
        <f>Input!H59-Input!H93</f>
        <v>0.99610458849220773</v>
      </c>
      <c r="H58" s="105">
        <f>Input!I59-Input!I93</f>
        <v>0.90757029519571564</v>
      </c>
      <c r="I58" s="105">
        <f>Input!J59-Input!J93</f>
        <v>0.95823059672371191</v>
      </c>
      <c r="J58" s="105">
        <f>Input!K59-Input!K93</f>
        <v>0.58680923372712024</v>
      </c>
      <c r="K58" s="105">
        <f>Input!L59-Input!L93</f>
        <v>0.45654615022877126</v>
      </c>
      <c r="L58" s="105">
        <f>Input!M59-Input!M93</f>
        <v>0</v>
      </c>
      <c r="M58" s="105">
        <f>Input!N59-Input!N93</f>
        <v>0</v>
      </c>
      <c r="N58" s="105">
        <f>Input!O59-Input!O93</f>
        <v>0</v>
      </c>
      <c r="O58" s="105">
        <f>Input!P59-Input!P93</f>
        <v>0</v>
      </c>
      <c r="P58" s="105">
        <f>Input!Q59-Input!Q93</f>
        <v>0</v>
      </c>
      <c r="Q58" s="105"/>
      <c r="R58" s="105"/>
      <c r="S58" s="105"/>
      <c r="T58" s="105"/>
      <c r="U58" s="105"/>
      <c r="V58" s="105"/>
      <c r="W58" s="105"/>
      <c r="X58" s="105"/>
      <c r="Y58" s="105"/>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s="185" customFormat="1" ht="12.75" hidden="1" customHeight="1" outlineLevel="1">
      <c r="A59" s="11"/>
      <c r="B59" s="44"/>
      <c r="C59" s="128" t="str">
        <f>Asset20</f>
        <v>Motor vehicles</v>
      </c>
      <c r="D59" s="11"/>
      <c r="E59" s="11"/>
      <c r="F59" s="203"/>
      <c r="G59" s="105">
        <f>Input!H60-Input!H94</f>
        <v>3.2468716269243019</v>
      </c>
      <c r="H59" s="105">
        <f>Input!I60-Input!I94</f>
        <v>3.4828737413845055</v>
      </c>
      <c r="I59" s="105">
        <f>Input!J60-Input!J94</f>
        <v>3.8085620196583045</v>
      </c>
      <c r="J59" s="105">
        <f>Input!K60-Input!K94</f>
        <v>1.694117096720821</v>
      </c>
      <c r="K59" s="105">
        <f>Input!L60-Input!L94</f>
        <v>1.5332857518701408</v>
      </c>
      <c r="L59" s="105">
        <f>Input!M60-Input!M94</f>
        <v>0</v>
      </c>
      <c r="M59" s="105">
        <f>Input!N60-Input!N94</f>
        <v>0</v>
      </c>
      <c r="N59" s="105">
        <f>Input!O60-Input!O94</f>
        <v>0</v>
      </c>
      <c r="O59" s="105">
        <f>Input!P60-Input!P94</f>
        <v>0</v>
      </c>
      <c r="P59" s="105">
        <f>Input!Q60-Input!Q94</f>
        <v>0</v>
      </c>
      <c r="Q59" s="105"/>
      <c r="R59" s="105"/>
      <c r="S59" s="105"/>
      <c r="T59" s="105"/>
      <c r="U59" s="105"/>
      <c r="V59" s="105"/>
      <c r="W59" s="105"/>
      <c r="X59" s="105"/>
      <c r="Y59" s="105"/>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s="185" customFormat="1" ht="12" hidden="1" customHeight="1" outlineLevel="1">
      <c r="A60" s="11"/>
      <c r="B60" s="44"/>
      <c r="C60" s="128" t="str">
        <f>Asset21</f>
        <v>Buildings</v>
      </c>
      <c r="D60" s="11"/>
      <c r="E60" s="11"/>
      <c r="F60" s="203"/>
      <c r="G60" s="105">
        <f>Input!H61-Input!H95</f>
        <v>8.8453901268734185</v>
      </c>
      <c r="H60" s="105">
        <f>Input!I61-Input!I95</f>
        <v>8.3133163977562408</v>
      </c>
      <c r="I60" s="105">
        <f>Input!J61-Input!J95</f>
        <v>4.1599021930827913</v>
      </c>
      <c r="J60" s="105">
        <f>Input!K61-Input!K95</f>
        <v>3.3407130854520739</v>
      </c>
      <c r="K60" s="105">
        <f>Input!L61-Input!L95</f>
        <v>-5.4214136851850032</v>
      </c>
      <c r="L60" s="105">
        <f>Input!M61-Input!M95</f>
        <v>0</v>
      </c>
      <c r="M60" s="105">
        <f>Input!N61-Input!N95</f>
        <v>0</v>
      </c>
      <c r="N60" s="105">
        <f>Input!O61-Input!O95</f>
        <v>0</v>
      </c>
      <c r="O60" s="105">
        <f>Input!P61-Input!P95</f>
        <v>0</v>
      </c>
      <c r="P60" s="105">
        <f>Input!Q61-Input!Q95</f>
        <v>0</v>
      </c>
      <c r="Q60" s="105"/>
      <c r="R60" s="105"/>
      <c r="S60" s="105"/>
      <c r="T60" s="105"/>
      <c r="U60" s="105"/>
      <c r="V60" s="105"/>
      <c r="W60" s="105"/>
      <c r="X60" s="105"/>
      <c r="Y60" s="105"/>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s="185" customFormat="1" hidden="1" outlineLevel="1">
      <c r="A61" s="11"/>
      <c r="B61" s="44"/>
      <c r="C61" s="128" t="str">
        <f>Asset22</f>
        <v>Land (non-system)</v>
      </c>
      <c r="D61" s="11"/>
      <c r="E61" s="11"/>
      <c r="F61" s="203"/>
      <c r="G61" s="105">
        <f>Input!H62-Input!H96</f>
        <v>2.6244985000000001</v>
      </c>
      <c r="H61" s="105">
        <f>Input!I62-Input!I96</f>
        <v>0.87166299999999997</v>
      </c>
      <c r="I61" s="105">
        <f>Input!J62-Input!J96</f>
        <v>1.12420790547</v>
      </c>
      <c r="J61" s="105">
        <f>Input!K62-Input!K96</f>
        <v>-1.4776198897200001E-2</v>
      </c>
      <c r="K61" s="105">
        <f>Input!L62-Input!L96</f>
        <v>-7.9886440568376642</v>
      </c>
      <c r="L61" s="105">
        <f>Input!M62-Input!M96</f>
        <v>0</v>
      </c>
      <c r="M61" s="105">
        <f>Input!N62-Input!N96</f>
        <v>0</v>
      </c>
      <c r="N61" s="105">
        <f>Input!O62-Input!O96</f>
        <v>0</v>
      </c>
      <c r="O61" s="105">
        <f>Input!P62-Input!P96</f>
        <v>0</v>
      </c>
      <c r="P61" s="105">
        <f>Input!Q62-Input!Q96</f>
        <v>0</v>
      </c>
      <c r="Q61" s="105"/>
      <c r="R61" s="105"/>
      <c r="S61" s="105"/>
      <c r="T61" s="105"/>
      <c r="U61" s="105"/>
      <c r="V61" s="105"/>
      <c r="W61" s="105"/>
      <c r="X61" s="105"/>
      <c r="Y61" s="105"/>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s="185" customFormat="1" hidden="1" outlineLevel="1">
      <c r="A62" s="11"/>
      <c r="B62" s="44"/>
      <c r="C62" s="128" t="str">
        <f>Asset23</f>
        <v>Other non system assets</v>
      </c>
      <c r="D62" s="11"/>
      <c r="E62" s="11"/>
      <c r="F62" s="203"/>
      <c r="G62" s="105">
        <f>Input!H63-Input!H97</f>
        <v>0</v>
      </c>
      <c r="H62" s="105">
        <f>Input!I63-Input!I97</f>
        <v>6.582950871119991E-3</v>
      </c>
      <c r="I62" s="105">
        <f>Input!J63-Input!J97</f>
        <v>0.155932742167982</v>
      </c>
      <c r="J62" s="105">
        <f>Input!K63-Input!K97</f>
        <v>1.1088829519050316E-2</v>
      </c>
      <c r="K62" s="105">
        <f>Input!L63-Input!L97</f>
        <v>1.0242802094290505E-2</v>
      </c>
      <c r="L62" s="105">
        <f>Input!M63-Input!M97</f>
        <v>0</v>
      </c>
      <c r="M62" s="105">
        <f>Input!N63-Input!N97</f>
        <v>0</v>
      </c>
      <c r="N62" s="105">
        <f>Input!O63-Input!O97</f>
        <v>0</v>
      </c>
      <c r="O62" s="105">
        <f>Input!P63-Input!P97</f>
        <v>0</v>
      </c>
      <c r="P62" s="105">
        <f>Input!Q63-Input!Q97</f>
        <v>0</v>
      </c>
      <c r="Q62" s="105"/>
      <c r="R62" s="105"/>
      <c r="S62" s="105"/>
      <c r="T62" s="105"/>
      <c r="U62" s="105"/>
      <c r="V62" s="105"/>
      <c r="W62" s="105"/>
      <c r="X62" s="105"/>
      <c r="Y62" s="105"/>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s="185" customFormat="1" hidden="1" outlineLevel="1">
      <c r="A63" s="11"/>
      <c r="B63" s="44"/>
      <c r="C63" s="128" t="str">
        <f>Asset24</f>
        <v>Equity raising costs</v>
      </c>
      <c r="D63" s="11"/>
      <c r="E63" s="11"/>
      <c r="F63" s="203"/>
      <c r="G63" s="105">
        <f>Input!H64-Input!H98</f>
        <v>6.2756261047438846</v>
      </c>
      <c r="H63" s="105">
        <f>Input!I64-Input!I98</f>
        <v>0</v>
      </c>
      <c r="I63" s="105">
        <f>Input!J64-Input!J98</f>
        <v>0</v>
      </c>
      <c r="J63" s="105">
        <f>Input!K64-Input!K98</f>
        <v>0</v>
      </c>
      <c r="K63" s="105">
        <f>Input!L64-Input!L98</f>
        <v>0</v>
      </c>
      <c r="L63" s="105">
        <f>Input!M64-Input!M98</f>
        <v>0</v>
      </c>
      <c r="M63" s="105">
        <f>Input!N64-Input!N98</f>
        <v>0</v>
      </c>
      <c r="N63" s="105">
        <f>Input!O64-Input!O98</f>
        <v>0</v>
      </c>
      <c r="O63" s="105">
        <f>Input!P64-Input!P98</f>
        <v>0</v>
      </c>
      <c r="P63" s="105">
        <f>Input!Q64-Input!Q98</f>
        <v>0</v>
      </c>
      <c r="Q63" s="105"/>
      <c r="R63" s="105"/>
      <c r="S63" s="105"/>
      <c r="T63" s="105"/>
      <c r="U63" s="105"/>
      <c r="V63" s="105"/>
      <c r="W63" s="105"/>
      <c r="X63" s="105"/>
      <c r="Y63" s="105"/>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s="185" customFormat="1" hidden="1" outlineLevel="1">
      <c r="A64" s="11"/>
      <c r="B64" s="44"/>
      <c r="C64" s="128">
        <f>Asset25</f>
        <v>0</v>
      </c>
      <c r="D64" s="11"/>
      <c r="E64" s="11"/>
      <c r="F64" s="203"/>
      <c r="G64" s="105">
        <f>Input!H65-Input!H99</f>
        <v>0</v>
      </c>
      <c r="H64" s="105">
        <f>Input!I65-Input!I99</f>
        <v>0</v>
      </c>
      <c r="I64" s="105">
        <f>Input!J65-Input!J99</f>
        <v>0</v>
      </c>
      <c r="J64" s="105">
        <f>Input!K65-Input!K99</f>
        <v>0</v>
      </c>
      <c r="K64" s="105">
        <f>Input!L65-Input!L99</f>
        <v>0</v>
      </c>
      <c r="L64" s="105">
        <f>Input!M65-Input!M99</f>
        <v>0</v>
      </c>
      <c r="M64" s="105">
        <f>Input!N65-Input!N99</f>
        <v>0</v>
      </c>
      <c r="N64" s="105">
        <f>Input!O65-Input!O99</f>
        <v>0</v>
      </c>
      <c r="O64" s="105">
        <f>Input!P65-Input!P99</f>
        <v>0</v>
      </c>
      <c r="P64" s="105">
        <f>Input!Q65-Input!Q99</f>
        <v>0</v>
      </c>
      <c r="Q64" s="105"/>
      <c r="R64" s="105"/>
      <c r="S64" s="105"/>
      <c r="T64" s="105"/>
      <c r="U64" s="105"/>
      <c r="V64" s="105"/>
      <c r="W64" s="105"/>
      <c r="X64" s="105"/>
      <c r="Y64" s="105"/>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s="185" customFormat="1" hidden="1" outlineLevel="1">
      <c r="A65" s="11"/>
      <c r="B65" s="44"/>
      <c r="C65" s="128">
        <f>Asset26</f>
        <v>0</v>
      </c>
      <c r="D65" s="11"/>
      <c r="E65" s="11"/>
      <c r="F65" s="203"/>
      <c r="G65" s="105">
        <f>Input!H66-Input!H100</f>
        <v>0</v>
      </c>
      <c r="H65" s="105">
        <f>Input!I66-Input!I100</f>
        <v>0</v>
      </c>
      <c r="I65" s="105">
        <f>Input!J66-Input!J100</f>
        <v>0</v>
      </c>
      <c r="J65" s="105">
        <f>Input!K66-Input!K100</f>
        <v>0</v>
      </c>
      <c r="K65" s="105">
        <f>Input!L66-Input!L100</f>
        <v>0</v>
      </c>
      <c r="L65" s="105">
        <f>Input!M66-Input!M100</f>
        <v>0</v>
      </c>
      <c r="M65" s="105">
        <f>Input!N66-Input!N100</f>
        <v>0</v>
      </c>
      <c r="N65" s="105">
        <f>Input!O66-Input!O100</f>
        <v>0</v>
      </c>
      <c r="O65" s="105">
        <f>Input!P66-Input!P100</f>
        <v>0</v>
      </c>
      <c r="P65" s="105">
        <f>Input!Q66-Input!Q100</f>
        <v>0</v>
      </c>
      <c r="Q65" s="105"/>
      <c r="R65" s="105"/>
      <c r="S65" s="105"/>
      <c r="T65" s="105"/>
      <c r="U65" s="105"/>
      <c r="V65" s="105"/>
      <c r="W65" s="105"/>
      <c r="X65" s="105"/>
      <c r="Y65" s="105"/>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s="185" customFormat="1" ht="4.5" hidden="1" customHeight="1" outlineLevel="1">
      <c r="A66" s="11"/>
      <c r="B66" s="44"/>
      <c r="C66" s="128">
        <f>Asset27</f>
        <v>0</v>
      </c>
      <c r="D66" s="11"/>
      <c r="E66" s="11"/>
      <c r="F66" s="203"/>
      <c r="G66" s="105">
        <f>Input!H67-Input!H101</f>
        <v>0</v>
      </c>
      <c r="H66" s="105">
        <f>Input!I67-Input!I101</f>
        <v>0</v>
      </c>
      <c r="I66" s="105">
        <f>Input!J67-Input!J101</f>
        <v>0</v>
      </c>
      <c r="J66" s="105">
        <f>Input!K67-Input!K101</f>
        <v>0</v>
      </c>
      <c r="K66" s="105">
        <f>Input!L67-Input!L101</f>
        <v>0</v>
      </c>
      <c r="L66" s="105">
        <f>Input!M67-Input!M101</f>
        <v>0</v>
      </c>
      <c r="M66" s="105">
        <f>Input!N67-Input!N101</f>
        <v>0</v>
      </c>
      <c r="N66" s="105">
        <f>Input!O67-Input!O101</f>
        <v>0</v>
      </c>
      <c r="O66" s="105">
        <f>Input!P67-Input!P101</f>
        <v>0</v>
      </c>
      <c r="P66" s="105">
        <f>Input!Q67-Input!Q101</f>
        <v>0</v>
      </c>
      <c r="Q66" s="105"/>
      <c r="R66" s="105"/>
      <c r="S66" s="105"/>
      <c r="T66" s="105"/>
      <c r="U66" s="105"/>
      <c r="V66" s="105"/>
      <c r="W66" s="105"/>
      <c r="X66" s="105"/>
      <c r="Y66" s="105"/>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s="185" customFormat="1" ht="4.5" hidden="1" customHeight="1" outlineLevel="1">
      <c r="A67" s="11"/>
      <c r="B67" s="44"/>
      <c r="C67" s="128">
        <f>Asset28</f>
        <v>0</v>
      </c>
      <c r="D67" s="11"/>
      <c r="E67" s="11"/>
      <c r="F67" s="203"/>
      <c r="G67" s="105">
        <f>Input!H68-Input!H102</f>
        <v>0</v>
      </c>
      <c r="H67" s="105">
        <f>Input!I68-Input!I102</f>
        <v>0</v>
      </c>
      <c r="I67" s="105">
        <f>Input!J68-Input!J102</f>
        <v>0</v>
      </c>
      <c r="J67" s="105">
        <f>Input!K68-Input!K102</f>
        <v>0</v>
      </c>
      <c r="K67" s="105">
        <f>Input!L68-Input!L102</f>
        <v>0</v>
      </c>
      <c r="L67" s="105">
        <f>Input!M68-Input!M102</f>
        <v>0</v>
      </c>
      <c r="M67" s="105">
        <f>Input!N68-Input!N102</f>
        <v>0</v>
      </c>
      <c r="N67" s="105">
        <f>Input!O68-Input!O102</f>
        <v>0</v>
      </c>
      <c r="O67" s="105">
        <f>Input!P68-Input!P102</f>
        <v>0</v>
      </c>
      <c r="P67" s="105">
        <f>Input!Q68-Input!Q102</f>
        <v>0</v>
      </c>
      <c r="Q67" s="105"/>
      <c r="R67" s="105"/>
      <c r="S67" s="105"/>
      <c r="T67" s="105"/>
      <c r="U67" s="105"/>
      <c r="V67" s="105"/>
      <c r="W67" s="105"/>
      <c r="X67" s="105"/>
      <c r="Y67" s="105"/>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s="185" customFormat="1" ht="4.5" hidden="1" customHeight="1" outlineLevel="1">
      <c r="A68" s="11"/>
      <c r="B68" s="44"/>
      <c r="C68" s="128">
        <f>Asset29</f>
        <v>0</v>
      </c>
      <c r="D68" s="11"/>
      <c r="E68" s="11"/>
      <c r="F68" s="203"/>
      <c r="G68" s="105">
        <f>Input!H69-Input!H103</f>
        <v>0</v>
      </c>
      <c r="H68" s="105">
        <f>Input!I69-Input!I103</f>
        <v>0</v>
      </c>
      <c r="I68" s="105">
        <f>Input!J69-Input!J103</f>
        <v>0</v>
      </c>
      <c r="J68" s="105">
        <f>Input!K69-Input!K103</f>
        <v>0</v>
      </c>
      <c r="K68" s="105">
        <f>Input!L69-Input!L103</f>
        <v>0</v>
      </c>
      <c r="L68" s="105">
        <f>Input!M69-Input!M103</f>
        <v>0</v>
      </c>
      <c r="M68" s="105">
        <f>Input!N69-Input!N103</f>
        <v>0</v>
      </c>
      <c r="N68" s="105">
        <f>Input!O69-Input!O103</f>
        <v>0</v>
      </c>
      <c r="O68" s="105">
        <f>Input!P69-Input!P103</f>
        <v>0</v>
      </c>
      <c r="P68" s="105">
        <f>Input!Q69-Input!Q103</f>
        <v>0</v>
      </c>
      <c r="Q68" s="105"/>
      <c r="R68" s="105"/>
      <c r="S68" s="105"/>
      <c r="T68" s="105"/>
      <c r="U68" s="105"/>
      <c r="V68" s="105"/>
      <c r="W68" s="105"/>
      <c r="X68" s="105"/>
      <c r="Y68" s="105"/>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s="185" customFormat="1" hidden="1" outlineLevel="1">
      <c r="A69" s="11"/>
      <c r="B69" s="44"/>
      <c r="C69" s="128">
        <f>Asset30</f>
        <v>0</v>
      </c>
      <c r="D69" s="11"/>
      <c r="E69" s="11"/>
      <c r="F69" s="203"/>
      <c r="G69" s="105">
        <f>Input!H70-Input!H104</f>
        <v>0</v>
      </c>
      <c r="H69" s="105">
        <f>Input!I70-Input!I104</f>
        <v>0</v>
      </c>
      <c r="I69" s="105">
        <f>Input!J70-Input!J104</f>
        <v>0</v>
      </c>
      <c r="J69" s="105">
        <f>Input!K70-Input!K104</f>
        <v>0</v>
      </c>
      <c r="K69" s="105">
        <f>Input!L70-Input!L104</f>
        <v>0</v>
      </c>
      <c r="L69" s="105">
        <f>Input!M70-Input!M104</f>
        <v>0</v>
      </c>
      <c r="M69" s="105">
        <f>Input!N70-Input!N104</f>
        <v>0</v>
      </c>
      <c r="N69" s="105">
        <f>Input!O70-Input!O104</f>
        <v>0</v>
      </c>
      <c r="O69" s="105">
        <f>Input!P70-Input!P104</f>
        <v>0</v>
      </c>
      <c r="P69" s="105">
        <f>Input!Q70-Input!Q104</f>
        <v>0</v>
      </c>
      <c r="Q69" s="105"/>
      <c r="R69" s="105"/>
      <c r="S69" s="105"/>
      <c r="T69" s="105"/>
      <c r="U69" s="105"/>
      <c r="V69" s="105"/>
      <c r="W69" s="105"/>
      <c r="X69" s="105"/>
      <c r="Y69" s="105"/>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s="185" customFormat="1" collapsed="1">
      <c r="A70" s="11"/>
      <c r="B70" s="16"/>
      <c r="C70" s="11"/>
      <c r="D70" s="11"/>
      <c r="E70" s="11"/>
      <c r="F70" s="203"/>
      <c r="G70" s="105"/>
      <c r="H70" s="105"/>
      <c r="I70" s="105"/>
      <c r="J70" s="105"/>
      <c r="K70" s="105"/>
      <c r="L70" s="105"/>
      <c r="M70" s="105"/>
      <c r="N70" s="105"/>
      <c r="O70" s="105"/>
      <c r="P70" s="105"/>
      <c r="Q70" s="105"/>
      <c r="R70" s="105"/>
      <c r="S70" s="105"/>
      <c r="T70" s="105"/>
      <c r="U70" s="105"/>
      <c r="V70" s="105"/>
      <c r="W70" s="105"/>
      <c r="X70" s="105"/>
      <c r="Y70" s="105"/>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s="185" customFormat="1">
      <c r="A71" s="9"/>
      <c r="B71" s="9" t="s">
        <v>71</v>
      </c>
      <c r="C71" s="9"/>
      <c r="D71" s="9"/>
      <c r="E71" s="9"/>
      <c r="F71" s="191"/>
      <c r="G71" s="355">
        <f>G84+G97+G110+G123+G136+G149+G162+G175+G188+G201+G214+G227+G240+G253+G266+G279+G292+G305+G318+G331+G344+G358+G372+G386</f>
        <v>-32.621863286219366</v>
      </c>
      <c r="H71" s="355">
        <f t="shared" ref="H71:P71" si="8">H84+H97+H110+H123+H136+H149+H162+H175+H188+H201+H214+H227+H240+H253+H266+H279+H292+H305+H318+H331+H344+H358+H372+H386</f>
        <v>-24.365844003291354</v>
      </c>
      <c r="I71" s="355">
        <f t="shared" si="8"/>
        <v>-33.967726383901343</v>
      </c>
      <c r="J71" s="355">
        <f t="shared" si="8"/>
        <v>-40.574162441097585</v>
      </c>
      <c r="K71" s="355">
        <f t="shared" si="8"/>
        <v>-43.890098291404229</v>
      </c>
      <c r="L71" s="355"/>
      <c r="M71" s="355">
        <f t="shared" si="8"/>
        <v>0</v>
      </c>
      <c r="N71" s="355">
        <f t="shared" si="8"/>
        <v>0</v>
      </c>
      <c r="O71" s="355">
        <f t="shared" si="8"/>
        <v>0</v>
      </c>
      <c r="P71" s="355">
        <f t="shared" si="8"/>
        <v>0</v>
      </c>
      <c r="Q71" s="110"/>
      <c r="R71" s="188"/>
      <c r="S71" s="308"/>
      <c r="T71" s="308"/>
      <c r="U71" s="188"/>
      <c r="V71" s="188"/>
      <c r="W71" s="188"/>
      <c r="X71" s="188"/>
      <c r="Y71" s="188"/>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s="185" customFormat="1" ht="12.75" hidden="1" customHeight="1" outlineLevel="2">
      <c r="A72" s="9"/>
      <c r="B72" s="31" t="str">
        <f>Asset1</f>
        <v>Transmission &amp; Zone land &amp; easements</v>
      </c>
      <c r="C72" s="32"/>
      <c r="D72" s="33" t="s">
        <v>67</v>
      </c>
      <c r="E72" s="32"/>
      <c r="F72" s="191"/>
      <c r="G72" s="356">
        <v>0</v>
      </c>
      <c r="H72" s="356">
        <v>0</v>
      </c>
      <c r="I72" s="356">
        <v>0</v>
      </c>
      <c r="J72" s="356">
        <v>0</v>
      </c>
      <c r="K72" s="356">
        <v>0</v>
      </c>
      <c r="L72" s="356"/>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2"/>
      <c r="S72" s="308">
        <f>SUM(K72:K77)</f>
        <v>0</v>
      </c>
      <c r="T72" s="308"/>
      <c r="U72" s="102"/>
      <c r="V72" s="102"/>
      <c r="W72" s="102"/>
      <c r="X72" s="102"/>
      <c r="Y72" s="102"/>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s="185" customFormat="1" ht="12.75" hidden="1" customHeight="1" outlineLevel="2">
      <c r="A73" s="9"/>
      <c r="B73" s="25"/>
      <c r="C73" s="24"/>
      <c r="D73" s="384" t="s">
        <v>85</v>
      </c>
      <c r="E73" s="85">
        <v>0</v>
      </c>
      <c r="F73" s="309"/>
      <c r="G73" s="67"/>
      <c r="H73" s="67"/>
      <c r="I73" s="67"/>
      <c r="J73" s="67"/>
      <c r="K73" s="67"/>
      <c r="L73" s="67"/>
      <c r="M73" s="67"/>
      <c r="N73" s="67"/>
      <c r="O73" s="67"/>
      <c r="P73" s="67"/>
      <c r="Q73" s="67"/>
      <c r="R73" s="102"/>
      <c r="S73" s="102"/>
      <c r="T73" s="102"/>
      <c r="U73" s="102"/>
      <c r="V73" s="102"/>
      <c r="W73" s="102"/>
      <c r="X73" s="102"/>
      <c r="Y73" s="102"/>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s="185" customFormat="1" ht="12.75" hidden="1" customHeight="1" outlineLevel="2">
      <c r="A74" s="9"/>
      <c r="B74" s="25"/>
      <c r="C74" s="24"/>
      <c r="D74" s="385"/>
      <c r="E74" s="85">
        <v>1</v>
      </c>
      <c r="F74" s="191"/>
      <c r="G74" s="147"/>
      <c r="H74" s="67" t="str">
        <f>IF(A1taxstdlife="n/a","n/a",IF(H$3&gt;(A1taxstdlife+$E74),(Input!$H$41-Input!$H$75)-SUM($G74:G74),(Input!$H$41-Input!$H$75)/A1taxstdlife))</f>
        <v>n/a</v>
      </c>
      <c r="I74" s="67" t="str">
        <f>IF(A1taxstdlife="n/a","n/a",IF(I$3&gt;(A1taxstdlife+$E74),(Input!$H$41-Input!$H$75)-SUM($G74:H74),(Input!$H$41-Input!$H$75)/A1taxstdlife))</f>
        <v>n/a</v>
      </c>
      <c r="J74" s="67" t="str">
        <f>IF(A1taxstdlife="n/a","n/a",IF(J$3&gt;(A1taxstdlife+$E74),(Input!$H$41-Input!$H$75)-SUM($G74:I74),(Input!$H$41-Input!$H$75)/A1taxstdlife))</f>
        <v>n/a</v>
      </c>
      <c r="K74" s="67" t="str">
        <f>IF(A1taxstdlife="n/a","n/a",IF(K$3&gt;(A1taxstdlife+$E74),(Input!$H$41-Input!$H$75)-SUM($G74:J74),(Input!$H$41-Input!$H$75)/A1taxstdlife))</f>
        <v>n/a</v>
      </c>
      <c r="L74" s="67"/>
      <c r="M74" s="67" t="str">
        <f>IF(A1taxstdlife="n/a","n/a",IF(M$3&gt;(A1taxstdlife+$E74),(Input!$H$41-Input!$H$75)-SUM($G74:L74),(Input!$H$41-Input!$H$75)/A1taxstdlife))</f>
        <v>n/a</v>
      </c>
      <c r="N74" s="67" t="str">
        <f>IF(A1taxstdlife="n/a","n/a",IF(N$3&gt;(A1taxstdlife+$E74),(Input!$H$41-Input!$H$75)-SUM($G74:M74),(Input!$H$41-Input!$H$75)/A1taxstdlife))</f>
        <v>n/a</v>
      </c>
      <c r="O74" s="67" t="str">
        <f>IF(A1taxstdlife="n/a","n/a",IF(O$3&gt;(A1taxstdlife+$E74),(Input!$H$41-Input!$H$75)-SUM($G74:N74),(Input!$H$41-Input!$H$75)/A1taxstdlife))</f>
        <v>n/a</v>
      </c>
      <c r="P74" s="67" t="str">
        <f>IF(A1taxstdlife="n/a","n/a",IF(P$3&gt;(A1taxstdlife+$E74),(Input!$H$41-Input!$H$75)-SUM($G74:O74),(Input!$H$41-Input!$H$75)/A1taxstdlife))</f>
        <v>n/a</v>
      </c>
      <c r="Q74" s="67"/>
      <c r="R74" s="102"/>
      <c r="S74" s="102"/>
      <c r="T74" s="102"/>
      <c r="U74" s="102"/>
      <c r="V74" s="102"/>
      <c r="W74" s="102"/>
      <c r="X74" s="102"/>
      <c r="Y74" s="102"/>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s="185" customFormat="1" ht="12.75" hidden="1" customHeight="1" outlineLevel="2">
      <c r="A75" s="9"/>
      <c r="B75" s="25"/>
      <c r="C75" s="24"/>
      <c r="D75" s="385"/>
      <c r="E75" s="85">
        <v>2</v>
      </c>
      <c r="F75" s="191"/>
      <c r="G75" s="148"/>
      <c r="H75" s="147"/>
      <c r="I75" s="67" t="str">
        <f>IF(A1taxstdlife="n/a","n/a",IF(I$3&gt;(A1taxstdlife+$E75),(Input!$I$41-Input!$I$75)-SUM($H75:H75),(Input!$I$41-Input!$I$75)/A1taxstdlife))</f>
        <v>n/a</v>
      </c>
      <c r="J75" s="67" t="str">
        <f>IF(A1taxstdlife="n/a","n/a",IF(J$3&gt;(A1taxstdlife+$E75),(Input!$I$41-Input!$I$75)-SUM($H75:I75),(Input!$I$41-Input!$I$75)/A1taxstdlife))</f>
        <v>n/a</v>
      </c>
      <c r="K75" s="67" t="str">
        <f>IF(A1taxstdlife="n/a","n/a",IF(K$3&gt;(A1taxstdlife+$E75),(Input!$I$41-Input!$I$75)-SUM($H75:J75),(Input!$I$41-Input!$I$75)/A1taxstdlife))</f>
        <v>n/a</v>
      </c>
      <c r="L75" s="67"/>
      <c r="M75" s="67" t="str">
        <f>IF(A1taxstdlife="n/a","n/a",IF(M$3&gt;(A1taxstdlife+$E75),(Input!$I$41-Input!$I$75)-SUM($H75:L75),(Input!$I$41-Input!$I$75)/A1taxstdlife))</f>
        <v>n/a</v>
      </c>
      <c r="N75" s="67" t="str">
        <f>IF(A1taxstdlife="n/a","n/a",IF(N$3&gt;(A1taxstdlife+$E75),(Input!$I$41-Input!$I$75)-SUM($H75:M75),(Input!$I$41-Input!$I$75)/A1taxstdlife))</f>
        <v>n/a</v>
      </c>
      <c r="O75" s="67" t="str">
        <f>IF(A1taxstdlife="n/a","n/a",IF(O$3&gt;(A1taxstdlife+$E75),(Input!$I$41-Input!$I$75)-SUM($H75:N75),(Input!$I$41-Input!$I$75)/A1taxstdlife))</f>
        <v>n/a</v>
      </c>
      <c r="P75" s="67" t="str">
        <f>IF(A1taxstdlife="n/a","n/a",IF(P$3&gt;(A1taxstdlife+$E75),(Input!$I$41-Input!$I$75)-SUM($H75:O75),(Input!$I$41-Input!$I$75)/A1taxstdlife))</f>
        <v>n/a</v>
      </c>
      <c r="Q75" s="67"/>
      <c r="R75" s="102"/>
      <c r="S75" s="102"/>
      <c r="T75" s="102"/>
      <c r="U75" s="102"/>
      <c r="V75" s="102"/>
      <c r="W75" s="102"/>
      <c r="X75" s="102"/>
      <c r="Y75" s="102"/>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s="185" customFormat="1" ht="12.75" hidden="1" customHeight="1" outlineLevel="2">
      <c r="A76" s="9"/>
      <c r="B76" s="25"/>
      <c r="C76" s="24"/>
      <c r="D76" s="385"/>
      <c r="E76" s="85">
        <v>3</v>
      </c>
      <c r="F76" s="191"/>
      <c r="G76" s="148"/>
      <c r="H76" s="148"/>
      <c r="I76" s="147"/>
      <c r="J76" s="67" t="str">
        <f>IF(A1taxstdlife="n/a","n/a",IF(J$3&gt;(A1taxstdlife+$E76),(Input!$J$41-Input!$J$75)-SUM($I76:I76),(Input!$J$41-Input!$J$75)/A1taxstdlife))</f>
        <v>n/a</v>
      </c>
      <c r="K76" s="67" t="str">
        <f>IF(A1taxstdlife="n/a","n/a",IF(K$3&gt;(A1taxstdlife+$E76),(Input!$J$41-Input!$J$75)-SUM($I76:J76),(Input!$J$41-Input!$J$75)/A1taxstdlife))</f>
        <v>n/a</v>
      </c>
      <c r="L76" s="67"/>
      <c r="M76" s="67" t="str">
        <f>IF(A1taxstdlife="n/a","n/a",IF(M$3&gt;(A1taxstdlife+$E76),(Input!$J$41-Input!$J$75)-SUM($I76:L76),(Input!$J$41-Input!$J$75)/A1taxstdlife))</f>
        <v>n/a</v>
      </c>
      <c r="N76" s="67" t="str">
        <f>IF(A1taxstdlife="n/a","n/a",IF(N$3&gt;(A1taxstdlife+$E76),(Input!$J$41-Input!$J$75)-SUM($I76:M76),(Input!$J$41-Input!$J$75)/A1taxstdlife))</f>
        <v>n/a</v>
      </c>
      <c r="O76" s="67" t="str">
        <f>IF(A1taxstdlife="n/a","n/a",IF(O$3&gt;(A1taxstdlife+$E76),(Input!$J$41-Input!$J$75)-SUM($I76:N76),(Input!$J$41-Input!$J$75)/A1taxstdlife))</f>
        <v>n/a</v>
      </c>
      <c r="P76" s="67" t="str">
        <f>IF(A1taxstdlife="n/a","n/a",IF(P$3&gt;(A1taxstdlife+$E76),(Input!$J$41-Input!$J$75)-SUM($I76:O76),(Input!$J$41-Input!$J$75)/A1taxstdlife))</f>
        <v>n/a</v>
      </c>
      <c r="Q76" s="67"/>
      <c r="R76" s="102"/>
      <c r="S76" s="102"/>
      <c r="T76" s="102"/>
      <c r="U76" s="102"/>
      <c r="V76" s="102"/>
      <c r="W76" s="102"/>
      <c r="X76" s="102"/>
      <c r="Y76" s="102"/>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s="185" customFormat="1" ht="12.75" hidden="1" customHeight="1" outlineLevel="2">
      <c r="A77" s="9"/>
      <c r="B77" s="25"/>
      <c r="C77" s="24"/>
      <c r="D77" s="385"/>
      <c r="E77" s="85">
        <v>4</v>
      </c>
      <c r="F77" s="191"/>
      <c r="G77" s="148"/>
      <c r="H77" s="148"/>
      <c r="I77" s="148"/>
      <c r="J77" s="147"/>
      <c r="K77" s="67" t="str">
        <f>IF(A1taxstdlife="n/a","n/a",IF(K$3&gt;(A1taxstdlife+$E77),(Input!$K$41-Input!$K$75)-SUM($J77:J77),(Input!$K$41-Input!$K$75)/A1taxstdlife))</f>
        <v>n/a</v>
      </c>
      <c r="L77" s="67"/>
      <c r="M77" s="67" t="str">
        <f>IF(A1taxstdlife="n/a","n/a",IF(M$3&gt;(A1taxstdlife+$E77),(Input!$K$41-Input!$K$75)-SUM($J77:L77),(Input!$K$41-Input!$K$75)/A1taxstdlife))</f>
        <v>n/a</v>
      </c>
      <c r="N77" s="67" t="str">
        <f>IF(A1taxstdlife="n/a","n/a",IF(N$3&gt;(A1taxstdlife+$E77),(Input!$K$41-Input!$K$75)-SUM($J77:M77),(Input!$K$41-Input!$K$75)/A1taxstdlife))</f>
        <v>n/a</v>
      </c>
      <c r="O77" s="67" t="str">
        <f>IF(A1taxstdlife="n/a","n/a",IF(O$3&gt;(A1taxstdlife+$E77),(Input!$K$41-Input!$K$75)-SUM($J77:N77),(Input!$K$41-Input!$K$75)/A1taxstdlife))</f>
        <v>n/a</v>
      </c>
      <c r="P77" s="67" t="str">
        <f>IF(A1taxstdlife="n/a","n/a",IF(P$3&gt;(A1taxstdlife+$E77),(Input!$K$41-Input!$K$75)-SUM($J77:O77),(Input!$K$41-Input!$K$75)/A1taxstdlife))</f>
        <v>n/a</v>
      </c>
      <c r="Q77" s="67"/>
      <c r="R77" s="102"/>
      <c r="S77" s="102"/>
      <c r="T77" s="102"/>
      <c r="U77" s="102"/>
      <c r="V77" s="102"/>
      <c r="W77" s="102"/>
      <c r="X77" s="102"/>
      <c r="Y77" s="102"/>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s="185" customFormat="1" ht="12.75" hidden="1" customHeight="1" outlineLevel="2">
      <c r="A78" s="9"/>
      <c r="B78" s="25"/>
      <c r="C78" s="24"/>
      <c r="D78" s="385"/>
      <c r="E78" s="85">
        <v>5</v>
      </c>
      <c r="F78" s="191"/>
      <c r="G78" s="148"/>
      <c r="H78" s="148"/>
      <c r="I78" s="148"/>
      <c r="J78" s="148"/>
      <c r="K78" s="147"/>
      <c r="L78" s="67"/>
      <c r="M78" s="67" t="str">
        <f>IF(A1taxstdlife="n/a","n/a",IF(M$3&gt;(A1taxstdlife+$E78),(Input!$L$41-Input!$L$75)-SUM($K78:L78),(Input!$L$41-Input!$L$75)/A1taxstdlife))</f>
        <v>n/a</v>
      </c>
      <c r="N78" s="67" t="str">
        <f>IF(A1taxstdlife="n/a","n/a",IF(N$3&gt;(A1taxstdlife+$E78),(Input!$L$41-Input!$L$75)-SUM($K78:M78),(Input!$L$41-Input!$L$75)/A1taxstdlife))</f>
        <v>n/a</v>
      </c>
      <c r="O78" s="67" t="str">
        <f>IF(A1taxstdlife="n/a","n/a",IF(O$3&gt;(A1taxstdlife+$E78),(Input!$L$41-Input!$L$75)-SUM($K78:N78),(Input!$L$41-Input!$L$75)/A1taxstdlife))</f>
        <v>n/a</v>
      </c>
      <c r="P78" s="67" t="str">
        <f>IF(A1taxstdlife="n/a","n/a",IF(P$3&gt;(A1taxstdlife+$E78),(Input!$L$41-Input!$L$75)-SUM($K78:O78),(Input!$L$41-Input!$L$75)/A1taxstdlife))</f>
        <v>n/a</v>
      </c>
      <c r="Q78" s="67"/>
      <c r="R78" s="102"/>
      <c r="S78" s="102"/>
      <c r="T78" s="102"/>
      <c r="U78" s="102"/>
      <c r="V78" s="102"/>
      <c r="W78" s="102"/>
      <c r="X78" s="102"/>
      <c r="Y78" s="102"/>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s="185" customFormat="1" ht="12.75" hidden="1" customHeight="1" outlineLevel="2">
      <c r="A79" s="9"/>
      <c r="B79" s="25"/>
      <c r="C79" s="24"/>
      <c r="D79" s="385"/>
      <c r="E79" s="85">
        <v>6</v>
      </c>
      <c r="F79" s="191"/>
      <c r="G79" s="148"/>
      <c r="H79" s="148"/>
      <c r="I79" s="148"/>
      <c r="J79" s="148"/>
      <c r="K79" s="148"/>
      <c r="L79" s="147"/>
      <c r="M79" s="67" t="str">
        <f>IF(A1taxstdlife="n/a","n/a",IF(M$3&gt;(A1taxstdlife+$E79),(Input!$M$41-Input!$M$75)-SUM($L79:L79),(Input!$M$41-Input!$M$75)/A1taxstdlife))</f>
        <v>n/a</v>
      </c>
      <c r="N79" s="67" t="str">
        <f>IF(A1taxstdlife="n/a","n/a",IF(N$3&gt;(A1taxstdlife+$E79),(Input!$M$41-Input!$M$75)-SUM($L79:M79),(Input!$M$41-Input!$M$75)/A1taxstdlife))</f>
        <v>n/a</v>
      </c>
      <c r="O79" s="67" t="str">
        <f>IF(A1taxstdlife="n/a","n/a",IF(O$3&gt;(A1taxstdlife+$E79),(Input!$M$41-Input!$M$75)-SUM($L79:N79),(Input!$M$41-Input!$M$75)/A1taxstdlife))</f>
        <v>n/a</v>
      </c>
      <c r="P79" s="67" t="str">
        <f>IF(A1taxstdlife="n/a","n/a",IF(P$3&gt;(A1taxstdlife+$E79),(Input!$M$41-Input!$M$75)-SUM($L79:O79),(Input!$M$41-Input!$M$75)/A1taxstdlife))</f>
        <v>n/a</v>
      </c>
      <c r="Q79" s="67"/>
      <c r="R79" s="102"/>
      <c r="S79" s="102"/>
      <c r="T79" s="102"/>
      <c r="U79" s="102"/>
      <c r="V79" s="102"/>
      <c r="W79" s="102"/>
      <c r="X79" s="102"/>
      <c r="Y79" s="102"/>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s="185" customFormat="1" ht="12.75" hidden="1" customHeight="1" outlineLevel="2">
      <c r="A80" s="9"/>
      <c r="B80" s="25"/>
      <c r="C80" s="24"/>
      <c r="D80" s="385"/>
      <c r="E80" s="85">
        <v>7</v>
      </c>
      <c r="F80" s="191"/>
      <c r="G80" s="148"/>
      <c r="H80" s="148"/>
      <c r="I80" s="148"/>
      <c r="J80" s="148"/>
      <c r="K80" s="148"/>
      <c r="L80" s="148"/>
      <c r="M80" s="147"/>
      <c r="N80" s="67" t="str">
        <f>IF(A1taxstdlife="n/a","n/a",IF(N$3&gt;(A1taxstdlife+$E80),(Input!$N$41-Input!$N$75)-SUM($M80:M80),(Input!$N$41-Input!$N$75)/A1taxstdlife))</f>
        <v>n/a</v>
      </c>
      <c r="O80" s="67" t="str">
        <f>IF(A1taxstdlife="n/a","n/a",IF(O$3&gt;(A1taxstdlife+$E80),(Input!$N$41-Input!$N$75)-SUM($M80:N80),(Input!$N$41-Input!$N$75)/A1taxstdlife))</f>
        <v>n/a</v>
      </c>
      <c r="P80" s="67" t="str">
        <f>IF(A1taxstdlife="n/a","n/a",IF(P$3&gt;(A1taxstdlife+$E80),(Input!$N$41-Input!$N$75)-SUM($M80:O80),(Input!$N$41-Input!$N$75)/A1taxstdlife))</f>
        <v>n/a</v>
      </c>
      <c r="Q80" s="67"/>
      <c r="R80" s="102"/>
      <c r="S80" s="102"/>
      <c r="T80" s="102"/>
      <c r="U80" s="102"/>
      <c r="V80" s="102"/>
      <c r="W80" s="102"/>
      <c r="X80" s="102"/>
      <c r="Y80" s="102"/>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1" s="185" customFormat="1" ht="12.75" hidden="1" customHeight="1" outlineLevel="2">
      <c r="A81" s="9"/>
      <c r="B81" s="25"/>
      <c r="C81" s="24"/>
      <c r="D81" s="385"/>
      <c r="E81" s="85">
        <v>8</v>
      </c>
      <c r="F81" s="191"/>
      <c r="G81" s="148"/>
      <c r="H81" s="148"/>
      <c r="I81" s="148"/>
      <c r="J81" s="148"/>
      <c r="K81" s="148"/>
      <c r="L81" s="148"/>
      <c r="M81" s="148"/>
      <c r="N81" s="147"/>
      <c r="O81" s="67" t="str">
        <f>IF(A1taxstdlife="n/a","n/a",IF(O$3&gt;(A1taxstdlife+$E81),(Input!$O$41-Input!$O$75)-SUM($N81:N81),(Input!$O$41-Input!$O$75)/A1taxstdlife))</f>
        <v>n/a</v>
      </c>
      <c r="P81" s="67" t="str">
        <f>IF(A1taxstdlife="n/a","n/a",IF(P$3&gt;(A1taxstdlife+$E81),(Input!$O$41-Input!$O$75)-SUM($N81:O81),(Input!$O$41-Input!$O$75)/A1taxstdlife))</f>
        <v>n/a</v>
      </c>
      <c r="Q81" s="67"/>
      <c r="R81" s="102"/>
      <c r="S81" s="102"/>
      <c r="T81" s="102"/>
      <c r="U81" s="102"/>
      <c r="V81" s="102"/>
      <c r="W81" s="102"/>
      <c r="X81" s="102"/>
      <c r="Y81" s="102"/>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1" s="185" customFormat="1" ht="12.75" hidden="1" customHeight="1" outlineLevel="2">
      <c r="A82" s="9"/>
      <c r="B82" s="25"/>
      <c r="C82" s="24"/>
      <c r="D82" s="385"/>
      <c r="E82" s="85">
        <v>9</v>
      </c>
      <c r="F82" s="191"/>
      <c r="G82" s="148"/>
      <c r="H82" s="148"/>
      <c r="I82" s="148"/>
      <c r="J82" s="148"/>
      <c r="K82" s="148"/>
      <c r="L82" s="148"/>
      <c r="M82" s="148"/>
      <c r="N82" s="148"/>
      <c r="O82" s="147"/>
      <c r="P82" s="67" t="str">
        <f>IF(A1taxstdlife="n/a","n/a",IF(P$3&gt;(A1taxstdlife+$E82),(Input!$P$41-Input!$P$75)-SUM($O82:O82),(Input!$P$41-Input!$P$75)/A1taxstdlife))</f>
        <v>n/a</v>
      </c>
      <c r="Q82" s="67"/>
      <c r="R82" s="102"/>
      <c r="S82" s="102"/>
      <c r="T82" s="102"/>
      <c r="U82" s="102"/>
      <c r="V82" s="102"/>
      <c r="W82" s="102"/>
      <c r="X82" s="102"/>
      <c r="Y82" s="102"/>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1" s="185" customFormat="1" ht="12.75" hidden="1" customHeight="1" outlineLevel="2">
      <c r="A83" s="9"/>
      <c r="B83" s="25"/>
      <c r="C83" s="24"/>
      <c r="D83" s="385"/>
      <c r="E83" s="86">
        <v>10</v>
      </c>
      <c r="F83" s="191"/>
      <c r="G83" s="148"/>
      <c r="H83" s="148"/>
      <c r="I83" s="148"/>
      <c r="J83" s="148"/>
      <c r="K83" s="148"/>
      <c r="L83" s="148"/>
      <c r="M83" s="148"/>
      <c r="N83" s="148"/>
      <c r="O83" s="187"/>
      <c r="P83" s="147"/>
      <c r="Q83" s="67"/>
      <c r="R83" s="102"/>
      <c r="S83" s="102"/>
      <c r="T83" s="102"/>
      <c r="U83" s="102"/>
      <c r="V83" s="102"/>
      <c r="W83" s="102"/>
      <c r="X83" s="102"/>
      <c r="Y83" s="102"/>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1" s="185" customFormat="1" hidden="1" outlineLevel="1">
      <c r="A84" s="9"/>
      <c r="B84" s="9"/>
      <c r="C84" s="25" t="str">
        <f>Asset1</f>
        <v>Transmission &amp; Zone land &amp; easements</v>
      </c>
      <c r="D84" s="9"/>
      <c r="E84" s="9"/>
      <c r="F84" s="191"/>
      <c r="G84" s="164">
        <f>-SUM(G72:G83)</f>
        <v>0</v>
      </c>
      <c r="H84" s="164">
        <f>-SUM(H72:H83)</f>
        <v>0</v>
      </c>
      <c r="I84" s="164">
        <f>-SUM(I72:I83)</f>
        <v>0</v>
      </c>
      <c r="J84" s="164">
        <f>-SUM(J72:J83)</f>
        <v>0</v>
      </c>
      <c r="K84" s="164">
        <f>-SUM(K72:K83)</f>
        <v>0</v>
      </c>
      <c r="L84" s="164"/>
      <c r="M84" s="164">
        <f>IF(Input!N173&gt;0, -SUM(M72:M83), 0)</f>
        <v>0</v>
      </c>
      <c r="N84" s="164">
        <f>IF(Input!O173&gt;0, -SUM(N72:N83), 0)</f>
        <v>0</v>
      </c>
      <c r="O84" s="164">
        <f>IF(Input!P173&gt;0, -SUM(O72:O83), 0)</f>
        <v>0</v>
      </c>
      <c r="P84" s="164">
        <f>IF(Input!Q173&gt;0, -SUM(P72:P83), 0)</f>
        <v>0</v>
      </c>
      <c r="Q84" s="63"/>
      <c r="R84" s="101"/>
      <c r="S84" s="308"/>
      <c r="T84" s="308"/>
      <c r="U84" s="101"/>
      <c r="V84" s="101"/>
      <c r="W84" s="101"/>
      <c r="X84" s="101"/>
      <c r="Y84" s="101"/>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row>
    <row r="85" spans="1:61" s="185" customFormat="1" ht="12.75" hidden="1" customHeight="1" outlineLevel="2">
      <c r="A85" s="9"/>
      <c r="B85" s="31" t="str">
        <f>Asset2</f>
        <v>Transmission buildings 132/66kV</v>
      </c>
      <c r="C85" s="32"/>
      <c r="D85" s="33" t="s">
        <v>67</v>
      </c>
      <c r="E85" s="32"/>
      <c r="F85" s="191"/>
      <c r="G85" s="356">
        <v>0.90165012678563272</v>
      </c>
      <c r="H85" s="356">
        <v>0.89903322449503054</v>
      </c>
      <c r="I85" s="356">
        <v>0.46889984108553523</v>
      </c>
      <c r="J85" s="356">
        <v>0.44408137919277446</v>
      </c>
      <c r="K85" s="356">
        <v>0.3829743163941064</v>
      </c>
      <c r="L85" s="356"/>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2"/>
      <c r="S85" s="308">
        <f>SUM(K85:K90)</f>
        <v>1.1908214869300662</v>
      </c>
      <c r="T85" s="308"/>
      <c r="U85" s="102"/>
      <c r="V85" s="102"/>
      <c r="W85" s="102"/>
      <c r="X85" s="102"/>
      <c r="Y85" s="102"/>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1" s="185" customFormat="1" ht="12.75" hidden="1" customHeight="1" outlineLevel="2">
      <c r="A86" s="9"/>
      <c r="B86" s="9"/>
      <c r="C86" s="25"/>
      <c r="D86" s="384" t="s">
        <v>85</v>
      </c>
      <c r="E86" s="85"/>
      <c r="F86" s="309"/>
      <c r="G86" s="67"/>
      <c r="H86" s="67"/>
      <c r="I86" s="67"/>
      <c r="J86" s="67"/>
      <c r="K86" s="67"/>
      <c r="L86" s="67"/>
      <c r="M86" s="67"/>
      <c r="N86" s="67"/>
      <c r="O86" s="67"/>
      <c r="P86" s="67"/>
      <c r="Q86" s="67"/>
      <c r="R86" s="102"/>
      <c r="S86" s="102"/>
      <c r="T86" s="102"/>
      <c r="U86" s="102"/>
      <c r="V86" s="102"/>
      <c r="W86" s="102"/>
      <c r="X86" s="102"/>
      <c r="Y86" s="102"/>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1" s="185" customFormat="1" ht="12.75" hidden="1" customHeight="1" outlineLevel="2">
      <c r="A87" s="9"/>
      <c r="B87" s="9"/>
      <c r="C87" s="25"/>
      <c r="D87" s="385"/>
      <c r="E87" s="85">
        <v>1</v>
      </c>
      <c r="F87" s="191"/>
      <c r="G87" s="147"/>
      <c r="H87" s="67">
        <f>IF(A2taxstdlife="n/a","n/a",IF(H$3&gt;(A2taxstdlife+$E87),(Input!$H$42-Input!$H$76)-SUM($G87:G87),(Input!$H$42-Input!$H$76)/A2taxstdlife))</f>
        <v>0.46303971102774993</v>
      </c>
      <c r="I87" s="67">
        <f>IF(A2taxstdlife="n/a","n/a",IF(I$3&gt;(A2taxstdlife+$E87),(Input!$H$42-Input!$H$76)-SUM($G87:H87),(Input!$H$42-Input!$H$76)/A2taxstdlife))</f>
        <v>0.46303971102774993</v>
      </c>
      <c r="J87" s="67">
        <f>IF(A2taxstdlife="n/a","n/a",IF(J$3&gt;(A2taxstdlife+$E87),(Input!$H$42-Input!$H$76)-SUM($G87:I87),(Input!$H$42-Input!$H$76)/A2taxstdlife))</f>
        <v>0.46303971102774993</v>
      </c>
      <c r="K87" s="67">
        <f>IF(A2taxstdlife="n/a","n/a",IF(K$3&gt;(A2taxstdlife+$E87),(Input!$H$42-Input!$H$76)-SUM($G87:J87),(Input!$H$42-Input!$H$76)/A2taxstdlife))</f>
        <v>0.46303971102774993</v>
      </c>
      <c r="L87" s="67"/>
      <c r="M87" s="67">
        <f>IF(A2taxstdlife="n/a","n/a",IF(M$3&gt;(A2taxstdlife+$E87),(Input!$H$42-Input!$H$76)-SUM($G87:L87),(Input!$H$42-Input!$H$76)/A2taxstdlife))</f>
        <v>0.46303971102774993</v>
      </c>
      <c r="N87" s="67">
        <f>IF(A2taxstdlife="n/a","n/a",IF(N$3&gt;(A2taxstdlife+$E87),(Input!$H$42-Input!$H$76)-SUM($G87:M87),(Input!$H$42-Input!$H$76)/A2taxstdlife))</f>
        <v>0.46303971102774993</v>
      </c>
      <c r="O87" s="67">
        <f>IF(A2taxstdlife="n/a","n/a",IF(O$3&gt;(A2taxstdlife+$E87),(Input!$H$42-Input!$H$76)-SUM($G87:N87),(Input!$H$42-Input!$H$76)/A2taxstdlife))</f>
        <v>0.46303971102774993</v>
      </c>
      <c r="P87" s="67">
        <f>IF(A2taxstdlife="n/a","n/a",IF(P$3&gt;(A2taxstdlife+$E87),(Input!$H$42-Input!$H$76)-SUM($G87:O87),(Input!$H$42-Input!$H$76)/A2taxstdlife))</f>
        <v>0.46303971102774993</v>
      </c>
      <c r="Q87" s="67"/>
      <c r="R87" s="102"/>
      <c r="S87" s="102"/>
      <c r="T87" s="102"/>
      <c r="U87" s="102"/>
      <c r="V87" s="102"/>
      <c r="W87" s="102"/>
      <c r="X87" s="102"/>
      <c r="Y87" s="102"/>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7"/>
    </row>
    <row r="88" spans="1:61" s="185" customFormat="1" ht="12.75" hidden="1" customHeight="1" outlineLevel="2">
      <c r="A88" s="9"/>
      <c r="B88" s="9"/>
      <c r="C88" s="25"/>
      <c r="D88" s="385"/>
      <c r="E88" s="85">
        <v>2</v>
      </c>
      <c r="F88" s="191"/>
      <c r="G88" s="148"/>
      <c r="H88" s="147"/>
      <c r="I88" s="67">
        <f>IF(A2taxstdlife="n/a","n/a",IF(I$3&gt;(A2taxstdlife+$E88),(Input!$I$42-Input!$I$76)-SUM($H88:H88),(Input!$I$42-Input!$I$76)/A2taxstdlife))</f>
        <v>0.11281907793820926</v>
      </c>
      <c r="J88" s="67">
        <f>IF(A2taxstdlife="n/a","n/a",IF(J$3&gt;(A2taxstdlife+$E88),(Input!$I$42-Input!$I$76)-SUM($H88:I88),(Input!$I$42-Input!$I$76)/A2taxstdlife))</f>
        <v>0.11281907793820926</v>
      </c>
      <c r="K88" s="67">
        <f>IF(A2taxstdlife="n/a","n/a",IF(K$3&gt;(A2taxstdlife+$E88),(Input!$I$42-Input!$I$76)-SUM($H88:J88),(Input!$I$42-Input!$I$76)/A2taxstdlife))</f>
        <v>0.11281907793820926</v>
      </c>
      <c r="L88" s="67"/>
      <c r="M88" s="67">
        <f>IF(A2taxstdlife="n/a","n/a",IF(M$3&gt;(A2taxstdlife+$E88),(Input!$I$42-Input!$I$76)-SUM($H88:L88),(Input!$I$42-Input!$I$76)/A2taxstdlife))</f>
        <v>0.11281907793820926</v>
      </c>
      <c r="N88" s="67">
        <f>IF(A2taxstdlife="n/a","n/a",IF(N$3&gt;(A2taxstdlife+$E88),(Input!$I$42-Input!$I$76)-SUM($H88:M88),(Input!$I$42-Input!$I$76)/A2taxstdlife))</f>
        <v>0.11281907793820926</v>
      </c>
      <c r="O88" s="67">
        <f>IF(A2taxstdlife="n/a","n/a",IF(O$3&gt;(A2taxstdlife+$E88),(Input!$I$42-Input!$I$76)-SUM($H88:N88),(Input!$I$42-Input!$I$76)/A2taxstdlife))</f>
        <v>0.11281907793820926</v>
      </c>
      <c r="P88" s="67">
        <f>IF(A2taxstdlife="n/a","n/a",IF(P$3&gt;(A2taxstdlife+$E88),(Input!$I$42-Input!$I$76)-SUM($H88:O88),(Input!$I$42-Input!$I$76)/A2taxstdlife))</f>
        <v>0.11281907793820926</v>
      </c>
      <c r="Q88" s="67"/>
      <c r="R88" s="102"/>
      <c r="S88" s="102"/>
      <c r="T88" s="102"/>
      <c r="U88" s="102"/>
      <c r="V88" s="102"/>
      <c r="W88" s="102"/>
      <c r="X88" s="102"/>
      <c r="Y88" s="102"/>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1" s="185" customFormat="1" ht="12.75" hidden="1" customHeight="1" outlineLevel="2">
      <c r="A89" s="9"/>
      <c r="B89" s="9"/>
      <c r="C89" s="25"/>
      <c r="D89" s="385"/>
      <c r="E89" s="85">
        <v>3</v>
      </c>
      <c r="F89" s="191"/>
      <c r="G89" s="148"/>
      <c r="H89" s="148"/>
      <c r="I89" s="147"/>
      <c r="J89" s="67">
        <f>IF(A2taxstdlife="n/a","n/a",IF(J$3&gt;(A2taxstdlife+$E89),(Input!$J$42-Input!$J$76)-SUM($I89:I89),(Input!$J$42-Input!$J$76)/A2taxstdlife))</f>
        <v>7.6050714749999998E-2</v>
      </c>
      <c r="K89" s="67">
        <f>IF(A2taxstdlife="n/a","n/a",IF(K$3&gt;(A2taxstdlife+$E89),(Input!$J$42-Input!$J$76)-SUM($I89:J89),(Input!$J$42-Input!$J$76)/A2taxstdlife))</f>
        <v>7.6050714749999998E-2</v>
      </c>
      <c r="L89" s="67"/>
      <c r="M89" s="67">
        <f>IF(A2taxstdlife="n/a","n/a",IF(M$3&gt;(A2taxstdlife+$E89),(Input!$J$42-Input!$J$76)-SUM($I89:L89),(Input!$J$42-Input!$J$76)/A2taxstdlife))</f>
        <v>7.6050714749999998E-2</v>
      </c>
      <c r="N89" s="67">
        <f>IF(A2taxstdlife="n/a","n/a",IF(N$3&gt;(A2taxstdlife+$E89),(Input!$J$42-Input!$J$76)-SUM($I89:M89),(Input!$J$42-Input!$J$76)/A2taxstdlife))</f>
        <v>7.6050714749999998E-2</v>
      </c>
      <c r="O89" s="67">
        <f>IF(A2taxstdlife="n/a","n/a",IF(O$3&gt;(A2taxstdlife+$E89),(Input!$J$42-Input!$J$76)-SUM($I89:N89),(Input!$J$42-Input!$J$76)/A2taxstdlife))</f>
        <v>7.6050714749999998E-2</v>
      </c>
      <c r="P89" s="67">
        <f>IF(A2taxstdlife="n/a","n/a",IF(P$3&gt;(A2taxstdlife+$E89),(Input!$J$42-Input!$J$76)-SUM($I89:O89),(Input!$J$42-Input!$J$76)/A2taxstdlife))</f>
        <v>7.6050714749999998E-2</v>
      </c>
      <c r="Q89" s="67"/>
      <c r="R89" s="102"/>
      <c r="S89" s="102"/>
      <c r="T89" s="102"/>
      <c r="U89" s="102"/>
      <c r="V89" s="102"/>
      <c r="W89" s="102"/>
      <c r="X89" s="102"/>
      <c r="Y89" s="102"/>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1" s="185" customFormat="1" ht="12.75" hidden="1" customHeight="1" outlineLevel="2">
      <c r="A90" s="9"/>
      <c r="B90" s="9"/>
      <c r="C90" s="25"/>
      <c r="D90" s="385"/>
      <c r="E90" s="85">
        <v>4</v>
      </c>
      <c r="F90" s="191"/>
      <c r="G90" s="148"/>
      <c r="H90" s="148"/>
      <c r="I90" s="148"/>
      <c r="J90" s="147"/>
      <c r="K90" s="67">
        <f>IF(A2taxstdlife="n/a","n/a",IF(K$3&gt;(A2taxstdlife+$E90),(Input!$K$42-Input!$K$76)-SUM($J90:J90),(Input!$K$42-Input!$K$76)/A2taxstdlife))</f>
        <v>0.15593766682000049</v>
      </c>
      <c r="L90" s="67"/>
      <c r="M90" s="67">
        <f>IF(A2taxstdlife="n/a","n/a",IF(M$3&gt;(A2taxstdlife+$E90),(Input!$K$42-Input!$K$76)-SUM($J90:L90),(Input!$K$42-Input!$K$76)/A2taxstdlife))</f>
        <v>0.15593766682000049</v>
      </c>
      <c r="N90" s="67">
        <f>IF(A2taxstdlife="n/a","n/a",IF(N$3&gt;(A2taxstdlife+$E90),(Input!$K$42-Input!$K$76)-SUM($J90:M90),(Input!$K$42-Input!$K$76)/A2taxstdlife))</f>
        <v>0.15593766682000049</v>
      </c>
      <c r="O90" s="67">
        <f>IF(A2taxstdlife="n/a","n/a",IF(O$3&gt;(A2taxstdlife+$E90),(Input!$K$42-Input!$K$76)-SUM($J90:N90),(Input!$K$42-Input!$K$76)/A2taxstdlife))</f>
        <v>0.15593766682000049</v>
      </c>
      <c r="P90" s="67">
        <f>IF(A2taxstdlife="n/a","n/a",IF(P$3&gt;(A2taxstdlife+$E90),(Input!$K$42-Input!$K$76)-SUM($J90:O90),(Input!$K$42-Input!$K$76)/A2taxstdlife))</f>
        <v>0.15593766682000049</v>
      </c>
      <c r="Q90" s="67"/>
      <c r="R90" s="102"/>
      <c r="S90" s="102"/>
      <c r="T90" s="102"/>
      <c r="U90" s="102"/>
      <c r="V90" s="102"/>
      <c r="W90" s="102"/>
      <c r="X90" s="102"/>
      <c r="Y90" s="102"/>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1" s="185" customFormat="1" ht="12.75" hidden="1" customHeight="1" outlineLevel="2">
      <c r="A91" s="9"/>
      <c r="B91" s="9"/>
      <c r="C91" s="25"/>
      <c r="D91" s="385"/>
      <c r="E91" s="85">
        <v>5</v>
      </c>
      <c r="F91" s="191"/>
      <c r="G91" s="148"/>
      <c r="H91" s="148"/>
      <c r="I91" s="148"/>
      <c r="J91" s="148"/>
      <c r="K91" s="147"/>
      <c r="L91" s="67"/>
      <c r="M91" s="67">
        <f>IF(A2taxstdlife="n/a","n/a",IF(M$3&gt;(A2taxstdlife+$E91),(Input!$L$42-Input!$L$76)-SUM($K91:L91),(Input!$L$42-Input!$L$76)/A2taxstdlife))</f>
        <v>0.11987659817975523</v>
      </c>
      <c r="N91" s="67">
        <f>IF(A2taxstdlife="n/a","n/a",IF(N$3&gt;(A2taxstdlife+$E91),(Input!$L$42-Input!$L$76)-SUM($K91:M91),(Input!$L$42-Input!$L$76)/A2taxstdlife))</f>
        <v>0.11987659817975523</v>
      </c>
      <c r="O91" s="67">
        <f>IF(A2taxstdlife="n/a","n/a",IF(O$3&gt;(A2taxstdlife+$E91),(Input!$L$42-Input!$L$76)-SUM($K91:N91),(Input!$L$42-Input!$L$76)/A2taxstdlife))</f>
        <v>0.11987659817975523</v>
      </c>
      <c r="P91" s="67">
        <f>IF(A2taxstdlife="n/a","n/a",IF(P$3&gt;(A2taxstdlife+$E91),(Input!$L$42-Input!$L$76)-SUM($K91:O91),(Input!$L$42-Input!$L$76)/A2taxstdlife))</f>
        <v>0.11987659817975523</v>
      </c>
      <c r="Q91" s="67"/>
      <c r="R91" s="102"/>
      <c r="S91" s="102"/>
      <c r="T91" s="102"/>
      <c r="U91" s="102"/>
      <c r="V91" s="102"/>
      <c r="W91" s="102"/>
      <c r="X91" s="102"/>
      <c r="Y91" s="102"/>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1" s="185" customFormat="1" ht="12.75" hidden="1" customHeight="1" outlineLevel="2">
      <c r="A92" s="9"/>
      <c r="B92" s="9"/>
      <c r="C92" s="25"/>
      <c r="D92" s="385"/>
      <c r="E92" s="85">
        <v>6</v>
      </c>
      <c r="F92" s="191"/>
      <c r="G92" s="148"/>
      <c r="H92" s="148"/>
      <c r="I92" s="148"/>
      <c r="J92" s="148"/>
      <c r="K92" s="148"/>
      <c r="L92" s="147"/>
      <c r="M92" s="67">
        <f>IF(A2taxstdlife="n/a","n/a",IF(M$3&gt;(A2taxstdlife+$E92),(Input!$M$42-Input!$M$76)-SUM($L92:L92),(Input!$M$42-Input!$M$76)/A2taxstdlife))</f>
        <v>0</v>
      </c>
      <c r="N92" s="67">
        <f>IF(A2taxstdlife="n/a","n/a",IF(N$3&gt;(A2taxstdlife+$E92),(Input!$M$42-Input!$M$76)-SUM($L92:M92),(Input!$M$42-Input!$M$76)/A2taxstdlife))</f>
        <v>0</v>
      </c>
      <c r="O92" s="67">
        <f>IF(A2taxstdlife="n/a","n/a",IF(O$3&gt;(A2taxstdlife+$E92),(Input!$M$42-Input!$M$76)-SUM($L92:N92),(Input!$M$42-Input!$M$76)/A2taxstdlife))</f>
        <v>0</v>
      </c>
      <c r="P92" s="67">
        <f>IF(A2taxstdlife="n/a","n/a",IF(P$3&gt;(A2taxstdlife+$E92),(Input!$M$42-Input!$M$76)-SUM($L92:O92),(Input!$M$42-Input!$M$76)/A2taxstdlife))</f>
        <v>0</v>
      </c>
      <c r="Q92" s="67"/>
      <c r="R92" s="102"/>
      <c r="S92" s="102"/>
      <c r="T92" s="102"/>
      <c r="U92" s="102"/>
      <c r="V92" s="102"/>
      <c r="W92" s="102"/>
      <c r="X92" s="102"/>
      <c r="Y92" s="102"/>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1" s="185" customFormat="1" ht="12.75" hidden="1" customHeight="1" outlineLevel="2">
      <c r="A93" s="9"/>
      <c r="B93" s="9"/>
      <c r="C93" s="25"/>
      <c r="D93" s="385"/>
      <c r="E93" s="85">
        <v>7</v>
      </c>
      <c r="F93" s="191"/>
      <c r="G93" s="148"/>
      <c r="H93" s="148"/>
      <c r="I93" s="148"/>
      <c r="J93" s="148"/>
      <c r="K93" s="148"/>
      <c r="L93" s="148"/>
      <c r="M93" s="147"/>
      <c r="N93" s="67">
        <f>IF(A2taxstdlife="n/a","n/a",IF(N$3&gt;(A2taxstdlife+$E93),(Input!$N$50-Input!$N$76)-SUM($M93:M93),(Input!$N$50-Input!$N$76)/A2taxstdlife))</f>
        <v>0</v>
      </c>
      <c r="O93" s="67">
        <f>IF(A2taxstdlife="n/a","n/a",IF(O$3&gt;(A2taxstdlife+$E93),(Input!$N$50-Input!$N$76)-SUM($M93:N93),(Input!$N$50-Input!$N$76)/A2taxstdlife))</f>
        <v>0</v>
      </c>
      <c r="P93" s="67">
        <f>IF(A2taxstdlife="n/a","n/a",IF(P$3&gt;(A2taxstdlife+$E93),(Input!$N$50-Input!$N$76)-SUM($M93:O93),(Input!$N$50-Input!$N$76)/A2taxstdlife))</f>
        <v>0</v>
      </c>
      <c r="Q93" s="67"/>
      <c r="R93" s="102"/>
      <c r="S93" s="102"/>
      <c r="T93" s="102"/>
      <c r="U93" s="102"/>
      <c r="V93" s="102"/>
      <c r="W93" s="102"/>
      <c r="X93" s="102"/>
      <c r="Y93" s="102"/>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1" s="185" customFormat="1" ht="12.75" hidden="1" customHeight="1" outlineLevel="2">
      <c r="A94" s="9"/>
      <c r="B94" s="9"/>
      <c r="C94" s="25"/>
      <c r="D94" s="385"/>
      <c r="E94" s="85">
        <v>8</v>
      </c>
      <c r="F94" s="191"/>
      <c r="G94" s="148"/>
      <c r="H94" s="148"/>
      <c r="I94" s="148"/>
      <c r="J94" s="148"/>
      <c r="K94" s="148"/>
      <c r="L94" s="148"/>
      <c r="M94" s="148"/>
      <c r="N94" s="147"/>
      <c r="O94" s="67">
        <f>IF(A2taxstdlife="n/a","n/a",IF(O$3&gt;(A2taxstdlife+$E94),(Input!$O$42-Input!$O$76)-SUM($N94:N94),(Input!$O$42-Input!$O$76)/A2taxstdlife))</f>
        <v>0</v>
      </c>
      <c r="P94" s="67">
        <f>IF(A2taxstdlife="n/a","n/a",IF(P$3&gt;(A2taxstdlife+$E94),(Input!$O$42-Input!$O$76)-SUM($N94:O94),(Input!$O$42-Input!$O$76)/A2taxstdlife))</f>
        <v>0</v>
      </c>
      <c r="Q94" s="67"/>
      <c r="R94" s="102"/>
      <c r="S94" s="102"/>
      <c r="T94" s="102"/>
      <c r="U94" s="102"/>
      <c r="V94" s="102"/>
      <c r="W94" s="102"/>
      <c r="X94" s="102"/>
      <c r="Y94" s="102"/>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1" s="185" customFormat="1" ht="12.75" hidden="1" customHeight="1" outlineLevel="2">
      <c r="A95" s="9"/>
      <c r="B95" s="9"/>
      <c r="C95" s="25"/>
      <c r="D95" s="385"/>
      <c r="E95" s="85">
        <v>9</v>
      </c>
      <c r="F95" s="191"/>
      <c r="G95" s="148"/>
      <c r="H95" s="148"/>
      <c r="I95" s="148"/>
      <c r="J95" s="148"/>
      <c r="K95" s="148"/>
      <c r="L95" s="148"/>
      <c r="M95" s="148"/>
      <c r="N95" s="148"/>
      <c r="O95" s="147"/>
      <c r="P95" s="67">
        <f>IF(A2taxstdlife="n/a","n/a",IF(P$3&gt;(A2taxstdlife+$E95),(Input!$P$42-Input!$P$76)-SUM($O95:O95),(Input!$P$42-Input!$P$76)/A2taxstdlife))</f>
        <v>0</v>
      </c>
      <c r="Q95" s="67"/>
      <c r="R95" s="102"/>
      <c r="S95" s="102"/>
      <c r="T95" s="102"/>
      <c r="U95" s="102"/>
      <c r="V95" s="102"/>
      <c r="W95" s="102"/>
      <c r="X95" s="102"/>
      <c r="Y95" s="102"/>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1" s="185" customFormat="1" ht="12.75" hidden="1" customHeight="1" outlineLevel="2">
      <c r="A96" s="9"/>
      <c r="B96" s="9"/>
      <c r="C96" s="25"/>
      <c r="D96" s="385"/>
      <c r="E96" s="86">
        <v>10</v>
      </c>
      <c r="F96" s="191"/>
      <c r="G96" s="148"/>
      <c r="H96" s="148"/>
      <c r="I96" s="148"/>
      <c r="J96" s="148"/>
      <c r="K96" s="148"/>
      <c r="L96" s="148"/>
      <c r="M96" s="148"/>
      <c r="N96" s="148"/>
      <c r="O96" s="187"/>
      <c r="P96" s="147"/>
      <c r="Q96" s="67"/>
      <c r="R96" s="102"/>
      <c r="S96" s="102"/>
      <c r="T96" s="102"/>
      <c r="U96" s="102"/>
      <c r="V96" s="102"/>
      <c r="W96" s="102"/>
      <c r="X96" s="102"/>
      <c r="Y96" s="102"/>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s="185" customFormat="1" hidden="1" outlineLevel="1">
      <c r="A97" s="9"/>
      <c r="B97" s="9"/>
      <c r="C97" s="25" t="str">
        <f>Asset2</f>
        <v>Transmission buildings 132/66kV</v>
      </c>
      <c r="D97" s="9"/>
      <c r="E97" s="9"/>
      <c r="F97" s="203"/>
      <c r="G97" s="164">
        <f>-SUM(G85:G96)</f>
        <v>-0.90165012678563272</v>
      </c>
      <c r="H97" s="164">
        <f>-SUM(H85:H96)</f>
        <v>-1.3620729355227805</v>
      </c>
      <c r="I97" s="164">
        <f>-SUM(I85:I96)</f>
        <v>-1.0447586300514944</v>
      </c>
      <c r="J97" s="164">
        <f>-SUM(J85:J96)</f>
        <v>-1.0959908829087337</v>
      </c>
      <c r="K97" s="164">
        <f>-SUM(K85:K96)</f>
        <v>-1.1908214869300662</v>
      </c>
      <c r="L97" s="164"/>
      <c r="M97" s="164">
        <f>IF(Input!N173&gt;0, -SUM(M85:M96), 0)</f>
        <v>0</v>
      </c>
      <c r="N97" s="164">
        <f>IF(Input!O173&gt;0, -SUM(N85:N96), 0)</f>
        <v>0</v>
      </c>
      <c r="O97" s="164">
        <f>IF(Input!P173&gt;0, -SUM(O85:O96), 0)</f>
        <v>0</v>
      </c>
      <c r="P97" s="164">
        <f>IF(Input!Q173&gt;0, -SUM(P85:P96), 0)</f>
        <v>0</v>
      </c>
      <c r="Q97" s="63"/>
      <c r="R97" s="101"/>
      <c r="S97" s="101"/>
      <c r="T97" s="101"/>
      <c r="U97" s="101"/>
      <c r="V97" s="101"/>
      <c r="W97" s="101"/>
      <c r="X97" s="101"/>
      <c r="Y97" s="101"/>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row>
    <row r="98" spans="1:60" s="185" customFormat="1" ht="12.75" hidden="1" customHeight="1" outlineLevel="2">
      <c r="A98" s="9"/>
      <c r="B98" s="31" t="str">
        <f>Asset3</f>
        <v>Zone buildings 132/66kV</v>
      </c>
      <c r="C98" s="32"/>
      <c r="D98" s="33" t="s">
        <v>67</v>
      </c>
      <c r="E98" s="32"/>
      <c r="F98" s="203"/>
      <c r="G98" s="356">
        <v>0.56975407369754683</v>
      </c>
      <c r="H98" s="356">
        <v>0.48282138528926166</v>
      </c>
      <c r="I98" s="356">
        <v>0.4792971126501176</v>
      </c>
      <c r="J98" s="356">
        <v>0.55418914090011762</v>
      </c>
      <c r="K98" s="356">
        <v>0.55418914090011762</v>
      </c>
      <c r="L98" s="356"/>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2"/>
      <c r="S98" s="308">
        <f>SUM(K98:K103)</f>
        <v>1.6717976307129332</v>
      </c>
      <c r="T98" s="102"/>
      <c r="U98" s="102"/>
      <c r="V98" s="102"/>
      <c r="W98" s="102"/>
      <c r="X98" s="102"/>
      <c r="Y98" s="102"/>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s="185" customFormat="1" ht="12.75" hidden="1" customHeight="1" outlineLevel="2">
      <c r="A99" s="9"/>
      <c r="B99" s="9"/>
      <c r="C99" s="25"/>
      <c r="D99" s="384" t="s">
        <v>85</v>
      </c>
      <c r="E99" s="85"/>
      <c r="F99" s="310"/>
      <c r="G99" s="67"/>
      <c r="H99" s="67"/>
      <c r="I99" s="67"/>
      <c r="J99" s="67"/>
      <c r="K99" s="67"/>
      <c r="L99" s="67"/>
      <c r="M99" s="67"/>
      <c r="N99" s="67"/>
      <c r="O99" s="67"/>
      <c r="P99" s="67"/>
      <c r="Q99" s="67"/>
      <c r="R99" s="102"/>
      <c r="S99" s="102"/>
      <c r="T99" s="102"/>
      <c r="U99" s="102"/>
      <c r="V99" s="102"/>
      <c r="W99" s="102"/>
      <c r="X99" s="102"/>
      <c r="Y99" s="102"/>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s="185" customFormat="1" ht="12.75" hidden="1" customHeight="1" outlineLevel="2">
      <c r="A100" s="9"/>
      <c r="B100" s="9"/>
      <c r="C100" s="25"/>
      <c r="D100" s="385"/>
      <c r="E100" s="85">
        <v>1</v>
      </c>
      <c r="F100" s="203"/>
      <c r="G100" s="147"/>
      <c r="H100" s="67">
        <f>IF(A3taxstdlife="n/a","n/a",IF(H$3&gt;(A3taxstdlife+$E100),(Input!$H$43-Input!$H$77)-SUM($G100:G100),(Input!$H$43-Input!$H$77)/A3taxstdlife))</f>
        <v>9.9675674662499988E-3</v>
      </c>
      <c r="I100" s="67">
        <f>IF(A3taxstdlife="n/a","n/a",IF(I$3&gt;(A3taxstdlife+$E100),(Input!$H$43-Input!$H$77)-SUM($G100:H100),(Input!$H$43-Input!$H$77)/A3taxstdlife))</f>
        <v>9.9675674662499988E-3</v>
      </c>
      <c r="J100" s="67">
        <f>IF(A3taxstdlife="n/a","n/a",IF(J$3&gt;(A3taxstdlife+$E100),(Input!$H$43-Input!$H$77)-SUM($G100:I100),(Input!$H$43-Input!$H$77)/A3taxstdlife))</f>
        <v>9.9675674662499988E-3</v>
      </c>
      <c r="K100" s="67">
        <f>IF(A3taxstdlife="n/a","n/a",IF(K$3&gt;(A3taxstdlife+$E100),(Input!$H$43-Input!$H$77)-SUM($G100:J100),(Input!$H$43-Input!$H$77)/A3taxstdlife))</f>
        <v>9.9675674662499988E-3</v>
      </c>
      <c r="L100" s="67"/>
      <c r="M100" s="67">
        <f>IF(A3taxstdlife="n/a","n/a",IF(M$3&gt;(A3taxstdlife+$E100),(Input!$H$43-Input!$H$77)-SUM($G100:L100),(Input!$H$43-Input!$H$77)/A3taxstdlife))</f>
        <v>9.9675674662499988E-3</v>
      </c>
      <c r="N100" s="67">
        <f>IF(A3taxstdlife="n/a","n/a",IF(N$3&gt;(A3taxstdlife+$E100),(Input!$H$43-Input!$H$77)-SUM($G100:M100),(Input!$H$43-Input!$H$77)/A3taxstdlife))</f>
        <v>9.9675674662499988E-3</v>
      </c>
      <c r="O100" s="67">
        <f>IF(A3taxstdlife="n/a","n/a",IF(O$3&gt;(A3taxstdlife+$E100),(Input!$H$43-Input!$H$77)-SUM($G100:N100),(Input!$H$43-Input!$H$77)/A3taxstdlife))</f>
        <v>9.9675674662499988E-3</v>
      </c>
      <c r="P100" s="67">
        <f>IF(A3taxstdlife="n/a","n/a",IF(P$3&gt;(A3taxstdlife+$E100),(Input!$H$43-Input!$H$77)-SUM($G100:O100),(Input!$H$43-Input!$H$77)/A3taxstdlife))</f>
        <v>9.9675674662499988E-3</v>
      </c>
      <c r="Q100" s="67"/>
      <c r="R100" s="102"/>
      <c r="S100" s="102"/>
      <c r="T100" s="102"/>
      <c r="U100" s="102"/>
      <c r="V100" s="102"/>
      <c r="W100" s="102"/>
      <c r="X100" s="102"/>
      <c r="Y100" s="102"/>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s="185" customFormat="1" ht="12.75" hidden="1" customHeight="1" outlineLevel="2">
      <c r="A101" s="9"/>
      <c r="B101" s="9"/>
      <c r="C101" s="25"/>
      <c r="D101" s="385"/>
      <c r="E101" s="85">
        <v>2</v>
      </c>
      <c r="F101" s="203"/>
      <c r="G101" s="148"/>
      <c r="H101" s="147"/>
      <c r="I101" s="67">
        <f>IF(A3taxstdlife="n/a","n/a",IF(I$3&gt;(A3taxstdlife+$E101),(Input!$I$43-Input!$I$77)-SUM($H101:H101),(Input!$I$43-Input!$I$77)/A3taxstdlife))</f>
        <v>0.16239976598031533</v>
      </c>
      <c r="J101" s="67">
        <f>IF(A3taxstdlife="n/a","n/a",IF(J$3&gt;(A3taxstdlife+$E101),(Input!$I$43-Input!$I$77)-SUM($H101:I101),(Input!$I$43-Input!$I$77)/A3taxstdlife))</f>
        <v>0.16239976598031533</v>
      </c>
      <c r="K101" s="67">
        <f>IF(A3taxstdlife="n/a","n/a",IF(K$3&gt;(A3taxstdlife+$E101),(Input!$I$43-Input!$I$77)-SUM($H101:J101),(Input!$I$43-Input!$I$77)/A3taxstdlife))</f>
        <v>0.16239976598031533</v>
      </c>
      <c r="L101" s="67"/>
      <c r="M101" s="67">
        <f>IF(A3taxstdlife="n/a","n/a",IF(M$3&gt;(A3taxstdlife+$E101),(Input!$I$43-Input!$I$77)-SUM($H101:L101),(Input!$I$43-Input!$I$77)/A3taxstdlife))</f>
        <v>0.16239976598031533</v>
      </c>
      <c r="N101" s="67">
        <f>IF(A3taxstdlife="n/a","n/a",IF(N$3&gt;(A3taxstdlife+$E101),(Input!$I$43-Input!$I$77)-SUM($H101:M101),(Input!$I$43-Input!$I$77)/A3taxstdlife))</f>
        <v>0.16239976598031533</v>
      </c>
      <c r="O101" s="67">
        <f>IF(A3taxstdlife="n/a","n/a",IF(O$3&gt;(A3taxstdlife+$E101),(Input!$I$43-Input!$I$77)-SUM($H101:N101),(Input!$I$43-Input!$I$77)/A3taxstdlife))</f>
        <v>0.16239976598031533</v>
      </c>
      <c r="P101" s="67">
        <f>IF(A3taxstdlife="n/a","n/a",IF(P$3&gt;(A3taxstdlife+$E101),(Input!$I$43-Input!$I$77)-SUM($H101:O101),(Input!$I$43-Input!$I$77)/A3taxstdlife))</f>
        <v>0.16239976598031533</v>
      </c>
      <c r="Q101" s="67"/>
      <c r="R101" s="102"/>
      <c r="S101" s="102"/>
      <c r="T101" s="102"/>
      <c r="U101" s="102"/>
      <c r="V101" s="102"/>
      <c r="W101" s="102"/>
      <c r="X101" s="102"/>
      <c r="Y101" s="102"/>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s="185" customFormat="1" ht="12.75" hidden="1" customHeight="1" outlineLevel="2">
      <c r="A102" s="9"/>
      <c r="B102" s="9"/>
      <c r="C102" s="25"/>
      <c r="D102" s="385"/>
      <c r="E102" s="85">
        <v>3</v>
      </c>
      <c r="F102" s="203"/>
      <c r="G102" s="148"/>
      <c r="H102" s="148"/>
      <c r="I102" s="147"/>
      <c r="J102" s="67">
        <f>IF(A3taxstdlife="n/a","n/a",IF(J$3&gt;(A3taxstdlife+$E102),(Input!$J$43-Input!$J$77)-SUM($I102:I102),(Input!$J$43-Input!$J$77)/A3taxstdlife))</f>
        <v>0.11951313877624996</v>
      </c>
      <c r="K102" s="67">
        <f>IF(A3taxstdlife="n/a","n/a",IF(K$3&gt;(A3taxstdlife+$E102),(Input!$J$43-Input!$J$77)-SUM($I102:J102),(Input!$J$43-Input!$J$77)/A3taxstdlife))</f>
        <v>0.11951313877624996</v>
      </c>
      <c r="L102" s="67"/>
      <c r="M102" s="67">
        <f>IF(A3taxstdlife="n/a","n/a",IF(M$3&gt;(A3taxstdlife+$E102),(Input!$J$43-Input!$J$77)-SUM($I102:L102),(Input!$J$43-Input!$J$77)/A3taxstdlife))</f>
        <v>0.11951313877624996</v>
      </c>
      <c r="N102" s="67">
        <f>IF(A3taxstdlife="n/a","n/a",IF(N$3&gt;(A3taxstdlife+$E102),(Input!$J$43-Input!$J$77)-SUM($I102:M102),(Input!$J$43-Input!$J$77)/A3taxstdlife))</f>
        <v>0.11951313877624996</v>
      </c>
      <c r="O102" s="67">
        <f>IF(A3taxstdlife="n/a","n/a",IF(O$3&gt;(A3taxstdlife+$E102),(Input!$J$43-Input!$J$77)-SUM($I102:N102),(Input!$J$43-Input!$J$77)/A3taxstdlife))</f>
        <v>0.11951313877624996</v>
      </c>
      <c r="P102" s="67">
        <f>IF(A3taxstdlife="n/a","n/a",IF(P$3&gt;(A3taxstdlife+$E102),(Input!$J$43-Input!$J$77)-SUM($I102:O102),(Input!$J$43-Input!$J$77)/A3taxstdlife))</f>
        <v>0.11951313877624996</v>
      </c>
      <c r="Q102" s="67"/>
      <c r="R102" s="102"/>
      <c r="S102" s="102"/>
      <c r="T102" s="102"/>
      <c r="U102" s="102"/>
      <c r="V102" s="102"/>
      <c r="W102" s="102"/>
      <c r="X102" s="102"/>
      <c r="Y102" s="102"/>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s="185" customFormat="1" ht="12.75" hidden="1" customHeight="1" outlineLevel="2">
      <c r="A103" s="9"/>
      <c r="B103" s="9"/>
      <c r="C103" s="25"/>
      <c r="D103" s="385"/>
      <c r="E103" s="85">
        <v>4</v>
      </c>
      <c r="F103" s="203"/>
      <c r="G103" s="148"/>
      <c r="H103" s="148"/>
      <c r="I103" s="148"/>
      <c r="J103" s="147"/>
      <c r="K103" s="67">
        <f>IF(A3taxstdlife="n/a","n/a",IF(K$3&gt;(A3taxstdlife+$E103),(Input!$K$43-Input!$K$77)-SUM($J103:J103),(Input!$K$43-Input!$K$77)/A3taxstdlife))</f>
        <v>0.82572801759000036</v>
      </c>
      <c r="L103" s="67"/>
      <c r="M103" s="67">
        <f>IF(A3taxstdlife="n/a","n/a",IF(M$3&gt;(A3taxstdlife+$E103),(Input!$K$43-Input!$K$77)-SUM($J103:L103),(Input!$K$43-Input!$K$77)/A3taxstdlife))</f>
        <v>0.82572801759000036</v>
      </c>
      <c r="N103" s="67">
        <f>IF(A3taxstdlife="n/a","n/a",IF(N$3&gt;(A3taxstdlife+$E103),(Input!$K$43-Input!$K$77)-SUM($J103:M103),(Input!$K$43-Input!$K$77)/A3taxstdlife))</f>
        <v>0.82572801759000036</v>
      </c>
      <c r="O103" s="67">
        <f>IF(A3taxstdlife="n/a","n/a",IF(O$3&gt;(A3taxstdlife+$E103),(Input!$K$43-Input!$K$77)-SUM($J103:N103),(Input!$K$43-Input!$K$77)/A3taxstdlife))</f>
        <v>0.82572801759000036</v>
      </c>
      <c r="P103" s="67">
        <f>IF(A3taxstdlife="n/a","n/a",IF(P$3&gt;(A3taxstdlife+$E103),(Input!$K$43-Input!$K$77)-SUM($J103:O103),(Input!$K$43-Input!$K$77)/A3taxstdlife))</f>
        <v>0.82572801759000036</v>
      </c>
      <c r="Q103" s="67"/>
      <c r="R103" s="102"/>
      <c r="S103" s="102"/>
      <c r="T103" s="102"/>
      <c r="U103" s="102"/>
      <c r="V103" s="102"/>
      <c r="W103" s="102"/>
      <c r="X103" s="102"/>
      <c r="Y103" s="102"/>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s="185" customFormat="1" ht="12.75" hidden="1" customHeight="1" outlineLevel="2">
      <c r="A104" s="9"/>
      <c r="B104" s="9"/>
      <c r="C104" s="25"/>
      <c r="D104" s="385"/>
      <c r="E104" s="85">
        <v>5</v>
      </c>
      <c r="F104" s="203"/>
      <c r="G104" s="148"/>
      <c r="H104" s="148"/>
      <c r="I104" s="148"/>
      <c r="J104" s="148"/>
      <c r="K104" s="147"/>
      <c r="L104" s="67"/>
      <c r="M104" s="67">
        <f>IF(A3taxstdlife="n/a","n/a",IF(M$3&gt;(A3taxstdlife+$E104),(Input!$L$43-Input!$L$77)-SUM($K104:L104),(Input!$L$43-Input!$L$77)/A3taxstdlife))</f>
        <v>0.64832323287703497</v>
      </c>
      <c r="N104" s="67">
        <f>IF(A3taxstdlife="n/a","n/a",IF(N$3&gt;(A3taxstdlife+$E104),(Input!$L$43-Input!$L$77)-SUM($K104:M104),(Input!$L$43-Input!$L$77)/A3taxstdlife))</f>
        <v>0.64832323287703497</v>
      </c>
      <c r="O104" s="67">
        <f>IF(A3taxstdlife="n/a","n/a",IF(O$3&gt;(A3taxstdlife+$E104),(Input!$L$43-Input!$L$77)-SUM($K104:N104),(Input!$L$43-Input!$L$77)/A3taxstdlife))</f>
        <v>0.64832323287703497</v>
      </c>
      <c r="P104" s="67">
        <f>IF(A3taxstdlife="n/a","n/a",IF(P$3&gt;(A3taxstdlife+$E104),(Input!$L$43-Input!$L$77)-SUM($K104:O104),(Input!$L$43-Input!$L$77)/A3taxstdlife))</f>
        <v>0.64832323287703497</v>
      </c>
      <c r="Q104" s="67"/>
      <c r="R104" s="102"/>
      <c r="S104" s="102"/>
      <c r="T104" s="102"/>
      <c r="U104" s="102"/>
      <c r="V104" s="102"/>
      <c r="W104" s="102"/>
      <c r="X104" s="102"/>
      <c r="Y104" s="102"/>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s="185" customFormat="1" ht="12.75" hidden="1" customHeight="1" outlineLevel="2">
      <c r="A105" s="9"/>
      <c r="B105" s="9"/>
      <c r="C105" s="25"/>
      <c r="D105" s="385"/>
      <c r="E105" s="85">
        <v>6</v>
      </c>
      <c r="F105" s="203"/>
      <c r="G105" s="148"/>
      <c r="H105" s="148"/>
      <c r="I105" s="148"/>
      <c r="J105" s="148"/>
      <c r="K105" s="148"/>
      <c r="L105" s="147"/>
      <c r="M105" s="67">
        <f>IF(A3taxstdlife="n/a","n/a",IF(M$3&gt;(A3taxstdlife+$E105),(Input!$M$43-Input!$M$77)-SUM($L105:L105),(Input!$M$43-Input!$M$77)/A3taxstdlife))</f>
        <v>0</v>
      </c>
      <c r="N105" s="67">
        <f>IF(A3taxstdlife="n/a","n/a",IF(N$3&gt;(A3taxstdlife+$E105),(Input!$M$43-Input!$M$77)-SUM($L105:M105),(Input!$M$43-Input!$M$77)/A3taxstdlife))</f>
        <v>0</v>
      </c>
      <c r="O105" s="67">
        <f>IF(A3taxstdlife="n/a","n/a",IF(O$3&gt;(A3taxstdlife+$E105),(Input!$M$43-Input!$M$77)-SUM($L105:N105),(Input!$M$43-Input!$M$77)/A3taxstdlife))</f>
        <v>0</v>
      </c>
      <c r="P105" s="67">
        <f>IF(A3taxstdlife="n/a","n/a",IF(P$3&gt;(A3taxstdlife+$E105),(Input!$M$43-Input!$M$77)-SUM($L105:O105),(Input!$M$43-Input!$M$77)/A3taxstdlife))</f>
        <v>0</v>
      </c>
      <c r="Q105" s="67"/>
      <c r="R105" s="102"/>
      <c r="S105" s="102"/>
      <c r="T105" s="102"/>
      <c r="U105" s="102"/>
      <c r="V105" s="102"/>
      <c r="W105" s="102"/>
      <c r="X105" s="102"/>
      <c r="Y105" s="102"/>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s="185" customFormat="1" ht="12.75" hidden="1" customHeight="1" outlineLevel="2">
      <c r="A106" s="9"/>
      <c r="B106" s="9"/>
      <c r="C106" s="25"/>
      <c r="D106" s="385"/>
      <c r="E106" s="85">
        <v>7</v>
      </c>
      <c r="F106" s="203"/>
      <c r="G106" s="148"/>
      <c r="H106" s="148"/>
      <c r="I106" s="148"/>
      <c r="J106" s="148"/>
      <c r="K106" s="148"/>
      <c r="L106" s="148"/>
      <c r="M106" s="147"/>
      <c r="N106" s="67">
        <f>IF(A3taxstdlife="n/a","n/a",IF(N$3&gt;(A3taxstdlife+$E106),(Input!$N$43-Input!$N$77)-SUM($M106:M106),(Input!$N$43-Input!$N$77)/A3taxstdlife))</f>
        <v>0</v>
      </c>
      <c r="O106" s="67">
        <f>IF(A3taxstdlife="n/a","n/a",IF(O$3&gt;(A3taxstdlife+$E106),(Input!$N$43-Input!$N$77)-SUM($M106:N106),(Input!$N$43-Input!$N$77)/A3taxstdlife))</f>
        <v>0</v>
      </c>
      <c r="P106" s="67">
        <f>IF(A3taxstdlife="n/a","n/a",IF(P$3&gt;(A3taxstdlife+$E106),(Input!$N$43-Input!$N$77)-SUM($M106:O106),(Input!$N$43-Input!$N$77)/A3taxstdlife))</f>
        <v>0</v>
      </c>
      <c r="Q106" s="67"/>
      <c r="R106" s="102"/>
      <c r="S106" s="102"/>
      <c r="T106" s="102"/>
      <c r="U106" s="102"/>
      <c r="V106" s="102"/>
      <c r="W106" s="102"/>
      <c r="X106" s="102"/>
      <c r="Y106" s="102"/>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s="185" customFormat="1" ht="12.75" hidden="1" customHeight="1" outlineLevel="2">
      <c r="A107" s="9"/>
      <c r="B107" s="9"/>
      <c r="C107" s="25"/>
      <c r="D107" s="385"/>
      <c r="E107" s="85">
        <v>8</v>
      </c>
      <c r="F107" s="203"/>
      <c r="G107" s="148"/>
      <c r="H107" s="148"/>
      <c r="I107" s="148"/>
      <c r="J107" s="148"/>
      <c r="K107" s="148"/>
      <c r="L107" s="148"/>
      <c r="M107" s="148"/>
      <c r="N107" s="147"/>
      <c r="O107" s="67">
        <f>IF(A3taxstdlife="n/a","n/a",IF(O$3&gt;(A3taxstdlife+$E107),(Input!$O$43-Input!$O$77)-SUM($N107:N107),(Input!$O$43-Input!$O$77)/A3taxstdlife))</f>
        <v>0</v>
      </c>
      <c r="P107" s="67">
        <f>IF(A3taxstdlife="n/a","n/a",IF(P$3&gt;(A3taxstdlife+$E107),(Input!$O$43-Input!$O$77)-SUM($N107:O107),(Input!$O$43-Input!$O$77)/A3taxstdlife))</f>
        <v>0</v>
      </c>
      <c r="Q107" s="67"/>
      <c r="R107" s="102"/>
      <c r="S107" s="102"/>
      <c r="T107" s="102"/>
      <c r="U107" s="102"/>
      <c r="V107" s="102"/>
      <c r="W107" s="102"/>
      <c r="X107" s="102"/>
      <c r="Y107" s="102"/>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s="185" customFormat="1" ht="12.75" hidden="1" customHeight="1" outlineLevel="2">
      <c r="A108" s="9"/>
      <c r="B108" s="9"/>
      <c r="C108" s="25"/>
      <c r="D108" s="385"/>
      <c r="E108" s="85">
        <v>9</v>
      </c>
      <c r="F108" s="203"/>
      <c r="G108" s="148"/>
      <c r="H108" s="148"/>
      <c r="I108" s="148"/>
      <c r="J108" s="148"/>
      <c r="K108" s="148"/>
      <c r="L108" s="148"/>
      <c r="M108" s="148"/>
      <c r="N108" s="148"/>
      <c r="O108" s="147"/>
      <c r="P108" s="67">
        <f>IF(A3taxstdlife="n/a","n/a",IF(P$3&gt;(A3taxstdlife+$E108),(Input!$P$43-Input!$P$77)-SUM($O108:O108),(Input!$P$43-Input!$P$77)/A3taxstdlife))</f>
        <v>0</v>
      </c>
      <c r="Q108" s="67"/>
      <c r="R108" s="102"/>
      <c r="S108" s="102"/>
      <c r="T108" s="102"/>
      <c r="U108" s="102"/>
      <c r="V108" s="102"/>
      <c r="W108" s="102"/>
      <c r="X108" s="102"/>
      <c r="Y108" s="102"/>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s="185" customFormat="1" ht="12.75" hidden="1" customHeight="1" outlineLevel="2">
      <c r="A109" s="9"/>
      <c r="B109" s="9"/>
      <c r="C109" s="25"/>
      <c r="D109" s="385"/>
      <c r="E109" s="86">
        <v>10</v>
      </c>
      <c r="F109" s="203"/>
      <c r="G109" s="148"/>
      <c r="H109" s="148"/>
      <c r="I109" s="148"/>
      <c r="J109" s="148"/>
      <c r="K109" s="148"/>
      <c r="L109" s="148"/>
      <c r="M109" s="148"/>
      <c r="N109" s="148"/>
      <c r="O109" s="187"/>
      <c r="P109" s="147"/>
      <c r="Q109" s="67"/>
      <c r="R109" s="102"/>
      <c r="S109" s="102"/>
      <c r="T109" s="102"/>
      <c r="U109" s="102"/>
      <c r="V109" s="102"/>
      <c r="W109" s="102"/>
      <c r="X109" s="102"/>
      <c r="Y109" s="102"/>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s="185" customFormat="1" hidden="1" outlineLevel="1">
      <c r="A110" s="9"/>
      <c r="B110" s="9"/>
      <c r="C110" s="25" t="str">
        <f>Asset3</f>
        <v>Zone buildings 132/66kV</v>
      </c>
      <c r="D110" s="9"/>
      <c r="E110" s="9"/>
      <c r="F110" s="203"/>
      <c r="G110" s="164">
        <f>-SUM(G98:G109)</f>
        <v>-0.56975407369754683</v>
      </c>
      <c r="H110" s="164">
        <f>-SUM(H98:H109)</f>
        <v>-0.49278895275551166</v>
      </c>
      <c r="I110" s="164">
        <f>-SUM(I98:I109)</f>
        <v>-0.65166444609668295</v>
      </c>
      <c r="J110" s="164">
        <f>-SUM(J98:J109)</f>
        <v>-0.84606961312293294</v>
      </c>
      <c r="K110" s="164">
        <f>-SUM(K98:K109)</f>
        <v>-1.6717976307129332</v>
      </c>
      <c r="L110" s="164"/>
      <c r="M110" s="164">
        <f>IF(Input!N173&gt;0, -SUM(M98:M109), 0)</f>
        <v>0</v>
      </c>
      <c r="N110" s="164">
        <f>IF(Input!O173&gt;0, -SUM(N98:N109), 0)</f>
        <v>0</v>
      </c>
      <c r="O110" s="164">
        <f>IF(Input!P173&gt;0, -SUM(O98:O109), 0)</f>
        <v>0</v>
      </c>
      <c r="P110" s="164">
        <f>IF(Input!Q173&gt;0, -SUM(P98:P109), 0)</f>
        <v>0</v>
      </c>
      <c r="Q110" s="63"/>
      <c r="R110" s="101"/>
      <c r="S110" s="308"/>
      <c r="T110" s="101"/>
      <c r="U110" s="101"/>
      <c r="V110" s="101"/>
      <c r="W110" s="101"/>
      <c r="X110" s="101"/>
      <c r="Y110" s="101"/>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row>
    <row r="111" spans="1:60" s="185" customFormat="1" ht="12.75" hidden="1" customHeight="1" outlineLevel="2">
      <c r="A111" s="9"/>
      <c r="B111" s="31" t="str">
        <f>Asset4</f>
        <v>Transmission transformers 132/66kV</v>
      </c>
      <c r="C111" s="32"/>
      <c r="D111" s="33" t="s">
        <v>67</v>
      </c>
      <c r="E111" s="32"/>
      <c r="F111" s="203"/>
      <c r="G111" s="356">
        <v>0.68345320763483242</v>
      </c>
      <c r="H111" s="356">
        <v>0.36696753017843287</v>
      </c>
      <c r="I111" s="356">
        <v>0.35984486442790387</v>
      </c>
      <c r="J111" s="356">
        <v>0.44163552288331553</v>
      </c>
      <c r="K111" s="356">
        <v>0.43806349341633405</v>
      </c>
      <c r="L111" s="356"/>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2"/>
      <c r="S111" s="308">
        <f>SUM(K111:K116)</f>
        <v>0.75868685272633396</v>
      </c>
      <c r="T111" s="102"/>
      <c r="U111" s="102"/>
      <c r="V111" s="102"/>
      <c r="W111" s="102"/>
      <c r="X111" s="102"/>
      <c r="Y111" s="102"/>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s="185" customFormat="1" ht="12.75" hidden="1" customHeight="1" outlineLevel="2">
      <c r="A112" s="9"/>
      <c r="B112" s="9"/>
      <c r="C112" s="25"/>
      <c r="D112" s="384" t="s">
        <v>85</v>
      </c>
      <c r="E112" s="85"/>
      <c r="F112" s="309"/>
      <c r="G112" s="67"/>
      <c r="H112" s="67"/>
      <c r="I112" s="67"/>
      <c r="J112" s="67"/>
      <c r="K112" s="67"/>
      <c r="L112" s="67"/>
      <c r="M112" s="67"/>
      <c r="N112" s="67"/>
      <c r="O112" s="67"/>
      <c r="P112" s="67"/>
      <c r="Q112" s="67"/>
      <c r="R112" s="102"/>
      <c r="S112" s="102"/>
      <c r="T112" s="102"/>
      <c r="U112" s="102"/>
      <c r="V112" s="102"/>
      <c r="W112" s="102"/>
      <c r="X112" s="102"/>
      <c r="Y112" s="102"/>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s="185" customFormat="1" ht="12.75" hidden="1" customHeight="1" outlineLevel="2">
      <c r="A113" s="9"/>
      <c r="B113" s="9"/>
      <c r="C113" s="25"/>
      <c r="D113" s="385"/>
      <c r="E113" s="85">
        <v>1</v>
      </c>
      <c r="F113" s="191"/>
      <c r="G113" s="147"/>
      <c r="H113" s="67">
        <f>IF(A4taxstdlife="n/a","n/a",IF(H$3&gt;(A4taxstdlife+$E113),(Input!$H$44-Input!$H$78)-SUM($G113:G113),(Input!$H$44-Input!$H$78)/A4taxstdlife))</f>
        <v>8.0279182499999976E-2</v>
      </c>
      <c r="I113" s="67">
        <f>IF(A4taxstdlife="n/a","n/a",IF(I$3&gt;(A4taxstdlife+$E113),(Input!$H$44-Input!$H$78)-SUM($G113:H113),(Input!$H$44-Input!$H$78)/A4taxstdlife))</f>
        <v>8.0279182499999976E-2</v>
      </c>
      <c r="J113" s="67">
        <f>IF(A4taxstdlife="n/a","n/a",IF(J$3&gt;(A4taxstdlife+$E113),(Input!$H$44-Input!$H$78)-SUM($G113:I113),(Input!$H$44-Input!$H$78)/A4taxstdlife))</f>
        <v>8.0279182499999976E-2</v>
      </c>
      <c r="K113" s="67">
        <f>IF(A4taxstdlife="n/a","n/a",IF(K$3&gt;(A4taxstdlife+$E113),(Input!$H$44-Input!$H$78)-SUM($G113:J113),(Input!$H$44-Input!$H$78)/A4taxstdlife))</f>
        <v>8.0279182499999976E-2</v>
      </c>
      <c r="L113" s="67"/>
      <c r="M113" s="67">
        <f>IF(A4taxstdlife="n/a","n/a",IF(M$3&gt;(A4taxstdlife+$E113),(Input!$H$44-Input!$H$78)-SUM($G113:L113),(Input!$H$44-Input!$H$78)/A4taxstdlife))</f>
        <v>8.0279182499999976E-2</v>
      </c>
      <c r="N113" s="67">
        <f>IF(A4taxstdlife="n/a","n/a",IF(N$3&gt;(A4taxstdlife+$E113),(Input!$H$44-Input!$H$78)-SUM($G113:M113),(Input!$H$44-Input!$H$78)/A4taxstdlife))</f>
        <v>8.0279182499999976E-2</v>
      </c>
      <c r="O113" s="67">
        <f>IF(A4taxstdlife="n/a","n/a",IF(O$3&gt;(A4taxstdlife+$E113),(Input!$H$44-Input!$H$78)-SUM($G113:N113),(Input!$H$44-Input!$H$78)/A4taxstdlife))</f>
        <v>8.0279182499999976E-2</v>
      </c>
      <c r="P113" s="67">
        <f>IF(A4taxstdlife="n/a","n/a",IF(P$3&gt;(A4taxstdlife+$E113),(Input!$H$44-Input!$H$78)-SUM($G113:O113),(Input!$H$44-Input!$H$78)/A4taxstdlife))</f>
        <v>8.0279182499999976E-2</v>
      </c>
      <c r="Q113" s="67"/>
      <c r="R113" s="102"/>
      <c r="S113" s="102"/>
      <c r="T113" s="102"/>
      <c r="U113" s="102"/>
      <c r="V113" s="102"/>
      <c r="W113" s="102"/>
      <c r="X113" s="102"/>
      <c r="Y113" s="102"/>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s="185" customFormat="1" ht="12.75" hidden="1" customHeight="1" outlineLevel="2">
      <c r="A114" s="9"/>
      <c r="B114" s="9"/>
      <c r="C114" s="25"/>
      <c r="D114" s="385"/>
      <c r="E114" s="85">
        <v>2</v>
      </c>
      <c r="F114" s="191"/>
      <c r="G114" s="148"/>
      <c r="H114" s="147"/>
      <c r="I114" s="67">
        <f>IF(A4taxstdlife="n/a","n/a",IF(I$3&gt;(A4taxstdlife+$E114),(Input!$I$44-Input!$I$78)-SUM($H114:H114),(Input!$I$44-Input!$I$78)/A4taxstdlife))</f>
        <v>2.879452825E-2</v>
      </c>
      <c r="J114" s="67">
        <f>IF(A4taxstdlife="n/a","n/a",IF(J$3&gt;(A4taxstdlife+$E114),(Input!$I$44-Input!$I$78)-SUM($H114:I114),(Input!$I$44-Input!$I$78)/A4taxstdlife))</f>
        <v>2.879452825E-2</v>
      </c>
      <c r="K114" s="67">
        <f>IF(A4taxstdlife="n/a","n/a",IF(K$3&gt;(A4taxstdlife+$E114),(Input!$I$44-Input!$I$78)-SUM($H114:J114),(Input!$I$44-Input!$I$78)/A4taxstdlife))</f>
        <v>2.879452825E-2</v>
      </c>
      <c r="L114" s="67"/>
      <c r="M114" s="67">
        <f>IF(A4taxstdlife="n/a","n/a",IF(M$3&gt;(A4taxstdlife+$E114),(Input!$I$44-Input!$I$78)-SUM($H114:L114),(Input!$I$44-Input!$I$78)/A4taxstdlife))</f>
        <v>2.879452825E-2</v>
      </c>
      <c r="N114" s="67">
        <f>IF(A4taxstdlife="n/a","n/a",IF(N$3&gt;(A4taxstdlife+$E114),(Input!$I$44-Input!$I$78)-SUM($H114:M114),(Input!$I$44-Input!$I$78)/A4taxstdlife))</f>
        <v>2.879452825E-2</v>
      </c>
      <c r="O114" s="67">
        <f>IF(A4taxstdlife="n/a","n/a",IF(O$3&gt;(A4taxstdlife+$E114),(Input!$I$44-Input!$I$78)-SUM($H114:N114),(Input!$I$44-Input!$I$78)/A4taxstdlife))</f>
        <v>2.879452825E-2</v>
      </c>
      <c r="P114" s="67">
        <f>IF(A4taxstdlife="n/a","n/a",IF(P$3&gt;(A4taxstdlife+$E114),(Input!$I$44-Input!$I$78)-SUM($H114:O114),(Input!$I$44-Input!$I$78)/A4taxstdlife))</f>
        <v>2.879452825E-2</v>
      </c>
      <c r="Q114" s="67"/>
      <c r="R114" s="102"/>
      <c r="S114" s="102"/>
      <c r="T114" s="102"/>
      <c r="U114" s="102"/>
      <c r="V114" s="102"/>
      <c r="W114" s="102"/>
      <c r="X114" s="102"/>
      <c r="Y114" s="102"/>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s="185" customFormat="1" ht="12.75" hidden="1" customHeight="1" outlineLevel="2">
      <c r="A115" s="9"/>
      <c r="B115" s="9"/>
      <c r="C115" s="25"/>
      <c r="D115" s="385"/>
      <c r="E115" s="85">
        <v>3</v>
      </c>
      <c r="F115" s="191"/>
      <c r="G115" s="148"/>
      <c r="H115" s="148"/>
      <c r="I115" s="147"/>
      <c r="J115" s="67">
        <f>IF(A4taxstdlife="n/a","n/a",IF(J$3&gt;(A4taxstdlife+$E115),(Input!$J$44-Input!$J$78)-SUM($I115:I115),(Input!$J$44-Input!$J$78)/A4taxstdlife))</f>
        <v>6.4447187749999982E-2</v>
      </c>
      <c r="K115" s="67">
        <f>IF(A4taxstdlife="n/a","n/a",IF(K$3&gt;(A4taxstdlife+$E115),(Input!$J$44-Input!$J$78)-SUM($I115:J115),(Input!$J$44-Input!$J$78)/A4taxstdlife))</f>
        <v>6.4447187749999982E-2</v>
      </c>
      <c r="L115" s="67"/>
      <c r="M115" s="67">
        <f>IF(A4taxstdlife="n/a","n/a",IF(M$3&gt;(A4taxstdlife+$E115),(Input!$J$44-Input!$J$78)-SUM($I115:L115),(Input!$J$44-Input!$J$78)/A4taxstdlife))</f>
        <v>6.4447187749999982E-2</v>
      </c>
      <c r="N115" s="67">
        <f>IF(A4taxstdlife="n/a","n/a",IF(N$3&gt;(A4taxstdlife+$E115),(Input!$J$44-Input!$J$78)-SUM($I115:M115),(Input!$J$44-Input!$J$78)/A4taxstdlife))</f>
        <v>6.4447187749999982E-2</v>
      </c>
      <c r="O115" s="67">
        <f>IF(A4taxstdlife="n/a","n/a",IF(O$3&gt;(A4taxstdlife+$E115),(Input!$J$44-Input!$J$78)-SUM($I115:N115),(Input!$J$44-Input!$J$78)/A4taxstdlife))</f>
        <v>6.4447187749999982E-2</v>
      </c>
      <c r="P115" s="67">
        <f>IF(A4taxstdlife="n/a","n/a",IF(P$3&gt;(A4taxstdlife+$E115),(Input!$J$44-Input!$J$78)-SUM($I115:O115),(Input!$J$44-Input!$J$78)/A4taxstdlife))</f>
        <v>6.4447187749999982E-2</v>
      </c>
      <c r="Q115" s="67"/>
      <c r="R115" s="102"/>
      <c r="S115" s="102"/>
      <c r="T115" s="102"/>
      <c r="U115" s="102"/>
      <c r="V115" s="102"/>
      <c r="W115" s="102"/>
      <c r="X115" s="102"/>
      <c r="Y115" s="102"/>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s="185" customFormat="1" ht="12.75" hidden="1" customHeight="1" outlineLevel="2">
      <c r="A116" s="9"/>
      <c r="B116" s="9"/>
      <c r="C116" s="25"/>
      <c r="D116" s="385"/>
      <c r="E116" s="85">
        <v>4</v>
      </c>
      <c r="F116" s="191"/>
      <c r="G116" s="148"/>
      <c r="H116" s="148"/>
      <c r="I116" s="148"/>
      <c r="J116" s="147"/>
      <c r="K116" s="67">
        <f>IF(A4taxstdlife="n/a","n/a",IF(K$3&gt;(A4taxstdlife+$E116),(Input!$K$44-Input!$K$78)-SUM($J116:J116),(Input!$K$44-Input!$K$78)/A4taxstdlife))</f>
        <v>0.14710246081000003</v>
      </c>
      <c r="L116" s="67"/>
      <c r="M116" s="67">
        <f>IF(A4taxstdlife="n/a","n/a",IF(M$3&gt;(A4taxstdlife+$E116),(Input!$K$44-Input!$K$78)-SUM($J116:L116),(Input!$K$44-Input!$K$78)/A4taxstdlife))</f>
        <v>0.14710246081000003</v>
      </c>
      <c r="N116" s="67">
        <f>IF(A4taxstdlife="n/a","n/a",IF(N$3&gt;(A4taxstdlife+$E116),(Input!$K$44-Input!$K$78)-SUM($J116:M116),(Input!$K$44-Input!$K$78)/A4taxstdlife))</f>
        <v>0.14710246081000003</v>
      </c>
      <c r="O116" s="67">
        <f>IF(A4taxstdlife="n/a","n/a",IF(O$3&gt;(A4taxstdlife+$E116),(Input!$K$44-Input!$K$78)-SUM($J116:N116),(Input!$K$44-Input!$K$78)/A4taxstdlife))</f>
        <v>0.14710246081000003</v>
      </c>
      <c r="P116" s="67">
        <f>IF(A4taxstdlife="n/a","n/a",IF(P$3&gt;(A4taxstdlife+$E116),(Input!$K$44-Input!$K$78)-SUM($J116:O116),(Input!$K$44-Input!$K$78)/A4taxstdlife))</f>
        <v>0.14710246081000003</v>
      </c>
      <c r="Q116" s="67"/>
      <c r="R116" s="102"/>
      <c r="S116" s="102"/>
      <c r="T116" s="102"/>
      <c r="U116" s="102"/>
      <c r="V116" s="102"/>
      <c r="W116" s="102"/>
      <c r="X116" s="102"/>
      <c r="Y116" s="102"/>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s="185" customFormat="1" ht="12.75" hidden="1" customHeight="1" outlineLevel="2">
      <c r="A117" s="9"/>
      <c r="B117" s="9"/>
      <c r="C117" s="25"/>
      <c r="D117" s="385"/>
      <c r="E117" s="85">
        <v>5</v>
      </c>
      <c r="F117" s="191"/>
      <c r="G117" s="148"/>
      <c r="H117" s="148"/>
      <c r="I117" s="148"/>
      <c r="J117" s="148"/>
      <c r="K117" s="147"/>
      <c r="L117" s="67"/>
      <c r="M117" s="67">
        <f>IF(A4taxstdlife="n/a","n/a",IF(M$3&gt;(A4taxstdlife+$E117),(Input!$L$44-Input!$L$78)-SUM($K117:L117),(Input!$L$44-Input!$L$78)/A4taxstdlife))</f>
        <v>0.12345826897444408</v>
      </c>
      <c r="N117" s="67">
        <f>IF(A4taxstdlife="n/a","n/a",IF(N$3&gt;(A4taxstdlife+$E117),(Input!$L$44-Input!$L$78)-SUM($K117:M117),(Input!$L$44-Input!$L$78)/A4taxstdlife))</f>
        <v>0.12345826897444408</v>
      </c>
      <c r="O117" s="67">
        <f>IF(A4taxstdlife="n/a","n/a",IF(O$3&gt;(A4taxstdlife+$E117),(Input!$L$44-Input!$L$78)-SUM($K117:N117),(Input!$L$44-Input!$L$78)/A4taxstdlife))</f>
        <v>0.12345826897444408</v>
      </c>
      <c r="P117" s="67">
        <f>IF(A4taxstdlife="n/a","n/a",IF(P$3&gt;(A4taxstdlife+$E117),(Input!$L$44-Input!$L$78)-SUM($K117:O117),(Input!$L$44-Input!$L$78)/A4taxstdlife))</f>
        <v>0.12345826897444408</v>
      </c>
      <c r="Q117" s="67"/>
      <c r="R117" s="102"/>
      <c r="S117" s="102"/>
      <c r="T117" s="102"/>
      <c r="U117" s="102"/>
      <c r="V117" s="102"/>
      <c r="W117" s="102"/>
      <c r="X117" s="102"/>
      <c r="Y117" s="102"/>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s="185" customFormat="1" ht="12.75" hidden="1" customHeight="1" outlineLevel="2">
      <c r="A118" s="9"/>
      <c r="B118" s="9"/>
      <c r="C118" s="25"/>
      <c r="D118" s="385"/>
      <c r="E118" s="85">
        <v>6</v>
      </c>
      <c r="F118" s="191"/>
      <c r="G118" s="148"/>
      <c r="H118" s="148"/>
      <c r="I118" s="148"/>
      <c r="J118" s="148"/>
      <c r="K118" s="148"/>
      <c r="L118" s="147"/>
      <c r="M118" s="67">
        <f>IF(A4taxstdlife="n/a","n/a",IF(M$3&gt;(A4taxstdlife+$E118),(Input!$M$44-Input!$M$78)-SUM($L118:L118),(Input!$M$44-Input!$M$78)/A4taxstdlife))</f>
        <v>0</v>
      </c>
      <c r="N118" s="67">
        <f>IF(A4taxstdlife="n/a","n/a",IF(N$3&gt;(A4taxstdlife+$E118),(Input!$M$44-Input!$M$78)-SUM($L118:M118),(Input!$M$44-Input!$M$78)/A4taxstdlife))</f>
        <v>0</v>
      </c>
      <c r="O118" s="67">
        <f>IF(A4taxstdlife="n/a","n/a",IF(O$3&gt;(A4taxstdlife+$E118),(Input!$M$44-Input!$M$78)-SUM($L118:N118),(Input!$M$44-Input!$M$78)/A4taxstdlife))</f>
        <v>0</v>
      </c>
      <c r="P118" s="67">
        <f>IF(A4taxstdlife="n/a","n/a",IF(P$3&gt;(A4taxstdlife+$E118),(Input!$M$44-Input!$M$78)-SUM($L118:O118),(Input!$M$44-Input!$M$78)/A4taxstdlife))</f>
        <v>0</v>
      </c>
      <c r="Q118" s="67"/>
      <c r="R118" s="102"/>
      <c r="S118" s="102"/>
      <c r="T118" s="102"/>
      <c r="U118" s="102"/>
      <c r="V118" s="102"/>
      <c r="W118" s="102"/>
      <c r="X118" s="102"/>
      <c r="Y118" s="102"/>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s="185" customFormat="1" ht="12.75" hidden="1" customHeight="1" outlineLevel="2">
      <c r="A119" s="9"/>
      <c r="B119" s="9"/>
      <c r="C119" s="25"/>
      <c r="D119" s="385"/>
      <c r="E119" s="85">
        <v>7</v>
      </c>
      <c r="F119" s="191"/>
      <c r="G119" s="148"/>
      <c r="H119" s="148"/>
      <c r="I119" s="148"/>
      <c r="J119" s="148"/>
      <c r="K119" s="148"/>
      <c r="L119" s="148"/>
      <c r="M119" s="147"/>
      <c r="N119" s="67">
        <f>IF(A4taxstdlife="n/a","n/a",IF(N$3&gt;(A4taxstdlife+$E119),(Input!$N$44-Input!$N$78)-SUM($M119:M119),(Input!$N$44-Input!$N$78)/A4taxstdlife))</f>
        <v>0</v>
      </c>
      <c r="O119" s="67">
        <f>IF(A4taxstdlife="n/a","n/a",IF(O$3&gt;(A4taxstdlife+$E119),(Input!$N$44-Input!$N$78)-SUM($M119:N119),(Input!$N$44-Input!$N$78)/A4taxstdlife))</f>
        <v>0</v>
      </c>
      <c r="P119" s="67">
        <f>IF(A4taxstdlife="n/a","n/a",IF(P$3&gt;(A4taxstdlife+$E119),(Input!$N$44-Input!$N$78)-SUM($M119:O119),(Input!$N$44-Input!$N$78)/A4taxstdlife))</f>
        <v>0</v>
      </c>
      <c r="Q119" s="67"/>
      <c r="R119" s="102"/>
      <c r="S119" s="102"/>
      <c r="T119" s="102"/>
      <c r="U119" s="102"/>
      <c r="V119" s="102"/>
      <c r="W119" s="102"/>
      <c r="X119" s="102"/>
      <c r="Y119" s="102"/>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s="185" customFormat="1" ht="12.75" hidden="1" customHeight="1" outlineLevel="2">
      <c r="A120" s="9"/>
      <c r="B120" s="9"/>
      <c r="C120" s="25"/>
      <c r="D120" s="385"/>
      <c r="E120" s="85">
        <v>8</v>
      </c>
      <c r="F120" s="191"/>
      <c r="G120" s="148"/>
      <c r="H120" s="148"/>
      <c r="I120" s="148"/>
      <c r="J120" s="148"/>
      <c r="K120" s="148"/>
      <c r="L120" s="148"/>
      <c r="M120" s="148"/>
      <c r="N120" s="147"/>
      <c r="O120" s="67">
        <f>IF(A4taxstdlife="n/a","n/a",IF(O$3&gt;(A4taxstdlife+$E120),(Input!$O$44-Input!$O$78)-SUM($N120:N120),(Input!$O$44-Input!$O$78)/A4taxstdlife))</f>
        <v>0</v>
      </c>
      <c r="P120" s="67">
        <f>IF(A4taxstdlife="n/a","n/a",IF(P$3&gt;(A4taxstdlife+$E120),(Input!$O$44-Input!$O$78)-SUM($N120:O120),(Input!$O$44-Input!$O$78)/A4taxstdlife))</f>
        <v>0</v>
      </c>
      <c r="Q120" s="67"/>
      <c r="R120" s="102"/>
      <c r="S120" s="102"/>
      <c r="T120" s="102"/>
      <c r="U120" s="102"/>
      <c r="V120" s="102"/>
      <c r="W120" s="102"/>
      <c r="X120" s="102"/>
      <c r="Y120" s="102"/>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s="185" customFormat="1" ht="12.75" hidden="1" customHeight="1" outlineLevel="2">
      <c r="A121" s="9"/>
      <c r="B121" s="9"/>
      <c r="C121" s="25"/>
      <c r="D121" s="385"/>
      <c r="E121" s="85">
        <v>9</v>
      </c>
      <c r="F121" s="191"/>
      <c r="G121" s="148"/>
      <c r="H121" s="148"/>
      <c r="I121" s="148"/>
      <c r="J121" s="148"/>
      <c r="K121" s="148"/>
      <c r="L121" s="148"/>
      <c r="M121" s="148"/>
      <c r="N121" s="148"/>
      <c r="O121" s="147"/>
      <c r="P121" s="67">
        <f>IF(A4taxstdlife="n/a","n/a",IF(P$3&gt;(A4taxstdlife+$E121),(Input!$P$44-Input!$P$78)-SUM($O121:O121),(Input!$P$44-Input!$P$78)/A4taxstdlife))</f>
        <v>0</v>
      </c>
      <c r="Q121" s="67"/>
      <c r="R121" s="102"/>
      <c r="S121" s="102"/>
      <c r="T121" s="102"/>
      <c r="U121" s="102"/>
      <c r="V121" s="102"/>
      <c r="W121" s="102"/>
      <c r="X121" s="102"/>
      <c r="Y121" s="102"/>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s="185" customFormat="1" ht="12.75" hidden="1" customHeight="1" outlineLevel="2">
      <c r="A122" s="9"/>
      <c r="B122" s="9"/>
      <c r="C122" s="25"/>
      <c r="D122" s="385"/>
      <c r="E122" s="86">
        <v>10</v>
      </c>
      <c r="F122" s="191"/>
      <c r="G122" s="148"/>
      <c r="H122" s="148"/>
      <c r="I122" s="148"/>
      <c r="J122" s="148"/>
      <c r="K122" s="148"/>
      <c r="L122" s="148"/>
      <c r="M122" s="148"/>
      <c r="N122" s="148"/>
      <c r="O122" s="187"/>
      <c r="P122" s="147"/>
      <c r="Q122" s="67"/>
      <c r="R122" s="102"/>
      <c r="S122" s="102"/>
      <c r="T122" s="102"/>
      <c r="U122" s="102"/>
      <c r="V122" s="102"/>
      <c r="W122" s="102"/>
      <c r="X122" s="102"/>
      <c r="Y122" s="102"/>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s="185" customFormat="1" hidden="1" outlineLevel="1">
      <c r="A123" s="9"/>
      <c r="B123" s="9"/>
      <c r="C123" s="25" t="str">
        <f>Asset4</f>
        <v>Transmission transformers 132/66kV</v>
      </c>
      <c r="D123" s="9"/>
      <c r="E123" s="9"/>
      <c r="F123" s="191"/>
      <c r="G123" s="164">
        <f>-SUM(G111:G122)</f>
        <v>-0.68345320763483242</v>
      </c>
      <c r="H123" s="164">
        <f>-SUM(H111:H122)</f>
        <v>-0.44724671267843286</v>
      </c>
      <c r="I123" s="164">
        <f>-SUM(I111:I122)</f>
        <v>-0.46891857517790386</v>
      </c>
      <c r="J123" s="164">
        <f>-SUM(J111:J122)</f>
        <v>-0.6151564213833155</v>
      </c>
      <c r="K123" s="164">
        <f>-SUM(K111:K122)</f>
        <v>-0.75868685272633396</v>
      </c>
      <c r="L123" s="164"/>
      <c r="M123" s="164">
        <f>IF(Input!N173&gt;0, -SUM(M111:M122), 0)</f>
        <v>0</v>
      </c>
      <c r="N123" s="164">
        <f>IF(Input!O173&gt;0, -SUM(N111:N122), 0)</f>
        <v>0</v>
      </c>
      <c r="O123" s="164">
        <f>IF(Input!P173&gt;0, -SUM(O111:O122), 0)</f>
        <v>0</v>
      </c>
      <c r="P123" s="164">
        <f>IF(Input!Q173&gt;0, -SUM(P111:P122), 0)</f>
        <v>0</v>
      </c>
      <c r="Q123" s="63"/>
      <c r="R123" s="101"/>
      <c r="S123" s="101"/>
      <c r="T123" s="101"/>
      <c r="U123" s="101"/>
      <c r="V123" s="101"/>
      <c r="W123" s="101"/>
      <c r="X123" s="101"/>
      <c r="Y123" s="101"/>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row>
    <row r="124" spans="1:60" s="185" customFormat="1" ht="12.75" hidden="1" customHeight="1" outlineLevel="2">
      <c r="A124" s="9"/>
      <c r="B124" s="31" t="str">
        <f>Asset5</f>
        <v>Zone transformers 132/66kV</v>
      </c>
      <c r="C124" s="32"/>
      <c r="D124" s="33" t="s">
        <v>67</v>
      </c>
      <c r="E124" s="32"/>
      <c r="F124" s="191"/>
      <c r="G124" s="356">
        <v>0.20700752893352276</v>
      </c>
      <c r="H124" s="356">
        <v>0.11206160472690839</v>
      </c>
      <c r="I124" s="356">
        <v>0.11175270791862295</v>
      </c>
      <c r="J124" s="356">
        <v>0.11084570474693413</v>
      </c>
      <c r="K124" s="356">
        <v>0.11084558725427104</v>
      </c>
      <c r="L124" s="356"/>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2"/>
      <c r="S124" s="308">
        <f>SUM(K124:K129)</f>
        <v>0.30825029903845569</v>
      </c>
      <c r="T124" s="102"/>
      <c r="U124" s="102"/>
      <c r="V124" s="102"/>
      <c r="W124" s="102"/>
      <c r="X124" s="102"/>
      <c r="Y124" s="102"/>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s="185" customFormat="1" ht="12.75" hidden="1" customHeight="1" outlineLevel="2">
      <c r="A125" s="9"/>
      <c r="B125" s="9"/>
      <c r="C125" s="25"/>
      <c r="D125" s="384" t="s">
        <v>85</v>
      </c>
      <c r="E125" s="85"/>
      <c r="F125" s="309"/>
      <c r="G125" s="67"/>
      <c r="H125" s="67"/>
      <c r="I125" s="67"/>
      <c r="J125" s="67"/>
      <c r="K125" s="67"/>
      <c r="L125" s="67"/>
      <c r="M125" s="67"/>
      <c r="N125" s="67"/>
      <c r="O125" s="67"/>
      <c r="P125" s="67"/>
      <c r="Q125" s="67"/>
      <c r="R125" s="102"/>
      <c r="S125" s="102"/>
      <c r="T125" s="102"/>
      <c r="U125" s="102"/>
      <c r="V125" s="102"/>
      <c r="W125" s="102"/>
      <c r="X125" s="102"/>
      <c r="Y125" s="102"/>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s="185" customFormat="1" ht="12.75" hidden="1" customHeight="1" outlineLevel="2">
      <c r="A126" s="9"/>
      <c r="B126" s="9"/>
      <c r="C126" s="25"/>
      <c r="D126" s="385"/>
      <c r="E126" s="85">
        <v>1</v>
      </c>
      <c r="F126" s="191"/>
      <c r="G126" s="147"/>
      <c r="H126" s="67">
        <f>IF(A5taxstdlife="n/a","n/a",IF(H$3&gt;(A5taxstdlife+$E126),(Input!$H$45-Input!$H$79)-SUM($G126:G126),(Input!$H$45-Input!$H$79)/A5taxstdlife))</f>
        <v>6.6398604497888883E-2</v>
      </c>
      <c r="I126" s="67">
        <f>IF(A5taxstdlife="n/a","n/a",IF(I$3&gt;(A5taxstdlife+$E126),(Input!$H$45-Input!$H$79)-SUM($G126:H126),(Input!$H$45-Input!$H$79)/A5taxstdlife))</f>
        <v>6.6398604497888883E-2</v>
      </c>
      <c r="J126" s="67">
        <f>IF(A5taxstdlife="n/a","n/a",IF(J$3&gt;(A5taxstdlife+$E126),(Input!$H$45-Input!$H$79)-SUM($G126:I126),(Input!$H$45-Input!$H$79)/A5taxstdlife))</f>
        <v>6.6398604497888883E-2</v>
      </c>
      <c r="K126" s="67">
        <f>IF(A5taxstdlife="n/a","n/a",IF(K$3&gt;(A5taxstdlife+$E126),(Input!$H$45-Input!$H$79)-SUM($G126:J126),(Input!$H$45-Input!$H$79)/A5taxstdlife))</f>
        <v>6.6398604497888883E-2</v>
      </c>
      <c r="L126" s="67"/>
      <c r="M126" s="67">
        <f>IF(A5taxstdlife="n/a","n/a",IF(M$3&gt;(A5taxstdlife+$E126),(Input!$H$45-Input!$H$79)-SUM($G126:L126),(Input!$H$45-Input!$H$79)/A5taxstdlife))</f>
        <v>6.6398604497888883E-2</v>
      </c>
      <c r="N126" s="67">
        <f>IF(A5taxstdlife="n/a","n/a",IF(N$3&gt;(A5taxstdlife+$E126),(Input!$H$45-Input!$H$79)-SUM($G126:M126),(Input!$H$45-Input!$H$79)/A5taxstdlife))</f>
        <v>6.6398604497888883E-2</v>
      </c>
      <c r="O126" s="67">
        <f>IF(A5taxstdlife="n/a","n/a",IF(O$3&gt;(A5taxstdlife+$E126),(Input!$H$45-Input!$H$79)-SUM($G126:N126),(Input!$H$45-Input!$H$79)/A5taxstdlife))</f>
        <v>6.6398604497888883E-2</v>
      </c>
      <c r="P126" s="67">
        <f>IF(A5taxstdlife="n/a","n/a",IF(P$3&gt;(A5taxstdlife+$E126),(Input!$H$45-Input!$H$79)-SUM($G126:O126),(Input!$H$45-Input!$H$79)/A5taxstdlife))</f>
        <v>6.6398604497888883E-2</v>
      </c>
      <c r="Q126" s="67"/>
      <c r="R126" s="102"/>
      <c r="S126" s="102"/>
      <c r="T126" s="102"/>
      <c r="U126" s="102"/>
      <c r="V126" s="102"/>
      <c r="W126" s="102"/>
      <c r="X126" s="102"/>
      <c r="Y126" s="102"/>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s="185" customFormat="1" ht="12.75" hidden="1" customHeight="1" outlineLevel="2">
      <c r="A127" s="9"/>
      <c r="B127" s="9"/>
      <c r="C127" s="25"/>
      <c r="D127" s="385"/>
      <c r="E127" s="85">
        <v>2</v>
      </c>
      <c r="F127" s="191"/>
      <c r="G127" s="148"/>
      <c r="H127" s="147"/>
      <c r="I127" s="67">
        <f>IF(A5taxstdlife="n/a","n/a",IF(I$3&gt;(A5taxstdlife+$E127),(Input!$I$45-Input!$I$79)-SUM($H127:H127),(Input!$I$45-Input!$I$79)/A5taxstdlife))</f>
        <v>6.4531751312073504E-2</v>
      </c>
      <c r="J127" s="67">
        <f>IF(A5taxstdlife="n/a","n/a",IF(J$3&gt;(A5taxstdlife+$E127),(Input!$I$45-Input!$I$79)-SUM($H127:I127),(Input!$I$45-Input!$I$79)/A5taxstdlife))</f>
        <v>6.4531751312073504E-2</v>
      </c>
      <c r="K127" s="67">
        <f>IF(A5taxstdlife="n/a","n/a",IF(K$3&gt;(A5taxstdlife+$E127),(Input!$I$45-Input!$I$79)-SUM($H127:J127),(Input!$I$45-Input!$I$79)/A5taxstdlife))</f>
        <v>6.4531751312073504E-2</v>
      </c>
      <c r="L127" s="67"/>
      <c r="M127" s="67">
        <f>IF(A5taxstdlife="n/a","n/a",IF(M$3&gt;(A5taxstdlife+$E127),(Input!$I$45-Input!$I$79)-SUM($H127:L127),(Input!$I$45-Input!$I$79)/A5taxstdlife))</f>
        <v>6.4531751312073504E-2</v>
      </c>
      <c r="N127" s="67">
        <f>IF(A5taxstdlife="n/a","n/a",IF(N$3&gt;(A5taxstdlife+$E127),(Input!$I$45-Input!$I$79)-SUM($H127:M127),(Input!$I$45-Input!$I$79)/A5taxstdlife))</f>
        <v>6.4531751312073504E-2</v>
      </c>
      <c r="O127" s="67">
        <f>IF(A5taxstdlife="n/a","n/a",IF(O$3&gt;(A5taxstdlife+$E127),(Input!$I$45-Input!$I$79)-SUM($H127:N127),(Input!$I$45-Input!$I$79)/A5taxstdlife))</f>
        <v>6.4531751312073504E-2</v>
      </c>
      <c r="P127" s="67">
        <f>IF(A5taxstdlife="n/a","n/a",IF(P$3&gt;(A5taxstdlife+$E127),(Input!$I$45-Input!$I$79)-SUM($H127:O127),(Input!$I$45-Input!$I$79)/A5taxstdlife))</f>
        <v>6.4531751312073504E-2</v>
      </c>
      <c r="Q127" s="67"/>
      <c r="R127" s="102"/>
      <c r="S127" s="102"/>
      <c r="T127" s="102"/>
      <c r="U127" s="102"/>
      <c r="V127" s="102"/>
      <c r="W127" s="102"/>
      <c r="X127" s="102"/>
      <c r="Y127" s="102"/>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s="185" customFormat="1" ht="12.75" hidden="1" customHeight="1" outlineLevel="2">
      <c r="A128" s="9"/>
      <c r="B128" s="9"/>
      <c r="C128" s="25"/>
      <c r="D128" s="385"/>
      <c r="E128" s="85">
        <v>3</v>
      </c>
      <c r="F128" s="191"/>
      <c r="G128" s="148"/>
      <c r="H128" s="148"/>
      <c r="I128" s="147"/>
      <c r="J128" s="67">
        <f>IF(A5taxstdlife="n/a","n/a",IF(J$3&gt;(A5taxstdlife+$E128),(Input!$J$45-Input!$J$79)-SUM($I128:I128),(Input!$J$45-Input!$J$79)/A5taxstdlife))</f>
        <v>6.6474355974222216E-2</v>
      </c>
      <c r="K128" s="67">
        <f>IF(A5taxstdlife="n/a","n/a",IF(K$3&gt;(A5taxstdlife+$E128),(Input!$J$45-Input!$J$79)-SUM($I128:J128),(Input!$J$45-Input!$J$79)/A5taxstdlife))</f>
        <v>6.6474355974222216E-2</v>
      </c>
      <c r="L128" s="67"/>
      <c r="M128" s="67">
        <f>IF(A5taxstdlife="n/a","n/a",IF(M$3&gt;(A5taxstdlife+$E128),(Input!$J$45-Input!$J$79)-SUM($I128:L128),(Input!$J$45-Input!$J$79)/A5taxstdlife))</f>
        <v>6.6474355974222216E-2</v>
      </c>
      <c r="N128" s="67">
        <f>IF(A5taxstdlife="n/a","n/a",IF(N$3&gt;(A5taxstdlife+$E128),(Input!$J$45-Input!$J$79)-SUM($I128:M128),(Input!$J$45-Input!$J$79)/A5taxstdlife))</f>
        <v>6.6474355974222216E-2</v>
      </c>
      <c r="O128" s="67">
        <f>IF(A5taxstdlife="n/a","n/a",IF(O$3&gt;(A5taxstdlife+$E128),(Input!$J$45-Input!$J$79)-SUM($I128:N128),(Input!$J$45-Input!$J$79)/A5taxstdlife))</f>
        <v>6.6474355974222216E-2</v>
      </c>
      <c r="P128" s="67">
        <f>IF(A5taxstdlife="n/a","n/a",IF(P$3&gt;(A5taxstdlife+$E128),(Input!$J$45-Input!$J$79)-SUM($I128:O128),(Input!$J$45-Input!$J$79)/A5taxstdlife))</f>
        <v>6.6474355974222216E-2</v>
      </c>
      <c r="Q128" s="67"/>
      <c r="R128" s="102"/>
      <c r="S128" s="102"/>
      <c r="T128" s="102"/>
      <c r="U128" s="102"/>
      <c r="V128" s="102"/>
      <c r="W128" s="102"/>
      <c r="X128" s="102"/>
      <c r="Y128" s="102"/>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255" s="185" customFormat="1" ht="12.75" hidden="1" customHeight="1" outlineLevel="2">
      <c r="A129" s="9"/>
      <c r="B129" s="9"/>
      <c r="C129" s="25"/>
      <c r="D129" s="385"/>
      <c r="E129" s="85">
        <v>4</v>
      </c>
      <c r="F129" s="191"/>
      <c r="G129" s="148"/>
      <c r="H129" s="148"/>
      <c r="I129" s="148"/>
      <c r="J129" s="147"/>
      <c r="K129" s="67">
        <f>IF(A5taxstdlife="n/a","n/a",IF(K$3&gt;(A5taxstdlife+$E129),(Input!$K$45-Input!$K$79)-SUM($J129:J129),(Input!$K$45-Input!$K$79)/A5taxstdlife))</f>
        <v>0</v>
      </c>
      <c r="L129" s="67"/>
      <c r="M129" s="67">
        <f>IF(A5taxstdlife="n/a","n/a",IF(M$3&gt;(A5taxstdlife+$E129),(Input!$K$45-Input!$K$79)-SUM($J129:L129),(Input!$K$45-Input!$K$79)/A5taxstdlife))</f>
        <v>0</v>
      </c>
      <c r="N129" s="67">
        <f>IF(A5taxstdlife="n/a","n/a",IF(N$3&gt;(A5taxstdlife+$E129),(Input!$K$45-Input!$K$79)-SUM($J129:M129),(Input!$K$45-Input!$K$79)/A5taxstdlife))</f>
        <v>0</v>
      </c>
      <c r="O129" s="67">
        <f>IF(A5taxstdlife="n/a","n/a",IF(O$3&gt;(A5taxstdlife+$E129),(Input!$K$45-Input!$K$79)-SUM($J129:N129),(Input!$K$45-Input!$K$79)/A5taxstdlife))</f>
        <v>0</v>
      </c>
      <c r="P129" s="67">
        <f>IF(A5taxstdlife="n/a","n/a",IF(P$3&gt;(A5taxstdlife+$E129),(Input!$K$45-Input!$K$79)-SUM($J129:O129),(Input!$K$45-Input!$K$79)/A5taxstdlife))</f>
        <v>0</v>
      </c>
      <c r="Q129" s="67"/>
      <c r="R129" s="102"/>
      <c r="S129" s="102"/>
      <c r="T129" s="102"/>
      <c r="U129" s="102"/>
      <c r="V129" s="102"/>
      <c r="W129" s="102"/>
      <c r="X129" s="102"/>
      <c r="Y129" s="102"/>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255" s="185" customFormat="1" ht="12.75" hidden="1" customHeight="1" outlineLevel="2">
      <c r="A130" s="9"/>
      <c r="B130" s="9"/>
      <c r="C130" s="25"/>
      <c r="D130" s="385"/>
      <c r="E130" s="85">
        <v>5</v>
      </c>
      <c r="F130" s="191"/>
      <c r="G130" s="148"/>
      <c r="H130" s="148"/>
      <c r="I130" s="148"/>
      <c r="J130" s="148"/>
      <c r="K130" s="147"/>
      <c r="L130" s="67"/>
      <c r="M130" s="67">
        <f>IF(A5taxstdlife="n/a","n/a",IF(M$3&gt;(A5taxstdlife+$E130),(Input!$L$45-Input!$L$79)-SUM($K130:L130),(Input!$L$45-Input!$L$79)/A5taxstdlife))</f>
        <v>0</v>
      </c>
      <c r="N130" s="67">
        <f>IF(A5taxstdlife="n/a","n/a",IF(N$3&gt;(A5taxstdlife+$E130),(Input!$L$45-Input!$L$79)-SUM($K130:M130),(Input!$L$45-Input!$L$79)/A5taxstdlife))</f>
        <v>0</v>
      </c>
      <c r="O130" s="67">
        <f>IF(A5taxstdlife="n/a","n/a",IF(O$3&gt;(A5taxstdlife+$E130),(Input!$L$45-Input!$L$79)-SUM($K130:N130),(Input!$L$45-Input!$L$79)/A5taxstdlife))</f>
        <v>0</v>
      </c>
      <c r="P130" s="67">
        <f>IF(A5taxstdlife="n/a","n/a",IF(P$3&gt;(A5taxstdlife+$E130),(Input!$L$45-Input!$L$79)-SUM($K130:O130),(Input!$L$45-Input!$L$79)/A5taxstdlife))</f>
        <v>0</v>
      </c>
      <c r="Q130" s="67"/>
      <c r="R130" s="102"/>
      <c r="S130" s="102"/>
      <c r="T130" s="102"/>
      <c r="U130" s="102"/>
      <c r="V130" s="102"/>
      <c r="W130" s="102"/>
      <c r="X130" s="102"/>
      <c r="Y130" s="102"/>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255" s="185" customFormat="1" ht="12.75" hidden="1" customHeight="1" outlineLevel="2">
      <c r="A131" s="9"/>
      <c r="B131" s="9"/>
      <c r="C131" s="25"/>
      <c r="D131" s="385"/>
      <c r="E131" s="85">
        <v>6</v>
      </c>
      <c r="F131" s="191"/>
      <c r="G131" s="148"/>
      <c r="H131" s="148"/>
      <c r="I131" s="148"/>
      <c r="J131" s="148"/>
      <c r="K131" s="148"/>
      <c r="L131" s="147"/>
      <c r="M131" s="67">
        <f>IF(A5taxstdlife="n/a","n/a",IF(M$3&gt;(A5taxstdlife+$E131),(Input!$M$45-Input!$M$79)-SUM($L131:L131),(Input!$M$45-Input!$M$79)/A5taxstdlife))</f>
        <v>0</v>
      </c>
      <c r="N131" s="67">
        <f>IF(A5taxstdlife="n/a","n/a",IF(N$3&gt;(A5taxstdlife+$E131),(Input!$M$45-Input!$M$79)-SUM($L131:M131),(Input!$M$45-Input!$M$79)/A5taxstdlife))</f>
        <v>0</v>
      </c>
      <c r="O131" s="67">
        <f>IF(A5taxstdlife="n/a","n/a",IF(O$3&gt;(A5taxstdlife+$E131),(Input!$M$45-Input!$M$79)-SUM($L131:N131),(Input!$M$45-Input!$M$79)/A5taxstdlife))</f>
        <v>0</v>
      </c>
      <c r="P131" s="67">
        <f>IF(A5taxstdlife="n/a","n/a",IF(P$3&gt;(A5taxstdlife+$E131),(Input!$M$45-Input!$M$79)-SUM($L131:O131),(Input!$M$45-Input!$M$79)/A5taxstdlife))</f>
        <v>0</v>
      </c>
      <c r="Q131" s="67"/>
      <c r="R131" s="102"/>
      <c r="S131" s="102"/>
      <c r="T131" s="102"/>
      <c r="U131" s="102"/>
      <c r="V131" s="102"/>
      <c r="W131" s="102"/>
      <c r="X131" s="102"/>
      <c r="Y131" s="102"/>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255" s="185" customFormat="1" ht="12.75" hidden="1" customHeight="1" outlineLevel="2">
      <c r="A132" s="9"/>
      <c r="B132" s="9"/>
      <c r="C132" s="25"/>
      <c r="D132" s="385"/>
      <c r="E132" s="85">
        <v>7</v>
      </c>
      <c r="F132" s="191"/>
      <c r="G132" s="148"/>
      <c r="H132" s="148"/>
      <c r="I132" s="148"/>
      <c r="J132" s="148"/>
      <c r="K132" s="148"/>
      <c r="L132" s="148"/>
      <c r="M132" s="147"/>
      <c r="N132" s="67">
        <f>IF(A5taxstdlife="n/a","n/a",IF(N$3&gt;(A5taxstdlife+$E132),(Input!$N$45-Input!$N$79)-SUM($M132:M132),(Input!$N$45-Input!$N$79)/A5taxstdlife))</f>
        <v>0</v>
      </c>
      <c r="O132" s="67">
        <f>IF(A5taxstdlife="n/a","n/a",IF(O$3&gt;(A5taxstdlife+$E132),(Input!$N$45-Input!$N$79)-SUM($M132:N132),(Input!$N$45-Input!$N$79)/A5taxstdlife))</f>
        <v>0</v>
      </c>
      <c r="P132" s="67">
        <f>IF(A5taxstdlife="n/a","n/a",IF(P$3&gt;(A5taxstdlife+$E132),(Input!$N$45-Input!$N$79)-SUM($M132:O132),(Input!$N$45-Input!$N$79)/A5taxstdlife))</f>
        <v>0</v>
      </c>
      <c r="Q132" s="67"/>
      <c r="R132" s="102"/>
      <c r="S132" s="102"/>
      <c r="T132" s="102"/>
      <c r="U132" s="102"/>
      <c r="V132" s="102"/>
      <c r="W132" s="102"/>
      <c r="X132" s="102"/>
      <c r="Y132" s="102"/>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255" s="185" customFormat="1" ht="12.75" hidden="1" customHeight="1" outlineLevel="2">
      <c r="A133" s="9"/>
      <c r="B133" s="9"/>
      <c r="C133" s="25"/>
      <c r="D133" s="385"/>
      <c r="E133" s="85">
        <v>8</v>
      </c>
      <c r="F133" s="191"/>
      <c r="G133" s="148"/>
      <c r="H133" s="148"/>
      <c r="I133" s="148"/>
      <c r="J133" s="148"/>
      <c r="K133" s="148"/>
      <c r="L133" s="148"/>
      <c r="M133" s="148"/>
      <c r="N133" s="147"/>
      <c r="O133" s="67">
        <f>IF(A5taxstdlife="n/a","n/a",IF(O$3&gt;(A5taxstdlife+$E133),(Input!$O$45-Input!$O$79)-SUM($N133:N133),(Input!$O$45-Input!$O$79)/A5taxstdlife))</f>
        <v>0</v>
      </c>
      <c r="P133" s="67">
        <f>IF(A5taxstdlife="n/a","n/a",IF(P$3&gt;(A5taxstdlife+$E133),(Input!$O$45-Input!$O$79)-SUM($N133:O133),(Input!$O$45-Input!$O$79)/A5taxstdlife))</f>
        <v>0</v>
      </c>
      <c r="Q133" s="67"/>
      <c r="R133" s="102"/>
      <c r="S133" s="102"/>
      <c r="T133" s="102"/>
      <c r="U133" s="102"/>
      <c r="V133" s="102"/>
      <c r="W133" s="102"/>
      <c r="X133" s="102"/>
      <c r="Y133" s="102"/>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255" s="185" customFormat="1" ht="12.75" hidden="1" customHeight="1" outlineLevel="2">
      <c r="A134" s="9"/>
      <c r="B134" s="9"/>
      <c r="C134" s="25"/>
      <c r="D134" s="385"/>
      <c r="E134" s="85">
        <v>9</v>
      </c>
      <c r="F134" s="191"/>
      <c r="G134" s="148"/>
      <c r="H134" s="148"/>
      <c r="I134" s="148"/>
      <c r="J134" s="148"/>
      <c r="K134" s="148"/>
      <c r="L134" s="148"/>
      <c r="M134" s="148"/>
      <c r="N134" s="148"/>
      <c r="O134" s="147"/>
      <c r="P134" s="67">
        <f>IF(A5taxstdlife="n/a","n/a",IF(P$3&gt;(A5taxstdlife+$E134),(Input!$P$45-Input!$P$79)-SUM($O134:O134),(Input!$P$45-Input!$P$79)/A5taxstdlife))</f>
        <v>0</v>
      </c>
      <c r="Q134" s="67"/>
      <c r="R134" s="102"/>
      <c r="S134" s="102"/>
      <c r="T134" s="102"/>
      <c r="U134" s="102"/>
      <c r="V134" s="102"/>
      <c r="W134" s="102"/>
      <c r="X134" s="102"/>
      <c r="Y134" s="102"/>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255" s="185" customFormat="1" ht="12.75" hidden="1" customHeight="1" outlineLevel="2">
      <c r="A135" s="9"/>
      <c r="B135" s="9"/>
      <c r="C135" s="25"/>
      <c r="D135" s="385"/>
      <c r="E135" s="86">
        <v>10</v>
      </c>
      <c r="F135" s="191"/>
      <c r="G135" s="148"/>
      <c r="H135" s="148"/>
      <c r="I135" s="148"/>
      <c r="J135" s="148"/>
      <c r="K135" s="148"/>
      <c r="L135" s="148"/>
      <c r="M135" s="148"/>
      <c r="N135" s="148"/>
      <c r="O135" s="187"/>
      <c r="P135" s="147"/>
      <c r="Q135" s="67"/>
      <c r="R135" s="102"/>
      <c r="S135" s="102"/>
      <c r="T135" s="102"/>
      <c r="U135" s="102"/>
      <c r="V135" s="102"/>
      <c r="W135" s="102"/>
      <c r="X135" s="102"/>
      <c r="Y135" s="102"/>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255" s="185" customFormat="1" hidden="1" outlineLevel="1">
      <c r="A136" s="9"/>
      <c r="B136" s="9"/>
      <c r="C136" s="25" t="str">
        <f>Asset5</f>
        <v>Zone transformers 132/66kV</v>
      </c>
      <c r="D136" s="9"/>
      <c r="E136" s="9"/>
      <c r="F136" s="203"/>
      <c r="G136" s="164">
        <f>-SUM(G124:G135)</f>
        <v>-0.20700752893352276</v>
      </c>
      <c r="H136" s="164">
        <f>-SUM(H124:H135)</f>
        <v>-0.17846020922479727</v>
      </c>
      <c r="I136" s="164">
        <f>-SUM(I124:I135)</f>
        <v>-0.24268306372858534</v>
      </c>
      <c r="J136" s="164">
        <f>-SUM(J124:J135)</f>
        <v>-0.30825041653111873</v>
      </c>
      <c r="K136" s="164">
        <f>-SUM(K124:K135)</f>
        <v>-0.30825029903845569</v>
      </c>
      <c r="L136" s="164"/>
      <c r="M136" s="164">
        <f>IF(Input!N173&gt;0, -SUM(M124:M135), 0)</f>
        <v>0</v>
      </c>
      <c r="N136" s="164">
        <f>IF(Input!O173&gt;0, -SUM(N124:N135), 0)</f>
        <v>0</v>
      </c>
      <c r="O136" s="164">
        <f>IF(Input!P173&gt;0, -SUM(O124:O135), 0)</f>
        <v>0</v>
      </c>
      <c r="P136" s="164">
        <f>IF(Input!Q173&gt;0, -SUM(P124:P135), 0)</f>
        <v>0</v>
      </c>
      <c r="Q136" s="63"/>
      <c r="R136" s="101"/>
      <c r="S136" s="308"/>
      <c r="T136" s="101"/>
      <c r="U136" s="101"/>
      <c r="V136" s="101"/>
      <c r="W136" s="101"/>
      <c r="X136" s="101"/>
      <c r="Y136" s="101"/>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row>
    <row r="137" spans="1:255" s="5" customFormat="1" ht="12.75" hidden="1" customHeight="1" outlineLevel="2">
      <c r="A137" s="9"/>
      <c r="B137" s="31" t="str">
        <f>Asset6</f>
        <v>Transmission substation equip 132/66kV</v>
      </c>
      <c r="C137" s="32"/>
      <c r="D137" s="33" t="s">
        <v>67</v>
      </c>
      <c r="E137" s="32"/>
      <c r="F137" s="203"/>
      <c r="G137" s="356">
        <v>6.4246803310059493</v>
      </c>
      <c r="H137" s="356">
        <v>3.1229927697495827</v>
      </c>
      <c r="I137" s="356">
        <v>2.5577043554369823</v>
      </c>
      <c r="J137" s="356">
        <v>2.4408114070003442</v>
      </c>
      <c r="K137" s="356">
        <v>2.2680348261533463</v>
      </c>
      <c r="L137" s="356"/>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2"/>
      <c r="S137" s="308">
        <f>SUM(K137:K142)</f>
        <v>4.5250889450511602</v>
      </c>
      <c r="T137" s="102"/>
      <c r="U137" s="102"/>
      <c r="V137" s="102"/>
      <c r="W137" s="102"/>
      <c r="X137" s="102"/>
      <c r="Y137" s="102"/>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185"/>
      <c r="BJ137" s="185"/>
      <c r="BK137" s="185"/>
      <c r="BL137" s="185"/>
      <c r="BM137" s="185"/>
      <c r="BN137" s="185"/>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5"/>
      <c r="D138" s="384" t="s">
        <v>85</v>
      </c>
      <c r="E138" s="85"/>
      <c r="F138" s="310"/>
      <c r="G138" s="67"/>
      <c r="H138" s="67"/>
      <c r="I138" s="67"/>
      <c r="J138" s="67"/>
      <c r="K138" s="67"/>
      <c r="L138" s="67"/>
      <c r="M138" s="67"/>
      <c r="N138" s="67"/>
      <c r="O138" s="67"/>
      <c r="P138" s="67"/>
      <c r="Q138" s="67"/>
      <c r="R138" s="102"/>
      <c r="S138" s="102"/>
      <c r="T138" s="102"/>
      <c r="U138" s="102"/>
      <c r="V138" s="102"/>
      <c r="W138" s="102"/>
      <c r="X138" s="102"/>
      <c r="Y138" s="102"/>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185"/>
      <c r="BJ138" s="185"/>
      <c r="BK138" s="185"/>
      <c r="BL138" s="185"/>
      <c r="BM138" s="185"/>
      <c r="BN138" s="185"/>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hidden="1" customHeight="1" outlineLevel="2">
      <c r="A139" s="9"/>
      <c r="B139" s="9"/>
      <c r="C139" s="25"/>
      <c r="D139" s="385"/>
      <c r="E139" s="85">
        <v>1</v>
      </c>
      <c r="F139" s="203"/>
      <c r="G139" s="147"/>
      <c r="H139" s="67">
        <f>IF(A6taxstdlife="n/a","n/a",IF(H$3&gt;(A6taxstdlife+$E139),(Input!$H$46-Input!$H$80)-SUM($G139:G139),(Input!$H$46-Input!$H$80)/A6taxstdlife))</f>
        <v>0.62138537196400001</v>
      </c>
      <c r="I139" s="67">
        <f>IF(A6taxstdlife="n/a","n/a",IF(I$3&gt;(A6taxstdlife+$E139),(Input!$H$46-Input!$H$80)-SUM($G139:H139),(Input!$H$46-Input!$H$80)/A6taxstdlife))</f>
        <v>0.62138537196400001</v>
      </c>
      <c r="J139" s="67">
        <f>IF(A6taxstdlife="n/a","n/a",IF(J$3&gt;(A6taxstdlife+$E139),(Input!$H$46-Input!$H$80)-SUM($G139:I139),(Input!$H$46-Input!$H$80)/A6taxstdlife))</f>
        <v>0.62138537196400001</v>
      </c>
      <c r="K139" s="67">
        <f>IF(A6taxstdlife="n/a","n/a",IF(K$3&gt;(A6taxstdlife+$E139),(Input!$H$46-Input!$H$80)-SUM($G139:J139),(Input!$H$46-Input!$H$80)/A6taxstdlife))</f>
        <v>0.62138537196400001</v>
      </c>
      <c r="L139" s="67"/>
      <c r="M139" s="67">
        <f>IF(A6taxstdlife="n/a","n/a",IF(M$3&gt;(A6taxstdlife+$E139),(Input!$H$46-Input!$H$80)-SUM($G139:L139),(Input!$H$46-Input!$H$80)/A6taxstdlife))</f>
        <v>0.62138537196400001</v>
      </c>
      <c r="N139" s="67">
        <f>IF(A6taxstdlife="n/a","n/a",IF(N$3&gt;(A6taxstdlife+$E139),(Input!$H$46-Input!$H$80)-SUM($G139:M139),(Input!$H$46-Input!$H$80)/A6taxstdlife))</f>
        <v>0.62138537196400001</v>
      </c>
      <c r="O139" s="67">
        <f>IF(A6taxstdlife="n/a","n/a",IF(O$3&gt;(A6taxstdlife+$E139),(Input!$H$46-Input!$H$80)-SUM($G139:N139),(Input!$H$46-Input!$H$80)/A6taxstdlife))</f>
        <v>0.62138537196400001</v>
      </c>
      <c r="P139" s="67">
        <f>IF(A6taxstdlife="n/a","n/a",IF(P$3&gt;(A6taxstdlife+$E139),(Input!$H$46-Input!$H$80)-SUM($G139:O139),(Input!$H$46-Input!$H$80)/A6taxstdlife))</f>
        <v>0.62138537196400001</v>
      </c>
      <c r="Q139" s="67"/>
      <c r="R139" s="102"/>
      <c r="S139" s="102"/>
      <c r="T139" s="102"/>
      <c r="U139" s="102"/>
      <c r="V139" s="102"/>
      <c r="W139" s="102"/>
      <c r="X139" s="102"/>
      <c r="Y139" s="102"/>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185"/>
      <c r="BJ139" s="185"/>
      <c r="BK139" s="185"/>
      <c r="BL139" s="185"/>
      <c r="BM139" s="185"/>
      <c r="BN139" s="185"/>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hidden="1" customHeight="1" outlineLevel="2">
      <c r="A140" s="9"/>
      <c r="B140" s="9"/>
      <c r="C140" s="25"/>
      <c r="D140" s="385"/>
      <c r="E140" s="85">
        <v>2</v>
      </c>
      <c r="F140" s="203"/>
      <c r="G140" s="148"/>
      <c r="H140" s="147"/>
      <c r="I140" s="67">
        <f>IF(A6taxstdlife="n/a","n/a",IF(I$3&gt;(A6taxstdlife+$E140),(Input!$I$46-Input!$I$80)-SUM($H140:H140),(Input!$I$46-Input!$I$80)/A6taxstdlife))</f>
        <v>0.49808796619768952</v>
      </c>
      <c r="J140" s="67">
        <f>IF(A6taxstdlife="n/a","n/a",IF(J$3&gt;(A6taxstdlife+$E140),(Input!$I$46-Input!$I$80)-SUM($H140:I140),(Input!$I$46-Input!$I$80)/A6taxstdlife))</f>
        <v>0.49808796619768952</v>
      </c>
      <c r="K140" s="67">
        <f>IF(A6taxstdlife="n/a","n/a",IF(K$3&gt;(A6taxstdlife+$E140),(Input!$I$46-Input!$I$80)-SUM($H140:J140),(Input!$I$46-Input!$I$80)/A6taxstdlife))</f>
        <v>0.49808796619768952</v>
      </c>
      <c r="L140" s="67"/>
      <c r="M140" s="67">
        <f>IF(A6taxstdlife="n/a","n/a",IF(M$3&gt;(A6taxstdlife+$E140),(Input!$I$46-Input!$I$80)-SUM($H140:L140),(Input!$I$46-Input!$I$80)/A6taxstdlife))</f>
        <v>0.49808796619768952</v>
      </c>
      <c r="N140" s="67">
        <f>IF(A6taxstdlife="n/a","n/a",IF(N$3&gt;(A6taxstdlife+$E140),(Input!$I$46-Input!$I$80)-SUM($H140:M140),(Input!$I$46-Input!$I$80)/A6taxstdlife))</f>
        <v>0.49808796619768952</v>
      </c>
      <c r="O140" s="67">
        <f>IF(A6taxstdlife="n/a","n/a",IF(O$3&gt;(A6taxstdlife+$E140),(Input!$I$46-Input!$I$80)-SUM($H140:N140),(Input!$I$46-Input!$I$80)/A6taxstdlife))</f>
        <v>0.49808796619768952</v>
      </c>
      <c r="P140" s="67">
        <f>IF(A6taxstdlife="n/a","n/a",IF(P$3&gt;(A6taxstdlife+$E140),(Input!$I$46-Input!$I$80)-SUM($H140:O140),(Input!$I$46-Input!$I$80)/A6taxstdlife))</f>
        <v>0.49808796619768952</v>
      </c>
      <c r="Q140" s="67"/>
      <c r="R140" s="102"/>
      <c r="S140" s="102"/>
      <c r="T140" s="102"/>
      <c r="U140" s="102"/>
      <c r="V140" s="102"/>
      <c r="W140" s="102"/>
      <c r="X140" s="102"/>
      <c r="Y140" s="102"/>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185"/>
      <c r="BJ140" s="185"/>
      <c r="BK140" s="185"/>
      <c r="BL140" s="185"/>
      <c r="BM140" s="185"/>
      <c r="BN140" s="185"/>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hidden="1" customHeight="1" outlineLevel="2">
      <c r="A141" s="9"/>
      <c r="B141" s="9"/>
      <c r="C141" s="25"/>
      <c r="D141" s="385"/>
      <c r="E141" s="85">
        <v>3</v>
      </c>
      <c r="F141" s="203"/>
      <c r="G141" s="148"/>
      <c r="H141" s="148"/>
      <c r="I141" s="147"/>
      <c r="J141" s="67">
        <f>IF(A6taxstdlife="n/a","n/a",IF(J$3&gt;(A6taxstdlife+$E141),(Input!$J$46-Input!$J$80)-SUM($I141:I141),(Input!$J$46-Input!$J$80)/A6taxstdlife))</f>
        <v>0.67878983318069352</v>
      </c>
      <c r="K141" s="67">
        <f>IF(A6taxstdlife="n/a","n/a",IF(K$3&gt;(A6taxstdlife+$E141),(Input!$J$46-Input!$J$80)-SUM($I141:J141),(Input!$J$46-Input!$J$80)/A6taxstdlife))</f>
        <v>0.67878983318069352</v>
      </c>
      <c r="L141" s="67"/>
      <c r="M141" s="67">
        <f>IF(A6taxstdlife="n/a","n/a",IF(M$3&gt;(A6taxstdlife+$E141),(Input!$J$46-Input!$J$80)-SUM($I141:L141),(Input!$J$46-Input!$J$80)/A6taxstdlife))</f>
        <v>0.67878983318069352</v>
      </c>
      <c r="N141" s="67">
        <f>IF(A6taxstdlife="n/a","n/a",IF(N$3&gt;(A6taxstdlife+$E141),(Input!$J$46-Input!$J$80)-SUM($I141:M141),(Input!$J$46-Input!$J$80)/A6taxstdlife))</f>
        <v>0.67878983318069352</v>
      </c>
      <c r="O141" s="67">
        <f>IF(A6taxstdlife="n/a","n/a",IF(O$3&gt;(A6taxstdlife+$E141),(Input!$J$46-Input!$J$80)-SUM($I141:N141),(Input!$J$46-Input!$J$80)/A6taxstdlife))</f>
        <v>0.67878983318069352</v>
      </c>
      <c r="P141" s="67">
        <f>IF(A6taxstdlife="n/a","n/a",IF(P$3&gt;(A6taxstdlife+$E141),(Input!$J$46-Input!$J$80)-SUM($I141:O141),(Input!$J$46-Input!$J$80)/A6taxstdlife))</f>
        <v>0.67878983318069352</v>
      </c>
      <c r="Q141" s="67"/>
      <c r="R141" s="102"/>
      <c r="S141" s="102"/>
      <c r="T141" s="102"/>
      <c r="U141" s="102"/>
      <c r="V141" s="102"/>
      <c r="W141" s="102"/>
      <c r="X141" s="102"/>
      <c r="Y141" s="102"/>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185"/>
      <c r="BJ141" s="185"/>
      <c r="BK141" s="185"/>
      <c r="BL141" s="185"/>
      <c r="BM141" s="185"/>
      <c r="BN141" s="185"/>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hidden="1" customHeight="1" outlineLevel="2">
      <c r="A142" s="9"/>
      <c r="B142" s="9"/>
      <c r="C142" s="25"/>
      <c r="D142" s="385"/>
      <c r="E142" s="85">
        <v>4</v>
      </c>
      <c r="F142" s="203"/>
      <c r="G142" s="148"/>
      <c r="H142" s="148"/>
      <c r="I142" s="148"/>
      <c r="J142" s="147"/>
      <c r="K142" s="67">
        <f>IF(A6taxstdlife="n/a","n/a",IF(K$3&gt;(A6taxstdlife+$E142),(Input!$K$46-Input!$K$80)-SUM($J142:J142),(Input!$K$46-Input!$K$80)/A6taxstdlife))</f>
        <v>0.45879094755543132</v>
      </c>
      <c r="L142" s="67"/>
      <c r="M142" s="67">
        <f>IF(A6taxstdlife="n/a","n/a",IF(M$3&gt;(A6taxstdlife+$E142),(Input!$K$46-Input!$K$80)-SUM($J142:L142),(Input!$K$46-Input!$K$80)/A6taxstdlife))</f>
        <v>0.45879094755543132</v>
      </c>
      <c r="N142" s="67">
        <f>IF(A6taxstdlife="n/a","n/a",IF(N$3&gt;(A6taxstdlife+$E142),(Input!$K$46-Input!$K$80)-SUM($J142:M142),(Input!$K$46-Input!$K$80)/A6taxstdlife))</f>
        <v>0.45879094755543132</v>
      </c>
      <c r="O142" s="67">
        <f>IF(A6taxstdlife="n/a","n/a",IF(O$3&gt;(A6taxstdlife+$E142),(Input!$K$46-Input!$K$80)-SUM($J142:N142),(Input!$K$46-Input!$K$80)/A6taxstdlife))</f>
        <v>0.45879094755543132</v>
      </c>
      <c r="P142" s="67">
        <f>IF(A6taxstdlife="n/a","n/a",IF(P$3&gt;(A6taxstdlife+$E142),(Input!$K$46-Input!$K$80)-SUM($J142:O142),(Input!$K$46-Input!$K$80)/A6taxstdlife))</f>
        <v>0.45879094755543132</v>
      </c>
      <c r="Q142" s="67"/>
      <c r="R142" s="102"/>
      <c r="S142" s="102"/>
      <c r="T142" s="102"/>
      <c r="U142" s="102"/>
      <c r="V142" s="102"/>
      <c r="W142" s="102"/>
      <c r="X142" s="102"/>
      <c r="Y142" s="102"/>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185"/>
      <c r="BJ142" s="185"/>
      <c r="BK142" s="185"/>
      <c r="BL142" s="185"/>
      <c r="BM142" s="185"/>
      <c r="BN142" s="185"/>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hidden="1" customHeight="1" outlineLevel="2">
      <c r="A143" s="9"/>
      <c r="B143" s="9"/>
      <c r="C143" s="25"/>
      <c r="D143" s="385"/>
      <c r="E143" s="85">
        <v>5</v>
      </c>
      <c r="F143" s="203"/>
      <c r="G143" s="148"/>
      <c r="H143" s="148"/>
      <c r="I143" s="148"/>
      <c r="J143" s="148"/>
      <c r="K143" s="147"/>
      <c r="L143" s="67"/>
      <c r="M143" s="67">
        <f>IF(A6taxstdlife="n/a","n/a",IF(M$3&gt;(A6taxstdlife+$E143),(Input!$L$46-Input!$L$80)-SUM($K143:L143),(Input!$L$46-Input!$L$80)/A6taxstdlife))</f>
        <v>0.3526941193245911</v>
      </c>
      <c r="N143" s="67">
        <f>IF(A6taxstdlife="n/a","n/a",IF(N$3&gt;(A6taxstdlife+$E143),(Input!$L$46-Input!$L$80)-SUM($K143:M143),(Input!$L$46-Input!$L$80)/A6taxstdlife))</f>
        <v>0.3526941193245911</v>
      </c>
      <c r="O143" s="67">
        <f>IF(A6taxstdlife="n/a","n/a",IF(O$3&gt;(A6taxstdlife+$E143),(Input!$L$46-Input!$L$80)-SUM($K143:N143),(Input!$L$46-Input!$L$80)/A6taxstdlife))</f>
        <v>0.3526941193245911</v>
      </c>
      <c r="P143" s="67">
        <f>IF(A6taxstdlife="n/a","n/a",IF(P$3&gt;(A6taxstdlife+$E143),(Input!$L$46-Input!$L$80)-SUM($K143:O143),(Input!$L$46-Input!$L$80)/A6taxstdlife))</f>
        <v>0.3526941193245911</v>
      </c>
      <c r="Q143" s="67"/>
      <c r="R143" s="102"/>
      <c r="S143" s="102"/>
      <c r="T143" s="102"/>
      <c r="U143" s="102"/>
      <c r="V143" s="102"/>
      <c r="W143" s="102"/>
      <c r="X143" s="102"/>
      <c r="Y143" s="102"/>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185"/>
      <c r="BJ143" s="185"/>
      <c r="BK143" s="185"/>
      <c r="BL143" s="185"/>
      <c r="BM143" s="185"/>
      <c r="BN143" s="185"/>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hidden="1" customHeight="1" outlineLevel="2">
      <c r="A144" s="9"/>
      <c r="B144" s="9"/>
      <c r="C144" s="25"/>
      <c r="D144" s="385"/>
      <c r="E144" s="85">
        <v>6</v>
      </c>
      <c r="F144" s="203"/>
      <c r="G144" s="148"/>
      <c r="H144" s="148"/>
      <c r="I144" s="148"/>
      <c r="J144" s="148"/>
      <c r="K144" s="148"/>
      <c r="L144" s="147"/>
      <c r="M144" s="67">
        <f>IF(A6taxstdlife="n/a","n/a",IF(M$3&gt;(A6taxstdlife+$E144),(Input!$M$46-Input!$M$80)-SUM($L144:L144),(Input!$M$46-Input!$M$80)/A6taxstdlife))</f>
        <v>0</v>
      </c>
      <c r="N144" s="67">
        <f>IF(A6taxstdlife="n/a","n/a",IF(N$3&gt;(A6taxstdlife+$E144),(Input!$M$46-Input!$M$80)-SUM($L144:M144),(Input!$M$46-Input!$M$80)/A6taxstdlife))</f>
        <v>0</v>
      </c>
      <c r="O144" s="67">
        <f>IF(A6taxstdlife="n/a","n/a",IF(O$3&gt;(A6taxstdlife+$E144),(Input!$M$46-Input!$M$80)-SUM($L144:N144),(Input!$M$46-Input!$M$80)/A6taxstdlife))</f>
        <v>0</v>
      </c>
      <c r="P144" s="67">
        <f>IF(A6taxstdlife="n/a","n/a",IF(P$3&gt;(A6taxstdlife+$E144),(Input!$M$46-Input!$M$80)-SUM($L144:O144),(Input!$M$46-Input!$M$80)/A6taxstdlife))</f>
        <v>0</v>
      </c>
      <c r="Q144" s="67"/>
      <c r="R144" s="102"/>
      <c r="S144" s="102"/>
      <c r="T144" s="102"/>
      <c r="U144" s="102"/>
      <c r="V144" s="102"/>
      <c r="W144" s="102"/>
      <c r="X144" s="102"/>
      <c r="Y144" s="102"/>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185"/>
      <c r="BJ144" s="185"/>
      <c r="BK144" s="185"/>
      <c r="BL144" s="185"/>
      <c r="BM144" s="185"/>
      <c r="BN144" s="185"/>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hidden="1" customHeight="1" outlineLevel="2">
      <c r="A145" s="9"/>
      <c r="B145" s="9"/>
      <c r="C145" s="25"/>
      <c r="D145" s="385"/>
      <c r="E145" s="85">
        <v>7</v>
      </c>
      <c r="F145" s="203"/>
      <c r="G145" s="148"/>
      <c r="H145" s="148"/>
      <c r="I145" s="148"/>
      <c r="J145" s="148"/>
      <c r="K145" s="148"/>
      <c r="L145" s="148"/>
      <c r="M145" s="147"/>
      <c r="N145" s="67">
        <f>IF(A6taxstdlife="n/a","n/a",IF(N$3&gt;(A6taxstdlife+$E145),(Input!$N$46-Input!$N$80)-SUM($M145:M145),(Input!$N$46-Input!$N$80)/A6taxstdlife))</f>
        <v>0</v>
      </c>
      <c r="O145" s="67">
        <f>IF(A6taxstdlife="n/a","n/a",IF(O$3&gt;(A6taxstdlife+$E145),(Input!$N$46-Input!$N$80)-SUM($M145:N145),(Input!$N$46-Input!$N$80)/A6taxstdlife))</f>
        <v>0</v>
      </c>
      <c r="P145" s="67">
        <f>IF(A6taxstdlife="n/a","n/a",IF(P$3&gt;(A6taxstdlife+$E145),(Input!$N$46-Input!$N$80)-SUM($M145:O145),(Input!$N$46-Input!$N$80)/A6taxstdlife))</f>
        <v>0</v>
      </c>
      <c r="Q145" s="67"/>
      <c r="R145" s="102"/>
      <c r="S145" s="102"/>
      <c r="T145" s="102"/>
      <c r="U145" s="102"/>
      <c r="V145" s="102"/>
      <c r="W145" s="102"/>
      <c r="X145" s="102"/>
      <c r="Y145" s="102"/>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185"/>
      <c r="BJ145" s="185"/>
      <c r="BK145" s="185"/>
      <c r="BL145" s="185"/>
      <c r="BM145" s="185"/>
      <c r="BN145" s="18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hidden="1" customHeight="1" outlineLevel="2">
      <c r="A146" s="9"/>
      <c r="B146" s="9"/>
      <c r="C146" s="25"/>
      <c r="D146" s="385"/>
      <c r="E146" s="85">
        <v>8</v>
      </c>
      <c r="F146" s="203"/>
      <c r="G146" s="148"/>
      <c r="H146" s="148"/>
      <c r="I146" s="148"/>
      <c r="J146" s="148"/>
      <c r="K146" s="148"/>
      <c r="L146" s="148"/>
      <c r="M146" s="148"/>
      <c r="N146" s="147"/>
      <c r="O146" s="67">
        <f>IF(A6taxstdlife="n/a","n/a",IF(O$3&gt;(A6taxstdlife+$E146),(Input!$O$46-Input!$O$80)-SUM($N146:N146),(Input!$O$46-Input!$O$80)/A6taxstdlife))</f>
        <v>0</v>
      </c>
      <c r="P146" s="67">
        <f>IF(A6taxstdlife="n/a","n/a",IF(P$3&gt;(A6taxstdlife+$E146),(Input!$O$46-Input!$O$80)-SUM($N146:O146),(Input!$O$46-Input!$O$80)/A6taxstdlife))</f>
        <v>0</v>
      </c>
      <c r="Q146" s="67"/>
      <c r="R146" s="102"/>
      <c r="S146" s="102"/>
      <c r="T146" s="102"/>
      <c r="U146" s="102"/>
      <c r="V146" s="102"/>
      <c r="W146" s="102"/>
      <c r="X146" s="102"/>
      <c r="Y146" s="102"/>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185"/>
      <c r="BJ146" s="185"/>
      <c r="BK146" s="185"/>
      <c r="BL146" s="185"/>
      <c r="BM146" s="185"/>
      <c r="BN146" s="185"/>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hidden="1" customHeight="1" outlineLevel="2">
      <c r="A147" s="9"/>
      <c r="B147" s="9"/>
      <c r="C147" s="25"/>
      <c r="D147" s="385"/>
      <c r="E147" s="85">
        <v>9</v>
      </c>
      <c r="F147" s="203"/>
      <c r="G147" s="148"/>
      <c r="H147" s="148"/>
      <c r="I147" s="148"/>
      <c r="J147" s="148"/>
      <c r="K147" s="148"/>
      <c r="L147" s="148"/>
      <c r="M147" s="148"/>
      <c r="N147" s="148"/>
      <c r="O147" s="147"/>
      <c r="P147" s="67">
        <f>IF(A6taxstdlife="n/a","n/a",IF(P$3&gt;(A6taxstdlife+$E147),(Input!$P$46-Input!$P$80)-SUM($O147:O147),(Input!$P$46-Input!$P$80)/A6taxstdlife))</f>
        <v>0</v>
      </c>
      <c r="Q147" s="67"/>
      <c r="R147" s="102"/>
      <c r="S147" s="102"/>
      <c r="T147" s="102"/>
      <c r="U147" s="102"/>
      <c r="V147" s="102"/>
      <c r="W147" s="102"/>
      <c r="X147" s="102"/>
      <c r="Y147" s="102"/>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185"/>
      <c r="BJ147" s="185"/>
      <c r="BK147" s="185"/>
      <c r="BL147" s="185"/>
      <c r="BM147" s="185"/>
      <c r="BN147" s="185"/>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hidden="1" customHeight="1" outlineLevel="2">
      <c r="A148" s="9"/>
      <c r="B148" s="9"/>
      <c r="C148" s="25"/>
      <c r="D148" s="385"/>
      <c r="E148" s="86">
        <v>10</v>
      </c>
      <c r="F148" s="203"/>
      <c r="G148" s="148"/>
      <c r="H148" s="148"/>
      <c r="I148" s="148"/>
      <c r="J148" s="148"/>
      <c r="K148" s="148"/>
      <c r="L148" s="148"/>
      <c r="M148" s="148"/>
      <c r="N148" s="148"/>
      <c r="O148" s="187"/>
      <c r="P148" s="147"/>
      <c r="Q148" s="67"/>
      <c r="R148" s="102"/>
      <c r="S148" s="102"/>
      <c r="T148" s="102"/>
      <c r="U148" s="102"/>
      <c r="V148" s="102"/>
      <c r="W148" s="102"/>
      <c r="X148" s="102"/>
      <c r="Y148" s="102"/>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185"/>
      <c r="BJ148" s="185"/>
      <c r="BK148" s="185"/>
      <c r="BL148" s="185"/>
      <c r="BM148" s="185"/>
      <c r="BN148" s="185"/>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 r="A149" s="9"/>
      <c r="B149" s="9"/>
      <c r="C149" s="25" t="str">
        <f>Asset6</f>
        <v>Transmission substation equip 132/66kV</v>
      </c>
      <c r="D149" s="9"/>
      <c r="E149" s="9"/>
      <c r="F149" s="203"/>
      <c r="G149" s="164">
        <f>-SUM(G137:G148)</f>
        <v>-6.4246803310059493</v>
      </c>
      <c r="H149" s="164">
        <f>-SUM(H137:H148)</f>
        <v>-3.7443781417135829</v>
      </c>
      <c r="I149" s="164">
        <f>-SUM(I137:I148)</f>
        <v>-3.6771776935986717</v>
      </c>
      <c r="J149" s="164">
        <f>-SUM(J137:J148)</f>
        <v>-4.2390745783427271</v>
      </c>
      <c r="K149" s="164">
        <f>-SUM(K137:K148)</f>
        <v>-4.5250889450511602</v>
      </c>
      <c r="L149" s="164"/>
      <c r="M149" s="164">
        <f>IF(Input!N173&gt;0, -SUM(M137:M148), 0)</f>
        <v>0</v>
      </c>
      <c r="N149" s="164">
        <f>IF(Input!O173&gt;0, -SUM(N137:N148), 0)</f>
        <v>0</v>
      </c>
      <c r="O149" s="164">
        <f>IF(Input!P173&gt;0, -SUM(O137:O148), 0)</f>
        <v>0</v>
      </c>
      <c r="P149" s="164">
        <f>IF(Input!Q173&gt;0, -SUM(P137:P148), 0)</f>
        <v>0</v>
      </c>
      <c r="Q149" s="63"/>
      <c r="R149" s="101"/>
      <c r="S149" s="101"/>
      <c r="T149" s="101"/>
      <c r="U149" s="101"/>
      <c r="V149" s="101"/>
      <c r="W149" s="101"/>
      <c r="X149" s="101"/>
      <c r="Y149" s="101"/>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185"/>
      <c r="BJ149" s="185"/>
      <c r="BK149" s="185"/>
      <c r="BL149" s="185"/>
      <c r="BM149" s="185"/>
      <c r="BN149" s="185"/>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hidden="1" customHeight="1" outlineLevel="2">
      <c r="A150" s="9"/>
      <c r="B150" s="31" t="str">
        <f>Asset7</f>
        <v>Zone substation equip 132/66kV</v>
      </c>
      <c r="C150" s="32"/>
      <c r="D150" s="33" t="s">
        <v>67</v>
      </c>
      <c r="E150" s="32"/>
      <c r="F150" s="203"/>
      <c r="G150" s="356">
        <v>1.8226391176017716</v>
      </c>
      <c r="H150" s="356">
        <v>1.6897790258367036</v>
      </c>
      <c r="I150" s="356">
        <v>1.6838973877457253</v>
      </c>
      <c r="J150" s="356">
        <v>1.5616466003940395</v>
      </c>
      <c r="K150" s="356">
        <v>1.5074455691717636</v>
      </c>
      <c r="L150" s="356"/>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2"/>
      <c r="S150" s="308">
        <f>SUM(K150:K155)</f>
        <v>7.3613604854715922</v>
      </c>
      <c r="T150" s="102"/>
      <c r="U150" s="102"/>
      <c r="V150" s="102"/>
      <c r="W150" s="102"/>
      <c r="X150" s="102"/>
      <c r="Y150" s="102"/>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185"/>
      <c r="BJ150" s="185"/>
      <c r="BK150" s="185"/>
      <c r="BL150" s="185"/>
      <c r="BM150" s="185"/>
      <c r="BN150" s="185"/>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5"/>
      <c r="D151" s="384" t="s">
        <v>85</v>
      </c>
      <c r="E151" s="85"/>
      <c r="F151" s="309"/>
      <c r="G151" s="67"/>
      <c r="H151" s="67"/>
      <c r="I151" s="67"/>
      <c r="J151" s="67"/>
      <c r="K151" s="67"/>
      <c r="L151" s="67"/>
      <c r="M151" s="67"/>
      <c r="N151" s="67"/>
      <c r="O151" s="67"/>
      <c r="P151" s="67"/>
      <c r="Q151" s="67"/>
      <c r="R151" s="102"/>
      <c r="S151" s="102"/>
      <c r="T151" s="102"/>
      <c r="U151" s="102"/>
      <c r="V151" s="102"/>
      <c r="W151" s="102"/>
      <c r="X151" s="102"/>
      <c r="Y151" s="102"/>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185"/>
      <c r="BJ151" s="185"/>
      <c r="BK151" s="185"/>
      <c r="BL151" s="185"/>
      <c r="BM151" s="185"/>
      <c r="BN151" s="185"/>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hidden="1" customHeight="1" outlineLevel="2">
      <c r="A152" s="9"/>
      <c r="B152" s="9"/>
      <c r="C152" s="25"/>
      <c r="D152" s="385"/>
      <c r="E152" s="85">
        <v>1</v>
      </c>
      <c r="F152" s="191"/>
      <c r="G152" s="147"/>
      <c r="H152" s="67">
        <f>IF(A7taxstdlife="n/a","n/a",IF(H$3&gt;(A7taxstdlife+$E152),(Input!$H$47-Input!$H$81)-SUM($G152:G152),(Input!$H$47-Input!$H$81)/A7taxstdlife))</f>
        <v>0.88578416980737518</v>
      </c>
      <c r="I152" s="67">
        <f>IF(A7taxstdlife="n/a","n/a",IF(I$3&gt;(A7taxstdlife+$E152),(Input!$H$47-Input!$H$81)-SUM($G152:H152),(Input!$H$47-Input!$H$81)/A7taxstdlife))</f>
        <v>0.88578416980737518</v>
      </c>
      <c r="J152" s="67">
        <f>IF(A7taxstdlife="n/a","n/a",IF(J$3&gt;(A7taxstdlife+$E152),(Input!$H$47-Input!$H$81)-SUM($G152:I152),(Input!$H$47-Input!$H$81)/A7taxstdlife))</f>
        <v>0.88578416980737518</v>
      </c>
      <c r="K152" s="67">
        <f>IF(A7taxstdlife="n/a","n/a",IF(K$3&gt;(A7taxstdlife+$E152),(Input!$H$47-Input!$H$81)-SUM($G152:J152),(Input!$H$47-Input!$H$81)/A7taxstdlife))</f>
        <v>0.88578416980737518</v>
      </c>
      <c r="L152" s="67"/>
      <c r="M152" s="67">
        <f>IF(A7taxstdlife="n/a","n/a",IF(M$3&gt;(A7taxstdlife+$E152),(Input!$H$47-Input!$H$81)-SUM($G152:L152),(Input!$H$47-Input!$H$81)/A7taxstdlife))</f>
        <v>0.88578416980737518</v>
      </c>
      <c r="N152" s="67">
        <f>IF(A7taxstdlife="n/a","n/a",IF(N$3&gt;(A7taxstdlife+$E152),(Input!$H$47-Input!$H$81)-SUM($G152:M152),(Input!$H$47-Input!$H$81)/A7taxstdlife))</f>
        <v>0.88578416980737518</v>
      </c>
      <c r="O152" s="67">
        <f>IF(A7taxstdlife="n/a","n/a",IF(O$3&gt;(A7taxstdlife+$E152),(Input!$H$47-Input!$H$81)-SUM($G152:N152),(Input!$H$47-Input!$H$81)/A7taxstdlife))</f>
        <v>0.88578416980737518</v>
      </c>
      <c r="P152" s="67">
        <f>IF(A7taxstdlife="n/a","n/a",IF(P$3&gt;(A7taxstdlife+$E152),(Input!$H$47-Input!$H$81)-SUM($G152:O152),(Input!$H$47-Input!$H$81)/A7taxstdlife))</f>
        <v>0.88578416980737518</v>
      </c>
      <c r="Q152" s="67"/>
      <c r="R152" s="102"/>
      <c r="S152" s="102"/>
      <c r="T152" s="102"/>
      <c r="U152" s="102"/>
      <c r="V152" s="102"/>
      <c r="W152" s="102"/>
      <c r="X152" s="102"/>
      <c r="Y152" s="102"/>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185"/>
      <c r="BJ152" s="185"/>
      <c r="BK152" s="185"/>
      <c r="BL152" s="185"/>
      <c r="BM152" s="185"/>
      <c r="BN152" s="185"/>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hidden="1" customHeight="1" outlineLevel="2">
      <c r="A153" s="9"/>
      <c r="B153" s="9"/>
      <c r="C153" s="25"/>
      <c r="D153" s="385"/>
      <c r="E153" s="85">
        <v>2</v>
      </c>
      <c r="F153" s="191"/>
      <c r="G153" s="148"/>
      <c r="H153" s="147"/>
      <c r="I153" s="67">
        <f>IF(A7taxstdlife="n/a","n/a",IF(I$3&gt;(A7taxstdlife+$E153),(Input!$I$47-Input!$I$81)-SUM($H153:H153),(Input!$I$47-Input!$I$81)/A7taxstdlife))</f>
        <v>2.1124868828754413</v>
      </c>
      <c r="J153" s="67">
        <f>IF(A7taxstdlife="n/a","n/a",IF(J$3&gt;(A7taxstdlife+$E153),(Input!$I$47-Input!$I$81)-SUM($H153:I153),(Input!$I$47-Input!$I$81)/A7taxstdlife))</f>
        <v>2.1124868828754413</v>
      </c>
      <c r="K153" s="67">
        <f>IF(A7taxstdlife="n/a","n/a",IF(K$3&gt;(A7taxstdlife+$E153),(Input!$I$47-Input!$I$81)-SUM($H153:J153),(Input!$I$47-Input!$I$81)/A7taxstdlife))</f>
        <v>2.1124868828754413</v>
      </c>
      <c r="L153" s="67"/>
      <c r="M153" s="67">
        <f>IF(A7taxstdlife="n/a","n/a",IF(M$3&gt;(A7taxstdlife+$E153),(Input!$I$47-Input!$I$81)-SUM($H153:L153),(Input!$I$47-Input!$I$81)/A7taxstdlife))</f>
        <v>2.1124868828754413</v>
      </c>
      <c r="N153" s="67">
        <f>IF(A7taxstdlife="n/a","n/a",IF(N$3&gt;(A7taxstdlife+$E153),(Input!$I$47-Input!$I$81)-SUM($H153:M153),(Input!$I$47-Input!$I$81)/A7taxstdlife))</f>
        <v>2.1124868828754413</v>
      </c>
      <c r="O153" s="67">
        <f>IF(A7taxstdlife="n/a","n/a",IF(O$3&gt;(A7taxstdlife+$E153),(Input!$I$47-Input!$I$81)-SUM($H153:N153),(Input!$I$47-Input!$I$81)/A7taxstdlife))</f>
        <v>2.1124868828754413</v>
      </c>
      <c r="P153" s="67">
        <f>IF(A7taxstdlife="n/a","n/a",IF(P$3&gt;(A7taxstdlife+$E153),(Input!$I$47-Input!$I$81)-SUM($H153:O153),(Input!$I$47-Input!$I$81)/A7taxstdlife))</f>
        <v>2.1124868828754413</v>
      </c>
      <c r="Q153" s="67"/>
      <c r="R153" s="102"/>
      <c r="S153" s="102"/>
      <c r="T153" s="102"/>
      <c r="U153" s="102"/>
      <c r="V153" s="102"/>
      <c r="W153" s="102"/>
      <c r="X153" s="102"/>
      <c r="Y153" s="102"/>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185"/>
      <c r="BJ153" s="185"/>
      <c r="BK153" s="185"/>
      <c r="BL153" s="185"/>
      <c r="BM153" s="185"/>
      <c r="BN153" s="185"/>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hidden="1" customHeight="1" outlineLevel="2">
      <c r="A154" s="9"/>
      <c r="B154" s="9"/>
      <c r="C154" s="25"/>
      <c r="D154" s="385"/>
      <c r="E154" s="85">
        <v>3</v>
      </c>
      <c r="F154" s="191"/>
      <c r="G154" s="148"/>
      <c r="H154" s="148"/>
      <c r="I154" s="147"/>
      <c r="J154" s="67">
        <f>IF(A7taxstdlife="n/a","n/a",IF(J$3&gt;(A7taxstdlife+$E154),(Input!$J$47-Input!$J$81)-SUM($I154:I154),(Input!$J$47-Input!$J$81)/A7taxstdlife))</f>
        <v>2.0279999754110891</v>
      </c>
      <c r="K154" s="67">
        <f>IF(A7taxstdlife="n/a","n/a",IF(K$3&gt;(A7taxstdlife+$E154),(Input!$J$47-Input!$J$81)-SUM($I154:J154),(Input!$J$47-Input!$J$81)/A7taxstdlife))</f>
        <v>2.0279999754110891</v>
      </c>
      <c r="L154" s="67"/>
      <c r="M154" s="67">
        <f>IF(A7taxstdlife="n/a","n/a",IF(M$3&gt;(A7taxstdlife+$E154),(Input!$J$47-Input!$J$81)-SUM($I154:L154),(Input!$J$47-Input!$J$81)/A7taxstdlife))</f>
        <v>2.0279999754110891</v>
      </c>
      <c r="N154" s="67">
        <f>IF(A7taxstdlife="n/a","n/a",IF(N$3&gt;(A7taxstdlife+$E154),(Input!$J$47-Input!$J$81)-SUM($I154:M154),(Input!$J$47-Input!$J$81)/A7taxstdlife))</f>
        <v>2.0279999754110891</v>
      </c>
      <c r="O154" s="67">
        <f>IF(A7taxstdlife="n/a","n/a",IF(O$3&gt;(A7taxstdlife+$E154),(Input!$J$47-Input!$J$81)-SUM($I154:N154),(Input!$J$47-Input!$J$81)/A7taxstdlife))</f>
        <v>2.0279999754110891</v>
      </c>
      <c r="P154" s="67">
        <f>IF(A7taxstdlife="n/a","n/a",IF(P$3&gt;(A7taxstdlife+$E154),(Input!$J$47-Input!$J$81)-SUM($I154:O154),(Input!$J$47-Input!$J$81)/A7taxstdlife))</f>
        <v>2.0279999754110891</v>
      </c>
      <c r="Q154" s="67"/>
      <c r="R154" s="102"/>
      <c r="S154" s="102"/>
      <c r="T154" s="102"/>
      <c r="U154" s="102"/>
      <c r="V154" s="102"/>
      <c r="W154" s="102"/>
      <c r="X154" s="102"/>
      <c r="Y154" s="102"/>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185"/>
      <c r="BJ154" s="185"/>
      <c r="BK154" s="185"/>
      <c r="BL154" s="185"/>
      <c r="BM154" s="185"/>
      <c r="BN154" s="185"/>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hidden="1" customHeight="1" outlineLevel="2">
      <c r="A155" s="9"/>
      <c r="B155" s="9"/>
      <c r="C155" s="25"/>
      <c r="D155" s="385"/>
      <c r="E155" s="85">
        <v>4</v>
      </c>
      <c r="F155" s="191"/>
      <c r="G155" s="148"/>
      <c r="H155" s="148"/>
      <c r="I155" s="148"/>
      <c r="J155" s="147"/>
      <c r="K155" s="67">
        <f>IF(A7taxstdlife="n/a","n/a",IF(K$3&gt;(A7taxstdlife+$E155),(Input!$K$47-Input!$K$81)-SUM($J155:J155),(Input!$K$47-Input!$K$81)/A7taxstdlife))</f>
        <v>0.82764388820592294</v>
      </c>
      <c r="L155" s="67"/>
      <c r="M155" s="67">
        <f>IF(A7taxstdlife="n/a","n/a",IF(M$3&gt;(A7taxstdlife+$E155),(Input!$K$47-Input!$K$81)-SUM($J155:L155),(Input!$K$47-Input!$K$81)/A7taxstdlife))</f>
        <v>0.82764388820592294</v>
      </c>
      <c r="N155" s="67">
        <f>IF(A7taxstdlife="n/a","n/a",IF(N$3&gt;(A7taxstdlife+$E155),(Input!$K$47-Input!$K$81)-SUM($J155:M155),(Input!$K$47-Input!$K$81)/A7taxstdlife))</f>
        <v>0.82764388820592294</v>
      </c>
      <c r="O155" s="67">
        <f>IF(A7taxstdlife="n/a","n/a",IF(O$3&gt;(A7taxstdlife+$E155),(Input!$K$47-Input!$K$81)-SUM($J155:N155),(Input!$K$47-Input!$K$81)/A7taxstdlife))</f>
        <v>0.82764388820592294</v>
      </c>
      <c r="P155" s="67">
        <f>IF(A7taxstdlife="n/a","n/a",IF(P$3&gt;(A7taxstdlife+$E155),(Input!$K$47-Input!$K$81)-SUM($J155:O155),(Input!$K$47-Input!$K$81)/A7taxstdlife))</f>
        <v>0.82764388820592294</v>
      </c>
      <c r="Q155" s="67"/>
      <c r="R155" s="102"/>
      <c r="S155" s="102"/>
      <c r="T155" s="102"/>
      <c r="U155" s="102"/>
      <c r="V155" s="102"/>
      <c r="W155" s="102"/>
      <c r="X155" s="102"/>
      <c r="Y155" s="102"/>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185"/>
      <c r="BJ155" s="185"/>
      <c r="BK155" s="185"/>
      <c r="BL155" s="185"/>
      <c r="BM155" s="185"/>
      <c r="BN155" s="18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hidden="1" customHeight="1" outlineLevel="2">
      <c r="A156" s="9"/>
      <c r="B156" s="9"/>
      <c r="C156" s="25"/>
      <c r="D156" s="385"/>
      <c r="E156" s="85">
        <v>5</v>
      </c>
      <c r="F156" s="191"/>
      <c r="G156" s="148"/>
      <c r="H156" s="148"/>
      <c r="I156" s="148"/>
      <c r="J156" s="148"/>
      <c r="K156" s="147"/>
      <c r="L156" s="67"/>
      <c r="M156" s="67">
        <f>IF(A7taxstdlife="n/a","n/a",IF(M$3&gt;(A7taxstdlife+$E156),(Input!$L$47-Input!$L$81)-SUM($K156:L156),(Input!$L$47-Input!$L$81)/A7taxstdlife))</f>
        <v>0.63624867452272527</v>
      </c>
      <c r="N156" s="67">
        <f>IF(A7taxstdlife="n/a","n/a",IF(N$3&gt;(A7taxstdlife+$E156),(Input!$L$47-Input!$L$81)-SUM($K156:M156),(Input!$L$47-Input!$L$81)/A7taxstdlife))</f>
        <v>0.63624867452272527</v>
      </c>
      <c r="O156" s="67">
        <f>IF(A7taxstdlife="n/a","n/a",IF(O$3&gt;(A7taxstdlife+$E156),(Input!$L$47-Input!$L$81)-SUM($K156:N156),(Input!$L$47-Input!$L$81)/A7taxstdlife))</f>
        <v>0.63624867452272527</v>
      </c>
      <c r="P156" s="67">
        <f>IF(A7taxstdlife="n/a","n/a",IF(P$3&gt;(A7taxstdlife+$E156),(Input!$L$47-Input!$L$81)-SUM($K156:O156),(Input!$L$47-Input!$L$81)/A7taxstdlife))</f>
        <v>0.63624867452272527</v>
      </c>
      <c r="Q156" s="67"/>
      <c r="R156" s="102"/>
      <c r="S156" s="102"/>
      <c r="T156" s="102"/>
      <c r="U156" s="102"/>
      <c r="V156" s="102"/>
      <c r="W156" s="102"/>
      <c r="X156" s="102"/>
      <c r="Y156" s="102"/>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185"/>
      <c r="BJ156" s="185"/>
      <c r="BK156" s="185"/>
      <c r="BL156" s="185"/>
      <c r="BM156" s="185"/>
      <c r="BN156" s="185"/>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hidden="1" customHeight="1" outlineLevel="2">
      <c r="A157" s="9"/>
      <c r="B157" s="9"/>
      <c r="C157" s="25"/>
      <c r="D157" s="385"/>
      <c r="E157" s="85">
        <v>6</v>
      </c>
      <c r="F157" s="191"/>
      <c r="G157" s="148"/>
      <c r="H157" s="148"/>
      <c r="I157" s="148"/>
      <c r="J157" s="148"/>
      <c r="K157" s="148"/>
      <c r="L157" s="147"/>
      <c r="M157" s="67">
        <f>IF(A7taxstdlife="n/a","n/a",IF(M$3&gt;(A7taxstdlife+$E157),(Input!$M$47-Input!$M$81)-SUM($L157:L157),(Input!$M$47-Input!$M$81)/A7taxstdlife))</f>
        <v>0</v>
      </c>
      <c r="N157" s="67">
        <f>IF(A7taxstdlife="n/a","n/a",IF(N$3&gt;(A7taxstdlife+$E157),(Input!$M$47-Input!$M$81)-SUM($L157:M157),(Input!$M$47-Input!$M$81)/A7taxstdlife))</f>
        <v>0</v>
      </c>
      <c r="O157" s="67">
        <f>IF(A7taxstdlife="n/a","n/a",IF(O$3&gt;(A7taxstdlife+$E157),(Input!$M$47-Input!$M$81)-SUM($L157:N157),(Input!$M$47-Input!$M$81)/A7taxstdlife))</f>
        <v>0</v>
      </c>
      <c r="P157" s="67">
        <f>IF(A7taxstdlife="n/a","n/a",IF(P$3&gt;(A7taxstdlife+$E157),(Input!$M$47-Input!$M$81)-SUM($L157:O157),(Input!$M$47-Input!$M$81)/A7taxstdlife))</f>
        <v>0</v>
      </c>
      <c r="Q157" s="67"/>
      <c r="R157" s="102"/>
      <c r="S157" s="102"/>
      <c r="T157" s="102"/>
      <c r="U157" s="102"/>
      <c r="V157" s="102"/>
      <c r="W157" s="102"/>
      <c r="X157" s="102"/>
      <c r="Y157" s="102"/>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185"/>
      <c r="BJ157" s="185"/>
      <c r="BK157" s="185"/>
      <c r="BL157" s="185"/>
      <c r="BM157" s="185"/>
      <c r="BN157" s="185"/>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hidden="1" customHeight="1" outlineLevel="2">
      <c r="A158" s="9"/>
      <c r="B158" s="9"/>
      <c r="C158" s="25"/>
      <c r="D158" s="385"/>
      <c r="E158" s="85">
        <v>7</v>
      </c>
      <c r="F158" s="191"/>
      <c r="G158" s="148"/>
      <c r="H158" s="148"/>
      <c r="I158" s="148"/>
      <c r="J158" s="148"/>
      <c r="K158" s="148"/>
      <c r="L158" s="148"/>
      <c r="M158" s="147"/>
      <c r="N158" s="67">
        <f>IF(A7taxstdlife="n/a","n/a",IF(N$3&gt;(A7taxstdlife+$E158),(Input!$N$47-Input!$N$81)-SUM($M158:M158),(Input!$N$47-Input!$N$81)/A7taxstdlife))</f>
        <v>0</v>
      </c>
      <c r="O158" s="67">
        <f>IF(A7taxstdlife="n/a","n/a",IF(O$3&gt;(A7taxstdlife+$E158),(Input!$N$47-Input!$N$81)-SUM($M158:N158),(Input!$N$47-Input!$N$81)/A7taxstdlife))</f>
        <v>0</v>
      </c>
      <c r="P158" s="67">
        <f>IF(A7taxstdlife="n/a","n/a",IF(P$3&gt;(A7taxstdlife+$E158),(Input!$N$47-Input!$N$81)-SUM($M158:O158),(Input!$N$47-Input!$N$81)/A7taxstdlife))</f>
        <v>0</v>
      </c>
      <c r="Q158" s="67"/>
      <c r="R158" s="102"/>
      <c r="S158" s="102"/>
      <c r="T158" s="102"/>
      <c r="U158" s="102"/>
      <c r="V158" s="102"/>
      <c r="W158" s="102"/>
      <c r="X158" s="102"/>
      <c r="Y158" s="102"/>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185"/>
      <c r="BJ158" s="185"/>
      <c r="BK158" s="185"/>
      <c r="BL158" s="185"/>
      <c r="BM158" s="185"/>
      <c r="BN158" s="185"/>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hidden="1" customHeight="1" outlineLevel="2">
      <c r="A159" s="9"/>
      <c r="B159" s="9"/>
      <c r="C159" s="25"/>
      <c r="D159" s="385"/>
      <c r="E159" s="85">
        <v>8</v>
      </c>
      <c r="F159" s="191"/>
      <c r="G159" s="148"/>
      <c r="H159" s="148"/>
      <c r="I159" s="148"/>
      <c r="J159" s="148"/>
      <c r="K159" s="148"/>
      <c r="L159" s="148"/>
      <c r="M159" s="148"/>
      <c r="N159" s="147"/>
      <c r="O159" s="67">
        <f>IF(A7taxstdlife="n/a","n/a",IF(O$3&gt;(A7taxstdlife+$E159),(Input!$O$47-Input!$O$81)-SUM($N159:N159),(Input!$O$47-Input!$O$81)/A7taxstdlife))</f>
        <v>0</v>
      </c>
      <c r="P159" s="67">
        <f>IF(A7taxstdlife="n/a","n/a",IF(P$3&gt;(A7taxstdlife+$E159),(Input!$O$47-Input!$O$81)-SUM($N159:O159),(Input!$O$47-Input!$O$81)/A7taxstdlife))</f>
        <v>0</v>
      </c>
      <c r="Q159" s="67"/>
      <c r="R159" s="102"/>
      <c r="S159" s="102"/>
      <c r="T159" s="102"/>
      <c r="U159" s="102"/>
      <c r="V159" s="102"/>
      <c r="W159" s="102"/>
      <c r="X159" s="102"/>
      <c r="Y159" s="102"/>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185"/>
      <c r="BJ159" s="185"/>
      <c r="BK159" s="185"/>
      <c r="BL159" s="185"/>
      <c r="BM159" s="185"/>
      <c r="BN159" s="185"/>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hidden="1" customHeight="1" outlineLevel="2">
      <c r="A160" s="9"/>
      <c r="B160" s="9"/>
      <c r="C160" s="25"/>
      <c r="D160" s="385"/>
      <c r="E160" s="85">
        <v>9</v>
      </c>
      <c r="F160" s="191"/>
      <c r="G160" s="148"/>
      <c r="H160" s="148"/>
      <c r="I160" s="148"/>
      <c r="J160" s="148"/>
      <c r="K160" s="148"/>
      <c r="L160" s="148"/>
      <c r="M160" s="148"/>
      <c r="N160" s="148"/>
      <c r="O160" s="147"/>
      <c r="P160" s="67">
        <f>IF(A7taxstdlife="n/a","n/a",IF(P$3&gt;(A7taxstdlife+$E160),(Input!$P$47-Input!$P$81)-SUM($O160:O160),(Input!$P$47-Input!$P$81)/A7taxstdlife))</f>
        <v>0</v>
      </c>
      <c r="Q160" s="67"/>
      <c r="R160" s="102"/>
      <c r="S160" s="102"/>
      <c r="T160" s="102"/>
      <c r="U160" s="102"/>
      <c r="V160" s="102"/>
      <c r="W160" s="102"/>
      <c r="X160" s="102"/>
      <c r="Y160" s="102"/>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185"/>
      <c r="BJ160" s="185"/>
      <c r="BK160" s="185"/>
      <c r="BL160" s="185"/>
      <c r="BM160" s="185"/>
      <c r="BN160" s="185"/>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hidden="1" customHeight="1" outlineLevel="2">
      <c r="A161" s="9"/>
      <c r="B161" s="9"/>
      <c r="C161" s="25"/>
      <c r="D161" s="385"/>
      <c r="E161" s="86">
        <v>10</v>
      </c>
      <c r="F161" s="191"/>
      <c r="G161" s="148"/>
      <c r="H161" s="148"/>
      <c r="I161" s="148"/>
      <c r="J161" s="148"/>
      <c r="K161" s="148"/>
      <c r="L161" s="148"/>
      <c r="M161" s="148"/>
      <c r="N161" s="148"/>
      <c r="O161" s="187"/>
      <c r="P161" s="147"/>
      <c r="Q161" s="67"/>
      <c r="R161" s="102"/>
      <c r="S161" s="102"/>
      <c r="T161" s="102"/>
      <c r="U161" s="102"/>
      <c r="V161" s="102"/>
      <c r="W161" s="102"/>
      <c r="X161" s="102"/>
      <c r="Y161" s="102"/>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185"/>
      <c r="BJ161" s="185"/>
      <c r="BK161" s="185"/>
      <c r="BL161" s="185"/>
      <c r="BM161" s="185"/>
      <c r="BN161" s="185"/>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 r="A162" s="9"/>
      <c r="B162" s="9"/>
      <c r="C162" s="25" t="str">
        <f>Asset7</f>
        <v>Zone substation equip 132/66kV</v>
      </c>
      <c r="D162" s="9"/>
      <c r="E162" s="9"/>
      <c r="F162" s="191"/>
      <c r="G162" s="164">
        <f>-SUM(G150:G161)</f>
        <v>-1.8226391176017716</v>
      </c>
      <c r="H162" s="164">
        <f>-SUM(H150:H161)</f>
        <v>-2.5755631956440785</v>
      </c>
      <c r="I162" s="164">
        <f>-SUM(I150:I161)</f>
        <v>-4.6821684404285424</v>
      </c>
      <c r="J162" s="164">
        <f>-SUM(J150:J161)</f>
        <v>-6.5879176284879444</v>
      </c>
      <c r="K162" s="164">
        <f>-SUM(K150:K161)</f>
        <v>-7.3613604854715922</v>
      </c>
      <c r="L162" s="164"/>
      <c r="M162" s="164">
        <f>IF(Input!N173&gt;0, -SUM(M150:M161), 0)</f>
        <v>0</v>
      </c>
      <c r="N162" s="164">
        <f>IF(Input!O173&gt;0, -SUM(N150:N161), 0)</f>
        <v>0</v>
      </c>
      <c r="O162" s="164">
        <f>IF(Input!P173&gt;0, -SUM(O150:O161), 0)</f>
        <v>0</v>
      </c>
      <c r="P162" s="164">
        <f>IF(Input!Q173&gt;0, -SUM(P150:P161), 0)</f>
        <v>0</v>
      </c>
      <c r="Q162" s="63"/>
      <c r="R162" s="101"/>
      <c r="S162" s="308"/>
      <c r="T162" s="101"/>
      <c r="U162" s="101"/>
      <c r="V162" s="101"/>
      <c r="W162" s="101"/>
      <c r="X162" s="101"/>
      <c r="Y162" s="101"/>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185"/>
      <c r="BJ162" s="185"/>
      <c r="BK162" s="185"/>
      <c r="BL162" s="185"/>
      <c r="BM162" s="185"/>
      <c r="BN162" s="185"/>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hidden="1" customHeight="1" outlineLevel="2">
      <c r="A163" s="9"/>
      <c r="B163" s="31" t="str">
        <f>Asset8</f>
        <v>Transmission &amp; Zone emergency spares</v>
      </c>
      <c r="C163" s="32"/>
      <c r="D163" s="33" t="s">
        <v>67</v>
      </c>
      <c r="E163" s="32"/>
      <c r="F163" s="191"/>
      <c r="G163" s="356">
        <v>0</v>
      </c>
      <c r="H163" s="356">
        <v>0</v>
      </c>
      <c r="I163" s="356">
        <v>0</v>
      </c>
      <c r="J163" s="356">
        <v>0</v>
      </c>
      <c r="K163" s="356">
        <v>0</v>
      </c>
      <c r="L163" s="356"/>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2"/>
      <c r="S163" s="308">
        <f>SUM(K163:K168)</f>
        <v>0</v>
      </c>
      <c r="T163" s="102"/>
      <c r="U163" s="102"/>
      <c r="V163" s="102"/>
      <c r="W163" s="102"/>
      <c r="X163" s="102"/>
      <c r="Y163" s="102"/>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185"/>
      <c r="BJ163" s="185"/>
      <c r="BK163" s="185"/>
      <c r="BL163" s="185"/>
      <c r="BM163" s="185"/>
      <c r="BN163" s="185"/>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5"/>
      <c r="D164" s="384" t="s">
        <v>85</v>
      </c>
      <c r="E164" s="85"/>
      <c r="F164" s="309"/>
      <c r="G164" s="67"/>
      <c r="H164" s="67"/>
      <c r="I164" s="67"/>
      <c r="J164" s="67"/>
      <c r="K164" s="67"/>
      <c r="L164" s="67"/>
      <c r="M164" s="67"/>
      <c r="N164" s="67"/>
      <c r="O164" s="67"/>
      <c r="P164" s="67"/>
      <c r="Q164" s="67"/>
      <c r="R164" s="102"/>
      <c r="S164" s="102"/>
      <c r="T164" s="102"/>
      <c r="U164" s="102"/>
      <c r="V164" s="102"/>
      <c r="W164" s="102"/>
      <c r="X164" s="102"/>
      <c r="Y164" s="102"/>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185"/>
      <c r="BJ164" s="185"/>
      <c r="BK164" s="185"/>
      <c r="BL164" s="185"/>
      <c r="BM164" s="185"/>
      <c r="BN164" s="185"/>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hidden="1" customHeight="1" outlineLevel="2">
      <c r="A165" s="9"/>
      <c r="B165" s="9"/>
      <c r="C165" s="25"/>
      <c r="D165" s="385"/>
      <c r="E165" s="85">
        <v>1</v>
      </c>
      <c r="F165" s="191"/>
      <c r="G165" s="147"/>
      <c r="H165" s="67">
        <f>IF(A8taxstdlife="n/a","n/a",IF(H$3&gt;(A8taxstdlife+$E165),(Input!$H$48-Input!$H$82)-SUM($G165:G165),(Input!$H$48-Input!$H$82)/A8taxstdlife))</f>
        <v>0</v>
      </c>
      <c r="I165" s="67">
        <f>IF(A8taxstdlife="n/a","n/a",IF(I$3&gt;(A8taxstdlife+$E165),(Input!$H$48-Input!$H$82)-SUM($G165:H165),(Input!$H$48-Input!$H$82)/A8taxstdlife))</f>
        <v>0</v>
      </c>
      <c r="J165" s="67">
        <f>IF(A8taxstdlife="n/a","n/a",IF(J$3&gt;(A8taxstdlife+$E165),(Input!$H$48-Input!$H$82)-SUM($G165:I165),(Input!$H$48-Input!$H$82)/A8taxstdlife))</f>
        <v>0</v>
      </c>
      <c r="K165" s="67">
        <f>IF(A8taxstdlife="n/a","n/a",IF(K$3&gt;(A8taxstdlife+$E165),(Input!$H$48-Input!$H$82)-SUM($G165:J165),(Input!$H$48-Input!$H$82)/A8taxstdlife))</f>
        <v>0</v>
      </c>
      <c r="L165" s="67"/>
      <c r="M165" s="67">
        <f>IF(A8taxstdlife="n/a","n/a",IF(M$3&gt;(A8taxstdlife+$E165),(Input!$H$48-Input!$H$82)-SUM($G165:L165),(Input!$H$48-Input!$H$82)/A8taxstdlife))</f>
        <v>0</v>
      </c>
      <c r="N165" s="67">
        <f>IF(A8taxstdlife="n/a","n/a",IF(N$3&gt;(A8taxstdlife+$E165),(Input!$H$48-Input!$H$82)-SUM($G165:M165),(Input!$H$48-Input!$H$82)/A8taxstdlife))</f>
        <v>0</v>
      </c>
      <c r="O165" s="67">
        <f>IF(A8taxstdlife="n/a","n/a",IF(O$3&gt;(A8taxstdlife+$E165),(Input!$H$48-Input!$H$82)-SUM($G165:N165),(Input!$H$48-Input!$H$82)/A8taxstdlife))</f>
        <v>0</v>
      </c>
      <c r="P165" s="67">
        <f>IF(A8taxstdlife="n/a","n/a",IF(P$3&gt;(A8taxstdlife+$E165),(Input!$H$48-Input!$H$82)-SUM($G165:O165),(Input!$H$48-Input!$H$82)/A8taxstdlife))</f>
        <v>0</v>
      </c>
      <c r="Q165" s="67"/>
      <c r="R165" s="102"/>
      <c r="S165" s="102"/>
      <c r="T165" s="102"/>
      <c r="U165" s="102"/>
      <c r="V165" s="102"/>
      <c r="W165" s="102"/>
      <c r="X165" s="102"/>
      <c r="Y165" s="102"/>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185"/>
      <c r="BJ165" s="185"/>
      <c r="BK165" s="185"/>
      <c r="BL165" s="185"/>
      <c r="BM165" s="185"/>
      <c r="BN165" s="18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hidden="1" customHeight="1" outlineLevel="2">
      <c r="A166" s="9"/>
      <c r="B166" s="9"/>
      <c r="C166" s="25"/>
      <c r="D166" s="385"/>
      <c r="E166" s="85">
        <v>2</v>
      </c>
      <c r="F166" s="191"/>
      <c r="G166" s="148"/>
      <c r="H166" s="147"/>
      <c r="I166" s="67">
        <f>IF(A8taxstdlife="n/a","n/a",IF(I$3&gt;(A8taxstdlife+$E166),(Input!$I$48-Input!$I$82)-SUM($H166:H166),(Input!$I$48-Input!$I$82)/A8taxstdlife))</f>
        <v>0</v>
      </c>
      <c r="J166" s="67">
        <f>IF(A8taxstdlife="n/a","n/a",IF(J$3&gt;(A8taxstdlife+$E166),(Input!$I$48-Input!$I$82)-SUM($H166:I166),(Input!$I$48-Input!$I$82)/A8taxstdlife))</f>
        <v>0</v>
      </c>
      <c r="K166" s="67">
        <f>IF(A8taxstdlife="n/a","n/a",IF(K$3&gt;(A8taxstdlife+$E166),(Input!$I$48-Input!$I$82)-SUM($H166:J166),(Input!$I$48-Input!$I$82)/A8taxstdlife))</f>
        <v>0</v>
      </c>
      <c r="L166" s="67"/>
      <c r="M166" s="67">
        <f>IF(A8taxstdlife="n/a","n/a",IF(M$3&gt;(A8taxstdlife+$E166),(Input!$I$48-Input!$I$82)-SUM($H166:L166),(Input!$I$48-Input!$I$82)/A8taxstdlife))</f>
        <v>0</v>
      </c>
      <c r="N166" s="67">
        <f>IF(A8taxstdlife="n/a","n/a",IF(N$3&gt;(A8taxstdlife+$E166),(Input!$I$48-Input!$I$82)-SUM($H166:M166),(Input!$I$48-Input!$I$82)/A8taxstdlife))</f>
        <v>0</v>
      </c>
      <c r="O166" s="67">
        <f>IF(A8taxstdlife="n/a","n/a",IF(O$3&gt;(A8taxstdlife+$E166),(Input!$I$48-Input!$I$82)-SUM($H166:N166),(Input!$I$48-Input!$I$82)/A8taxstdlife))</f>
        <v>0</v>
      </c>
      <c r="P166" s="67">
        <f>IF(A8taxstdlife="n/a","n/a",IF(P$3&gt;(A8taxstdlife+$E166),(Input!$I$48-Input!$I$82)-SUM($H166:O166),(Input!$I$48-Input!$I$82)/A8taxstdlife))</f>
        <v>0</v>
      </c>
      <c r="Q166" s="67"/>
      <c r="R166" s="102"/>
      <c r="S166" s="102"/>
      <c r="T166" s="102"/>
      <c r="U166" s="102"/>
      <c r="V166" s="102"/>
      <c r="W166" s="102"/>
      <c r="X166" s="102"/>
      <c r="Y166" s="102"/>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185"/>
      <c r="BJ166" s="185"/>
      <c r="BK166" s="185"/>
      <c r="BL166" s="185"/>
      <c r="BM166" s="185"/>
      <c r="BN166" s="185"/>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hidden="1" customHeight="1" outlineLevel="2">
      <c r="A167" s="9"/>
      <c r="B167" s="9"/>
      <c r="C167" s="25"/>
      <c r="D167" s="385"/>
      <c r="E167" s="85">
        <v>3</v>
      </c>
      <c r="F167" s="191"/>
      <c r="G167" s="148"/>
      <c r="H167" s="148"/>
      <c r="I167" s="147"/>
      <c r="J167" s="67">
        <f>IF(A8taxstdlife="n/a","n/a",IF(J$3&gt;(A8taxstdlife+$E167),(Input!$J$48-Input!$J$82)-SUM($I167:I167),(Input!$J$48-Input!$J$82)/A8taxstdlife))</f>
        <v>0</v>
      </c>
      <c r="K167" s="67">
        <f>IF(A8taxstdlife="n/a","n/a",IF(K$3&gt;(A8taxstdlife+$E167),(Input!$J$48-Input!$J$82)-SUM($I167:J167),(Input!$J$48-Input!$J$82)/A8taxstdlife))</f>
        <v>0</v>
      </c>
      <c r="L167" s="67"/>
      <c r="M167" s="67">
        <f>IF(A8taxstdlife="n/a","n/a",IF(M$3&gt;(A8taxstdlife+$E167),(Input!$J$48-Input!$J$82)-SUM($I167:L167),(Input!$J$48-Input!$J$82)/A8taxstdlife))</f>
        <v>0</v>
      </c>
      <c r="N167" s="67">
        <f>IF(A8taxstdlife="n/a","n/a",IF(N$3&gt;(A8taxstdlife+$E167),(Input!$J$48-Input!$J$82)-SUM($I167:M167),(Input!$J$48-Input!$J$82)/A8taxstdlife))</f>
        <v>0</v>
      </c>
      <c r="O167" s="67">
        <f>IF(A8taxstdlife="n/a","n/a",IF(O$3&gt;(A8taxstdlife+$E167),(Input!$J$48-Input!$J$82)-SUM($I167:N167),(Input!$J$48-Input!$J$82)/A8taxstdlife))</f>
        <v>0</v>
      </c>
      <c r="P167" s="67">
        <f>IF(A8taxstdlife="n/a","n/a",IF(P$3&gt;(A8taxstdlife+$E167),(Input!$J$48-Input!$J$82)-SUM($I167:O167),(Input!$J$48-Input!$J$82)/A8taxstdlife))</f>
        <v>0</v>
      </c>
      <c r="Q167" s="67"/>
      <c r="R167" s="102"/>
      <c r="S167" s="102"/>
      <c r="T167" s="102"/>
      <c r="U167" s="102"/>
      <c r="V167" s="102"/>
      <c r="W167" s="102"/>
      <c r="X167" s="102"/>
      <c r="Y167" s="102"/>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185"/>
      <c r="BJ167" s="185"/>
      <c r="BK167" s="185"/>
      <c r="BL167" s="185"/>
      <c r="BM167" s="185"/>
      <c r="BN167" s="185"/>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hidden="1" customHeight="1" outlineLevel="2">
      <c r="A168" s="9"/>
      <c r="B168" s="9"/>
      <c r="C168" s="25"/>
      <c r="D168" s="385"/>
      <c r="E168" s="85">
        <v>4</v>
      </c>
      <c r="F168" s="191"/>
      <c r="G168" s="148"/>
      <c r="H168" s="148"/>
      <c r="I168" s="148"/>
      <c r="J168" s="147"/>
      <c r="K168" s="67">
        <f>IF(A8taxstdlife="n/a","n/a",IF(K$3&gt;(A8taxstdlife+$E168),(Input!$K$48-Input!$K$82)-SUM($J168:J168),(Input!$K$48-Input!$K$82)/A8taxstdlife))</f>
        <v>0</v>
      </c>
      <c r="L168" s="67"/>
      <c r="M168" s="67">
        <f>IF(A8taxstdlife="n/a","n/a",IF(M$3&gt;(A8taxstdlife+$E168),(Input!$K$48-Input!$K$82)-SUM($J168:L168),(Input!$K$48-Input!$K$82)/A8taxstdlife))</f>
        <v>0</v>
      </c>
      <c r="N168" s="67">
        <f>IF(A8taxstdlife="n/a","n/a",IF(N$3&gt;(A8taxstdlife+$E168),(Input!$K$48-Input!$K$82)-SUM($J168:M168),(Input!$K$48-Input!$K$82)/A8taxstdlife))</f>
        <v>0</v>
      </c>
      <c r="O168" s="67">
        <f>IF(A8taxstdlife="n/a","n/a",IF(O$3&gt;(A8taxstdlife+$E168),(Input!$K$48-Input!$K$82)-SUM($J168:N168),(Input!$K$48-Input!$K$82)/A8taxstdlife))</f>
        <v>0</v>
      </c>
      <c r="P168" s="67">
        <f>IF(A8taxstdlife="n/a","n/a",IF(P$3&gt;(A8taxstdlife+$E168),(Input!$K$48-Input!$K$82)-SUM($J168:O168),(Input!$K$48-Input!$K$82)/A8taxstdlife))</f>
        <v>0</v>
      </c>
      <c r="Q168" s="67"/>
      <c r="R168" s="102"/>
      <c r="S168" s="102"/>
      <c r="T168" s="102"/>
      <c r="U168" s="102"/>
      <c r="V168" s="102"/>
      <c r="W168" s="102"/>
      <c r="X168" s="102"/>
      <c r="Y168" s="102"/>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185"/>
      <c r="BJ168" s="185"/>
      <c r="BK168" s="185"/>
      <c r="BL168" s="185"/>
      <c r="BM168" s="185"/>
      <c r="BN168" s="185"/>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hidden="1" customHeight="1" outlineLevel="2">
      <c r="A169" s="9"/>
      <c r="B169" s="9"/>
      <c r="C169" s="25"/>
      <c r="D169" s="385"/>
      <c r="E169" s="85">
        <v>5</v>
      </c>
      <c r="F169" s="191"/>
      <c r="G169" s="148"/>
      <c r="H169" s="148"/>
      <c r="I169" s="148"/>
      <c r="J169" s="148"/>
      <c r="K169" s="147"/>
      <c r="L169" s="67"/>
      <c r="M169" s="67">
        <f>IF(A8taxstdlife="n/a","n/a",IF(M$3&gt;(A8taxstdlife+$E169),(Input!$L$48-Input!$L$82)-SUM($K169:L169),(Input!$L$48-Input!$L$82)/A8taxstdlife))</f>
        <v>0</v>
      </c>
      <c r="N169" s="67">
        <f>IF(A8taxstdlife="n/a","n/a",IF(N$3&gt;(A8taxstdlife+$E169),(Input!$L$48-Input!$L$82)-SUM($K169:M169),(Input!$L$48-Input!$L$82)/A8taxstdlife))</f>
        <v>0</v>
      </c>
      <c r="O169" s="67">
        <f>IF(A8taxstdlife="n/a","n/a",IF(O$3&gt;(A8taxstdlife+$E169),(Input!$L$48-Input!$L$82)-SUM($K169:N169),(Input!$L$48-Input!$L$82)/A8taxstdlife))</f>
        <v>0</v>
      </c>
      <c r="P169" s="67">
        <f>IF(A8taxstdlife="n/a","n/a",IF(P$3&gt;(A8taxstdlife+$E169),(Input!$L$48-Input!$L$82)-SUM($K169:O169),(Input!$L$48-Input!$L$82)/A8taxstdlife))</f>
        <v>0</v>
      </c>
      <c r="Q169" s="67"/>
      <c r="R169" s="102"/>
      <c r="S169" s="102"/>
      <c r="T169" s="102"/>
      <c r="U169" s="102"/>
      <c r="V169" s="102"/>
      <c r="W169" s="102"/>
      <c r="X169" s="102"/>
      <c r="Y169" s="102"/>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185"/>
      <c r="BJ169" s="185"/>
      <c r="BK169" s="185"/>
      <c r="BL169" s="185"/>
      <c r="BM169" s="185"/>
      <c r="BN169" s="185"/>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hidden="1" customHeight="1" outlineLevel="2">
      <c r="A170" s="9"/>
      <c r="B170" s="9"/>
      <c r="C170" s="25"/>
      <c r="D170" s="385"/>
      <c r="E170" s="85">
        <v>6</v>
      </c>
      <c r="F170" s="191"/>
      <c r="G170" s="148"/>
      <c r="H170" s="148"/>
      <c r="I170" s="148"/>
      <c r="J170" s="148"/>
      <c r="K170" s="148"/>
      <c r="L170" s="147"/>
      <c r="M170" s="67">
        <f>IF(A8taxstdlife="n/a","n/a",IF(M$3&gt;(A8taxstdlife+$E170),(Input!$M$48-Input!$M$82)-SUM($L170:L170),(Input!$M$48-Input!$M$82)/A8taxstdlife))</f>
        <v>0</v>
      </c>
      <c r="N170" s="67">
        <f>IF(A8taxstdlife="n/a","n/a",IF(N$3&gt;(A8taxstdlife+$E170),(Input!$M$48-Input!$M$82)-SUM($L170:M170),(Input!$M$48-Input!$M$82)/A8taxstdlife))</f>
        <v>0</v>
      </c>
      <c r="O170" s="67">
        <f>IF(A8taxstdlife="n/a","n/a",IF(O$3&gt;(A8taxstdlife+$E170),(Input!$M$48-Input!$M$82)-SUM($L170:N170),(Input!$M$48-Input!$M$82)/A8taxstdlife))</f>
        <v>0</v>
      </c>
      <c r="P170" s="67">
        <f>IF(A8taxstdlife="n/a","n/a",IF(P$3&gt;(A8taxstdlife+$E170),(Input!$M$48-Input!$M$82)-SUM($L170:O170),(Input!$M$48-Input!$M$82)/A8taxstdlife))</f>
        <v>0</v>
      </c>
      <c r="Q170" s="67"/>
      <c r="R170" s="102"/>
      <c r="S170" s="102"/>
      <c r="T170" s="102"/>
      <c r="U170" s="102"/>
      <c r="V170" s="102"/>
      <c r="W170" s="102"/>
      <c r="X170" s="102"/>
      <c r="Y170" s="102"/>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185"/>
      <c r="BJ170" s="185"/>
      <c r="BK170" s="185"/>
      <c r="BL170" s="185"/>
      <c r="BM170" s="185"/>
      <c r="BN170" s="185"/>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hidden="1" customHeight="1" outlineLevel="2">
      <c r="A171" s="9"/>
      <c r="B171" s="9"/>
      <c r="C171" s="25"/>
      <c r="D171" s="385"/>
      <c r="E171" s="85">
        <v>7</v>
      </c>
      <c r="F171" s="191"/>
      <c r="G171" s="148"/>
      <c r="H171" s="148"/>
      <c r="I171" s="148"/>
      <c r="J171" s="148"/>
      <c r="K171" s="148"/>
      <c r="L171" s="148"/>
      <c r="M171" s="147"/>
      <c r="N171" s="67">
        <f>IF(A8taxstdlife="n/a","n/a",IF(N$3&gt;(A8taxstdlife+$E171),(Input!$N$48-Input!$N$82)-SUM($M171:M171),(Input!$N$48-Input!$N$82)/A8taxstdlife))</f>
        <v>0</v>
      </c>
      <c r="O171" s="67">
        <f>IF(A8taxstdlife="n/a","n/a",IF(O$3&gt;(A8taxstdlife+$E171),(Input!$N$48-Input!$N$82)-SUM($M171:N171),(Input!$N$48-Input!$N$82)/A8taxstdlife))</f>
        <v>0</v>
      </c>
      <c r="P171" s="67">
        <f>IF(A8taxstdlife="n/a","n/a",IF(P$3&gt;(A8taxstdlife+$E171),(Input!$N$48-Input!$N$82)-SUM($M171:O171),(Input!$N$48-Input!$N$82)/A8taxstdlife))</f>
        <v>0</v>
      </c>
      <c r="Q171" s="67"/>
      <c r="R171" s="102"/>
      <c r="S171" s="102"/>
      <c r="T171" s="102"/>
      <c r="U171" s="102"/>
      <c r="V171" s="102"/>
      <c r="W171" s="102"/>
      <c r="X171" s="102"/>
      <c r="Y171" s="102"/>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185"/>
      <c r="BJ171" s="185"/>
      <c r="BK171" s="185"/>
      <c r="BL171" s="185"/>
      <c r="BM171" s="185"/>
      <c r="BN171" s="185"/>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hidden="1" customHeight="1" outlineLevel="2">
      <c r="A172" s="9"/>
      <c r="B172" s="9"/>
      <c r="C172" s="25"/>
      <c r="D172" s="385"/>
      <c r="E172" s="85">
        <v>8</v>
      </c>
      <c r="F172" s="191"/>
      <c r="G172" s="148"/>
      <c r="H172" s="148"/>
      <c r="I172" s="148"/>
      <c r="J172" s="148"/>
      <c r="K172" s="148"/>
      <c r="L172" s="148"/>
      <c r="M172" s="148"/>
      <c r="N172" s="147"/>
      <c r="O172" s="67">
        <f>IF(A8taxstdlife="n/a","n/a",IF(O$3&gt;(A8taxstdlife+$E172),(Input!$O$48-Input!$O$82)-SUM($N172:N172),(Input!$O$48-Input!$O$82)/A8taxstdlife))</f>
        <v>0</v>
      </c>
      <c r="P172" s="67">
        <f>IF(A8taxstdlife="n/a","n/a",IF(P$3&gt;(A8taxstdlife+$E172),(Input!$O$48-Input!$O$82)-SUM($N172:O172),(Input!$O$48-Input!$O$82)/A8taxstdlife))</f>
        <v>0</v>
      </c>
      <c r="Q172" s="67"/>
      <c r="R172" s="102"/>
      <c r="S172" s="102"/>
      <c r="T172" s="102"/>
      <c r="U172" s="102"/>
      <c r="V172" s="102"/>
      <c r="W172" s="102"/>
      <c r="X172" s="102"/>
      <c r="Y172" s="102"/>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185"/>
      <c r="BJ172" s="185"/>
      <c r="BK172" s="185"/>
      <c r="BL172" s="185"/>
      <c r="BM172" s="185"/>
      <c r="BN172" s="185"/>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hidden="1" customHeight="1" outlineLevel="2">
      <c r="A173" s="9"/>
      <c r="B173" s="9"/>
      <c r="C173" s="25"/>
      <c r="D173" s="385"/>
      <c r="E173" s="85">
        <v>9</v>
      </c>
      <c r="F173" s="191"/>
      <c r="G173" s="148"/>
      <c r="H173" s="148"/>
      <c r="I173" s="148"/>
      <c r="J173" s="148"/>
      <c r="K173" s="148"/>
      <c r="L173" s="148"/>
      <c r="M173" s="148"/>
      <c r="N173" s="148"/>
      <c r="O173" s="147"/>
      <c r="P173" s="67">
        <f>IF(A8taxstdlife="n/a","n/a",IF(P$3&gt;(A8taxstdlife+$E173),(Input!$P$48-Input!$P$82)-SUM($O173:O173),(Input!$P$48-Input!$P$82)/A8taxstdlife))</f>
        <v>0</v>
      </c>
      <c r="Q173" s="67"/>
      <c r="R173" s="102"/>
      <c r="S173" s="102"/>
      <c r="T173" s="102"/>
      <c r="U173" s="102"/>
      <c r="V173" s="102"/>
      <c r="W173" s="102"/>
      <c r="X173" s="102"/>
      <c r="Y173" s="102"/>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185"/>
      <c r="BJ173" s="185"/>
      <c r="BK173" s="185"/>
      <c r="BL173" s="185"/>
      <c r="BM173" s="185"/>
      <c r="BN173" s="185"/>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hidden="1" customHeight="1" outlineLevel="2">
      <c r="A174" s="9"/>
      <c r="B174" s="9"/>
      <c r="C174" s="25"/>
      <c r="D174" s="385"/>
      <c r="E174" s="86">
        <v>10</v>
      </c>
      <c r="F174" s="191"/>
      <c r="G174" s="148"/>
      <c r="H174" s="148"/>
      <c r="I174" s="148"/>
      <c r="J174" s="148"/>
      <c r="K174" s="148"/>
      <c r="L174" s="148"/>
      <c r="M174" s="148"/>
      <c r="N174" s="148"/>
      <c r="O174" s="187"/>
      <c r="P174" s="147"/>
      <c r="Q174" s="67"/>
      <c r="R174" s="102"/>
      <c r="S174" s="102"/>
      <c r="T174" s="102"/>
      <c r="U174" s="102"/>
      <c r="V174" s="102"/>
      <c r="W174" s="102"/>
      <c r="X174" s="102"/>
      <c r="Y174" s="102"/>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185"/>
      <c r="BJ174" s="185"/>
      <c r="BK174" s="185"/>
      <c r="BL174" s="185"/>
      <c r="BM174" s="185"/>
      <c r="BN174" s="185"/>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 r="A175" s="9"/>
      <c r="B175" s="9"/>
      <c r="C175" s="25" t="str">
        <f>Asset8</f>
        <v>Transmission &amp; Zone emergency spares</v>
      </c>
      <c r="D175" s="9"/>
      <c r="E175" s="9"/>
      <c r="F175" s="203"/>
      <c r="G175" s="164">
        <f>-SUM(G163:G174)</f>
        <v>0</v>
      </c>
      <c r="H175" s="164">
        <f>-SUM(H163:H174)</f>
        <v>0</v>
      </c>
      <c r="I175" s="164">
        <f>-SUM(I163:I174)</f>
        <v>0</v>
      </c>
      <c r="J175" s="164">
        <f>-SUM(J163:J174)</f>
        <v>0</v>
      </c>
      <c r="K175" s="164">
        <f>-SUM(K163:K174)</f>
        <v>0</v>
      </c>
      <c r="L175" s="164"/>
      <c r="M175" s="164">
        <f>IF(Input!N173&gt;0, -SUM(M163:M174), 0)</f>
        <v>0</v>
      </c>
      <c r="N175" s="164">
        <f>IF(Input!O173&gt;0, -SUM(N163:N174), 0)</f>
        <v>0</v>
      </c>
      <c r="O175" s="164">
        <f>IF(Input!P173&gt;0, -SUM(O163:O174), 0)</f>
        <v>0</v>
      </c>
      <c r="P175" s="164">
        <f>IF(Input!Q173&gt;0, -SUM(P163:P174), 0)</f>
        <v>0</v>
      </c>
      <c r="Q175" s="63"/>
      <c r="R175" s="101"/>
      <c r="S175" s="101"/>
      <c r="T175" s="101"/>
      <c r="U175" s="101"/>
      <c r="V175" s="101"/>
      <c r="W175" s="101"/>
      <c r="X175" s="101"/>
      <c r="Y175" s="101"/>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185"/>
      <c r="BJ175" s="185"/>
      <c r="BK175" s="185"/>
      <c r="BL175" s="185"/>
      <c r="BM175" s="185"/>
      <c r="BN175" s="18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hidden="1" customHeight="1" outlineLevel="2">
      <c r="A176" s="9"/>
      <c r="B176" s="31" t="str">
        <f>Asset9</f>
        <v>Ancillary substation equipment (tx)</v>
      </c>
      <c r="C176" s="32"/>
      <c r="D176" s="33" t="s">
        <v>67</v>
      </c>
      <c r="E176" s="32"/>
      <c r="F176" s="203"/>
      <c r="G176" s="356">
        <v>0</v>
      </c>
      <c r="H176" s="356">
        <v>0</v>
      </c>
      <c r="I176" s="356">
        <v>0</v>
      </c>
      <c r="J176" s="356">
        <v>0</v>
      </c>
      <c r="K176" s="356">
        <v>0</v>
      </c>
      <c r="L176" s="356"/>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2"/>
      <c r="S176" s="308">
        <f>SUM(K176:K181)</f>
        <v>2.1704788200739751</v>
      </c>
      <c r="T176" s="102"/>
      <c r="U176" s="102"/>
      <c r="V176" s="102"/>
      <c r="W176" s="102"/>
      <c r="X176" s="102"/>
      <c r="Y176" s="102"/>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185"/>
      <c r="BJ176" s="185"/>
      <c r="BK176" s="185"/>
      <c r="BL176" s="185"/>
      <c r="BM176" s="185"/>
      <c r="BN176" s="185"/>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5"/>
      <c r="D177" s="384" t="s">
        <v>85</v>
      </c>
      <c r="E177" s="85"/>
      <c r="F177" s="310"/>
      <c r="G177" s="67"/>
      <c r="H177" s="67"/>
      <c r="I177" s="67"/>
      <c r="J177" s="67"/>
      <c r="K177" s="67"/>
      <c r="L177" s="67"/>
      <c r="M177" s="67"/>
      <c r="N177" s="67"/>
      <c r="O177" s="67"/>
      <c r="P177" s="67"/>
      <c r="Q177" s="67"/>
      <c r="R177" s="102"/>
      <c r="S177" s="102"/>
      <c r="T177" s="102"/>
      <c r="U177" s="102"/>
      <c r="V177" s="102"/>
      <c r="W177" s="102"/>
      <c r="X177" s="102"/>
      <c r="Y177" s="102"/>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185"/>
      <c r="BJ177" s="185"/>
      <c r="BK177" s="185"/>
      <c r="BL177" s="185"/>
      <c r="BM177" s="185"/>
      <c r="BN177" s="185"/>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hidden="1" customHeight="1" outlineLevel="2">
      <c r="A178" s="9"/>
      <c r="B178" s="9"/>
      <c r="C178" s="25"/>
      <c r="D178" s="385"/>
      <c r="E178" s="85">
        <v>1</v>
      </c>
      <c r="F178" s="203"/>
      <c r="G178" s="147"/>
      <c r="H178" s="67">
        <f>IF(A9taxstdlife="n/a","n/a",IF(H$3&gt;(A9taxstdlife+$E178),(Input!$H$49-Input!$H$83)-SUM($G178:G178),(Input!$H$49-Input!$H$83)/A9taxstdlife))</f>
        <v>7.4898849746000015E-2</v>
      </c>
      <c r="I178" s="67">
        <f>IF(A9taxstdlife="n/a","n/a",IF(I$3&gt;(A9taxstdlife+$E178),(Input!$H$49-Input!$H$83)-SUM($G178:H178),(Input!$H$49-Input!$H$83)/A9taxstdlife))</f>
        <v>7.4898849746000015E-2</v>
      </c>
      <c r="J178" s="67">
        <f>IF(A9taxstdlife="n/a","n/a",IF(J$3&gt;(A9taxstdlife+$E178),(Input!$H$49-Input!$H$83)-SUM($G178:I178),(Input!$H$49-Input!$H$83)/A9taxstdlife))</f>
        <v>7.4898849746000015E-2</v>
      </c>
      <c r="K178" s="67">
        <f>IF(A9taxstdlife="n/a","n/a",IF(K$3&gt;(A9taxstdlife+$E178),(Input!$H$49-Input!$H$83)-SUM($G178:J178),(Input!$H$49-Input!$H$83)/A9taxstdlife))</f>
        <v>7.4898849746000015E-2</v>
      </c>
      <c r="L178" s="67"/>
      <c r="M178" s="67">
        <f>IF(A9taxstdlife="n/a","n/a",IF(M$3&gt;(A9taxstdlife+$E178),(Input!$H$49-Input!$H$83)-SUM($G178:L178),(Input!$H$49-Input!$H$83)/A9taxstdlife))</f>
        <v>7.4898849746000015E-2</v>
      </c>
      <c r="N178" s="67">
        <f>IF(A9taxstdlife="n/a","n/a",IF(N$3&gt;(A9taxstdlife+$E178),(Input!$H$49-Input!$H$83)-SUM($G178:M178),(Input!$H$49-Input!$H$83)/A9taxstdlife))</f>
        <v>7.4898849746000015E-2</v>
      </c>
      <c r="O178" s="67">
        <f>IF(A9taxstdlife="n/a","n/a",IF(O$3&gt;(A9taxstdlife+$E178),(Input!$H$49-Input!$H$83)-SUM($G178:N178),(Input!$H$49-Input!$H$83)/A9taxstdlife))</f>
        <v>7.4898849746000015E-2</v>
      </c>
      <c r="P178" s="67">
        <f>IF(A9taxstdlife="n/a","n/a",IF(P$3&gt;(A9taxstdlife+$E178),(Input!$H$49-Input!$H$83)-SUM($G178:O178),(Input!$H$49-Input!$H$83)/A9taxstdlife))</f>
        <v>7.4898849746000015E-2</v>
      </c>
      <c r="Q178" s="67"/>
      <c r="R178" s="102"/>
      <c r="S178" s="102"/>
      <c r="T178" s="102"/>
      <c r="U178" s="102"/>
      <c r="V178" s="102"/>
      <c r="W178" s="102"/>
      <c r="X178" s="102"/>
      <c r="Y178" s="102"/>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185"/>
      <c r="BJ178" s="185"/>
      <c r="BK178" s="185"/>
      <c r="BL178" s="185"/>
      <c r="BM178" s="185"/>
      <c r="BN178" s="185"/>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hidden="1" customHeight="1" outlineLevel="2">
      <c r="A179" s="9"/>
      <c r="B179" s="9"/>
      <c r="C179" s="25"/>
      <c r="D179" s="385"/>
      <c r="E179" s="85">
        <v>2</v>
      </c>
      <c r="F179" s="203"/>
      <c r="G179" s="148"/>
      <c r="H179" s="147"/>
      <c r="I179" s="67">
        <f>IF(A9taxstdlife="n/a","n/a",IF(I$3&gt;(A9taxstdlife+$E179),(Input!$I$49-Input!$I$83)-SUM($H179:H179),(Input!$I$49-Input!$I$83)/A9taxstdlife))</f>
        <v>0.2068737295683333</v>
      </c>
      <c r="J179" s="67">
        <f>IF(A9taxstdlife="n/a","n/a",IF(J$3&gt;(A9taxstdlife+$E179),(Input!$I$49-Input!$I$83)-SUM($H179:I179),(Input!$I$49-Input!$I$83)/A9taxstdlife))</f>
        <v>0.2068737295683333</v>
      </c>
      <c r="K179" s="67">
        <f>IF(A9taxstdlife="n/a","n/a",IF(K$3&gt;(A9taxstdlife+$E179),(Input!$I$49-Input!$I$83)-SUM($H179:J179),(Input!$I$49-Input!$I$83)/A9taxstdlife))</f>
        <v>0.2068737295683333</v>
      </c>
      <c r="L179" s="67"/>
      <c r="M179" s="67">
        <f>IF(A9taxstdlife="n/a","n/a",IF(M$3&gt;(A9taxstdlife+$E179),(Input!$I$49-Input!$I$83)-SUM($H179:L179),(Input!$I$49-Input!$I$83)/A9taxstdlife))</f>
        <v>0.2068737295683333</v>
      </c>
      <c r="N179" s="67">
        <f>IF(A9taxstdlife="n/a","n/a",IF(N$3&gt;(A9taxstdlife+$E179),(Input!$I$49-Input!$I$83)-SUM($H179:M179),(Input!$I$49-Input!$I$83)/A9taxstdlife))</f>
        <v>0.2068737295683333</v>
      </c>
      <c r="O179" s="67">
        <f>IF(A9taxstdlife="n/a","n/a",IF(O$3&gt;(A9taxstdlife+$E179),(Input!$I$49-Input!$I$83)-SUM($H179:N179),(Input!$I$49-Input!$I$83)/A9taxstdlife))</f>
        <v>0.2068737295683333</v>
      </c>
      <c r="P179" s="67">
        <f>IF(A9taxstdlife="n/a","n/a",IF(P$3&gt;(A9taxstdlife+$E179),(Input!$I$49-Input!$I$83)-SUM($H179:O179),(Input!$I$49-Input!$I$83)/A9taxstdlife))</f>
        <v>0.2068737295683333</v>
      </c>
      <c r="Q179" s="67"/>
      <c r="R179" s="102"/>
      <c r="S179" s="102"/>
      <c r="T179" s="102"/>
      <c r="U179" s="102"/>
      <c r="V179" s="102"/>
      <c r="W179" s="102"/>
      <c r="X179" s="102"/>
      <c r="Y179" s="102"/>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185"/>
      <c r="BJ179" s="185"/>
      <c r="BK179" s="185"/>
      <c r="BL179" s="185"/>
      <c r="BM179" s="185"/>
      <c r="BN179" s="185"/>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hidden="1" customHeight="1" outlineLevel="2">
      <c r="A180" s="9"/>
      <c r="B180" s="9"/>
      <c r="C180" s="25"/>
      <c r="D180" s="385"/>
      <c r="E180" s="85">
        <v>3</v>
      </c>
      <c r="F180" s="203"/>
      <c r="G180" s="148"/>
      <c r="H180" s="148"/>
      <c r="I180" s="147"/>
      <c r="J180" s="67">
        <f>IF(A9taxstdlife="n/a","n/a",IF(J$3&gt;(A9taxstdlife+$E180),(Input!$J$49-Input!$J$83)-SUM($I180:I180),(Input!$J$49-Input!$J$83)/A9taxstdlife))</f>
        <v>0.43648453905966655</v>
      </c>
      <c r="K180" s="67">
        <f>IF(A9taxstdlife="n/a","n/a",IF(K$3&gt;(A9taxstdlife+$E180),(Input!$J$49-Input!$J$83)-SUM($I180:J180),(Input!$J$49-Input!$J$83)/A9taxstdlife))</f>
        <v>0.43648453905966655</v>
      </c>
      <c r="L180" s="67"/>
      <c r="M180" s="67">
        <f>IF(A9taxstdlife="n/a","n/a",IF(M$3&gt;(A9taxstdlife+$E180),(Input!$J$49-Input!$J$83)-SUM($I180:L180),(Input!$J$49-Input!$J$83)/A9taxstdlife))</f>
        <v>0.43648453905966655</v>
      </c>
      <c r="N180" s="67">
        <f>IF(A9taxstdlife="n/a","n/a",IF(N$3&gt;(A9taxstdlife+$E180),(Input!$J$49-Input!$J$83)-SUM($I180:M180),(Input!$J$49-Input!$J$83)/A9taxstdlife))</f>
        <v>0.43648453905966655</v>
      </c>
      <c r="O180" s="67">
        <f>IF(A9taxstdlife="n/a","n/a",IF(O$3&gt;(A9taxstdlife+$E180),(Input!$J$49-Input!$J$83)-SUM($I180:N180),(Input!$J$49-Input!$J$83)/A9taxstdlife))</f>
        <v>0.43648453905966655</v>
      </c>
      <c r="P180" s="67">
        <f>IF(A9taxstdlife="n/a","n/a",IF(P$3&gt;(A9taxstdlife+$E180),(Input!$J$49-Input!$J$83)-SUM($I180:O180),(Input!$J$49-Input!$J$83)/A9taxstdlife))</f>
        <v>0.43648453905966655</v>
      </c>
      <c r="Q180" s="67"/>
      <c r="R180" s="102"/>
      <c r="S180" s="102"/>
      <c r="T180" s="102"/>
      <c r="U180" s="102"/>
      <c r="V180" s="102"/>
      <c r="W180" s="102"/>
      <c r="X180" s="102"/>
      <c r="Y180" s="102"/>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185"/>
      <c r="BJ180" s="185"/>
      <c r="BK180" s="185"/>
      <c r="BL180" s="185"/>
      <c r="BM180" s="185"/>
      <c r="BN180" s="185"/>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hidden="1" customHeight="1" outlineLevel="2">
      <c r="A181" s="9"/>
      <c r="B181" s="9"/>
      <c r="C181" s="25"/>
      <c r="D181" s="385"/>
      <c r="E181" s="85">
        <v>4</v>
      </c>
      <c r="F181" s="203"/>
      <c r="G181" s="148"/>
      <c r="H181" s="148"/>
      <c r="I181" s="148"/>
      <c r="J181" s="147"/>
      <c r="K181" s="67">
        <f>IF(A9taxstdlife="n/a","n/a",IF(K$3&gt;(A9taxstdlife+$E181),(Input!$K$49-Input!$K$83)-SUM($J181:J181),(Input!$K$49-Input!$K$83)/A9taxstdlife))</f>
        <v>1.4522217016999754</v>
      </c>
      <c r="L181" s="67"/>
      <c r="M181" s="67">
        <f>IF(A9taxstdlife="n/a","n/a",IF(M$3&gt;(A9taxstdlife+$E181),(Input!$K$49-Input!$K$83)-SUM($J181:L181),(Input!$K$49-Input!$K$83)/A9taxstdlife))</f>
        <v>1.4522217016999754</v>
      </c>
      <c r="N181" s="67">
        <f>IF(A9taxstdlife="n/a","n/a",IF(N$3&gt;(A9taxstdlife+$E181),(Input!$K$49-Input!$K$83)-SUM($J181:M181),(Input!$K$49-Input!$K$83)/A9taxstdlife))</f>
        <v>1.4522217016999754</v>
      </c>
      <c r="O181" s="67">
        <f>IF(A9taxstdlife="n/a","n/a",IF(O$3&gt;(A9taxstdlife+$E181),(Input!$K$49-Input!$K$83)-SUM($J181:N181),(Input!$K$49-Input!$K$83)/A9taxstdlife))</f>
        <v>1.4522217016999754</v>
      </c>
      <c r="P181" s="67">
        <f>IF(A9taxstdlife="n/a","n/a",IF(P$3&gt;(A9taxstdlife+$E181),(Input!$K$49-Input!$K$83)-SUM($J181:O181),(Input!$K$49-Input!$K$83)/A9taxstdlife))</f>
        <v>1.4522217016999754</v>
      </c>
      <c r="Q181" s="67"/>
      <c r="R181" s="102"/>
      <c r="S181" s="102"/>
      <c r="T181" s="102"/>
      <c r="U181" s="102"/>
      <c r="V181" s="102"/>
      <c r="W181" s="102"/>
      <c r="X181" s="102"/>
      <c r="Y181" s="102"/>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7"/>
      <c r="BJ181" s="185"/>
      <c r="BK181" s="185"/>
      <c r="BL181" s="185"/>
      <c r="BM181" s="185"/>
      <c r="BN181" s="185"/>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hidden="1" customHeight="1" outlineLevel="2">
      <c r="A182" s="9"/>
      <c r="B182" s="9"/>
      <c r="C182" s="25"/>
      <c r="D182" s="385"/>
      <c r="E182" s="85">
        <v>5</v>
      </c>
      <c r="F182" s="203"/>
      <c r="G182" s="148"/>
      <c r="H182" s="148"/>
      <c r="I182" s="148"/>
      <c r="J182" s="148"/>
      <c r="K182" s="147"/>
      <c r="L182" s="67"/>
      <c r="M182" s="67">
        <f>IF(A9taxstdlife="n/a","n/a",IF(M$3&gt;(A9taxstdlife+$E182),(Input!$L$49-Input!$L$83)-SUM($K182:L182),(Input!$L$49-Input!$L$83)/A9taxstdlife))</f>
        <v>1.116390933330804</v>
      </c>
      <c r="N182" s="67">
        <f>IF(A9taxstdlife="n/a","n/a",IF(N$3&gt;(A9taxstdlife+$E182),(Input!$L$49-Input!$L$83)-SUM($K182:M182),(Input!$L$49-Input!$L$83)/A9taxstdlife))</f>
        <v>1.116390933330804</v>
      </c>
      <c r="O182" s="67">
        <f>IF(A9taxstdlife="n/a","n/a",IF(O$3&gt;(A9taxstdlife+$E182),(Input!$L$49-Input!$L$83)-SUM($K182:N182),(Input!$L$49-Input!$L$83)/A9taxstdlife))</f>
        <v>1.116390933330804</v>
      </c>
      <c r="P182" s="67">
        <f>IF(A9taxstdlife="n/a","n/a",IF(P$3&gt;(A9taxstdlife+$E182),(Input!$L$49-Input!$L$83)-SUM($K182:O182),(Input!$L$49-Input!$L$83)/A9taxstdlife))</f>
        <v>1.116390933330804</v>
      </c>
      <c r="Q182" s="67"/>
      <c r="R182" s="102"/>
      <c r="S182" s="102"/>
      <c r="T182" s="102"/>
      <c r="U182" s="102"/>
      <c r="V182" s="102"/>
      <c r="W182" s="102"/>
      <c r="X182" s="102"/>
      <c r="Y182" s="102"/>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185"/>
      <c r="BJ182" s="185"/>
      <c r="BK182" s="185"/>
      <c r="BL182" s="185"/>
      <c r="BM182" s="185"/>
      <c r="BN182" s="185"/>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hidden="1" customHeight="1" outlineLevel="2">
      <c r="A183" s="9"/>
      <c r="B183" s="9"/>
      <c r="C183" s="25"/>
      <c r="D183" s="385"/>
      <c r="E183" s="85">
        <v>6</v>
      </c>
      <c r="F183" s="203"/>
      <c r="G183" s="148"/>
      <c r="H183" s="148"/>
      <c r="I183" s="148"/>
      <c r="J183" s="148"/>
      <c r="K183" s="148"/>
      <c r="L183" s="147"/>
      <c r="M183" s="67">
        <f>IF(A9taxstdlife="n/a","n/a",IF(M$3&gt;(A9taxstdlife+$E183),(Input!$M$49-Input!$M$83)-SUM($L183:L183),(Input!$M$49-Input!$M$83)/A9taxstdlife))</f>
        <v>0</v>
      </c>
      <c r="N183" s="67">
        <f>IF(A9taxstdlife="n/a","n/a",IF(N$3&gt;(A9taxstdlife+$E183),(Input!$M$49-Input!$M$83)-SUM($L183:M183),(Input!$M$49-Input!$M$83)/A9taxstdlife))</f>
        <v>0</v>
      </c>
      <c r="O183" s="67">
        <f>IF(A9taxstdlife="n/a","n/a",IF(O$3&gt;(A9taxstdlife+$E183),(Input!$M$49-Input!$M$83)-SUM($L183:N183),(Input!$M$49-Input!$M$83)/A9taxstdlife))</f>
        <v>0</v>
      </c>
      <c r="P183" s="67">
        <f>IF(A9taxstdlife="n/a","n/a",IF(P$3&gt;(A9taxstdlife+$E183),(Input!$M$49-Input!$M$83)-SUM($L183:O183),(Input!$M$49-Input!$M$83)/A9taxstdlife))</f>
        <v>0</v>
      </c>
      <c r="Q183" s="67"/>
      <c r="R183" s="102"/>
      <c r="S183" s="102"/>
      <c r="T183" s="102"/>
      <c r="U183" s="102"/>
      <c r="V183" s="102"/>
      <c r="W183" s="102"/>
      <c r="X183" s="102"/>
      <c r="Y183" s="102"/>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185"/>
      <c r="BJ183" s="185"/>
      <c r="BK183" s="185"/>
      <c r="BL183" s="185"/>
      <c r="BM183" s="185"/>
      <c r="BN183" s="185"/>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hidden="1" customHeight="1" outlineLevel="2">
      <c r="A184" s="9"/>
      <c r="B184" s="9"/>
      <c r="C184" s="25"/>
      <c r="D184" s="385"/>
      <c r="E184" s="85">
        <v>7</v>
      </c>
      <c r="F184" s="203"/>
      <c r="G184" s="148"/>
      <c r="H184" s="148"/>
      <c r="I184" s="148"/>
      <c r="J184" s="148"/>
      <c r="K184" s="148"/>
      <c r="L184" s="148"/>
      <c r="M184" s="147"/>
      <c r="N184" s="67">
        <f>IF(A9taxstdlife="n/a","n/a",IF(N$3&gt;(A9taxstdlife+$E184),(Input!$N$49-Input!$N$83)-SUM($M184:M184),(Input!$N$49-Input!$N$83)/A9taxstdlife))</f>
        <v>0</v>
      </c>
      <c r="O184" s="67">
        <f>IF(A9taxstdlife="n/a","n/a",IF(O$3&gt;(A9taxstdlife+$E184),(Input!$N$49-Input!$N$83)-SUM($M184:N184),(Input!$N$49-Input!$N$83)/A9taxstdlife))</f>
        <v>0</v>
      </c>
      <c r="P184" s="67">
        <f>IF(A9taxstdlife="n/a","n/a",IF(P$3&gt;(A9taxstdlife+$E184),(Input!$N$49-Input!$N$83)-SUM($M184:O184),(Input!$N$49-Input!$N$83)/A9taxstdlife))</f>
        <v>0</v>
      </c>
      <c r="Q184" s="67"/>
      <c r="R184" s="102"/>
      <c r="S184" s="102"/>
      <c r="T184" s="102"/>
      <c r="U184" s="102"/>
      <c r="V184" s="102"/>
      <c r="W184" s="102"/>
      <c r="X184" s="102"/>
      <c r="Y184" s="102"/>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185"/>
      <c r="BJ184" s="185"/>
      <c r="BK184" s="185"/>
      <c r="BL184" s="185"/>
      <c r="BM184" s="185"/>
      <c r="BN184" s="185"/>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hidden="1" customHeight="1" outlineLevel="2">
      <c r="A185" s="9"/>
      <c r="B185" s="9"/>
      <c r="C185" s="25"/>
      <c r="D185" s="385"/>
      <c r="E185" s="85">
        <v>8</v>
      </c>
      <c r="F185" s="203"/>
      <c r="G185" s="148"/>
      <c r="H185" s="148"/>
      <c r="I185" s="148"/>
      <c r="J185" s="148"/>
      <c r="K185" s="148"/>
      <c r="L185" s="148"/>
      <c r="M185" s="148"/>
      <c r="N185" s="147"/>
      <c r="O185" s="67">
        <f>IF(A9taxstdlife="n/a","n/a",IF(O$3&gt;(A9taxstdlife+$E185),(Input!$O$49-Input!$O$83)-SUM($N185:N185),(Input!$O$49-Input!$O$83)/A9taxstdlife))</f>
        <v>0</v>
      </c>
      <c r="P185" s="67">
        <f>IF(A9taxstdlife="n/a","n/a",IF(P$3&gt;(A9taxstdlife+$E185),(Input!$O$49-Input!$O$83)-SUM($N185:O185),(Input!$O$49-Input!$O$83)/A9taxstdlife))</f>
        <v>0</v>
      </c>
      <c r="Q185" s="67"/>
      <c r="R185" s="102"/>
      <c r="S185" s="102"/>
      <c r="T185" s="102"/>
      <c r="U185" s="102"/>
      <c r="V185" s="102"/>
      <c r="W185" s="102"/>
      <c r="X185" s="102"/>
      <c r="Y185" s="102"/>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185"/>
      <c r="BJ185" s="185"/>
      <c r="BK185" s="185"/>
      <c r="BL185" s="185"/>
      <c r="BM185" s="185"/>
      <c r="BN185" s="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hidden="1" customHeight="1" outlineLevel="2">
      <c r="A186" s="9"/>
      <c r="B186" s="9"/>
      <c r="C186" s="25"/>
      <c r="D186" s="385"/>
      <c r="E186" s="85">
        <v>9</v>
      </c>
      <c r="F186" s="203"/>
      <c r="G186" s="148"/>
      <c r="H186" s="148"/>
      <c r="I186" s="148"/>
      <c r="J186" s="148"/>
      <c r="K186" s="148"/>
      <c r="L186" s="148"/>
      <c r="M186" s="148"/>
      <c r="N186" s="148"/>
      <c r="O186" s="147"/>
      <c r="P186" s="67">
        <f>IF(A9taxstdlife="n/a","n/a",IF(P$3&gt;(A9taxstdlife+$E186),(Input!$P$49-Input!$P$83)-SUM($O186:O186),(Input!$P$49-Input!$P$83)/A9taxstdlife))</f>
        <v>0</v>
      </c>
      <c r="Q186" s="67"/>
      <c r="R186" s="102"/>
      <c r="S186" s="102"/>
      <c r="T186" s="102"/>
      <c r="U186" s="102"/>
      <c r="V186" s="102"/>
      <c r="W186" s="102"/>
      <c r="X186" s="102"/>
      <c r="Y186" s="102"/>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185"/>
      <c r="BJ186" s="185"/>
      <c r="BK186" s="185"/>
      <c r="BL186" s="185"/>
      <c r="BM186" s="185"/>
      <c r="BN186" s="185"/>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hidden="1" customHeight="1" outlineLevel="2">
      <c r="A187" s="9"/>
      <c r="B187" s="9"/>
      <c r="C187" s="25"/>
      <c r="D187" s="385"/>
      <c r="E187" s="86">
        <v>10</v>
      </c>
      <c r="F187" s="203"/>
      <c r="G187" s="148"/>
      <c r="H187" s="148"/>
      <c r="I187" s="148"/>
      <c r="J187" s="148"/>
      <c r="K187" s="148"/>
      <c r="L187" s="148"/>
      <c r="M187" s="148"/>
      <c r="N187" s="148"/>
      <c r="O187" s="187"/>
      <c r="P187" s="147"/>
      <c r="Q187" s="67"/>
      <c r="R187" s="102"/>
      <c r="S187" s="102"/>
      <c r="T187" s="102"/>
      <c r="U187" s="102"/>
      <c r="V187" s="102"/>
      <c r="W187" s="102"/>
      <c r="X187" s="102"/>
      <c r="Y187" s="102"/>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185"/>
      <c r="BJ187" s="185"/>
      <c r="BK187" s="185"/>
      <c r="BL187" s="185"/>
      <c r="BM187" s="185"/>
      <c r="BN187" s="185"/>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hidden="1" customHeight="1" outlineLevel="1">
      <c r="A188" s="9"/>
      <c r="B188" s="9"/>
      <c r="C188" s="25" t="str">
        <f>Asset9</f>
        <v>Ancillary substation equipment (tx)</v>
      </c>
      <c r="D188" s="9"/>
      <c r="E188" s="9"/>
      <c r="F188" s="203"/>
      <c r="G188" s="164">
        <f>-SUM(G176:G187)</f>
        <v>0</v>
      </c>
      <c r="H188" s="164">
        <f>-SUM(H176:H187)</f>
        <v>-7.4898849746000015E-2</v>
      </c>
      <c r="I188" s="164">
        <f>-SUM(I176:I187)</f>
        <v>-0.2817725793143333</v>
      </c>
      <c r="J188" s="164">
        <f>-SUM(J176:J187)</f>
        <v>-0.71825711837399986</v>
      </c>
      <c r="K188" s="164">
        <f>-SUM(K176:K187)</f>
        <v>-2.1704788200739751</v>
      </c>
      <c r="L188" s="164"/>
      <c r="M188" s="164">
        <f>IF(Input!N173&gt;0, -SUM(M176:M187), 0)</f>
        <v>0</v>
      </c>
      <c r="N188" s="164">
        <f>IF(Input!O173&gt;0, -SUM(N176:N187), 0)</f>
        <v>0</v>
      </c>
      <c r="O188" s="164">
        <f>IF(Input!P173&gt;0, -SUM(O176:O187), 0)</f>
        <v>0</v>
      </c>
      <c r="P188" s="164">
        <f>IF(Input!Q173&gt;0, -SUM(P176:P187), 0)</f>
        <v>0</v>
      </c>
      <c r="Q188" s="63"/>
      <c r="R188" s="101"/>
      <c r="S188" s="308"/>
      <c r="T188" s="101"/>
      <c r="U188" s="101"/>
      <c r="V188" s="101"/>
      <c r="W188" s="101"/>
      <c r="X188" s="101"/>
      <c r="Y188" s="101"/>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185"/>
      <c r="BJ188" s="185"/>
      <c r="BK188" s="185"/>
      <c r="BL188" s="185"/>
      <c r="BM188" s="185"/>
      <c r="BN188" s="185"/>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hidden="1" customHeight="1" outlineLevel="2">
      <c r="A189" s="9"/>
      <c r="B189" s="31" t="str">
        <f>Asset10</f>
        <v>132kV tower lines</v>
      </c>
      <c r="C189" s="32"/>
      <c r="D189" s="33" t="s">
        <v>67</v>
      </c>
      <c r="E189" s="32"/>
      <c r="F189" s="203"/>
      <c r="G189" s="356">
        <v>1.4668082067145298</v>
      </c>
      <c r="H189" s="356">
        <v>0.29480801331737988</v>
      </c>
      <c r="I189" s="356">
        <v>0.27892071225933701</v>
      </c>
      <c r="J189" s="356">
        <v>0.28199235653188692</v>
      </c>
      <c r="K189" s="356">
        <v>0.25032802855426489</v>
      </c>
      <c r="L189" s="356"/>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2"/>
      <c r="S189" s="308">
        <f>SUM(K189:K194)</f>
        <v>0.62630451829436362</v>
      </c>
      <c r="T189" s="102"/>
      <c r="U189" s="102"/>
      <c r="V189" s="102"/>
      <c r="W189" s="102"/>
      <c r="X189" s="102"/>
      <c r="Y189" s="102"/>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185"/>
      <c r="BJ189" s="185"/>
      <c r="BK189" s="185"/>
      <c r="BL189" s="185"/>
      <c r="BM189" s="185"/>
      <c r="BN189" s="185"/>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5"/>
      <c r="D190" s="384" t="s">
        <v>85</v>
      </c>
      <c r="E190" s="85"/>
      <c r="F190" s="309"/>
      <c r="G190" s="67"/>
      <c r="H190" s="67"/>
      <c r="I190" s="67"/>
      <c r="J190" s="67"/>
      <c r="K190" s="67"/>
      <c r="L190" s="67"/>
      <c r="M190" s="67"/>
      <c r="N190" s="67"/>
      <c r="O190" s="67"/>
      <c r="P190" s="67"/>
      <c r="Q190" s="67"/>
      <c r="R190" s="102"/>
      <c r="S190" s="102"/>
      <c r="T190" s="102"/>
      <c r="U190" s="102"/>
      <c r="V190" s="102"/>
      <c r="W190" s="102"/>
      <c r="X190" s="102"/>
      <c r="Y190" s="102"/>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185"/>
      <c r="BJ190" s="185"/>
      <c r="BK190" s="185"/>
      <c r="BL190" s="185"/>
      <c r="BM190" s="185"/>
      <c r="BN190" s="185"/>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hidden="1" customHeight="1" outlineLevel="2">
      <c r="A191" s="9"/>
      <c r="B191" s="9"/>
      <c r="C191" s="25"/>
      <c r="D191" s="385"/>
      <c r="E191" s="85">
        <v>1</v>
      </c>
      <c r="F191" s="191"/>
      <c r="G191" s="147"/>
      <c r="H191" s="67">
        <f>IF(A10taxstdlife="n/a","n/a",IF(H$3&gt;(A10taxstdlife+$E191),(Input!$H$50-Input!$H$84)-SUM($G191:G191),(Input!$H$50-Input!$H$84)/A10taxstdlife))</f>
        <v>8.7311165483193273E-2</v>
      </c>
      <c r="I191" s="67">
        <f>IF(A10taxstdlife="n/a","n/a",IF(I$3&gt;(A10taxstdlife+$E191),(Input!$H$50-Input!$H$84)-SUM($G191:H191),(Input!$H$50-Input!$H$84)/A10taxstdlife))</f>
        <v>8.7311165483193273E-2</v>
      </c>
      <c r="J191" s="67">
        <f>IF(A10taxstdlife="n/a","n/a",IF(J$3&gt;(A10taxstdlife+$E191),(Input!$H$50-Input!$H$84)-SUM($G191:I191),(Input!$H$50-Input!$H$84)/A10taxstdlife))</f>
        <v>8.7311165483193273E-2</v>
      </c>
      <c r="K191" s="67">
        <f>IF(A10taxstdlife="n/a","n/a",IF(K$3&gt;(A10taxstdlife+$E191),(Input!$H$50-Input!$H$84)-SUM($G191:J191),(Input!$H$50-Input!$H$84)/A10taxstdlife))</f>
        <v>8.7311165483193273E-2</v>
      </c>
      <c r="L191" s="67"/>
      <c r="M191" s="67">
        <f>IF(A10taxstdlife="n/a","n/a",IF(M$3&gt;(A10taxstdlife+$E191),(Input!$H$50-Input!$H$84)-SUM($G191:L191),(Input!$H$50-Input!$H$84)/A10taxstdlife))</f>
        <v>8.7311165483193273E-2</v>
      </c>
      <c r="N191" s="67">
        <f>IF(A10taxstdlife="n/a","n/a",IF(N$3&gt;(A10taxstdlife+$E191),(Input!$H$50-Input!$H$84)-SUM($G191:M191),(Input!$H$50-Input!$H$84)/A10taxstdlife))</f>
        <v>8.7311165483193273E-2</v>
      </c>
      <c r="O191" s="67">
        <f>IF(A10taxstdlife="n/a","n/a",IF(O$3&gt;(A10taxstdlife+$E191),(Input!$H$50-Input!$H$84)-SUM($G191:N191),(Input!$H$50-Input!$H$84)/A10taxstdlife))</f>
        <v>8.7311165483193273E-2</v>
      </c>
      <c r="P191" s="67">
        <f>IF(A10taxstdlife="n/a","n/a",IF(P$3&gt;(A10taxstdlife+$E191),(Input!$H$50-Input!$H$84)-SUM($G191:O191),(Input!$H$50-Input!$H$84)/A10taxstdlife))</f>
        <v>8.7311165483193273E-2</v>
      </c>
      <c r="Q191" s="67"/>
      <c r="R191" s="102"/>
      <c r="S191" s="102"/>
      <c r="T191" s="102"/>
      <c r="U191" s="102"/>
      <c r="V191" s="102"/>
      <c r="W191" s="102"/>
      <c r="X191" s="102"/>
      <c r="Y191" s="102"/>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185"/>
      <c r="BJ191" s="185"/>
      <c r="BK191" s="185"/>
      <c r="BL191" s="185"/>
      <c r="BM191" s="185"/>
      <c r="BN191" s="185"/>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hidden="1" customHeight="1" outlineLevel="2">
      <c r="A192" s="9"/>
      <c r="B192" s="9"/>
      <c r="C192" s="25"/>
      <c r="D192" s="385"/>
      <c r="E192" s="85">
        <v>2</v>
      </c>
      <c r="F192" s="191"/>
      <c r="G192" s="148"/>
      <c r="H192" s="147"/>
      <c r="I192" s="67">
        <f>IF(A10taxstdlife="n/a","n/a",IF(I$3&gt;(A10taxstdlife+$E192),(Input!$I$50-Input!$I$84)-SUM($H192:H192),(Input!$I$50-Input!$I$84)/A10taxstdlife))</f>
        <v>0.18228948306866491</v>
      </c>
      <c r="J192" s="67">
        <f>IF(A10taxstdlife="n/a","n/a",IF(J$3&gt;(A10taxstdlife+$E192),(Input!$I$50-Input!$I$84)-SUM($H192:I192),(Input!$I$50-Input!$I$84)/A10taxstdlife))</f>
        <v>0.18228948306866491</v>
      </c>
      <c r="K192" s="67">
        <f>IF(A10taxstdlife="n/a","n/a",IF(K$3&gt;(A10taxstdlife+$E192),(Input!$I$50-Input!$I$84)-SUM($H192:J192),(Input!$I$50-Input!$I$84)/A10taxstdlife))</f>
        <v>0.18228948306866491</v>
      </c>
      <c r="L192" s="67"/>
      <c r="M192" s="67">
        <f>IF(A10taxstdlife="n/a","n/a",IF(M$3&gt;(A10taxstdlife+$E192),(Input!$I$50-Input!$I$84)-SUM($H192:L192),(Input!$I$50-Input!$I$84)/A10taxstdlife))</f>
        <v>0.18228948306866491</v>
      </c>
      <c r="N192" s="67">
        <f>IF(A10taxstdlife="n/a","n/a",IF(N$3&gt;(A10taxstdlife+$E192),(Input!$I$50-Input!$I$84)-SUM($H192:M192),(Input!$I$50-Input!$I$84)/A10taxstdlife))</f>
        <v>0.18228948306866491</v>
      </c>
      <c r="O192" s="67">
        <f>IF(A10taxstdlife="n/a","n/a",IF(O$3&gt;(A10taxstdlife+$E192),(Input!$I$50-Input!$I$84)-SUM($H192:N192),(Input!$I$50-Input!$I$84)/A10taxstdlife))</f>
        <v>0.18228948306866491</v>
      </c>
      <c r="P192" s="67">
        <f>IF(A10taxstdlife="n/a","n/a",IF(P$3&gt;(A10taxstdlife+$E192),(Input!$I$50-Input!$I$84)-SUM($H192:O192),(Input!$I$50-Input!$I$84)/A10taxstdlife))</f>
        <v>0.18228948306866491</v>
      </c>
      <c r="Q192" s="67"/>
      <c r="R192" s="102"/>
      <c r="S192" s="102"/>
      <c r="T192" s="102"/>
      <c r="U192" s="102"/>
      <c r="V192" s="102"/>
      <c r="W192" s="102"/>
      <c r="X192" s="102"/>
      <c r="Y192" s="102"/>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185"/>
      <c r="BJ192" s="185"/>
      <c r="BK192" s="185"/>
      <c r="BL192" s="185"/>
      <c r="BM192" s="185"/>
      <c r="BN192" s="185"/>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hidden="1" customHeight="1" outlineLevel="2">
      <c r="A193" s="9"/>
      <c r="B193" s="9"/>
      <c r="C193" s="25"/>
      <c r="D193" s="385"/>
      <c r="E193" s="85">
        <v>3</v>
      </c>
      <c r="F193" s="191"/>
      <c r="G193" s="148"/>
      <c r="H193" s="148"/>
      <c r="I193" s="147"/>
      <c r="J193" s="67">
        <f>IF(A10taxstdlife="n/a","n/a",IF(J$3&gt;(A10taxstdlife+$E193),(Input!$J$50-Input!$J$84)-SUM($I193:I193),(Input!$J$50-Input!$J$84)/A10taxstdlife))</f>
        <v>0.123396094122405</v>
      </c>
      <c r="K193" s="67">
        <f>IF(A10taxstdlife="n/a","n/a",IF(K$3&gt;(A10taxstdlife+$E193),(Input!$J$50-Input!$J$84)-SUM($I193:J193),(Input!$J$50-Input!$J$84)/A10taxstdlife))</f>
        <v>0.123396094122405</v>
      </c>
      <c r="L193" s="67"/>
      <c r="M193" s="67">
        <f>IF(A10taxstdlife="n/a","n/a",IF(M$3&gt;(A10taxstdlife+$E193),(Input!$J$50-Input!$J$84)-SUM($I193:L193),(Input!$J$50-Input!$J$84)/A10taxstdlife))</f>
        <v>0.123396094122405</v>
      </c>
      <c r="N193" s="67">
        <f>IF(A10taxstdlife="n/a","n/a",IF(N$3&gt;(A10taxstdlife+$E193),(Input!$J$50-Input!$J$84)-SUM($I193:M193),(Input!$J$50-Input!$J$84)/A10taxstdlife))</f>
        <v>0.123396094122405</v>
      </c>
      <c r="O193" s="67">
        <f>IF(A10taxstdlife="n/a","n/a",IF(O$3&gt;(A10taxstdlife+$E193),(Input!$J$50-Input!$J$84)-SUM($I193:N193),(Input!$J$50-Input!$J$84)/A10taxstdlife))</f>
        <v>0.123396094122405</v>
      </c>
      <c r="P193" s="67">
        <f>IF(A10taxstdlife="n/a","n/a",IF(P$3&gt;(A10taxstdlife+$E193),(Input!$J$50-Input!$J$84)-SUM($I193:O193),(Input!$J$50-Input!$J$84)/A10taxstdlife))</f>
        <v>0.123396094122405</v>
      </c>
      <c r="Q193" s="67"/>
      <c r="R193" s="102"/>
      <c r="S193" s="102"/>
      <c r="T193" s="102"/>
      <c r="U193" s="102"/>
      <c r="V193" s="102"/>
      <c r="W193" s="102"/>
      <c r="X193" s="102"/>
      <c r="Y193" s="102"/>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185"/>
      <c r="BJ193" s="185"/>
      <c r="BK193" s="185"/>
      <c r="BL193" s="185"/>
      <c r="BM193" s="185"/>
      <c r="BN193" s="185"/>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hidden="1" customHeight="1" outlineLevel="2">
      <c r="A194" s="9"/>
      <c r="B194" s="9"/>
      <c r="C194" s="25"/>
      <c r="D194" s="385"/>
      <c r="E194" s="85">
        <v>4</v>
      </c>
      <c r="F194" s="191"/>
      <c r="G194" s="148"/>
      <c r="H194" s="148"/>
      <c r="I194" s="148"/>
      <c r="J194" s="147"/>
      <c r="K194" s="67">
        <f>IF(A10taxstdlife="n/a","n/a",IF(K$3&gt;(A10taxstdlife+$E194),(Input!$K$50-Input!$K$84)-SUM($J194:J194),(Input!$K$50-Input!$K$84)/A10taxstdlife))</f>
        <v>-1.7020252934164488E-2</v>
      </c>
      <c r="L194" s="67"/>
      <c r="M194" s="67">
        <f>IF(A10taxstdlife="n/a","n/a",IF(M$3&gt;(A10taxstdlife+$E194),(Input!$K$50-Input!$K$84)-SUM($J194:L194),(Input!$K$50-Input!$K$84)/A10taxstdlife))</f>
        <v>-1.7020252934164488E-2</v>
      </c>
      <c r="N194" s="67">
        <f>IF(A10taxstdlife="n/a","n/a",IF(N$3&gt;(A10taxstdlife+$E194),(Input!$K$50-Input!$K$84)-SUM($J194:M194),(Input!$K$50-Input!$K$84)/A10taxstdlife))</f>
        <v>-1.7020252934164488E-2</v>
      </c>
      <c r="O194" s="67">
        <f>IF(A10taxstdlife="n/a","n/a",IF(O$3&gt;(A10taxstdlife+$E194),(Input!$K$50-Input!$K$84)-SUM($J194:N194),(Input!$K$50-Input!$K$84)/A10taxstdlife))</f>
        <v>-1.7020252934164488E-2</v>
      </c>
      <c r="P194" s="67">
        <f>IF(A10taxstdlife="n/a","n/a",IF(P$3&gt;(A10taxstdlife+$E194),(Input!$K$50-Input!$K$84)-SUM($J194:O194),(Input!$K$50-Input!$K$84)/A10taxstdlife))</f>
        <v>-1.7020252934164488E-2</v>
      </c>
      <c r="Q194" s="67"/>
      <c r="R194" s="102"/>
      <c r="S194" s="102"/>
      <c r="T194" s="102"/>
      <c r="U194" s="102"/>
      <c r="V194" s="102"/>
      <c r="W194" s="102"/>
      <c r="X194" s="102"/>
      <c r="Y194" s="102"/>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185"/>
      <c r="BJ194" s="185"/>
      <c r="BK194" s="185"/>
      <c r="BL194" s="185"/>
      <c r="BM194" s="185"/>
      <c r="BN194" s="185"/>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hidden="1" customHeight="1" outlineLevel="2">
      <c r="A195" s="9"/>
      <c r="B195" s="9"/>
      <c r="C195" s="25"/>
      <c r="D195" s="385"/>
      <c r="E195" s="85">
        <v>5</v>
      </c>
      <c r="F195" s="191"/>
      <c r="G195" s="148"/>
      <c r="H195" s="148"/>
      <c r="I195" s="148"/>
      <c r="J195" s="148"/>
      <c r="K195" s="147"/>
      <c r="L195" s="67"/>
      <c r="M195" s="67">
        <f>IF(A10taxstdlife="n/a","n/a",IF(M$3&gt;(A10taxstdlife+$E195),(Input!$L$50-Input!$L$84)-SUM($K195:L195),(Input!$L$50-Input!$L$84)/A10taxstdlife))</f>
        <v>7.9627991136794977E-3</v>
      </c>
      <c r="N195" s="67">
        <f>IF(A10taxstdlife="n/a","n/a",IF(N$3&gt;(A10taxstdlife+$E195),(Input!$L$50-Input!$L$84)-SUM($K195:M195),(Input!$L$50-Input!$L$84)/A10taxstdlife))</f>
        <v>7.9627991136794977E-3</v>
      </c>
      <c r="O195" s="67">
        <f>IF(A10taxstdlife="n/a","n/a",IF(O$3&gt;(A10taxstdlife+$E195),(Input!$L$50-Input!$L$84)-SUM($K195:N195),(Input!$L$50-Input!$L$84)/A10taxstdlife))</f>
        <v>7.9627991136794977E-3</v>
      </c>
      <c r="P195" s="67">
        <f>IF(A10taxstdlife="n/a","n/a",IF(P$3&gt;(A10taxstdlife+$E195),(Input!$L$50-Input!$L$84)-SUM($K195:O195),(Input!$L$50-Input!$L$84)/A10taxstdlife))</f>
        <v>7.9627991136794977E-3</v>
      </c>
      <c r="Q195" s="67"/>
      <c r="R195" s="102"/>
      <c r="S195" s="102"/>
      <c r="T195" s="102"/>
      <c r="U195" s="102"/>
      <c r="V195" s="102"/>
      <c r="W195" s="102"/>
      <c r="X195" s="102"/>
      <c r="Y195" s="102"/>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185"/>
      <c r="BJ195" s="185"/>
      <c r="BK195" s="185"/>
      <c r="BL195" s="185"/>
      <c r="BM195" s="185"/>
      <c r="BN195" s="18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hidden="1" customHeight="1" outlineLevel="2">
      <c r="A196" s="9"/>
      <c r="B196" s="9"/>
      <c r="C196" s="25"/>
      <c r="D196" s="385"/>
      <c r="E196" s="85">
        <v>6</v>
      </c>
      <c r="F196" s="191"/>
      <c r="G196" s="148"/>
      <c r="H196" s="148"/>
      <c r="I196" s="148"/>
      <c r="J196" s="148"/>
      <c r="K196" s="148"/>
      <c r="L196" s="147"/>
      <c r="M196" s="67">
        <f>IF(A10taxstdlife="n/a","n/a",IF(M$3&gt;(A10taxstdlife+$E196),(Input!$M$50-Input!$M$84)-SUM($L196:L196),(Input!$M$50-Input!$M$84)/A10taxstdlife))</f>
        <v>0</v>
      </c>
      <c r="N196" s="67">
        <f>IF(A10taxstdlife="n/a","n/a",IF(N$3&gt;(A10taxstdlife+$E196),(Input!$M$50-Input!$M$84)-SUM($L196:M196),(Input!$M$50-Input!$M$84)/A10taxstdlife))</f>
        <v>0</v>
      </c>
      <c r="O196" s="67">
        <f>IF(A10taxstdlife="n/a","n/a",IF(O$3&gt;(A10taxstdlife+$E196),(Input!$M$50-Input!$M$84)-SUM($L196:N196),(Input!$M$50-Input!$M$84)/A10taxstdlife))</f>
        <v>0</v>
      </c>
      <c r="P196" s="67">
        <f>IF(A10taxstdlife="n/a","n/a",IF(P$3&gt;(A10taxstdlife+$E196),(Input!$M$50-Input!$M$84)-SUM($L196:O196),(Input!$M$50-Input!$M$84)/A10taxstdlife))</f>
        <v>0</v>
      </c>
      <c r="Q196" s="67"/>
      <c r="R196" s="102"/>
      <c r="S196" s="102"/>
      <c r="T196" s="102"/>
      <c r="U196" s="102"/>
      <c r="V196" s="102"/>
      <c r="W196" s="102"/>
      <c r="X196" s="102"/>
      <c r="Y196" s="102"/>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185"/>
      <c r="BJ196" s="185"/>
      <c r="BK196" s="185"/>
      <c r="BL196" s="185"/>
      <c r="BM196" s="185"/>
      <c r="BN196" s="185"/>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hidden="1" customHeight="1" outlineLevel="2">
      <c r="A197" s="9"/>
      <c r="B197" s="9"/>
      <c r="C197" s="25"/>
      <c r="D197" s="385"/>
      <c r="E197" s="85">
        <v>7</v>
      </c>
      <c r="F197" s="191"/>
      <c r="G197" s="148"/>
      <c r="H197" s="148"/>
      <c r="I197" s="148"/>
      <c r="J197" s="148"/>
      <c r="K197" s="148"/>
      <c r="L197" s="148"/>
      <c r="M197" s="147"/>
      <c r="N197" s="67">
        <f>IF(A10taxstdlife="n/a","n/a",IF(N$3&gt;(A10taxstdlife+$E197),(Input!$N$50-Input!$N$84)-SUM($M197:M197),(Input!$N$50-Input!$N$84)/A10taxstdlife))</f>
        <v>0</v>
      </c>
      <c r="O197" s="67">
        <f>IF(A10taxstdlife="n/a","n/a",IF(O$3&gt;(A10taxstdlife+$E197),(Input!$N$50-Input!$N$84)-SUM($M197:N197),(Input!$N$50-Input!$N$84)/A10taxstdlife))</f>
        <v>0</v>
      </c>
      <c r="P197" s="67">
        <f>IF(A10taxstdlife="n/a","n/a",IF(P$3&gt;(A10taxstdlife+$E197),(Input!$N$50-Input!$N$84)-SUM($M197:O197),(Input!$N$50-Input!$N$84)/A10taxstdlife))</f>
        <v>0</v>
      </c>
      <c r="Q197" s="67"/>
      <c r="R197" s="102"/>
      <c r="S197" s="102"/>
      <c r="T197" s="102"/>
      <c r="U197" s="102"/>
      <c r="V197" s="102"/>
      <c r="W197" s="102"/>
      <c r="X197" s="102"/>
      <c r="Y197" s="102"/>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185"/>
      <c r="BJ197" s="185"/>
      <c r="BK197" s="185"/>
      <c r="BL197" s="185"/>
      <c r="BM197" s="185"/>
      <c r="BN197" s="185"/>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hidden="1" customHeight="1" outlineLevel="2">
      <c r="A198" s="9"/>
      <c r="B198" s="9"/>
      <c r="C198" s="25"/>
      <c r="D198" s="385"/>
      <c r="E198" s="85">
        <v>8</v>
      </c>
      <c r="F198" s="191"/>
      <c r="G198" s="148"/>
      <c r="H198" s="148"/>
      <c r="I198" s="148"/>
      <c r="J198" s="148"/>
      <c r="K198" s="148"/>
      <c r="L198" s="148"/>
      <c r="M198" s="148"/>
      <c r="N198" s="147"/>
      <c r="O198" s="67">
        <f>IF(A10taxstdlife="n/a","n/a",IF(O$3&gt;(A10taxstdlife+$E198),(Input!$O$50-Input!$O$84)-SUM($N198:N198),(Input!$O$50-Input!$O$84)/A10taxstdlife))</f>
        <v>0</v>
      </c>
      <c r="P198" s="67">
        <f>IF(A10taxstdlife="n/a","n/a",IF(P$3&gt;(A10taxstdlife+$E198),(Input!$O$50-Input!$O$84)-SUM($N198:O198),(Input!$O$50-Input!$O$84)/A10taxstdlife))</f>
        <v>0</v>
      </c>
      <c r="Q198" s="67"/>
      <c r="R198" s="102"/>
      <c r="S198" s="102"/>
      <c r="T198" s="102"/>
      <c r="U198" s="102"/>
      <c r="V198" s="102"/>
      <c r="W198" s="102"/>
      <c r="X198" s="102"/>
      <c r="Y198" s="102"/>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8"/>
      <c r="BJ198" s="185"/>
      <c r="BK198" s="185"/>
      <c r="BL198" s="185"/>
      <c r="BM198" s="185"/>
      <c r="BN198" s="185"/>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hidden="1" customHeight="1" outlineLevel="2">
      <c r="A199" s="9"/>
      <c r="B199" s="9"/>
      <c r="C199" s="25"/>
      <c r="D199" s="385"/>
      <c r="E199" s="85">
        <v>9</v>
      </c>
      <c r="F199" s="191"/>
      <c r="G199" s="148"/>
      <c r="H199" s="148"/>
      <c r="I199" s="148"/>
      <c r="J199" s="148"/>
      <c r="K199" s="148"/>
      <c r="L199" s="148"/>
      <c r="M199" s="148"/>
      <c r="N199" s="148"/>
      <c r="O199" s="147"/>
      <c r="P199" s="67">
        <f>IF(A10taxstdlife="n/a","n/a",IF(P$3&gt;(A10taxstdlife+$E199),(Input!$P$50-Input!$P$84)-SUM($O199:O199),(Input!$P$50-Input!$P$84)/A10taxstdlife))</f>
        <v>0</v>
      </c>
      <c r="Q199" s="67"/>
      <c r="R199" s="102"/>
      <c r="S199" s="102"/>
      <c r="T199" s="102"/>
      <c r="U199" s="102"/>
      <c r="V199" s="102"/>
      <c r="W199" s="102"/>
      <c r="X199" s="102"/>
      <c r="Y199" s="102"/>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185"/>
      <c r="BJ199" s="185"/>
      <c r="BK199" s="185"/>
      <c r="BL199" s="185"/>
      <c r="BM199" s="185"/>
      <c r="BN199" s="185"/>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hidden="1" customHeight="1" outlineLevel="2">
      <c r="A200" s="9"/>
      <c r="B200" s="9"/>
      <c r="C200" s="25"/>
      <c r="D200" s="385"/>
      <c r="E200" s="86">
        <v>10</v>
      </c>
      <c r="F200" s="191"/>
      <c r="G200" s="148"/>
      <c r="H200" s="148"/>
      <c r="I200" s="148"/>
      <c r="J200" s="148"/>
      <c r="K200" s="148"/>
      <c r="L200" s="148"/>
      <c r="M200" s="148"/>
      <c r="N200" s="148"/>
      <c r="O200" s="187"/>
      <c r="P200" s="147"/>
      <c r="Q200" s="67"/>
      <c r="R200" s="102"/>
      <c r="S200" s="102"/>
      <c r="T200" s="102"/>
      <c r="U200" s="102"/>
      <c r="V200" s="102"/>
      <c r="W200" s="102"/>
      <c r="X200" s="102"/>
      <c r="Y200" s="102"/>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185"/>
      <c r="BJ200" s="185"/>
      <c r="BK200" s="185"/>
      <c r="BL200" s="185"/>
      <c r="BM200" s="185"/>
      <c r="BN200" s="185"/>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hidden="1" customHeight="1" outlineLevel="1">
      <c r="A201" s="9"/>
      <c r="B201" s="9"/>
      <c r="C201" s="25" t="str">
        <f>Asset10</f>
        <v>132kV tower lines</v>
      </c>
      <c r="D201" s="9"/>
      <c r="E201" s="9"/>
      <c r="F201" s="191"/>
      <c r="G201" s="164">
        <f>-SUM(G189:G200)</f>
        <v>-1.4668082067145298</v>
      </c>
      <c r="H201" s="164">
        <f>-SUM(H189:H200)</f>
        <v>-0.38211917880057317</v>
      </c>
      <c r="I201" s="164">
        <f>-SUM(I189:I200)</f>
        <v>-0.54852136081119518</v>
      </c>
      <c r="J201" s="164">
        <f>-SUM(J189:J200)</f>
        <v>-0.67498909920615013</v>
      </c>
      <c r="K201" s="164">
        <f>-SUM(K189:K200)</f>
        <v>-0.62630451829436362</v>
      </c>
      <c r="L201" s="164"/>
      <c r="M201" s="164">
        <f>IF(Input!N173&gt;0, -SUM(M189:M200), 0)</f>
        <v>0</v>
      </c>
      <c r="N201" s="164">
        <f>IF(Input!O173&gt;0, -SUM(N189:N200), 0)</f>
        <v>0</v>
      </c>
      <c r="O201" s="164">
        <f>IF(Input!P173&gt;0, -SUM(O189:O200), 0)</f>
        <v>0</v>
      </c>
      <c r="P201" s="164">
        <f>IF(Input!Q173&gt;0, -SUM(P189:P200), 0)</f>
        <v>0</v>
      </c>
      <c r="Q201" s="63"/>
      <c r="R201" s="101"/>
      <c r="S201" s="101"/>
      <c r="T201" s="101"/>
      <c r="U201" s="101"/>
      <c r="V201" s="101"/>
      <c r="W201" s="101"/>
      <c r="X201" s="101"/>
      <c r="Y201" s="101"/>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216"/>
      <c r="BG201" s="216"/>
      <c r="BH201" s="216"/>
      <c r="BI201" s="185"/>
      <c r="BJ201" s="185"/>
      <c r="BK201" s="185"/>
      <c r="BL201" s="185"/>
      <c r="BM201" s="185"/>
      <c r="BN201" s="185"/>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hidden="1" customHeight="1" outlineLevel="2">
      <c r="A202" s="9"/>
      <c r="B202" s="31" t="str">
        <f>Asset11</f>
        <v>132kV concrete &amp; steel pole lines</v>
      </c>
      <c r="C202" s="32"/>
      <c r="D202" s="33" t="s">
        <v>67</v>
      </c>
      <c r="E202" s="32"/>
      <c r="F202" s="191"/>
      <c r="G202" s="356">
        <v>0.11636984269484459</v>
      </c>
      <c r="H202" s="356">
        <v>7.9603914723948649E-2</v>
      </c>
      <c r="I202" s="356">
        <v>7.9603914723948649E-2</v>
      </c>
      <c r="J202" s="356">
        <v>8.7159012133377581E-2</v>
      </c>
      <c r="K202" s="356">
        <v>8.7122557168189771E-2</v>
      </c>
      <c r="L202" s="356"/>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2"/>
      <c r="S202" s="308">
        <f>SUM(K202:K207)</f>
        <v>0.43801866024125413</v>
      </c>
      <c r="T202" s="102"/>
      <c r="U202" s="102"/>
      <c r="V202" s="102"/>
      <c r="W202" s="102"/>
      <c r="X202" s="102"/>
      <c r="Y202" s="102"/>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185"/>
      <c r="BJ202" s="185"/>
      <c r="BK202" s="185"/>
      <c r="BL202" s="185"/>
      <c r="BM202" s="185"/>
      <c r="BN202" s="185"/>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5"/>
      <c r="D203" s="384" t="s">
        <v>85</v>
      </c>
      <c r="E203" s="85"/>
      <c r="F203" s="309"/>
      <c r="G203" s="67"/>
      <c r="H203" s="67"/>
      <c r="I203" s="67"/>
      <c r="J203" s="67"/>
      <c r="K203" s="67"/>
      <c r="L203" s="67"/>
      <c r="M203" s="67"/>
      <c r="N203" s="67"/>
      <c r="O203" s="67"/>
      <c r="P203" s="67"/>
      <c r="Q203" s="67"/>
      <c r="R203" s="102"/>
      <c r="S203" s="102"/>
      <c r="T203" s="102"/>
      <c r="U203" s="102"/>
      <c r="V203" s="102"/>
      <c r="W203" s="102"/>
      <c r="X203" s="102"/>
      <c r="Y203" s="102"/>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185"/>
      <c r="BJ203" s="185"/>
      <c r="BK203" s="185"/>
      <c r="BL203" s="185"/>
      <c r="BM203" s="185"/>
      <c r="BN203" s="185"/>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hidden="1" customHeight="1" outlineLevel="2">
      <c r="A204" s="9"/>
      <c r="B204" s="9"/>
      <c r="C204" s="25"/>
      <c r="D204" s="385"/>
      <c r="E204" s="85">
        <v>1</v>
      </c>
      <c r="F204" s="191"/>
      <c r="G204" s="147"/>
      <c r="H204" s="67">
        <f>IF(A11taxstdlife="n/a","n/a",IF(H$3&gt;(A11taxstdlife+$E204),(Input!$H$51-Input!$H$85)-SUM($G204:G204),(Input!$H$51-Input!$H$85)/A11taxstdlife))</f>
        <v>0.29633867058823532</v>
      </c>
      <c r="I204" s="67">
        <f>IF(A11taxstdlife="n/a","n/a",IF(I$3&gt;(A11taxstdlife+$E204),(Input!$H$51-Input!$H$85)-SUM($G204:H204),(Input!$H$51-Input!$H$85)/A11taxstdlife))</f>
        <v>0.29633867058823532</v>
      </c>
      <c r="J204" s="67">
        <f>IF(A11taxstdlife="n/a","n/a",IF(J$3&gt;(A11taxstdlife+$E204),(Input!$H$51-Input!$H$85)-SUM($G204:I204),(Input!$H$51-Input!$H$85)/A11taxstdlife))</f>
        <v>0.29633867058823532</v>
      </c>
      <c r="K204" s="67">
        <f>IF(A11taxstdlife="n/a","n/a",IF(K$3&gt;(A11taxstdlife+$E204),(Input!$H$51-Input!$H$85)-SUM($G204:J204),(Input!$H$51-Input!$H$85)/A11taxstdlife))</f>
        <v>0.29633867058823532</v>
      </c>
      <c r="L204" s="67"/>
      <c r="M204" s="67">
        <f>IF(A11taxstdlife="n/a","n/a",IF(M$3&gt;(A11taxstdlife+$E204),(Input!$H$51-Input!$H$85)-SUM($G204:L204),(Input!$H$51-Input!$H$85)/A11taxstdlife))</f>
        <v>0.29633867058823532</v>
      </c>
      <c r="N204" s="67">
        <f>IF(A11taxstdlife="n/a","n/a",IF(N$3&gt;(A11taxstdlife+$E204),(Input!$H$51-Input!$H$85)-SUM($G204:M204),(Input!$H$51-Input!$H$85)/A11taxstdlife))</f>
        <v>0.29633867058823532</v>
      </c>
      <c r="O204" s="67">
        <f>IF(A11taxstdlife="n/a","n/a",IF(O$3&gt;(A11taxstdlife+$E204),(Input!$H$51-Input!$H$85)-SUM($G204:N204),(Input!$H$51-Input!$H$85)/A11taxstdlife))</f>
        <v>0.29633867058823532</v>
      </c>
      <c r="P204" s="67">
        <f>IF(A11taxstdlife="n/a","n/a",IF(P$3&gt;(A11taxstdlife+$E204),(Input!$H$51-Input!$H$85)-SUM($G204:O204),(Input!$H$51-Input!$H$85)/A11taxstdlife))</f>
        <v>0.29633867058823532</v>
      </c>
      <c r="Q204" s="67"/>
      <c r="R204" s="102"/>
      <c r="S204" s="102"/>
      <c r="T204" s="102"/>
      <c r="U204" s="102"/>
      <c r="V204" s="102"/>
      <c r="W204" s="102"/>
      <c r="X204" s="102"/>
      <c r="Y204" s="102"/>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185"/>
      <c r="BJ204" s="185"/>
      <c r="BK204" s="185"/>
      <c r="BL204" s="185"/>
      <c r="BM204" s="185"/>
      <c r="BN204" s="185"/>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hidden="1" customHeight="1" outlineLevel="2">
      <c r="A205" s="9"/>
      <c r="B205" s="9"/>
      <c r="C205" s="25"/>
      <c r="D205" s="385"/>
      <c r="E205" s="85">
        <v>2</v>
      </c>
      <c r="F205" s="191"/>
      <c r="G205" s="148"/>
      <c r="H205" s="147"/>
      <c r="I205" s="67">
        <f>IF(A11taxstdlife="n/a","n/a",IF(I$3&gt;(A11taxstdlife+$E205),(Input!$I$51-Input!$I$85)-SUM($H205:H205),(Input!$I$51-Input!$I$85)/A11taxstdlife))</f>
        <v>8.2103246980627306E-2</v>
      </c>
      <c r="J205" s="67">
        <f>IF(A11taxstdlife="n/a","n/a",IF(J$3&gt;(A11taxstdlife+$E205),(Input!$I$51-Input!$I$85)-SUM($H205:I205),(Input!$I$51-Input!$I$85)/A11taxstdlife))</f>
        <v>8.2103246980627306E-2</v>
      </c>
      <c r="K205" s="67">
        <f>IF(A11taxstdlife="n/a","n/a",IF(K$3&gt;(A11taxstdlife+$E205),(Input!$I$51-Input!$I$85)-SUM($H205:J205),(Input!$I$51-Input!$I$85)/A11taxstdlife))</f>
        <v>8.2103246980627306E-2</v>
      </c>
      <c r="L205" s="67"/>
      <c r="M205" s="67">
        <f>IF(A11taxstdlife="n/a","n/a",IF(M$3&gt;(A11taxstdlife+$E205),(Input!$I$51-Input!$I$85)-SUM($H205:L205),(Input!$I$51-Input!$I$85)/A11taxstdlife))</f>
        <v>8.2103246980627306E-2</v>
      </c>
      <c r="N205" s="67">
        <f>IF(A11taxstdlife="n/a","n/a",IF(N$3&gt;(A11taxstdlife+$E205),(Input!$I$51-Input!$I$85)-SUM($H205:M205),(Input!$I$51-Input!$I$85)/A11taxstdlife))</f>
        <v>8.2103246980627306E-2</v>
      </c>
      <c r="O205" s="67">
        <f>IF(A11taxstdlife="n/a","n/a",IF(O$3&gt;(A11taxstdlife+$E205),(Input!$I$51-Input!$I$85)-SUM($H205:N205),(Input!$I$51-Input!$I$85)/A11taxstdlife))</f>
        <v>8.2103246980627306E-2</v>
      </c>
      <c r="P205" s="67">
        <f>IF(A11taxstdlife="n/a","n/a",IF(P$3&gt;(A11taxstdlife+$E205),(Input!$I$51-Input!$I$85)-SUM($H205:O205),(Input!$I$51-Input!$I$85)/A11taxstdlife))</f>
        <v>8.2103246980627306E-2</v>
      </c>
      <c r="Q205" s="67"/>
      <c r="R205" s="102"/>
      <c r="S205" s="102"/>
      <c r="T205" s="102"/>
      <c r="U205" s="102"/>
      <c r="V205" s="102"/>
      <c r="W205" s="102"/>
      <c r="X205" s="102"/>
      <c r="Y205" s="102"/>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185"/>
      <c r="BJ205" s="185"/>
      <c r="BK205" s="185"/>
      <c r="BL205" s="185"/>
      <c r="BM205" s="185"/>
      <c r="BN205" s="18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hidden="1" customHeight="1" outlineLevel="2">
      <c r="A206" s="9"/>
      <c r="B206" s="9"/>
      <c r="C206" s="25"/>
      <c r="D206" s="385"/>
      <c r="E206" s="85">
        <v>3</v>
      </c>
      <c r="F206" s="191"/>
      <c r="G206" s="148"/>
      <c r="H206" s="148"/>
      <c r="I206" s="147"/>
      <c r="J206" s="67">
        <f>IF(A11taxstdlife="n/a","n/a",IF(J$3&gt;(A11taxstdlife+$E206),(Input!$J$51-Input!$J$85)-SUM($I206:I206),(Input!$J$51-Input!$J$85)/A11taxstdlife))</f>
        <v>1.6530347478991597E-2</v>
      </c>
      <c r="K206" s="67">
        <f>IF(A11taxstdlife="n/a","n/a",IF(K$3&gt;(A11taxstdlife+$E206),(Input!$J$51-Input!$J$85)-SUM($I206:J206),(Input!$J$51-Input!$J$85)/A11taxstdlife))</f>
        <v>1.6530347478991597E-2</v>
      </c>
      <c r="L206" s="67"/>
      <c r="M206" s="67">
        <f>IF(A11taxstdlife="n/a","n/a",IF(M$3&gt;(A11taxstdlife+$E206),(Input!$J$51-Input!$J$85)-SUM($I206:L206),(Input!$J$51-Input!$J$85)/A11taxstdlife))</f>
        <v>1.6530347478991597E-2</v>
      </c>
      <c r="N206" s="67">
        <f>IF(A11taxstdlife="n/a","n/a",IF(N$3&gt;(A11taxstdlife+$E206),(Input!$J$51-Input!$J$85)-SUM($I206:M206),(Input!$J$51-Input!$J$85)/A11taxstdlife))</f>
        <v>1.6530347478991597E-2</v>
      </c>
      <c r="O206" s="67">
        <f>IF(A11taxstdlife="n/a","n/a",IF(O$3&gt;(A11taxstdlife+$E206),(Input!$J$51-Input!$J$85)-SUM($I206:N206),(Input!$J$51-Input!$J$85)/A11taxstdlife))</f>
        <v>1.6530347478991597E-2</v>
      </c>
      <c r="P206" s="67">
        <f>IF(A11taxstdlife="n/a","n/a",IF(P$3&gt;(A11taxstdlife+$E206),(Input!$J$51-Input!$J$85)-SUM($I206:O206),(Input!$J$51-Input!$J$85)/A11taxstdlife))</f>
        <v>1.6530347478991597E-2</v>
      </c>
      <c r="Q206" s="67"/>
      <c r="R206" s="102"/>
      <c r="S206" s="102"/>
      <c r="T206" s="102"/>
      <c r="U206" s="102"/>
      <c r="V206" s="102"/>
      <c r="W206" s="102"/>
      <c r="X206" s="102"/>
      <c r="Y206" s="102"/>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185"/>
      <c r="BJ206" s="185"/>
      <c r="BK206" s="185"/>
      <c r="BL206" s="185"/>
      <c r="BM206" s="185"/>
      <c r="BN206" s="185"/>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hidden="1" customHeight="1" outlineLevel="2">
      <c r="A207" s="9"/>
      <c r="B207" s="9"/>
      <c r="C207" s="25"/>
      <c r="D207" s="385"/>
      <c r="E207" s="85">
        <v>4</v>
      </c>
      <c r="F207" s="191"/>
      <c r="G207" s="148"/>
      <c r="H207" s="148"/>
      <c r="I207" s="148"/>
      <c r="J207" s="147"/>
      <c r="K207" s="67">
        <f>IF(A11taxstdlife="n/a","n/a",IF(K$3&gt;(A11taxstdlife+$E207),(Input!$K$51-Input!$K$85)-SUM($J207:J207),(Input!$K$51-Input!$K$85)/A11taxstdlife))</f>
        <v>-4.4076161974789911E-2</v>
      </c>
      <c r="L207" s="67"/>
      <c r="M207" s="67">
        <f>IF(A11taxstdlife="n/a","n/a",IF(M$3&gt;(A11taxstdlife+$E207),(Input!$K$51-Input!$K$85)-SUM($J207:L207),(Input!$K$51-Input!$K$85)/A11taxstdlife))</f>
        <v>-4.4076161974789911E-2</v>
      </c>
      <c r="N207" s="67">
        <f>IF(A11taxstdlife="n/a","n/a",IF(N$3&gt;(A11taxstdlife+$E207),(Input!$K$51-Input!$K$85)-SUM($J207:M207),(Input!$K$51-Input!$K$85)/A11taxstdlife))</f>
        <v>-4.4076161974789911E-2</v>
      </c>
      <c r="O207" s="67">
        <f>IF(A11taxstdlife="n/a","n/a",IF(O$3&gt;(A11taxstdlife+$E207),(Input!$K$51-Input!$K$85)-SUM($J207:N207),(Input!$K$51-Input!$K$85)/A11taxstdlife))</f>
        <v>-4.4076161974789911E-2</v>
      </c>
      <c r="P207" s="67">
        <f>IF(A11taxstdlife="n/a","n/a",IF(P$3&gt;(A11taxstdlife+$E207),(Input!$K$51-Input!$K$85)-SUM($J207:O207),(Input!$K$51-Input!$K$85)/A11taxstdlife))</f>
        <v>-4.4076161974789911E-2</v>
      </c>
      <c r="Q207" s="67"/>
      <c r="R207" s="102"/>
      <c r="S207" s="102"/>
      <c r="T207" s="102"/>
      <c r="U207" s="102"/>
      <c r="V207" s="102"/>
      <c r="W207" s="102"/>
      <c r="X207" s="102"/>
      <c r="Y207" s="102"/>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185"/>
      <c r="BJ207" s="185"/>
      <c r="BK207" s="185"/>
      <c r="BL207" s="185"/>
      <c r="BM207" s="185"/>
      <c r="BN207" s="185"/>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hidden="1" customHeight="1" outlineLevel="2">
      <c r="A208" s="9"/>
      <c r="B208" s="9"/>
      <c r="C208" s="25"/>
      <c r="D208" s="385"/>
      <c r="E208" s="85">
        <v>5</v>
      </c>
      <c r="F208" s="191"/>
      <c r="G208" s="148"/>
      <c r="H208" s="148"/>
      <c r="I208" s="148"/>
      <c r="J208" s="148"/>
      <c r="K208" s="147"/>
      <c r="L208" s="67"/>
      <c r="M208" s="67">
        <f>IF(A11taxstdlife="n/a","n/a",IF(M$3&gt;(A11taxstdlife+$E208),(Input!$L$51-Input!$L$85)-SUM($K208:L208),(Input!$L$51-Input!$L$85)/A11taxstdlife))</f>
        <v>-5.1149343831693016E-3</v>
      </c>
      <c r="N208" s="67">
        <f>IF(A11taxstdlife="n/a","n/a",IF(N$3&gt;(A11taxstdlife+$E208),(Input!$L$51-Input!$L$85)-SUM($K208:M208),(Input!$L$51-Input!$L$85)/A11taxstdlife))</f>
        <v>-5.1149343831693016E-3</v>
      </c>
      <c r="O208" s="67">
        <f>IF(A11taxstdlife="n/a","n/a",IF(O$3&gt;(A11taxstdlife+$E208),(Input!$L$51-Input!$L$85)-SUM($K208:N208),(Input!$L$51-Input!$L$85)/A11taxstdlife))</f>
        <v>-5.1149343831693016E-3</v>
      </c>
      <c r="P208" s="67">
        <f>IF(A11taxstdlife="n/a","n/a",IF(P$3&gt;(A11taxstdlife+$E208),(Input!$L$51-Input!$L$85)-SUM($K208:O208),(Input!$L$51-Input!$L$85)/A11taxstdlife))</f>
        <v>-5.1149343831693016E-3</v>
      </c>
      <c r="Q208" s="67"/>
      <c r="R208" s="102"/>
      <c r="S208" s="102"/>
      <c r="T208" s="102"/>
      <c r="U208" s="102"/>
      <c r="V208" s="102"/>
      <c r="W208" s="102"/>
      <c r="X208" s="102"/>
      <c r="Y208" s="102"/>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185"/>
      <c r="BJ208" s="185"/>
      <c r="BK208" s="185"/>
      <c r="BL208" s="185"/>
      <c r="BM208" s="185"/>
      <c r="BN208" s="185"/>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hidden="1" customHeight="1" outlineLevel="2">
      <c r="A209" s="9"/>
      <c r="B209" s="9"/>
      <c r="C209" s="25"/>
      <c r="D209" s="385"/>
      <c r="E209" s="85">
        <v>6</v>
      </c>
      <c r="F209" s="191"/>
      <c r="G209" s="148"/>
      <c r="H209" s="148"/>
      <c r="I209" s="148"/>
      <c r="J209" s="148"/>
      <c r="K209" s="148"/>
      <c r="L209" s="147"/>
      <c r="M209" s="67">
        <f>IF(A11taxstdlife="n/a","n/a",IF(M$3&gt;(A11taxstdlife+$E209),(Input!$M$51-Input!$M$85)-SUM($L209:L209),(Input!$M$51-Input!$M$85)/A11taxstdlife))</f>
        <v>0</v>
      </c>
      <c r="N209" s="67">
        <f>IF(A11taxstdlife="n/a","n/a",IF(N$3&gt;(A11taxstdlife+$E209),(Input!$M$51-Input!$M$85)-SUM($L209:M209),(Input!$M$51-Input!$M$85)/A11taxstdlife))</f>
        <v>0</v>
      </c>
      <c r="O209" s="67">
        <f>IF(A11taxstdlife="n/a","n/a",IF(O$3&gt;(A11taxstdlife+$E209),(Input!$M$51-Input!$M$85)-SUM($L209:N209),(Input!$M$51-Input!$M$85)/A11taxstdlife))</f>
        <v>0</v>
      </c>
      <c r="P209" s="67">
        <f>IF(A11taxstdlife="n/a","n/a",IF(P$3&gt;(A11taxstdlife+$E209),(Input!$M$51-Input!$M$85)-SUM($L209:O209),(Input!$M$51-Input!$M$85)/A11taxstdlife))</f>
        <v>0</v>
      </c>
      <c r="Q209" s="67"/>
      <c r="R209" s="102"/>
      <c r="S209" s="102"/>
      <c r="T209" s="102"/>
      <c r="U209" s="102"/>
      <c r="V209" s="102"/>
      <c r="W209" s="102"/>
      <c r="X209" s="102"/>
      <c r="Y209" s="102"/>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185"/>
      <c r="BJ209" s="185"/>
      <c r="BK209" s="185"/>
      <c r="BL209" s="185"/>
      <c r="BM209" s="185"/>
      <c r="BN209" s="185"/>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hidden="1" customHeight="1" outlineLevel="2">
      <c r="A210" s="9"/>
      <c r="B210" s="9"/>
      <c r="C210" s="25"/>
      <c r="D210" s="385"/>
      <c r="E210" s="85">
        <v>7</v>
      </c>
      <c r="F210" s="191"/>
      <c r="G210" s="148"/>
      <c r="H210" s="148"/>
      <c r="I210" s="148"/>
      <c r="J210" s="148"/>
      <c r="K210" s="148"/>
      <c r="L210" s="148"/>
      <c r="M210" s="147"/>
      <c r="N210" s="67">
        <f>IF(A11taxstdlife="n/a","n/a",IF(N$3&gt;(A11taxstdlife+$E210),(Input!$N$51-Input!$N$85)-SUM($M210:M210),(Input!$N$51-Input!$N$85)/A11taxstdlife))</f>
        <v>0</v>
      </c>
      <c r="O210" s="67">
        <f>IF(A11taxstdlife="n/a","n/a",IF(O$3&gt;(A11taxstdlife+$E210),(Input!$N$51-Input!$N$85)-SUM($M210:N210),(Input!$N$51-Input!$N$85)/A11taxstdlife))</f>
        <v>0</v>
      </c>
      <c r="P210" s="67">
        <f>IF(A11taxstdlife="n/a","n/a",IF(P$3&gt;(A11taxstdlife+$E210),(Input!$N$51-Input!$N$85)-SUM($M210:O210),(Input!$N$51-Input!$N$85)/A11taxstdlife))</f>
        <v>0</v>
      </c>
      <c r="Q210" s="67"/>
      <c r="R210" s="102"/>
      <c r="S210" s="102"/>
      <c r="T210" s="102"/>
      <c r="U210" s="102"/>
      <c r="V210" s="102"/>
      <c r="W210" s="102"/>
      <c r="X210" s="102"/>
      <c r="Y210" s="102"/>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185"/>
      <c r="BJ210" s="185"/>
      <c r="BK210" s="185"/>
      <c r="BL210" s="185"/>
      <c r="BM210" s="185"/>
      <c r="BN210" s="185"/>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hidden="1" customHeight="1" outlineLevel="2">
      <c r="A211" s="9"/>
      <c r="B211" s="9"/>
      <c r="C211" s="25"/>
      <c r="D211" s="385"/>
      <c r="E211" s="85">
        <v>8</v>
      </c>
      <c r="F211" s="191"/>
      <c r="G211" s="148"/>
      <c r="H211" s="148"/>
      <c r="I211" s="148"/>
      <c r="J211" s="148"/>
      <c r="K211" s="148"/>
      <c r="L211" s="148"/>
      <c r="M211" s="148"/>
      <c r="N211" s="147"/>
      <c r="O211" s="67">
        <f>IF(A11taxstdlife="n/a","n/a",IF(O$3&gt;(A11taxstdlife+$E211),(Input!$O$51-Input!$O$85)-SUM($N211:N211),(Input!$O$51-Input!$O$85)/A11taxstdlife))</f>
        <v>0</v>
      </c>
      <c r="P211" s="67">
        <f>IF(A11taxstdlife="n/a","n/a",IF(P$3&gt;(A11taxstdlife+$E211),(Input!$O$51-Input!$O$85)-SUM($N211:O211),(Input!$O$51-Input!$O$85)/A11taxstdlife))</f>
        <v>0</v>
      </c>
      <c r="Q211" s="67"/>
      <c r="R211" s="102"/>
      <c r="S211" s="102"/>
      <c r="T211" s="102"/>
      <c r="U211" s="102"/>
      <c r="V211" s="102"/>
      <c r="W211" s="102"/>
      <c r="X211" s="102"/>
      <c r="Y211" s="102"/>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185"/>
      <c r="BJ211" s="185"/>
      <c r="BK211" s="185"/>
      <c r="BL211" s="185"/>
      <c r="BM211" s="185"/>
      <c r="BN211" s="185"/>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hidden="1" customHeight="1" outlineLevel="2">
      <c r="A212" s="9"/>
      <c r="B212" s="9"/>
      <c r="C212" s="25"/>
      <c r="D212" s="385"/>
      <c r="E212" s="85">
        <v>9</v>
      </c>
      <c r="F212" s="191"/>
      <c r="G212" s="148"/>
      <c r="H212" s="148"/>
      <c r="I212" s="148"/>
      <c r="J212" s="148"/>
      <c r="K212" s="148"/>
      <c r="L212" s="148"/>
      <c r="M212" s="148"/>
      <c r="N212" s="148"/>
      <c r="O212" s="147"/>
      <c r="P212" s="67">
        <f>IF(A11taxstdlife="n/a","n/a",IF(P$3&gt;(A11taxstdlife+$E212),(Input!$P$51-Input!$P$85)-SUM($O212:O212),(Input!$P$51-Input!$P$85)/A11taxstdlife))</f>
        <v>0</v>
      </c>
      <c r="Q212" s="67"/>
      <c r="R212" s="102"/>
      <c r="S212" s="102"/>
      <c r="T212" s="102"/>
      <c r="U212" s="102"/>
      <c r="V212" s="102"/>
      <c r="W212" s="102"/>
      <c r="X212" s="102"/>
      <c r="Y212" s="102"/>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185"/>
      <c r="BJ212" s="185"/>
      <c r="BK212" s="185"/>
      <c r="BL212" s="185"/>
      <c r="BM212" s="185"/>
      <c r="BN212" s="185"/>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hidden="1" customHeight="1" outlineLevel="2">
      <c r="A213" s="9"/>
      <c r="B213" s="9"/>
      <c r="C213" s="25"/>
      <c r="D213" s="385"/>
      <c r="E213" s="86">
        <v>10</v>
      </c>
      <c r="F213" s="191"/>
      <c r="G213" s="148"/>
      <c r="H213" s="148"/>
      <c r="I213" s="148"/>
      <c r="J213" s="148"/>
      <c r="K213" s="148"/>
      <c r="L213" s="148"/>
      <c r="M213" s="148"/>
      <c r="N213" s="148"/>
      <c r="O213" s="187"/>
      <c r="P213" s="147"/>
      <c r="Q213" s="67"/>
      <c r="R213" s="102"/>
      <c r="S213" s="102"/>
      <c r="T213" s="102"/>
      <c r="U213" s="102"/>
      <c r="V213" s="102"/>
      <c r="W213" s="102"/>
      <c r="X213" s="102"/>
      <c r="Y213" s="102"/>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185"/>
      <c r="BJ213" s="185"/>
      <c r="BK213" s="185"/>
      <c r="BL213" s="185"/>
      <c r="BM213" s="185"/>
      <c r="BN213" s="185"/>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hidden="1" customHeight="1" outlineLevel="1">
      <c r="A214" s="9"/>
      <c r="B214" s="9"/>
      <c r="C214" s="25" t="str">
        <f>Asset11</f>
        <v>132kV concrete &amp; steel pole lines</v>
      </c>
      <c r="D214" s="9"/>
      <c r="E214" s="9"/>
      <c r="F214" s="203"/>
      <c r="G214" s="164">
        <f>-SUM(G202:G213)</f>
        <v>-0.11636984269484459</v>
      </c>
      <c r="H214" s="164">
        <f>-SUM(H202:H213)</f>
        <v>-0.37594258531218394</v>
      </c>
      <c r="I214" s="164">
        <f>-SUM(I202:I213)</f>
        <v>-0.45804583229281126</v>
      </c>
      <c r="J214" s="164">
        <f>-SUM(J202:J213)</f>
        <v>-0.48213127718123183</v>
      </c>
      <c r="K214" s="164">
        <f>-SUM(K202:K213)</f>
        <v>-0.43801866024125413</v>
      </c>
      <c r="L214" s="164"/>
      <c r="M214" s="164">
        <f>IF(Input!N173&gt;0, -SUM(M202:M213), 0)</f>
        <v>0</v>
      </c>
      <c r="N214" s="164">
        <f>IF(Input!O173&gt;0, -SUM(N202:N213), 0)</f>
        <v>0</v>
      </c>
      <c r="O214" s="164">
        <f>IF(Input!P173&gt;0, -SUM(O202:O213), 0)</f>
        <v>0</v>
      </c>
      <c r="P214" s="164">
        <f>IF(Input!Q173&gt;0, -SUM(P202:P213), 0)</f>
        <v>0</v>
      </c>
      <c r="Q214" s="63"/>
      <c r="R214" s="101"/>
      <c r="S214" s="308"/>
      <c r="T214" s="101"/>
      <c r="U214" s="101"/>
      <c r="V214" s="101"/>
      <c r="W214" s="101"/>
      <c r="X214" s="101"/>
      <c r="Y214" s="101"/>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185"/>
      <c r="BJ214" s="185"/>
      <c r="BK214" s="185"/>
      <c r="BL214" s="185"/>
      <c r="BM214" s="185"/>
      <c r="BN214" s="185"/>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hidden="1" customHeight="1" outlineLevel="2">
      <c r="A215" s="9"/>
      <c r="B215" s="31" t="str">
        <f>Asset12</f>
        <v>132kV wood pole lines</v>
      </c>
      <c r="C215" s="32"/>
      <c r="D215" s="33" t="s">
        <v>67</v>
      </c>
      <c r="E215" s="32"/>
      <c r="F215" s="203"/>
      <c r="G215" s="356">
        <v>0.69959367100196468</v>
      </c>
      <c r="H215" s="356">
        <v>0.44582967197439355</v>
      </c>
      <c r="I215" s="356">
        <v>0.42466142015411162</v>
      </c>
      <c r="J215" s="356">
        <v>0.45070990295753671</v>
      </c>
      <c r="K215" s="356">
        <v>0.39560518052750165</v>
      </c>
      <c r="L215" s="356"/>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2"/>
      <c r="S215" s="308">
        <f>SUM(K215:K220)</f>
        <v>0.63512201324977058</v>
      </c>
      <c r="T215" s="102"/>
      <c r="U215" s="102"/>
      <c r="V215" s="102"/>
      <c r="W215" s="102"/>
      <c r="X215" s="102"/>
      <c r="Y215" s="102"/>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185"/>
      <c r="BJ215" s="185"/>
      <c r="BK215" s="185"/>
      <c r="BL215" s="185"/>
      <c r="BM215" s="185"/>
      <c r="BN215" s="18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5"/>
      <c r="D216" s="384" t="s">
        <v>85</v>
      </c>
      <c r="E216" s="85"/>
      <c r="F216" s="310"/>
      <c r="G216" s="67"/>
      <c r="H216" s="67"/>
      <c r="I216" s="67"/>
      <c r="J216" s="67"/>
      <c r="K216" s="67"/>
      <c r="L216" s="67"/>
      <c r="M216" s="67"/>
      <c r="N216" s="67"/>
      <c r="O216" s="67"/>
      <c r="P216" s="67"/>
      <c r="Q216" s="67"/>
      <c r="R216" s="102"/>
      <c r="S216" s="102"/>
      <c r="T216" s="102"/>
      <c r="U216" s="102"/>
      <c r="V216" s="102"/>
      <c r="W216" s="102"/>
      <c r="X216" s="102"/>
      <c r="Y216" s="102"/>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185"/>
      <c r="BJ216" s="185"/>
      <c r="BK216" s="185"/>
      <c r="BL216" s="185"/>
      <c r="BM216" s="185"/>
      <c r="BN216" s="185"/>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hidden="1" customHeight="1" outlineLevel="2">
      <c r="A217" s="9"/>
      <c r="B217" s="9"/>
      <c r="C217" s="25"/>
      <c r="D217" s="385"/>
      <c r="E217" s="85">
        <v>1</v>
      </c>
      <c r="F217" s="203"/>
      <c r="G217" s="147"/>
      <c r="H217" s="67">
        <f>IF(A12taxstdlife="n/a","n/a",IF(H$3&gt;(A12taxstdlife+$E217),(Input!$H$52-Input!$H$86)-SUM($G217:G217),(Input!$H$52-Input!$H$86)/A12taxstdlife))</f>
        <v>0.21099868965504195</v>
      </c>
      <c r="I217" s="67">
        <f>IF(A12taxstdlife="n/a","n/a",IF(I$3&gt;(A12taxstdlife+$E217),(Input!$H$52-Input!$H$86)-SUM($G217:H217),(Input!$H$52-Input!$H$86)/A12taxstdlife))</f>
        <v>0.21099868965504195</v>
      </c>
      <c r="J217" s="67">
        <f>IF(A12taxstdlife="n/a","n/a",IF(J$3&gt;(A12taxstdlife+$E217),(Input!$H$52-Input!$H$86)-SUM($G217:I217),(Input!$H$52-Input!$H$86)/A12taxstdlife))</f>
        <v>0.21099868965504195</v>
      </c>
      <c r="K217" s="67">
        <f>IF(A12taxstdlife="n/a","n/a",IF(K$3&gt;(A12taxstdlife+$E217),(Input!$H$52-Input!$H$86)-SUM($G217:J217),(Input!$H$52-Input!$H$86)/A12taxstdlife))</f>
        <v>0.21099868965504195</v>
      </c>
      <c r="L217" s="67"/>
      <c r="M217" s="67">
        <f>IF(A12taxstdlife="n/a","n/a",IF(M$3&gt;(A12taxstdlife+$E217),(Input!$H$52-Input!$H$86)-SUM($G217:L217),(Input!$H$52-Input!$H$86)/A12taxstdlife))</f>
        <v>0.21099868965504195</v>
      </c>
      <c r="N217" s="67">
        <f>IF(A12taxstdlife="n/a","n/a",IF(N$3&gt;(A12taxstdlife+$E217),(Input!$H$52-Input!$H$86)-SUM($G217:M217),(Input!$H$52-Input!$H$86)/A12taxstdlife))</f>
        <v>0.21099868965504195</v>
      </c>
      <c r="O217" s="67">
        <f>IF(A12taxstdlife="n/a","n/a",IF(O$3&gt;(A12taxstdlife+$E217),(Input!$H$52-Input!$H$86)-SUM($G217:N217),(Input!$H$52-Input!$H$86)/A12taxstdlife))</f>
        <v>0.21099868965504195</v>
      </c>
      <c r="P217" s="67">
        <f>IF(A12taxstdlife="n/a","n/a",IF(P$3&gt;(A12taxstdlife+$E217),(Input!$H$52-Input!$H$86)-SUM($G217:O217),(Input!$H$52-Input!$H$86)/A12taxstdlife))</f>
        <v>0.21099868965504195</v>
      </c>
      <c r="Q217" s="67"/>
      <c r="R217" s="102"/>
      <c r="S217" s="102"/>
      <c r="T217" s="102"/>
      <c r="U217" s="102"/>
      <c r="V217" s="102"/>
      <c r="W217" s="102"/>
      <c r="X217" s="102"/>
      <c r="Y217" s="102"/>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185"/>
      <c r="BJ217" s="185"/>
      <c r="BK217" s="185"/>
      <c r="BL217" s="185"/>
      <c r="BM217" s="185"/>
      <c r="BN217" s="185"/>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hidden="1" customHeight="1" outlineLevel="2">
      <c r="A218" s="9"/>
      <c r="B218" s="9"/>
      <c r="C218" s="25"/>
      <c r="D218" s="385"/>
      <c r="E218" s="85">
        <v>2</v>
      </c>
      <c r="F218" s="203"/>
      <c r="G218" s="148"/>
      <c r="H218" s="147"/>
      <c r="I218" s="67">
        <f>IF(A12taxstdlife="n/a","n/a",IF(I$3&gt;(A12taxstdlife+$E218),(Input!$I$52-Input!$I$86)-SUM($H218:H218),(Input!$I$52-Input!$I$86)/A12taxstdlife))</f>
        <v>8.8323449579831934E-3</v>
      </c>
      <c r="J218" s="67">
        <f>IF(A12taxstdlife="n/a","n/a",IF(J$3&gt;(A12taxstdlife+$E218),(Input!$I$52-Input!$I$86)-SUM($H218:I218),(Input!$I$52-Input!$I$86)/A12taxstdlife))</f>
        <v>8.8323449579831934E-3</v>
      </c>
      <c r="K218" s="67">
        <f>IF(A12taxstdlife="n/a","n/a",IF(K$3&gt;(A12taxstdlife+$E218),(Input!$I$52-Input!$I$86)-SUM($H218:J218),(Input!$I$52-Input!$I$86)/A12taxstdlife))</f>
        <v>8.8323449579831934E-3</v>
      </c>
      <c r="L218" s="67"/>
      <c r="M218" s="67">
        <f>IF(A12taxstdlife="n/a","n/a",IF(M$3&gt;(A12taxstdlife+$E218),(Input!$I$52-Input!$I$86)-SUM($H218:L218),(Input!$I$52-Input!$I$86)/A12taxstdlife))</f>
        <v>8.8323449579831934E-3</v>
      </c>
      <c r="N218" s="67">
        <f>IF(A12taxstdlife="n/a","n/a",IF(N$3&gt;(A12taxstdlife+$E218),(Input!$I$52-Input!$I$86)-SUM($H218:M218),(Input!$I$52-Input!$I$86)/A12taxstdlife))</f>
        <v>8.8323449579831934E-3</v>
      </c>
      <c r="O218" s="67">
        <f>IF(A12taxstdlife="n/a","n/a",IF(O$3&gt;(A12taxstdlife+$E218),(Input!$I$52-Input!$I$86)-SUM($H218:N218),(Input!$I$52-Input!$I$86)/A12taxstdlife))</f>
        <v>8.8323449579831934E-3</v>
      </c>
      <c r="P218" s="67">
        <f>IF(A12taxstdlife="n/a","n/a",IF(P$3&gt;(A12taxstdlife+$E218),(Input!$I$52-Input!$I$86)-SUM($H218:O218),(Input!$I$52-Input!$I$86)/A12taxstdlife))</f>
        <v>8.8323449579831934E-3</v>
      </c>
      <c r="Q218" s="67"/>
      <c r="R218" s="102"/>
      <c r="S218" s="102"/>
      <c r="T218" s="102"/>
      <c r="U218" s="102"/>
      <c r="V218" s="102"/>
      <c r="W218" s="102"/>
      <c r="X218" s="102"/>
      <c r="Y218" s="102"/>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185"/>
      <c r="BJ218" s="185"/>
      <c r="BK218" s="185"/>
      <c r="BL218" s="185"/>
      <c r="BM218" s="185"/>
      <c r="BN218" s="185"/>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hidden="1" customHeight="1" outlineLevel="2">
      <c r="A219" s="9"/>
      <c r="B219" s="9"/>
      <c r="C219" s="25"/>
      <c r="D219" s="385"/>
      <c r="E219" s="85">
        <v>3</v>
      </c>
      <c r="F219" s="203"/>
      <c r="G219" s="148"/>
      <c r="H219" s="148"/>
      <c r="I219" s="147"/>
      <c r="J219" s="67">
        <f>IF(A12taxstdlife="n/a","n/a",IF(J$3&gt;(A12taxstdlife+$E219),(Input!$J$52-Input!$J$86)-SUM($I219:I219),(Input!$J$52-Input!$J$86)/A12taxstdlife))</f>
        <v>7.3839819327731083E-3</v>
      </c>
      <c r="K219" s="67">
        <f>IF(A12taxstdlife="n/a","n/a",IF(K$3&gt;(A12taxstdlife+$E219),(Input!$J$52-Input!$J$86)-SUM($I219:J219),(Input!$J$52-Input!$J$86)/A12taxstdlife))</f>
        <v>7.3839819327731083E-3</v>
      </c>
      <c r="L219" s="67"/>
      <c r="M219" s="67">
        <f>IF(A12taxstdlife="n/a","n/a",IF(M$3&gt;(A12taxstdlife+$E219),(Input!$J$52-Input!$J$86)-SUM($I219:L219),(Input!$J$52-Input!$J$86)/A12taxstdlife))</f>
        <v>7.3839819327731083E-3</v>
      </c>
      <c r="N219" s="67">
        <f>IF(A12taxstdlife="n/a","n/a",IF(N$3&gt;(A12taxstdlife+$E219),(Input!$J$52-Input!$J$86)-SUM($I219:M219),(Input!$J$52-Input!$J$86)/A12taxstdlife))</f>
        <v>7.3839819327731083E-3</v>
      </c>
      <c r="O219" s="67">
        <f>IF(A12taxstdlife="n/a","n/a",IF(O$3&gt;(A12taxstdlife+$E219),(Input!$J$52-Input!$J$86)-SUM($I219:N219),(Input!$J$52-Input!$J$86)/A12taxstdlife))</f>
        <v>7.3839819327731083E-3</v>
      </c>
      <c r="P219" s="67">
        <f>IF(A12taxstdlife="n/a","n/a",IF(P$3&gt;(A12taxstdlife+$E219),(Input!$J$52-Input!$J$86)-SUM($I219:O219),(Input!$J$52-Input!$J$86)/A12taxstdlife))</f>
        <v>7.3839819327731083E-3</v>
      </c>
      <c r="Q219" s="67"/>
      <c r="R219" s="102"/>
      <c r="S219" s="102"/>
      <c r="T219" s="102"/>
      <c r="U219" s="102"/>
      <c r="V219" s="102"/>
      <c r="W219" s="102"/>
      <c r="X219" s="102"/>
      <c r="Y219" s="102"/>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185"/>
      <c r="BJ219" s="185"/>
      <c r="BK219" s="185"/>
      <c r="BL219" s="185"/>
      <c r="BM219" s="185"/>
      <c r="BN219" s="185"/>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hidden="1" customHeight="1" outlineLevel="2">
      <c r="A220" s="9"/>
      <c r="B220" s="9"/>
      <c r="C220" s="25"/>
      <c r="D220" s="385"/>
      <c r="E220" s="85">
        <v>4</v>
      </c>
      <c r="F220" s="203"/>
      <c r="G220" s="148"/>
      <c r="H220" s="148"/>
      <c r="I220" s="148"/>
      <c r="J220" s="147"/>
      <c r="K220" s="67">
        <f>IF(A12taxstdlife="n/a","n/a",IF(K$3&gt;(A12taxstdlife+$E220),(Input!$K$52-Input!$K$86)-SUM($J220:J220),(Input!$K$52-Input!$K$86)/A12taxstdlife))</f>
        <v>1.2301816176470587E-2</v>
      </c>
      <c r="L220" s="67"/>
      <c r="M220" s="67">
        <f>IF(A12taxstdlife="n/a","n/a",IF(M$3&gt;(A12taxstdlife+$E220),(Input!$K$52-Input!$K$86)-SUM($J220:L220),(Input!$K$52-Input!$K$86)/A12taxstdlife))</f>
        <v>1.2301816176470587E-2</v>
      </c>
      <c r="N220" s="67">
        <f>IF(A12taxstdlife="n/a","n/a",IF(N$3&gt;(A12taxstdlife+$E220),(Input!$K$52-Input!$K$86)-SUM($J220:M220),(Input!$K$52-Input!$K$86)/A12taxstdlife))</f>
        <v>1.2301816176470587E-2</v>
      </c>
      <c r="O220" s="67">
        <f>IF(A12taxstdlife="n/a","n/a",IF(O$3&gt;(A12taxstdlife+$E220),(Input!$K$52-Input!$K$86)-SUM($J220:N220),(Input!$K$52-Input!$K$86)/A12taxstdlife))</f>
        <v>1.2301816176470587E-2</v>
      </c>
      <c r="P220" s="67">
        <f>IF(A12taxstdlife="n/a","n/a",IF(P$3&gt;(A12taxstdlife+$E220),(Input!$K$52-Input!$K$86)-SUM($J220:O220),(Input!$K$52-Input!$K$86)/A12taxstdlife))</f>
        <v>1.2301816176470587E-2</v>
      </c>
      <c r="Q220" s="67"/>
      <c r="R220" s="102"/>
      <c r="S220" s="102"/>
      <c r="T220" s="102"/>
      <c r="U220" s="102"/>
      <c r="V220" s="102"/>
      <c r="W220" s="102"/>
      <c r="X220" s="102"/>
      <c r="Y220" s="102"/>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185"/>
      <c r="BJ220" s="185"/>
      <c r="BK220" s="185"/>
      <c r="BL220" s="185"/>
      <c r="BM220" s="185"/>
      <c r="BN220" s="185"/>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hidden="1" customHeight="1" outlineLevel="2">
      <c r="A221" s="9"/>
      <c r="B221" s="9"/>
      <c r="C221" s="25"/>
      <c r="D221" s="385"/>
      <c r="E221" s="85">
        <v>5</v>
      </c>
      <c r="F221" s="203"/>
      <c r="G221" s="148"/>
      <c r="H221" s="148"/>
      <c r="I221" s="148"/>
      <c r="J221" s="148"/>
      <c r="K221" s="147"/>
      <c r="L221" s="67"/>
      <c r="M221" s="67">
        <f>IF(A12taxstdlife="n/a","n/a",IF(M$3&gt;(A12taxstdlife+$E221),(Input!$L$52-Input!$L$86)-SUM($K221:L221),(Input!$L$52-Input!$L$86)/A12taxstdlife))</f>
        <v>9.456983067280527E-3</v>
      </c>
      <c r="N221" s="67">
        <f>IF(A12taxstdlife="n/a","n/a",IF(N$3&gt;(A12taxstdlife+$E221),(Input!$L$52-Input!$L$86)-SUM($K221:M221),(Input!$L$52-Input!$L$86)/A12taxstdlife))</f>
        <v>9.456983067280527E-3</v>
      </c>
      <c r="O221" s="67">
        <f>IF(A12taxstdlife="n/a","n/a",IF(O$3&gt;(A12taxstdlife+$E221),(Input!$L$52-Input!$L$86)-SUM($K221:N221),(Input!$L$52-Input!$L$86)/A12taxstdlife))</f>
        <v>9.456983067280527E-3</v>
      </c>
      <c r="P221" s="67">
        <f>IF(A12taxstdlife="n/a","n/a",IF(P$3&gt;(A12taxstdlife+$E221),(Input!$L$52-Input!$L$86)-SUM($K221:O221),(Input!$L$52-Input!$L$86)/A12taxstdlife))</f>
        <v>9.456983067280527E-3</v>
      </c>
      <c r="Q221" s="67"/>
      <c r="R221" s="102"/>
      <c r="S221" s="102"/>
      <c r="T221" s="102"/>
      <c r="U221" s="102"/>
      <c r="V221" s="102"/>
      <c r="W221" s="102"/>
      <c r="X221" s="102"/>
      <c r="Y221" s="102"/>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185"/>
      <c r="BJ221" s="185"/>
      <c r="BK221" s="185"/>
      <c r="BL221" s="185"/>
      <c r="BM221" s="185"/>
      <c r="BN221" s="185"/>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hidden="1" customHeight="1" outlineLevel="2">
      <c r="A222" s="9"/>
      <c r="B222" s="9"/>
      <c r="C222" s="25"/>
      <c r="D222" s="385"/>
      <c r="E222" s="85">
        <v>6</v>
      </c>
      <c r="F222" s="203"/>
      <c r="G222" s="148"/>
      <c r="H222" s="148"/>
      <c r="I222" s="148"/>
      <c r="J222" s="148"/>
      <c r="K222" s="148"/>
      <c r="L222" s="147"/>
      <c r="M222" s="67">
        <f>IF(A12taxstdlife="n/a","n/a",IF(M$3&gt;(A12taxstdlife+$E222),(Input!$M$52-Input!$M$86)-SUM($L222:L222),(Input!$M$52-Input!$M$86)/A12taxstdlife))</f>
        <v>0</v>
      </c>
      <c r="N222" s="67">
        <f>IF(A12taxstdlife="n/a","n/a",IF(N$3&gt;(A12taxstdlife+$E222),(Input!$M$52-Input!$M$86)-SUM($L222:M222),(Input!$M$52-Input!$M$86)/A12taxstdlife))</f>
        <v>0</v>
      </c>
      <c r="O222" s="67">
        <f>IF(A12taxstdlife="n/a","n/a",IF(O$3&gt;(A12taxstdlife+$E222),(Input!$M$52-Input!$M$86)-SUM($L222:N222),(Input!$M$52-Input!$M$86)/A12taxstdlife))</f>
        <v>0</v>
      </c>
      <c r="P222" s="67">
        <f>IF(A12taxstdlife="n/a","n/a",IF(P$3&gt;(A12taxstdlife+$E222),(Input!$M$52-Input!$M$86)-SUM($L222:O222),(Input!$M$52-Input!$M$86)/A12taxstdlife))</f>
        <v>0</v>
      </c>
      <c r="Q222" s="67"/>
      <c r="R222" s="102"/>
      <c r="S222" s="102"/>
      <c r="T222" s="102"/>
      <c r="U222" s="102"/>
      <c r="V222" s="102"/>
      <c r="W222" s="102"/>
      <c r="X222" s="102"/>
      <c r="Y222" s="102"/>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185"/>
      <c r="BJ222" s="185"/>
      <c r="BK222" s="185"/>
      <c r="BL222" s="185"/>
      <c r="BM222" s="185"/>
      <c r="BN222" s="185"/>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hidden="1" customHeight="1" outlineLevel="2">
      <c r="A223" s="9"/>
      <c r="B223" s="9"/>
      <c r="C223" s="25"/>
      <c r="D223" s="385"/>
      <c r="E223" s="85">
        <v>7</v>
      </c>
      <c r="F223" s="203"/>
      <c r="G223" s="148"/>
      <c r="H223" s="148"/>
      <c r="I223" s="148"/>
      <c r="J223" s="148"/>
      <c r="K223" s="148"/>
      <c r="L223" s="148"/>
      <c r="M223" s="147"/>
      <c r="N223" s="67">
        <f>IF(A12taxstdlife="n/a","n/a",IF(N$3&gt;(A12taxstdlife+$E223),(Input!$N$52-Input!$N$86)-SUM($M223:M223),(Input!$N$52-Input!$N$86)/A12taxstdlife))</f>
        <v>0</v>
      </c>
      <c r="O223" s="67">
        <f>IF(A12taxstdlife="n/a","n/a",IF(O$3&gt;(A12taxstdlife+$E223),(Input!$N$52-Input!$N$86)-SUM($M223:N223),(Input!$N$52-Input!$N$86)/A12taxstdlife))</f>
        <v>0</v>
      </c>
      <c r="P223" s="67">
        <f>IF(A12taxstdlife="n/a","n/a",IF(P$3&gt;(A12taxstdlife+$E223),(Input!$N$52-Input!$N$86)-SUM($M223:O223),(Input!$N$52-Input!$N$86)/A12taxstdlife))</f>
        <v>0</v>
      </c>
      <c r="Q223" s="67"/>
      <c r="R223" s="102"/>
      <c r="S223" s="102"/>
      <c r="T223" s="102"/>
      <c r="U223" s="102"/>
      <c r="V223" s="102"/>
      <c r="W223" s="102"/>
      <c r="X223" s="102"/>
      <c r="Y223" s="102"/>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185"/>
      <c r="BJ223" s="185"/>
      <c r="BK223" s="185"/>
      <c r="BL223" s="185"/>
      <c r="BM223" s="185"/>
      <c r="BN223" s="185"/>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hidden="1" customHeight="1" outlineLevel="2">
      <c r="A224" s="9"/>
      <c r="B224" s="9"/>
      <c r="C224" s="25"/>
      <c r="D224" s="385"/>
      <c r="E224" s="85">
        <v>8</v>
      </c>
      <c r="F224" s="203"/>
      <c r="G224" s="148"/>
      <c r="H224" s="148"/>
      <c r="I224" s="148"/>
      <c r="J224" s="148"/>
      <c r="K224" s="148"/>
      <c r="L224" s="148"/>
      <c r="M224" s="148"/>
      <c r="N224" s="147"/>
      <c r="O224" s="67">
        <f>IF(A12taxstdlife="n/a","n/a",IF(O$3&gt;(A12taxstdlife+$E224),(Input!$O$52-Input!$O$86)-SUM($N224:N224),(Input!$O$52-Input!$O$86)/A12taxstdlife))</f>
        <v>0</v>
      </c>
      <c r="P224" s="67">
        <f>IF(A12taxstdlife="n/a","n/a",IF(P$3&gt;(A12taxstdlife+$E224),(Input!$O$52-Input!$O$86)-SUM($N224:O224),(Input!$O$52-Input!$O$86)/A12taxstdlife))</f>
        <v>0</v>
      </c>
      <c r="Q224" s="67"/>
      <c r="R224" s="102"/>
      <c r="S224" s="102"/>
      <c r="T224" s="102"/>
      <c r="U224" s="102"/>
      <c r="V224" s="102"/>
      <c r="W224" s="102"/>
      <c r="X224" s="102"/>
      <c r="Y224" s="102"/>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185"/>
      <c r="BJ224" s="185"/>
      <c r="BK224" s="185"/>
      <c r="BL224" s="185"/>
      <c r="BM224" s="185"/>
      <c r="BN224" s="185"/>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hidden="1" customHeight="1" outlineLevel="2">
      <c r="A225" s="9"/>
      <c r="B225" s="9"/>
      <c r="C225" s="25"/>
      <c r="D225" s="385"/>
      <c r="E225" s="85">
        <v>9</v>
      </c>
      <c r="F225" s="203"/>
      <c r="G225" s="148"/>
      <c r="H225" s="148"/>
      <c r="I225" s="148"/>
      <c r="J225" s="148"/>
      <c r="K225" s="148"/>
      <c r="L225" s="148"/>
      <c r="M225" s="148"/>
      <c r="N225" s="148"/>
      <c r="O225" s="147"/>
      <c r="P225" s="67">
        <f>IF(A12taxstdlife="n/a","n/a",IF(P$3&gt;(A12taxstdlife+$E225),(Input!$P$52-Input!$P$86)-SUM($O225:O225),(Input!$P$52-Input!$P$86)/A12taxstdlife))</f>
        <v>0</v>
      </c>
      <c r="Q225" s="67"/>
      <c r="R225" s="102"/>
      <c r="S225" s="102"/>
      <c r="T225" s="102"/>
      <c r="U225" s="102"/>
      <c r="V225" s="102"/>
      <c r="W225" s="102"/>
      <c r="X225" s="102"/>
      <c r="Y225" s="102"/>
      <c r="Z225" s="215"/>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185"/>
      <c r="BJ225" s="185"/>
      <c r="BK225" s="185"/>
      <c r="BL225" s="185"/>
      <c r="BM225" s="185"/>
      <c r="BN225" s="18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hidden="1" customHeight="1" outlineLevel="2">
      <c r="A226" s="9"/>
      <c r="B226" s="9"/>
      <c r="C226" s="25"/>
      <c r="D226" s="385"/>
      <c r="E226" s="86">
        <v>10</v>
      </c>
      <c r="F226" s="203"/>
      <c r="G226" s="148"/>
      <c r="H226" s="148"/>
      <c r="I226" s="148"/>
      <c r="J226" s="148"/>
      <c r="K226" s="148"/>
      <c r="L226" s="148"/>
      <c r="M226" s="148"/>
      <c r="N226" s="148"/>
      <c r="O226" s="187"/>
      <c r="P226" s="147"/>
      <c r="Q226" s="67"/>
      <c r="R226" s="102"/>
      <c r="S226" s="102"/>
      <c r="T226" s="102"/>
      <c r="U226" s="102"/>
      <c r="V226" s="102"/>
      <c r="W226" s="102"/>
      <c r="X226" s="102"/>
      <c r="Y226" s="102"/>
      <c r="Z226" s="215"/>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185"/>
      <c r="BJ226" s="185"/>
      <c r="BK226" s="185"/>
      <c r="BL226" s="185"/>
      <c r="BM226" s="185"/>
      <c r="BN226" s="185"/>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hidden="1" customHeight="1" outlineLevel="1">
      <c r="A227" s="9"/>
      <c r="B227" s="9"/>
      <c r="C227" s="25" t="str">
        <f>Asset12</f>
        <v>132kV wood pole lines</v>
      </c>
      <c r="D227" s="9"/>
      <c r="E227" s="9"/>
      <c r="F227" s="203"/>
      <c r="G227" s="164">
        <f>-SUM(G215:G226)</f>
        <v>-0.69959367100196468</v>
      </c>
      <c r="H227" s="164">
        <f>-SUM(H215:H226)</f>
        <v>-0.65682836162943548</v>
      </c>
      <c r="I227" s="164">
        <f>-SUM(I215:I226)</f>
        <v>-0.64449245476713679</v>
      </c>
      <c r="J227" s="164">
        <f>-SUM(J215:J226)</f>
        <v>-0.677924919503335</v>
      </c>
      <c r="K227" s="164">
        <f>-SUM(K215:K226)</f>
        <v>-0.63512201324977058</v>
      </c>
      <c r="L227" s="164"/>
      <c r="M227" s="164">
        <f>IF(Input!N173&gt;0, -SUM(M215:M226), 0)</f>
        <v>0</v>
      </c>
      <c r="N227" s="164">
        <f>IF(Input!O173&gt;0, -SUM(N215:N226), 0)</f>
        <v>0</v>
      </c>
      <c r="O227" s="164">
        <f>IF(Input!P173&gt;0, -SUM(O215:O226), 0)</f>
        <v>0</v>
      </c>
      <c r="P227" s="164">
        <f>IF(Input!Q173&gt;0, -SUM(P215:P226), 0)</f>
        <v>0</v>
      </c>
      <c r="Q227" s="63"/>
      <c r="R227" s="101"/>
      <c r="S227" s="101"/>
      <c r="T227" s="101"/>
      <c r="U227" s="101"/>
      <c r="V227" s="101"/>
      <c r="W227" s="101"/>
      <c r="X227" s="101"/>
      <c r="Y227" s="101"/>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185"/>
      <c r="BJ227" s="185"/>
      <c r="BK227" s="185"/>
      <c r="BL227" s="185"/>
      <c r="BM227" s="185"/>
      <c r="BN227" s="185"/>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hidden="1" customHeight="1" outlineLevel="2">
      <c r="A228" s="9"/>
      <c r="B228" s="31" t="str">
        <f>Asset13</f>
        <v>132kV feeders underground</v>
      </c>
      <c r="C228" s="32"/>
      <c r="D228" s="33" t="s">
        <v>67</v>
      </c>
      <c r="E228" s="32"/>
      <c r="F228" s="203"/>
      <c r="G228" s="356">
        <v>12.141189978786063</v>
      </c>
      <c r="H228" s="356">
        <v>2.6084444973581795</v>
      </c>
      <c r="I228" s="356">
        <v>2.5809910055646932</v>
      </c>
      <c r="J228" s="356">
        <v>2.3512315303587248</v>
      </c>
      <c r="K228" s="356">
        <v>2.2765594471863069</v>
      </c>
      <c r="L228" s="356"/>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2"/>
      <c r="S228" s="308">
        <f>SUM(K228:K233)</f>
        <v>10.688291469917104</v>
      </c>
      <c r="T228" s="102"/>
      <c r="U228" s="102"/>
      <c r="V228" s="102"/>
      <c r="W228" s="102"/>
      <c r="X228" s="102"/>
      <c r="Y228" s="102"/>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185"/>
      <c r="BJ228" s="185"/>
      <c r="BK228" s="185"/>
      <c r="BL228" s="185"/>
      <c r="BM228" s="185"/>
      <c r="BN228" s="185"/>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5"/>
      <c r="D229" s="384" t="s">
        <v>85</v>
      </c>
      <c r="E229" s="85"/>
      <c r="F229" s="309"/>
      <c r="G229" s="67"/>
      <c r="H229" s="67"/>
      <c r="I229" s="67"/>
      <c r="J229" s="67"/>
      <c r="K229" s="67"/>
      <c r="L229" s="67"/>
      <c r="M229" s="67"/>
      <c r="N229" s="67"/>
      <c r="O229" s="67"/>
      <c r="P229" s="67"/>
      <c r="Q229" s="67"/>
      <c r="R229" s="102"/>
      <c r="S229" s="102"/>
      <c r="T229" s="102"/>
      <c r="U229" s="102"/>
      <c r="V229" s="102"/>
      <c r="W229" s="102"/>
      <c r="X229" s="102"/>
      <c r="Y229" s="102"/>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185"/>
      <c r="BJ229" s="185"/>
      <c r="BK229" s="185"/>
      <c r="BL229" s="185"/>
      <c r="BM229" s="185"/>
      <c r="BN229" s="185"/>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hidden="1" customHeight="1" outlineLevel="2">
      <c r="A230" s="9"/>
      <c r="B230" s="9"/>
      <c r="C230" s="25"/>
      <c r="D230" s="385"/>
      <c r="E230" s="85">
        <v>1</v>
      </c>
      <c r="F230" s="191"/>
      <c r="G230" s="147"/>
      <c r="H230" s="67">
        <f>IF(A13taxstdlife="n/a","n/a",IF(H$3&gt;(A13taxstdlife+$E230),(Input!$H$53-Input!$H$87)-SUM($G230:G230),(Input!$H$53-Input!$H$87)/A13taxstdlife))</f>
        <v>1.6151583030645744</v>
      </c>
      <c r="I230" s="67">
        <f>IF(A13taxstdlife="n/a","n/a",IF(I$3&gt;(A13taxstdlife+$E230),(Input!$H$53-Input!$H$87)-SUM($G230:H230),(Input!$H$53-Input!$H$87)/A13taxstdlife))</f>
        <v>1.6151583030645744</v>
      </c>
      <c r="J230" s="67">
        <f>IF(A13taxstdlife="n/a","n/a",IF(J$3&gt;(A13taxstdlife+$E230),(Input!$H$53-Input!$H$87)-SUM($G230:I230),(Input!$H$53-Input!$H$87)/A13taxstdlife))</f>
        <v>1.6151583030645744</v>
      </c>
      <c r="K230" s="67">
        <f>IF(A13taxstdlife="n/a","n/a",IF(K$3&gt;(A13taxstdlife+$E230),(Input!$H$53-Input!$H$87)-SUM($G230:J230),(Input!$H$53-Input!$H$87)/A13taxstdlife))</f>
        <v>1.6151583030645744</v>
      </c>
      <c r="L230" s="67"/>
      <c r="M230" s="67">
        <f>IF(A13taxstdlife="n/a","n/a",IF(M$3&gt;(A13taxstdlife+$E230),(Input!$H$53-Input!$H$87)-SUM($G230:L230),(Input!$H$53-Input!$H$87)/A13taxstdlife))</f>
        <v>1.6151583030645744</v>
      </c>
      <c r="N230" s="67">
        <f>IF(A13taxstdlife="n/a","n/a",IF(N$3&gt;(A13taxstdlife+$E230),(Input!$H$53-Input!$H$87)-SUM($G230:M230),(Input!$H$53-Input!$H$87)/A13taxstdlife))</f>
        <v>1.6151583030645744</v>
      </c>
      <c r="O230" s="67">
        <f>IF(A13taxstdlife="n/a","n/a",IF(O$3&gt;(A13taxstdlife+$E230),(Input!$H$53-Input!$H$87)-SUM($G230:N230),(Input!$H$53-Input!$H$87)/A13taxstdlife))</f>
        <v>1.6151583030645744</v>
      </c>
      <c r="P230" s="67">
        <f>IF(A13taxstdlife="n/a","n/a",IF(P$3&gt;(A13taxstdlife+$E230),(Input!$H$53-Input!$H$87)-SUM($G230:O230),(Input!$H$53-Input!$H$87)/A13taxstdlife))</f>
        <v>1.6151583030645744</v>
      </c>
      <c r="Q230" s="67"/>
      <c r="R230" s="102"/>
      <c r="S230" s="102"/>
      <c r="T230" s="102"/>
      <c r="U230" s="102"/>
      <c r="V230" s="102"/>
      <c r="W230" s="102"/>
      <c r="X230" s="102"/>
      <c r="Y230" s="102"/>
      <c r="Z230" s="215"/>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185"/>
      <c r="BJ230" s="185"/>
      <c r="BK230" s="185"/>
      <c r="BL230" s="185"/>
      <c r="BM230" s="185"/>
      <c r="BN230" s="185"/>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hidden="1" customHeight="1" outlineLevel="2">
      <c r="A231" s="9"/>
      <c r="B231" s="9"/>
      <c r="C231" s="25"/>
      <c r="D231" s="385"/>
      <c r="E231" s="85">
        <v>2</v>
      </c>
      <c r="F231" s="191"/>
      <c r="G231" s="148"/>
      <c r="H231" s="147"/>
      <c r="I231" s="67">
        <f>IF(A13taxstdlife="n/a","n/a",IF(I$3&gt;(A13taxstdlife+$E231),(Input!$I$53-Input!$I$87)-SUM($H231:H231),(Input!$I$53-Input!$I$87)/A13taxstdlife))</f>
        <v>1.8348795859115588</v>
      </c>
      <c r="J231" s="67">
        <f>IF(A13taxstdlife="n/a","n/a",IF(J$3&gt;(A13taxstdlife+$E231),(Input!$I$53-Input!$I$87)-SUM($H231:I231),(Input!$I$53-Input!$I$87)/A13taxstdlife))</f>
        <v>1.8348795859115588</v>
      </c>
      <c r="K231" s="67">
        <f>IF(A13taxstdlife="n/a","n/a",IF(K$3&gt;(A13taxstdlife+$E231),(Input!$I$53-Input!$I$87)-SUM($H231:J231),(Input!$I$53-Input!$I$87)/A13taxstdlife))</f>
        <v>1.8348795859115588</v>
      </c>
      <c r="L231" s="67"/>
      <c r="M231" s="67">
        <f>IF(A13taxstdlife="n/a","n/a",IF(M$3&gt;(A13taxstdlife+$E231),(Input!$I$53-Input!$I$87)-SUM($H231:L231),(Input!$I$53-Input!$I$87)/A13taxstdlife))</f>
        <v>1.8348795859115588</v>
      </c>
      <c r="N231" s="67">
        <f>IF(A13taxstdlife="n/a","n/a",IF(N$3&gt;(A13taxstdlife+$E231),(Input!$I$53-Input!$I$87)-SUM($H231:M231),(Input!$I$53-Input!$I$87)/A13taxstdlife))</f>
        <v>1.8348795859115588</v>
      </c>
      <c r="O231" s="67">
        <f>IF(A13taxstdlife="n/a","n/a",IF(O$3&gt;(A13taxstdlife+$E231),(Input!$I$53-Input!$I$87)-SUM($H231:N231),(Input!$I$53-Input!$I$87)/A13taxstdlife))</f>
        <v>1.8348795859115588</v>
      </c>
      <c r="P231" s="67">
        <f>IF(A13taxstdlife="n/a","n/a",IF(P$3&gt;(A13taxstdlife+$E231),(Input!$I$53-Input!$I$87)-SUM($H231:O231),(Input!$I$53-Input!$I$87)/A13taxstdlife))</f>
        <v>1.8348795859115588</v>
      </c>
      <c r="Q231" s="67"/>
      <c r="R231" s="102"/>
      <c r="S231" s="102"/>
      <c r="T231" s="102"/>
      <c r="U231" s="102"/>
      <c r="V231" s="102"/>
      <c r="W231" s="102"/>
      <c r="X231" s="102"/>
      <c r="Y231" s="102"/>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185"/>
      <c r="BJ231" s="185"/>
      <c r="BK231" s="185"/>
      <c r="BL231" s="185"/>
      <c r="BM231" s="185"/>
      <c r="BN231" s="185"/>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hidden="1" customHeight="1" outlineLevel="2">
      <c r="A232" s="9"/>
      <c r="B232" s="9"/>
      <c r="C232" s="25"/>
      <c r="D232" s="385"/>
      <c r="E232" s="85">
        <v>3</v>
      </c>
      <c r="F232" s="191"/>
      <c r="G232" s="148"/>
      <c r="H232" s="148"/>
      <c r="I232" s="147"/>
      <c r="J232" s="67">
        <f>IF(A13taxstdlife="n/a","n/a",IF(J$3&gt;(A13taxstdlife+$E232),(Input!$J$53-Input!$J$87)-SUM($I232:I232),(Input!$J$53-Input!$J$87)/A13taxstdlife))</f>
        <v>3.4610844151487692</v>
      </c>
      <c r="K232" s="67">
        <f>IF(A13taxstdlife="n/a","n/a",IF(K$3&gt;(A13taxstdlife+$E232),(Input!$J$53-Input!$J$87)-SUM($I232:J232),(Input!$J$53-Input!$J$87)/A13taxstdlife))</f>
        <v>3.4610844151487692</v>
      </c>
      <c r="L232" s="67"/>
      <c r="M232" s="67">
        <f>IF(A13taxstdlife="n/a","n/a",IF(M$3&gt;(A13taxstdlife+$E232),(Input!$J$53-Input!$J$87)-SUM($I232:L232),(Input!$J$53-Input!$J$87)/A13taxstdlife))</f>
        <v>3.4610844151487692</v>
      </c>
      <c r="N232" s="67">
        <f>IF(A13taxstdlife="n/a","n/a",IF(N$3&gt;(A13taxstdlife+$E232),(Input!$J$53-Input!$J$87)-SUM($I232:M232),(Input!$J$53-Input!$J$87)/A13taxstdlife))</f>
        <v>3.4610844151487692</v>
      </c>
      <c r="O232" s="67">
        <f>IF(A13taxstdlife="n/a","n/a",IF(O$3&gt;(A13taxstdlife+$E232),(Input!$J$53-Input!$J$87)-SUM($I232:N232),(Input!$J$53-Input!$J$87)/A13taxstdlife))</f>
        <v>3.4610844151487692</v>
      </c>
      <c r="P232" s="67">
        <f>IF(A13taxstdlife="n/a","n/a",IF(P$3&gt;(A13taxstdlife+$E232),(Input!$J$53-Input!$J$87)-SUM($I232:O232),(Input!$J$53-Input!$J$87)/A13taxstdlife))</f>
        <v>3.4610844151487692</v>
      </c>
      <c r="Q232" s="67"/>
      <c r="R232" s="102"/>
      <c r="S232" s="102"/>
      <c r="T232" s="102"/>
      <c r="U232" s="102"/>
      <c r="V232" s="102"/>
      <c r="W232" s="102"/>
      <c r="X232" s="102"/>
      <c r="Y232" s="102"/>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185"/>
      <c r="BJ232" s="185"/>
      <c r="BK232" s="185"/>
      <c r="BL232" s="185"/>
      <c r="BM232" s="185"/>
      <c r="BN232" s="185"/>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hidden="1" customHeight="1" outlineLevel="2">
      <c r="A233" s="9"/>
      <c r="B233" s="9"/>
      <c r="C233" s="25"/>
      <c r="D233" s="385"/>
      <c r="E233" s="85">
        <v>4</v>
      </c>
      <c r="F233" s="191"/>
      <c r="G233" s="148"/>
      <c r="H233" s="148"/>
      <c r="I233" s="148"/>
      <c r="J233" s="147"/>
      <c r="K233" s="67">
        <f>IF(A13taxstdlife="n/a","n/a",IF(K$3&gt;(A13taxstdlife+$E233),(Input!$K$53-Input!$K$87)-SUM($J233:J233),(Input!$K$53-Input!$K$87)/A13taxstdlife))</f>
        <v>1.500609718605894</v>
      </c>
      <c r="L233" s="67"/>
      <c r="M233" s="67">
        <f>IF(A13taxstdlife="n/a","n/a",IF(M$3&gt;(A13taxstdlife+$E233),(Input!$K$53-Input!$K$87)-SUM($J233:L233),(Input!$K$53-Input!$K$87)/A13taxstdlife))</f>
        <v>1.500609718605894</v>
      </c>
      <c r="N233" s="67">
        <f>IF(A13taxstdlife="n/a","n/a",IF(N$3&gt;(A13taxstdlife+$E233),(Input!$K$53-Input!$K$87)-SUM($J233:M233),(Input!$K$53-Input!$K$87)/A13taxstdlife))</f>
        <v>1.500609718605894</v>
      </c>
      <c r="O233" s="67">
        <f>IF(A13taxstdlife="n/a","n/a",IF(O$3&gt;(A13taxstdlife+$E233),(Input!$K$53-Input!$K$87)-SUM($J233:N233),(Input!$K$53-Input!$K$87)/A13taxstdlife))</f>
        <v>1.500609718605894</v>
      </c>
      <c r="P233" s="67">
        <f>IF(A13taxstdlife="n/a","n/a",IF(P$3&gt;(A13taxstdlife+$E233),(Input!$K$53-Input!$K$87)-SUM($J233:O233),(Input!$K$53-Input!$K$87)/A13taxstdlife))</f>
        <v>1.500609718605894</v>
      </c>
      <c r="Q233" s="67"/>
      <c r="R233" s="102"/>
      <c r="S233" s="102"/>
      <c r="T233" s="102"/>
      <c r="U233" s="102"/>
      <c r="V233" s="102"/>
      <c r="W233" s="102"/>
      <c r="X233" s="102"/>
      <c r="Y233" s="102"/>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185"/>
      <c r="BJ233" s="185"/>
      <c r="BK233" s="185"/>
      <c r="BL233" s="185"/>
      <c r="BM233" s="185"/>
      <c r="BN233" s="185"/>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hidden="1" customHeight="1" outlineLevel="2">
      <c r="A234" s="9"/>
      <c r="B234" s="9"/>
      <c r="C234" s="25"/>
      <c r="D234" s="385"/>
      <c r="E234" s="85">
        <v>5</v>
      </c>
      <c r="F234" s="191"/>
      <c r="G234" s="148"/>
      <c r="H234" s="148"/>
      <c r="I234" s="148"/>
      <c r="J234" s="148"/>
      <c r="K234" s="147"/>
      <c r="L234" s="67"/>
      <c r="M234" s="67">
        <f>IF(A13taxstdlife="n/a","n/a",IF(M$3&gt;(A13taxstdlife+$E234),(Input!$L$53-Input!$L$87)-SUM($K234:L234),(Input!$L$53-Input!$L$87)/A13taxstdlife))</f>
        <v>1.1535890713922234</v>
      </c>
      <c r="N234" s="67">
        <f>IF(A13taxstdlife="n/a","n/a",IF(N$3&gt;(A13taxstdlife+$E234),(Input!$L$53-Input!$L$87)-SUM($K234:M234),(Input!$L$53-Input!$L$87)/A13taxstdlife))</f>
        <v>1.1535890713922234</v>
      </c>
      <c r="O234" s="67">
        <f>IF(A13taxstdlife="n/a","n/a",IF(O$3&gt;(A13taxstdlife+$E234),(Input!$L$53-Input!$L$87)-SUM($K234:N234),(Input!$L$53-Input!$L$87)/A13taxstdlife))</f>
        <v>1.1535890713922234</v>
      </c>
      <c r="P234" s="67">
        <f>IF(A13taxstdlife="n/a","n/a",IF(P$3&gt;(A13taxstdlife+$E234),(Input!$L$53-Input!$L$87)-SUM($K234:O234),(Input!$L$53-Input!$L$87)/A13taxstdlife))</f>
        <v>1.1535890713922234</v>
      </c>
      <c r="Q234" s="67"/>
      <c r="R234" s="102"/>
      <c r="S234" s="102"/>
      <c r="T234" s="102"/>
      <c r="U234" s="102"/>
      <c r="V234" s="102"/>
      <c r="W234" s="102"/>
      <c r="X234" s="102"/>
      <c r="Y234" s="102"/>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185"/>
      <c r="BJ234" s="185"/>
      <c r="BK234" s="185"/>
      <c r="BL234" s="185"/>
      <c r="BM234" s="185"/>
      <c r="BN234" s="185"/>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hidden="1" customHeight="1" outlineLevel="2">
      <c r="A235" s="9"/>
      <c r="B235" s="9"/>
      <c r="C235" s="25"/>
      <c r="D235" s="385"/>
      <c r="E235" s="85">
        <v>6</v>
      </c>
      <c r="F235" s="191"/>
      <c r="G235" s="148"/>
      <c r="H235" s="148"/>
      <c r="I235" s="148"/>
      <c r="J235" s="148"/>
      <c r="K235" s="148"/>
      <c r="L235" s="147"/>
      <c r="M235" s="67">
        <f>IF(A13taxstdlife="n/a","n/a",IF(M$3&gt;(A13taxstdlife+$E235),(Input!$M$53-Input!$M$87)-SUM($L235:L235),(Input!$M$53-Input!$M$87)/A13taxstdlife))</f>
        <v>0</v>
      </c>
      <c r="N235" s="67">
        <f>IF(A13taxstdlife="n/a","n/a",IF(N$3&gt;(A13taxstdlife+$E235),(Input!$M$53-Input!$M$87)-SUM($L235:M235),(Input!$M$53-Input!$M$87)/A13taxstdlife))</f>
        <v>0</v>
      </c>
      <c r="O235" s="67">
        <f>IF(A13taxstdlife="n/a","n/a",IF(O$3&gt;(A13taxstdlife+$E235),(Input!$M$53-Input!$M$87)-SUM($L235:N235),(Input!$M$53-Input!$M$87)/A13taxstdlife))</f>
        <v>0</v>
      </c>
      <c r="P235" s="67">
        <f>IF(A13taxstdlife="n/a","n/a",IF(P$3&gt;(A13taxstdlife+$E235),(Input!$M$53-Input!$M$87)-SUM($L235:O235),(Input!$M$53-Input!$M$87)/A13taxstdlife))</f>
        <v>0</v>
      </c>
      <c r="Q235" s="67"/>
      <c r="R235" s="102"/>
      <c r="S235" s="102"/>
      <c r="T235" s="102"/>
      <c r="U235" s="102"/>
      <c r="V235" s="102"/>
      <c r="W235" s="102"/>
      <c r="X235" s="102"/>
      <c r="Y235" s="102"/>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185"/>
      <c r="BJ235" s="185"/>
      <c r="BK235" s="185"/>
      <c r="BL235" s="185"/>
      <c r="BM235" s="185"/>
      <c r="BN235" s="18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hidden="1" customHeight="1" outlineLevel="2">
      <c r="A236" s="9"/>
      <c r="B236" s="9"/>
      <c r="C236" s="25"/>
      <c r="D236" s="385"/>
      <c r="E236" s="85">
        <v>7</v>
      </c>
      <c r="F236" s="191"/>
      <c r="G236" s="148"/>
      <c r="H236" s="148"/>
      <c r="I236" s="148"/>
      <c r="J236" s="148"/>
      <c r="K236" s="148"/>
      <c r="L236" s="148"/>
      <c r="M236" s="147"/>
      <c r="N236" s="67">
        <f>IF(A13taxstdlife="n/a","n/a",IF(N$3&gt;(A13taxstdlife+$E236),(Input!$N$53-Input!$N$87)-SUM($M236:M236),(Input!$N$53-Input!$N$87)/A13taxstdlife))</f>
        <v>0</v>
      </c>
      <c r="O236" s="67">
        <f>IF(A13taxstdlife="n/a","n/a",IF(O$3&gt;(A13taxstdlife+$E236),(Input!$N$53-Input!$N$87)-SUM($M236:N236),(Input!$N$53-Input!$N$87)/A13taxstdlife))</f>
        <v>0</v>
      </c>
      <c r="P236" s="67">
        <f>IF(A13taxstdlife="n/a","n/a",IF(P$3&gt;(A13taxstdlife+$E236),(Input!$N$53-Input!$N$87)-SUM($M236:O236),(Input!$N$53-Input!$N$87)/A13taxstdlife))</f>
        <v>0</v>
      </c>
      <c r="Q236" s="67"/>
      <c r="R236" s="102"/>
      <c r="S236" s="102"/>
      <c r="T236" s="102"/>
      <c r="U236" s="102"/>
      <c r="V236" s="102"/>
      <c r="W236" s="102"/>
      <c r="X236" s="102"/>
      <c r="Y236" s="102"/>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185"/>
      <c r="BJ236" s="185"/>
      <c r="BK236" s="185"/>
      <c r="BL236" s="185"/>
      <c r="BM236" s="185"/>
      <c r="BN236" s="185"/>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hidden="1" customHeight="1" outlineLevel="2">
      <c r="A237" s="9"/>
      <c r="B237" s="9"/>
      <c r="C237" s="25"/>
      <c r="D237" s="385"/>
      <c r="E237" s="85">
        <v>8</v>
      </c>
      <c r="F237" s="191"/>
      <c r="G237" s="148"/>
      <c r="H237" s="148"/>
      <c r="I237" s="148"/>
      <c r="J237" s="148"/>
      <c r="K237" s="148"/>
      <c r="L237" s="148"/>
      <c r="M237" s="148"/>
      <c r="N237" s="147"/>
      <c r="O237" s="67">
        <f>IF(A13taxstdlife="n/a","n/a",IF(O$3&gt;(A13taxstdlife+$E237),(Input!$O$53-Input!$O$87)-SUM($N237:N237),(Input!$O$53-Input!$O$87)/A13taxstdlife))</f>
        <v>0</v>
      </c>
      <c r="P237" s="67">
        <f>IF(A13taxstdlife="n/a","n/a",IF(P$3&gt;(A13taxstdlife+$E237),(Input!$O$53-Input!$O$87)-SUM($N237:O237),(Input!$O$53-Input!$O$87)/A13taxstdlife))</f>
        <v>0</v>
      </c>
      <c r="Q237" s="67"/>
      <c r="R237" s="102"/>
      <c r="S237" s="102"/>
      <c r="T237" s="102"/>
      <c r="U237" s="102"/>
      <c r="V237" s="102"/>
      <c r="W237" s="102"/>
      <c r="X237" s="102"/>
      <c r="Y237" s="102"/>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185"/>
      <c r="BJ237" s="185"/>
      <c r="BK237" s="185"/>
      <c r="BL237" s="185"/>
      <c r="BM237" s="185"/>
      <c r="BN237" s="185"/>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hidden="1" customHeight="1" outlineLevel="2">
      <c r="A238" s="9"/>
      <c r="B238" s="9"/>
      <c r="C238" s="25"/>
      <c r="D238" s="385"/>
      <c r="E238" s="85">
        <v>9</v>
      </c>
      <c r="F238" s="191"/>
      <c r="G238" s="148"/>
      <c r="H238" s="148"/>
      <c r="I238" s="148"/>
      <c r="J238" s="148"/>
      <c r="K238" s="148"/>
      <c r="L238" s="148"/>
      <c r="M238" s="148"/>
      <c r="N238" s="148"/>
      <c r="O238" s="147"/>
      <c r="P238" s="67">
        <f>IF(A13taxstdlife="n/a","n/a",IF(P$3&gt;(A13taxstdlife+$E238),(Input!$P$53-Input!$P$87)-SUM($O238:O238),(Input!$P$53-Input!$P$87)/A13taxstdlife))</f>
        <v>0</v>
      </c>
      <c r="Q238" s="67"/>
      <c r="R238" s="102"/>
      <c r="S238" s="102"/>
      <c r="T238" s="102"/>
      <c r="U238" s="102"/>
      <c r="V238" s="102"/>
      <c r="W238" s="102"/>
      <c r="X238" s="102"/>
      <c r="Y238" s="102"/>
      <c r="Z238" s="215"/>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185"/>
      <c r="BJ238" s="185"/>
      <c r="BK238" s="185"/>
      <c r="BL238" s="185"/>
      <c r="BM238" s="185"/>
      <c r="BN238" s="185"/>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hidden="1" customHeight="1" outlineLevel="2">
      <c r="A239" s="9"/>
      <c r="B239" s="9"/>
      <c r="C239" s="25"/>
      <c r="D239" s="385"/>
      <c r="E239" s="86">
        <v>10</v>
      </c>
      <c r="F239" s="191"/>
      <c r="G239" s="148"/>
      <c r="H239" s="148"/>
      <c r="I239" s="148"/>
      <c r="J239" s="148"/>
      <c r="K239" s="148"/>
      <c r="L239" s="148"/>
      <c r="M239" s="148"/>
      <c r="N239" s="148"/>
      <c r="O239" s="187"/>
      <c r="P239" s="147"/>
      <c r="Q239" s="67"/>
      <c r="R239" s="102"/>
      <c r="S239" s="102"/>
      <c r="T239" s="102"/>
      <c r="U239" s="102"/>
      <c r="V239" s="102"/>
      <c r="W239" s="102"/>
      <c r="X239" s="102"/>
      <c r="Y239" s="102"/>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185"/>
      <c r="BJ239" s="185"/>
      <c r="BK239" s="185"/>
      <c r="BL239" s="185"/>
      <c r="BM239" s="185"/>
      <c r="BN239" s="185"/>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hidden="1" customHeight="1" outlineLevel="1">
      <c r="A240" s="9"/>
      <c r="B240" s="9"/>
      <c r="C240" s="25" t="str">
        <f>Asset13</f>
        <v>132kV feeders underground</v>
      </c>
      <c r="D240" s="9"/>
      <c r="E240" s="9"/>
      <c r="F240" s="191"/>
      <c r="G240" s="164">
        <f>-SUM(G228:G239)</f>
        <v>-12.141189978786063</v>
      </c>
      <c r="H240" s="164">
        <f>-SUM(H228:H239)</f>
        <v>-4.2236028004227535</v>
      </c>
      <c r="I240" s="164">
        <f>-SUM(I228:I239)</f>
        <v>-6.0310288945408264</v>
      </c>
      <c r="J240" s="164">
        <f>-SUM(J228:J239)</f>
        <v>-9.2623538344836263</v>
      </c>
      <c r="K240" s="164">
        <f>-SUM(K228:K239)</f>
        <v>-10.688291469917104</v>
      </c>
      <c r="L240" s="164"/>
      <c r="M240" s="164">
        <f>IF(Input!N173&gt;0, -SUM(M228:M239), 0)</f>
        <v>0</v>
      </c>
      <c r="N240" s="164">
        <f>IF(Input!O173&gt;0, -SUM(N228:N239), 0)</f>
        <v>0</v>
      </c>
      <c r="O240" s="164">
        <f>IF(Input!P173&gt;0, -SUM(O228:O239), 0)</f>
        <v>0</v>
      </c>
      <c r="P240" s="164">
        <f>IF(Input!Q173&gt;0, -SUM(P228:P239), 0)</f>
        <v>0</v>
      </c>
      <c r="Q240" s="63"/>
      <c r="R240" s="101"/>
      <c r="S240" s="308"/>
      <c r="T240" s="101"/>
      <c r="U240" s="101"/>
      <c r="V240" s="101"/>
      <c r="W240" s="101"/>
      <c r="X240" s="101"/>
      <c r="Y240" s="101"/>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185"/>
      <c r="BJ240" s="185"/>
      <c r="BK240" s="185"/>
      <c r="BL240" s="185"/>
      <c r="BM240" s="185"/>
      <c r="BN240" s="185"/>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hidden="1" customHeight="1" outlineLevel="2">
      <c r="A241" s="9"/>
      <c r="B241" s="31" t="str">
        <f>Asset14</f>
        <v>Cable tunnel (tx)</v>
      </c>
      <c r="C241" s="32"/>
      <c r="D241" s="33" t="s">
        <v>67</v>
      </c>
      <c r="E241" s="32"/>
      <c r="F241" s="191"/>
      <c r="G241" s="356">
        <v>0</v>
      </c>
      <c r="H241" s="356">
        <v>0</v>
      </c>
      <c r="I241" s="356">
        <v>0</v>
      </c>
      <c r="J241" s="356">
        <v>0</v>
      </c>
      <c r="K241" s="356">
        <v>0</v>
      </c>
      <c r="L241" s="356"/>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2"/>
      <c r="S241" s="308">
        <f>SUM(K241:K246)</f>
        <v>1.4263089285714285E-2</v>
      </c>
      <c r="T241" s="102"/>
      <c r="U241" s="102"/>
      <c r="V241" s="102"/>
      <c r="W241" s="102"/>
      <c r="X241" s="102"/>
      <c r="Y241" s="102"/>
      <c r="Z241" s="215"/>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185"/>
      <c r="BJ241" s="185"/>
      <c r="BK241" s="185"/>
      <c r="BL241" s="185"/>
      <c r="BM241" s="185"/>
      <c r="BN241" s="185"/>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5"/>
      <c r="D242" s="384" t="s">
        <v>85</v>
      </c>
      <c r="E242" s="85"/>
      <c r="F242" s="309"/>
      <c r="G242" s="67"/>
      <c r="H242" s="67"/>
      <c r="I242" s="67"/>
      <c r="J242" s="67"/>
      <c r="K242" s="67"/>
      <c r="L242" s="67"/>
      <c r="M242" s="67"/>
      <c r="N242" s="67"/>
      <c r="O242" s="67"/>
      <c r="P242" s="67"/>
      <c r="Q242" s="67"/>
      <c r="R242" s="102"/>
      <c r="S242" s="102"/>
      <c r="T242" s="102"/>
      <c r="U242" s="102"/>
      <c r="V242" s="102"/>
      <c r="W242" s="102"/>
      <c r="X242" s="102"/>
      <c r="Y242" s="102"/>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185"/>
      <c r="BJ242" s="185"/>
      <c r="BK242" s="185"/>
      <c r="BL242" s="185"/>
      <c r="BM242" s="185"/>
      <c r="BN242" s="185"/>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hidden="1" customHeight="1" outlineLevel="2">
      <c r="A243" s="9"/>
      <c r="B243" s="9"/>
      <c r="C243" s="25"/>
      <c r="D243" s="385"/>
      <c r="E243" s="85">
        <v>1</v>
      </c>
      <c r="F243" s="191"/>
      <c r="G243" s="147"/>
      <c r="H243" s="67">
        <f>IF(A14taxstdlife="n/a","n/a",IF(H$3&gt;(A14taxstdlife+$E243),(Input!$H$54-Input!$H$88)-SUM($G243:G243),(Input!$H$54-Input!$H$88)/A14taxstdlife))</f>
        <v>0</v>
      </c>
      <c r="I243" s="67">
        <f>IF(A14taxstdlife="n/a","n/a",IF(I$3&gt;(A14taxstdlife+$E243),(Input!$H$54-Input!$H$88)-SUM($G243:H243),(Input!$H$54-Input!$H$88)/A14taxstdlife))</f>
        <v>0</v>
      </c>
      <c r="J243" s="67">
        <f>IF(A14taxstdlife="n/a","n/a",IF(J$3&gt;(A14taxstdlife+$E243),(Input!$H$54-Input!$H$88)-SUM($G243:I243),(Input!$H$54-Input!$H$88)/A14taxstdlife))</f>
        <v>0</v>
      </c>
      <c r="K243" s="67">
        <f>IF(A14taxstdlife="n/a","n/a",IF(K$3&gt;(A14taxstdlife+$E243),(Input!$H$54-Input!$H$88)-SUM($G243:J243),(Input!$H$54-Input!$H$88)/A14taxstdlife))</f>
        <v>0</v>
      </c>
      <c r="L243" s="67"/>
      <c r="M243" s="67">
        <f>IF(A14taxstdlife="n/a","n/a",IF(M$3&gt;(A14taxstdlife+$E243),(Input!$H$54-Input!$H$88)-SUM($G243:L243),(Input!$H$54-Input!$H$88)/A14taxstdlife))</f>
        <v>0</v>
      </c>
      <c r="N243" s="67">
        <f>IF(A14taxstdlife="n/a","n/a",IF(N$3&gt;(A14taxstdlife+$E243),(Input!$H$54-Input!$H$88)-SUM($G243:M243),(Input!$H$54-Input!$H$88)/A14taxstdlife))</f>
        <v>0</v>
      </c>
      <c r="O243" s="67">
        <f>IF(A14taxstdlife="n/a","n/a",IF(O$3&gt;(A14taxstdlife+$E243),(Input!$H$54-Input!$H$88)-SUM($G243:N243),(Input!$H$54-Input!$H$88)/A14taxstdlife))</f>
        <v>0</v>
      </c>
      <c r="P243" s="67">
        <f>IF(A14taxstdlife="n/a","n/a",IF(P$3&gt;(A14taxstdlife+$E243),(Input!$H$54-Input!$H$88)-SUM($G243:O243),(Input!$H$54-Input!$H$88)/A14taxstdlife))</f>
        <v>0</v>
      </c>
      <c r="Q243" s="67"/>
      <c r="R243" s="102"/>
      <c r="S243" s="102"/>
      <c r="T243" s="102"/>
      <c r="U243" s="102"/>
      <c r="V243" s="102"/>
      <c r="W243" s="102"/>
      <c r="X243" s="102"/>
      <c r="Y243" s="102"/>
      <c r="Z243" s="215"/>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185"/>
      <c r="BJ243" s="185"/>
      <c r="BK243" s="185"/>
      <c r="BL243" s="185"/>
      <c r="BM243" s="185"/>
      <c r="BN243" s="185"/>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hidden="1" customHeight="1" outlineLevel="2">
      <c r="A244" s="9"/>
      <c r="B244" s="9"/>
      <c r="C244" s="25"/>
      <c r="D244" s="385"/>
      <c r="E244" s="85">
        <v>2</v>
      </c>
      <c r="F244" s="191"/>
      <c r="G244" s="148"/>
      <c r="H244" s="147"/>
      <c r="I244" s="67">
        <f>IF(A14taxstdlife="n/a","n/a",IF(I$3&gt;(A14taxstdlife+$E244),(Input!$I$54-Input!$I$88)-SUM($H244:H244),(Input!$I$54-Input!$I$88)/A14taxstdlife))</f>
        <v>0</v>
      </c>
      <c r="J244" s="67">
        <f>IF(A14taxstdlife="n/a","n/a",IF(J$3&gt;(A14taxstdlife+$E244),(Input!$I$54-Input!$I$88)-SUM($H244:I244),(Input!$I$54-Input!$I$88)/A14taxstdlife))</f>
        <v>0</v>
      </c>
      <c r="K244" s="67">
        <f>IF(A14taxstdlife="n/a","n/a",IF(K$3&gt;(A14taxstdlife+$E244),(Input!$I$54-Input!$I$88)-SUM($H244:J244),(Input!$I$54-Input!$I$88)/A14taxstdlife))</f>
        <v>0</v>
      </c>
      <c r="L244" s="67"/>
      <c r="M244" s="67">
        <f>IF(A14taxstdlife="n/a","n/a",IF(M$3&gt;(A14taxstdlife+$E244),(Input!$I$54-Input!$I$88)-SUM($H244:L244),(Input!$I$54-Input!$I$88)/A14taxstdlife))</f>
        <v>0</v>
      </c>
      <c r="N244" s="67">
        <f>IF(A14taxstdlife="n/a","n/a",IF(N$3&gt;(A14taxstdlife+$E244),(Input!$I$54-Input!$I$88)-SUM($H244:M244),(Input!$I$54-Input!$I$88)/A14taxstdlife))</f>
        <v>0</v>
      </c>
      <c r="O244" s="67">
        <f>IF(A14taxstdlife="n/a","n/a",IF(O$3&gt;(A14taxstdlife+$E244),(Input!$I$54-Input!$I$88)-SUM($H244:N244),(Input!$I$54-Input!$I$88)/A14taxstdlife))</f>
        <v>0</v>
      </c>
      <c r="P244" s="67">
        <f>IF(A14taxstdlife="n/a","n/a",IF(P$3&gt;(A14taxstdlife+$E244),(Input!$I$54-Input!$I$88)-SUM($H244:O244),(Input!$I$54-Input!$I$88)/A14taxstdlife))</f>
        <v>0</v>
      </c>
      <c r="Q244" s="67"/>
      <c r="R244" s="102"/>
      <c r="S244" s="102"/>
      <c r="T244" s="102"/>
      <c r="U244" s="102"/>
      <c r="V244" s="102"/>
      <c r="W244" s="102"/>
      <c r="X244" s="102"/>
      <c r="Y244" s="102"/>
      <c r="Z244" s="215"/>
      <c r="AA244" s="215"/>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185"/>
      <c r="BJ244" s="185"/>
      <c r="BK244" s="185"/>
      <c r="BL244" s="185"/>
      <c r="BM244" s="185"/>
      <c r="BN244" s="185"/>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hidden="1" customHeight="1" outlineLevel="2">
      <c r="A245" s="9"/>
      <c r="B245" s="9"/>
      <c r="C245" s="25"/>
      <c r="D245" s="385"/>
      <c r="E245" s="85">
        <v>3</v>
      </c>
      <c r="F245" s="191"/>
      <c r="G245" s="148"/>
      <c r="H245" s="148"/>
      <c r="I245" s="147"/>
      <c r="J245" s="67">
        <f>IF(A14taxstdlife="n/a","n/a",IF(J$3&gt;(A14taxstdlife+$E245),(Input!$J$54-Input!$J$88)-SUM($I245:I245),(Input!$J$54-Input!$J$88)/A14taxstdlife))</f>
        <v>1.0644892647058823E-2</v>
      </c>
      <c r="K245" s="67">
        <f>IF(A14taxstdlife="n/a","n/a",IF(K$3&gt;(A14taxstdlife+$E245),(Input!$J$54-Input!$J$88)-SUM($I245:J245),(Input!$J$54-Input!$J$88)/A14taxstdlife))</f>
        <v>1.0644892647058823E-2</v>
      </c>
      <c r="L245" s="67"/>
      <c r="M245" s="67">
        <f>IF(A14taxstdlife="n/a","n/a",IF(M$3&gt;(A14taxstdlife+$E245),(Input!$J$54-Input!$J$88)-SUM($I245:L245),(Input!$J$54-Input!$J$88)/A14taxstdlife))</f>
        <v>1.0644892647058823E-2</v>
      </c>
      <c r="N245" s="67">
        <f>IF(A14taxstdlife="n/a","n/a",IF(N$3&gt;(A14taxstdlife+$E245),(Input!$J$54-Input!$J$88)-SUM($I245:M245),(Input!$J$54-Input!$J$88)/A14taxstdlife))</f>
        <v>1.0644892647058823E-2</v>
      </c>
      <c r="O245" s="67">
        <f>IF(A14taxstdlife="n/a","n/a",IF(O$3&gt;(A14taxstdlife+$E245),(Input!$J$54-Input!$J$88)-SUM($I245:N245),(Input!$J$54-Input!$J$88)/A14taxstdlife))</f>
        <v>1.0644892647058823E-2</v>
      </c>
      <c r="P245" s="67">
        <f>IF(A14taxstdlife="n/a","n/a",IF(P$3&gt;(A14taxstdlife+$E245),(Input!$J$54-Input!$J$88)-SUM($I245:O245),(Input!$J$54-Input!$J$88)/A14taxstdlife))</f>
        <v>1.0644892647058823E-2</v>
      </c>
      <c r="Q245" s="67"/>
      <c r="R245" s="102"/>
      <c r="S245" s="102"/>
      <c r="T245" s="102"/>
      <c r="U245" s="102"/>
      <c r="V245" s="102"/>
      <c r="W245" s="102"/>
      <c r="X245" s="102"/>
      <c r="Y245" s="102"/>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185"/>
      <c r="BJ245" s="185"/>
      <c r="BK245" s="185"/>
      <c r="BL245" s="185"/>
      <c r="BM245" s="185"/>
      <c r="BN245" s="18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hidden="1" customHeight="1" outlineLevel="2">
      <c r="A246" s="9"/>
      <c r="B246" s="9"/>
      <c r="C246" s="25"/>
      <c r="D246" s="385"/>
      <c r="E246" s="85">
        <v>4</v>
      </c>
      <c r="F246" s="191"/>
      <c r="G246" s="148"/>
      <c r="H246" s="148"/>
      <c r="I246" s="148"/>
      <c r="J246" s="147"/>
      <c r="K246" s="67">
        <f>IF(A14taxstdlife="n/a","n/a",IF(K$3&gt;(A14taxstdlife+$E246),(Input!$K$54-Input!$K$88)-SUM($J246:J246),(Input!$K$54-Input!$K$88)/A14taxstdlife))</f>
        <v>3.618196638655462E-3</v>
      </c>
      <c r="L246" s="67"/>
      <c r="M246" s="67">
        <f>IF(A14taxstdlife="n/a","n/a",IF(M$3&gt;(A14taxstdlife+$E246),(Input!$K$54-Input!$K$88)-SUM($J246:L246),(Input!$K$54-Input!$K$88)/A14taxstdlife))</f>
        <v>3.618196638655462E-3</v>
      </c>
      <c r="N246" s="67">
        <f>IF(A14taxstdlife="n/a","n/a",IF(N$3&gt;(A14taxstdlife+$E246),(Input!$K$54-Input!$K$88)-SUM($J246:M246),(Input!$K$54-Input!$K$88)/A14taxstdlife))</f>
        <v>3.618196638655462E-3</v>
      </c>
      <c r="O246" s="67">
        <f>IF(A14taxstdlife="n/a","n/a",IF(O$3&gt;(A14taxstdlife+$E246),(Input!$K$54-Input!$K$88)-SUM($J246:N246),(Input!$K$54-Input!$K$88)/A14taxstdlife))</f>
        <v>3.618196638655462E-3</v>
      </c>
      <c r="P246" s="67">
        <f>IF(A14taxstdlife="n/a","n/a",IF(P$3&gt;(A14taxstdlife+$E246),(Input!$K$54-Input!$K$88)-SUM($J246:O246),(Input!$K$54-Input!$K$88)/A14taxstdlife))</f>
        <v>3.618196638655462E-3</v>
      </c>
      <c r="Q246" s="67"/>
      <c r="R246" s="102"/>
      <c r="S246" s="102"/>
      <c r="T246" s="102"/>
      <c r="U246" s="102"/>
      <c r="V246" s="102"/>
      <c r="W246" s="102"/>
      <c r="X246" s="102"/>
      <c r="Y246" s="102"/>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185"/>
      <c r="BJ246" s="185"/>
      <c r="BK246" s="185"/>
      <c r="BL246" s="185"/>
      <c r="BM246" s="185"/>
      <c r="BN246" s="185"/>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hidden="1" customHeight="1" outlineLevel="2">
      <c r="A247" s="9"/>
      <c r="B247" s="9"/>
      <c r="C247" s="25"/>
      <c r="D247" s="385"/>
      <c r="E247" s="85">
        <v>5</v>
      </c>
      <c r="F247" s="191"/>
      <c r="G247" s="148"/>
      <c r="H247" s="148"/>
      <c r="I247" s="148"/>
      <c r="J247" s="148"/>
      <c r="K247" s="147"/>
      <c r="L247" s="67"/>
      <c r="M247" s="67">
        <f>IF(A14taxstdlife="n/a","n/a",IF(M$3&gt;(A14taxstdlife+$E247),(Input!$L$54-Input!$L$88)-SUM($K247:L247),(Input!$L$54-Input!$L$88)/A14taxstdlife))</f>
        <v>2.7814774546300377E-3</v>
      </c>
      <c r="N247" s="67">
        <f>IF(A14taxstdlife="n/a","n/a",IF(N$3&gt;(A14taxstdlife+$E247),(Input!$L$54-Input!$L$88)-SUM($K247:M247),(Input!$L$54-Input!$L$88)/A14taxstdlife))</f>
        <v>2.7814774546300377E-3</v>
      </c>
      <c r="O247" s="67">
        <f>IF(A14taxstdlife="n/a","n/a",IF(O$3&gt;(A14taxstdlife+$E247),(Input!$L$54-Input!$L$88)-SUM($K247:N247),(Input!$L$54-Input!$L$88)/A14taxstdlife))</f>
        <v>2.7814774546300377E-3</v>
      </c>
      <c r="P247" s="67">
        <f>IF(A14taxstdlife="n/a","n/a",IF(P$3&gt;(A14taxstdlife+$E247),(Input!$L$54-Input!$L$88)-SUM($K247:O247),(Input!$L$54-Input!$L$88)/A14taxstdlife))</f>
        <v>2.7814774546300377E-3</v>
      </c>
      <c r="Q247" s="67"/>
      <c r="R247" s="102"/>
      <c r="S247" s="102"/>
      <c r="T247" s="102"/>
      <c r="U247" s="102"/>
      <c r="V247" s="102"/>
      <c r="W247" s="102"/>
      <c r="X247" s="102"/>
      <c r="Y247" s="102"/>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185"/>
      <c r="BJ247" s="185"/>
      <c r="BK247" s="185"/>
      <c r="BL247" s="185"/>
      <c r="BM247" s="185"/>
      <c r="BN247" s="185"/>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hidden="1" customHeight="1" outlineLevel="2">
      <c r="A248" s="9"/>
      <c r="B248" s="9"/>
      <c r="C248" s="25"/>
      <c r="D248" s="385"/>
      <c r="E248" s="85">
        <v>6</v>
      </c>
      <c r="F248" s="191"/>
      <c r="G248" s="148"/>
      <c r="H248" s="148"/>
      <c r="I248" s="148"/>
      <c r="J248" s="148"/>
      <c r="K248" s="148"/>
      <c r="L248" s="147"/>
      <c r="M248" s="67">
        <f>IF(A14taxstdlife="n/a","n/a",IF(M$3&gt;(A14taxstdlife+$E248),(Input!$M$54-Input!$M$88)-SUM($L248:L248),(Input!$M$54-Input!$M$88)/A14taxstdlife))</f>
        <v>0</v>
      </c>
      <c r="N248" s="67">
        <f>IF(A14taxstdlife="n/a","n/a",IF(N$3&gt;(A14taxstdlife+$E248),(Input!$M$54-Input!$M$88)-SUM($L248:M248),(Input!$M$54-Input!$M$88)/A14taxstdlife))</f>
        <v>0</v>
      </c>
      <c r="O248" s="67">
        <f>IF(A14taxstdlife="n/a","n/a",IF(O$3&gt;(A14taxstdlife+$E248),(Input!$M$54-Input!$M$88)-SUM($L248:N248),(Input!$M$54-Input!$M$88)/A14taxstdlife))</f>
        <v>0</v>
      </c>
      <c r="P248" s="67">
        <f>IF(A14taxstdlife="n/a","n/a",IF(P$3&gt;(A14taxstdlife+$E248),(Input!$M$54-Input!$M$88)-SUM($L248:O248),(Input!$M$54-Input!$M$88)/A14taxstdlife))</f>
        <v>0</v>
      </c>
      <c r="Q248" s="67"/>
      <c r="R248" s="102"/>
      <c r="S248" s="102"/>
      <c r="T248" s="102"/>
      <c r="U248" s="102"/>
      <c r="V248" s="102"/>
      <c r="W248" s="102"/>
      <c r="X248" s="102"/>
      <c r="Y248" s="102"/>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185"/>
      <c r="BJ248" s="185"/>
      <c r="BK248" s="185"/>
      <c r="BL248" s="185"/>
      <c r="BM248" s="185"/>
      <c r="BN248" s="185"/>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hidden="1" customHeight="1" outlineLevel="2">
      <c r="A249" s="9"/>
      <c r="B249" s="9"/>
      <c r="C249" s="25"/>
      <c r="D249" s="385"/>
      <c r="E249" s="85">
        <v>7</v>
      </c>
      <c r="F249" s="191"/>
      <c r="G249" s="148"/>
      <c r="H249" s="148"/>
      <c r="I249" s="148"/>
      <c r="J249" s="148"/>
      <c r="K249" s="148"/>
      <c r="L249" s="148"/>
      <c r="M249" s="147"/>
      <c r="N249" s="67">
        <f>IF(A14taxstdlife="n/a","n/a",IF(N$3&gt;(A14taxstdlife+$E249),(Input!$N$54-Input!$N$88)-SUM($M249:M249),(Input!$N$54-Input!$N$88)/A14taxstdlife))</f>
        <v>0</v>
      </c>
      <c r="O249" s="67">
        <f>IF(A14taxstdlife="n/a","n/a",IF(O$3&gt;(A14taxstdlife+$E249),(Input!$N$54-Input!$N$88)-SUM($M249:N249),(Input!$N$54-Input!$N$88)/A14taxstdlife))</f>
        <v>0</v>
      </c>
      <c r="P249" s="67">
        <f>IF(A14taxstdlife="n/a","n/a",IF(P$3&gt;(A14taxstdlife+$E249),(Input!$N$54-Input!$N$88)-SUM($M249:O249),(Input!$N$54-Input!$N$88)/A14taxstdlife))</f>
        <v>0</v>
      </c>
      <c r="Q249" s="67"/>
      <c r="R249" s="102"/>
      <c r="S249" s="102"/>
      <c r="T249" s="102"/>
      <c r="U249" s="102"/>
      <c r="V249" s="102"/>
      <c r="W249" s="102"/>
      <c r="X249" s="102"/>
      <c r="Y249" s="102"/>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185"/>
      <c r="BJ249" s="185"/>
      <c r="BK249" s="185"/>
      <c r="BL249" s="185"/>
      <c r="BM249" s="185"/>
      <c r="BN249" s="185"/>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hidden="1" customHeight="1" outlineLevel="2">
      <c r="A250" s="9"/>
      <c r="B250" s="9"/>
      <c r="C250" s="25"/>
      <c r="D250" s="385"/>
      <c r="E250" s="85">
        <v>8</v>
      </c>
      <c r="F250" s="191"/>
      <c r="G250" s="148"/>
      <c r="H250" s="148"/>
      <c r="I250" s="148"/>
      <c r="J250" s="148"/>
      <c r="K250" s="148"/>
      <c r="L250" s="148"/>
      <c r="M250" s="148"/>
      <c r="N250" s="147"/>
      <c r="O250" s="67">
        <f>IF(A14taxstdlife="n/a","n/a",IF(O$3&gt;(A14taxstdlife+$E250),(Input!$O$54-Input!$O$88)-SUM($N250:N250),(Input!$O$54-Input!$O$88)/A14taxstdlife))</f>
        <v>0</v>
      </c>
      <c r="P250" s="67">
        <f>IF(A14taxstdlife="n/a","n/a",IF(P$3&gt;(A14taxstdlife+$E250),(Input!$O$54-Input!$O$88)-SUM($N250:O250),(Input!$O$54-Input!$O$88)/A14taxstdlife))</f>
        <v>0</v>
      </c>
      <c r="Q250" s="67"/>
      <c r="R250" s="102"/>
      <c r="S250" s="102"/>
      <c r="T250" s="102"/>
      <c r="U250" s="102"/>
      <c r="V250" s="102"/>
      <c r="W250" s="102"/>
      <c r="X250" s="102"/>
      <c r="Y250" s="102"/>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185"/>
      <c r="BJ250" s="185"/>
      <c r="BK250" s="185"/>
      <c r="BL250" s="185"/>
      <c r="BM250" s="185"/>
      <c r="BN250" s="185"/>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hidden="1" customHeight="1" outlineLevel="2">
      <c r="A251" s="9"/>
      <c r="B251" s="9"/>
      <c r="C251" s="25"/>
      <c r="D251" s="385"/>
      <c r="E251" s="85">
        <v>9</v>
      </c>
      <c r="F251" s="191"/>
      <c r="G251" s="148"/>
      <c r="H251" s="148"/>
      <c r="I251" s="148"/>
      <c r="J251" s="148"/>
      <c r="K251" s="148"/>
      <c r="L251" s="148"/>
      <c r="M251" s="148"/>
      <c r="N251" s="148"/>
      <c r="O251" s="147"/>
      <c r="P251" s="67">
        <f>IF(A14taxstdlife="n/a","n/a",IF(P$3&gt;(A14taxstdlife+$E251),(Input!$P$54-Input!$P$88)-SUM($O251:O251),(Input!$P$54-Input!$P$88)/A14taxstdlife))</f>
        <v>0</v>
      </c>
      <c r="Q251" s="67"/>
      <c r="R251" s="102"/>
      <c r="S251" s="102"/>
      <c r="T251" s="102"/>
      <c r="U251" s="102"/>
      <c r="V251" s="102"/>
      <c r="W251" s="102"/>
      <c r="X251" s="102"/>
      <c r="Y251" s="102"/>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185"/>
      <c r="BJ251" s="185"/>
      <c r="BK251" s="185"/>
      <c r="BL251" s="185"/>
      <c r="BM251" s="185"/>
      <c r="BN251" s="185"/>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hidden="1" customHeight="1" outlineLevel="2">
      <c r="A252" s="9"/>
      <c r="B252" s="9"/>
      <c r="C252" s="25"/>
      <c r="D252" s="385"/>
      <c r="E252" s="86">
        <v>10</v>
      </c>
      <c r="F252" s="191"/>
      <c r="G252" s="148"/>
      <c r="H252" s="148"/>
      <c r="I252" s="148"/>
      <c r="J252" s="148"/>
      <c r="K252" s="148"/>
      <c r="L252" s="148"/>
      <c r="M252" s="148"/>
      <c r="N252" s="148"/>
      <c r="O252" s="187"/>
      <c r="P252" s="147"/>
      <c r="Q252" s="67"/>
      <c r="R252" s="102"/>
      <c r="S252" s="102"/>
      <c r="T252" s="102"/>
      <c r="U252" s="102"/>
      <c r="V252" s="102"/>
      <c r="W252" s="102"/>
      <c r="X252" s="102"/>
      <c r="Y252" s="102"/>
      <c r="Z252" s="215"/>
      <c r="AA252" s="215"/>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185"/>
      <c r="BJ252" s="185"/>
      <c r="BK252" s="185"/>
      <c r="BL252" s="185"/>
      <c r="BM252" s="185"/>
      <c r="BN252" s="185"/>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hidden="1" customHeight="1" outlineLevel="1">
      <c r="A253" s="9"/>
      <c r="B253" s="9"/>
      <c r="C253" s="25" t="str">
        <f>Asset14</f>
        <v>Cable tunnel (tx)</v>
      </c>
      <c r="D253" s="9"/>
      <c r="E253" s="9"/>
      <c r="F253" s="203"/>
      <c r="G253" s="164">
        <f>-SUM(G241:G252)</f>
        <v>0</v>
      </c>
      <c r="H253" s="164">
        <f>-SUM(H241:H252)</f>
        <v>0</v>
      </c>
      <c r="I253" s="164">
        <f>-SUM(I241:I252)</f>
        <v>0</v>
      </c>
      <c r="J253" s="164">
        <f>-SUM(J241:J252)</f>
        <v>-1.0644892647058823E-2</v>
      </c>
      <c r="K253" s="164">
        <f>-SUM(K241:K252)</f>
        <v>-1.4263089285714285E-2</v>
      </c>
      <c r="L253" s="164"/>
      <c r="M253" s="164">
        <f>IF(Input!N173&gt;0, -SUM(M241:M252), 0)</f>
        <v>0</v>
      </c>
      <c r="N253" s="164">
        <f>IF(Input!O173&gt;0, -SUM(N241:N252), 0)</f>
        <v>0</v>
      </c>
      <c r="O253" s="164">
        <f>IF(Input!P173&gt;0, -SUM(O241:O252), 0)</f>
        <v>0</v>
      </c>
      <c r="P253" s="164">
        <f>IF(Input!Q173&gt;0, -SUM(P241:P252), 0)</f>
        <v>0</v>
      </c>
      <c r="Q253" s="63"/>
      <c r="R253" s="101"/>
      <c r="S253" s="101"/>
      <c r="T253" s="101"/>
      <c r="U253" s="101"/>
      <c r="V253" s="101"/>
      <c r="W253" s="101"/>
      <c r="X253" s="101"/>
      <c r="Y253" s="101"/>
      <c r="Z253" s="21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216"/>
      <c r="BG253" s="216"/>
      <c r="BH253" s="216"/>
      <c r="BI253" s="185"/>
      <c r="BJ253" s="185"/>
      <c r="BK253" s="185"/>
      <c r="BL253" s="185"/>
      <c r="BM253" s="185"/>
      <c r="BN253" s="185"/>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hidden="1" customHeight="1" outlineLevel="2">
      <c r="A254" s="9"/>
      <c r="B254" s="31" t="str">
        <f>Asset15</f>
        <v>Network control &amp; com systems</v>
      </c>
      <c r="C254" s="32"/>
      <c r="D254" s="33" t="s">
        <v>67</v>
      </c>
      <c r="E254" s="32"/>
      <c r="F254" s="203"/>
      <c r="G254" s="356">
        <v>0.5051146214561999</v>
      </c>
      <c r="H254" s="356">
        <v>0.66665485745619979</v>
      </c>
      <c r="I254" s="356">
        <v>0.65965152469619981</v>
      </c>
      <c r="J254" s="356">
        <v>0.71728189761619987</v>
      </c>
      <c r="K254" s="356">
        <v>0.71728189761619987</v>
      </c>
      <c r="L254" s="356"/>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2"/>
      <c r="S254" s="308">
        <f>SUM(K254:K259)</f>
        <v>0.75812235003249362</v>
      </c>
      <c r="T254" s="102"/>
      <c r="U254" s="102"/>
      <c r="V254" s="102"/>
      <c r="W254" s="102"/>
      <c r="X254" s="102"/>
      <c r="Y254" s="102"/>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185"/>
      <c r="BJ254" s="185"/>
      <c r="BK254" s="185"/>
      <c r="BL254" s="185"/>
      <c r="BM254" s="185"/>
      <c r="BN254" s="185"/>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5"/>
      <c r="D255" s="384" t="s">
        <v>85</v>
      </c>
      <c r="E255" s="85"/>
      <c r="F255" s="310"/>
      <c r="G255" s="67"/>
      <c r="H255" s="67"/>
      <c r="I255" s="67"/>
      <c r="J255" s="67"/>
      <c r="K255" s="67"/>
      <c r="L255" s="67"/>
      <c r="M255" s="67"/>
      <c r="N255" s="67"/>
      <c r="O255" s="67"/>
      <c r="P255" s="67"/>
      <c r="Q255" s="67"/>
      <c r="R255" s="102"/>
      <c r="S255" s="102"/>
      <c r="T255" s="102"/>
      <c r="U255" s="102"/>
      <c r="V255" s="102"/>
      <c r="W255" s="102"/>
      <c r="X255" s="102"/>
      <c r="Y255" s="102"/>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185"/>
      <c r="BJ255" s="185"/>
      <c r="BK255" s="185"/>
      <c r="BL255" s="185"/>
      <c r="BM255" s="185"/>
      <c r="BN255" s="18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hidden="1" customHeight="1" outlineLevel="2">
      <c r="A256" s="9"/>
      <c r="B256" s="9"/>
      <c r="C256" s="25"/>
      <c r="D256" s="385"/>
      <c r="E256" s="85">
        <v>1</v>
      </c>
      <c r="F256" s="203"/>
      <c r="G256" s="147"/>
      <c r="H256" s="67">
        <f>IF(A15taxstdlife="n/a","n/a",IF(H$3&gt;(A15taxstdlife+$E256),(Input!$H$55-Input!$H$89)-SUM($G256:G256),(Input!$H$55-Input!$H$89)/A15taxstdlife))</f>
        <v>4.0175774185522491E-2</v>
      </c>
      <c r="I256" s="67">
        <f>IF(A15taxstdlife="n/a","n/a",IF(I$3&gt;(A15taxstdlife+$E256),(Input!$H$55-Input!$H$89)-SUM($G256:H256),(Input!$H$55-Input!$H$89)/A15taxstdlife))</f>
        <v>4.0175774185522491E-2</v>
      </c>
      <c r="J256" s="67">
        <f>IF(A15taxstdlife="n/a","n/a",IF(J$3&gt;(A15taxstdlife+$E256),(Input!$H$55-Input!$H$89)-SUM($G256:I256),(Input!$H$55-Input!$H$89)/A15taxstdlife))</f>
        <v>4.0175774185522491E-2</v>
      </c>
      <c r="K256" s="67">
        <f>IF(A15taxstdlife="n/a","n/a",IF(K$3&gt;(A15taxstdlife+$E256),(Input!$H$55-Input!$H$89)-SUM($G256:J256),(Input!$H$55-Input!$H$89)/A15taxstdlife))</f>
        <v>4.0175774185522491E-2</v>
      </c>
      <c r="L256" s="67"/>
      <c r="M256" s="67">
        <f>IF(A15taxstdlife="n/a","n/a",IF(M$3&gt;(A15taxstdlife+$E256),(Input!$H$55-Input!$H$89)-SUM($G256:L256),(Input!$H$55-Input!$H$89)/A15taxstdlife))</f>
        <v>4.0175774185522491E-2</v>
      </c>
      <c r="N256" s="67">
        <f>IF(A15taxstdlife="n/a","n/a",IF(N$3&gt;(A15taxstdlife+$E256),(Input!$H$55-Input!$H$89)-SUM($G256:M256),(Input!$H$55-Input!$H$89)/A15taxstdlife))</f>
        <v>4.0175774185522491E-2</v>
      </c>
      <c r="O256" s="67">
        <f>IF(A15taxstdlife="n/a","n/a",IF(O$3&gt;(A15taxstdlife+$E256),(Input!$H$55-Input!$H$89)-SUM($G256:N256),(Input!$H$55-Input!$H$89)/A15taxstdlife))</f>
        <v>4.0175774185522491E-2</v>
      </c>
      <c r="P256" s="67">
        <f>IF(A15taxstdlife="n/a","n/a",IF(P$3&gt;(A15taxstdlife+$E256),(Input!$H$55-Input!$H$89)-SUM($G256:O256),(Input!$H$55-Input!$H$89)/A15taxstdlife))</f>
        <v>4.0175774185522491E-2</v>
      </c>
      <c r="Q256" s="67"/>
      <c r="R256" s="102"/>
      <c r="S256" s="102"/>
      <c r="T256" s="102"/>
      <c r="U256" s="102"/>
      <c r="V256" s="102"/>
      <c r="W256" s="102"/>
      <c r="X256" s="102"/>
      <c r="Y256" s="102"/>
      <c r="Z256" s="215"/>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185"/>
      <c r="BJ256" s="185"/>
      <c r="BK256" s="185"/>
      <c r="BL256" s="185"/>
      <c r="BM256" s="185"/>
      <c r="BN256" s="185"/>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hidden="1" customHeight="1" outlineLevel="2">
      <c r="A257" s="9"/>
      <c r="B257" s="9"/>
      <c r="C257" s="25"/>
      <c r="D257" s="385"/>
      <c r="E257" s="85">
        <v>2</v>
      </c>
      <c r="F257" s="203"/>
      <c r="G257" s="148"/>
      <c r="H257" s="147"/>
      <c r="I257" s="67">
        <f>IF(A15taxstdlife="n/a","n/a",IF(I$3&gt;(A15taxstdlife+$E257),(Input!$I$55-Input!$I$89)-SUM($H257:H257),(Input!$I$55-Input!$I$89)/A15taxstdlife))</f>
        <v>0</v>
      </c>
      <c r="J257" s="67">
        <f>IF(A15taxstdlife="n/a","n/a",IF(J$3&gt;(A15taxstdlife+$E257),(Input!$I$55-Input!$I$89)-SUM($H257:I257),(Input!$I$55-Input!$I$89)/A15taxstdlife))</f>
        <v>0</v>
      </c>
      <c r="K257" s="67">
        <f>IF(A15taxstdlife="n/a","n/a",IF(K$3&gt;(A15taxstdlife+$E257),(Input!$I$55-Input!$I$89)-SUM($H257:J257),(Input!$I$55-Input!$I$89)/A15taxstdlife))</f>
        <v>0</v>
      </c>
      <c r="L257" s="67"/>
      <c r="M257" s="67">
        <f>IF(A15taxstdlife="n/a","n/a",IF(M$3&gt;(A15taxstdlife+$E257),(Input!$I$55-Input!$I$89)-SUM($H257:L257),(Input!$I$55-Input!$I$89)/A15taxstdlife))</f>
        <v>0</v>
      </c>
      <c r="N257" s="67">
        <f>IF(A15taxstdlife="n/a","n/a",IF(N$3&gt;(A15taxstdlife+$E257),(Input!$I$55-Input!$I$89)-SUM($H257:M257),(Input!$I$55-Input!$I$89)/A15taxstdlife))</f>
        <v>0</v>
      </c>
      <c r="O257" s="67">
        <f>IF(A15taxstdlife="n/a","n/a",IF(O$3&gt;(A15taxstdlife+$E257),(Input!$I$55-Input!$I$89)-SUM($H257:N257),(Input!$I$55-Input!$I$89)/A15taxstdlife))</f>
        <v>0</v>
      </c>
      <c r="P257" s="67">
        <f>IF(A15taxstdlife="n/a","n/a",IF(P$3&gt;(A15taxstdlife+$E257),(Input!$I$55-Input!$I$89)-SUM($H257:O257),(Input!$I$55-Input!$I$89)/A15taxstdlife))</f>
        <v>0</v>
      </c>
      <c r="Q257" s="67"/>
      <c r="R257" s="102"/>
      <c r="S257" s="102"/>
      <c r="T257" s="102"/>
      <c r="U257" s="102"/>
      <c r="V257" s="102"/>
      <c r="W257" s="102"/>
      <c r="X257" s="102"/>
      <c r="Y257" s="102"/>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185"/>
      <c r="BJ257" s="185"/>
      <c r="BK257" s="185"/>
      <c r="BL257" s="185"/>
      <c r="BM257" s="185"/>
      <c r="BN257" s="185"/>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hidden="1" customHeight="1" outlineLevel="2">
      <c r="A258" s="9"/>
      <c r="B258" s="9"/>
      <c r="C258" s="25"/>
      <c r="D258" s="385"/>
      <c r="E258" s="85">
        <v>3</v>
      </c>
      <c r="F258" s="203"/>
      <c r="G258" s="148"/>
      <c r="H258" s="148"/>
      <c r="I258" s="147"/>
      <c r="J258" s="67">
        <f>IF(A15taxstdlife="n/a","n/a",IF(J$3&gt;(A15taxstdlife+$E258),(Input!$J$55-Input!$J$89)-SUM($I258:I258),(Input!$J$55-Input!$J$89)/A15taxstdlife))</f>
        <v>6.6467823077122042E-4</v>
      </c>
      <c r="K258" s="67">
        <f>IF(A15taxstdlife="n/a","n/a",IF(K$3&gt;(A15taxstdlife+$E258),(Input!$J$55-Input!$J$89)-SUM($I258:J258),(Input!$J$55-Input!$J$89)/A15taxstdlife))</f>
        <v>6.6467823077122042E-4</v>
      </c>
      <c r="L258" s="67"/>
      <c r="M258" s="67">
        <f>IF(A15taxstdlife="n/a","n/a",IF(M$3&gt;(A15taxstdlife+$E258),(Input!$J$55-Input!$J$89)-SUM($I258:L258),(Input!$J$55-Input!$J$89)/A15taxstdlife))</f>
        <v>6.6467823077122042E-4</v>
      </c>
      <c r="N258" s="67">
        <f>IF(A15taxstdlife="n/a","n/a",IF(N$3&gt;(A15taxstdlife+$E258),(Input!$J$55-Input!$J$89)-SUM($I258:M258),(Input!$J$55-Input!$J$89)/A15taxstdlife))</f>
        <v>6.6467823077122042E-4</v>
      </c>
      <c r="O258" s="67">
        <f>IF(A15taxstdlife="n/a","n/a",IF(O$3&gt;(A15taxstdlife+$E258),(Input!$J$55-Input!$J$89)-SUM($I258:N258),(Input!$J$55-Input!$J$89)/A15taxstdlife))</f>
        <v>6.6467823077122042E-4</v>
      </c>
      <c r="P258" s="67">
        <f>IF(A15taxstdlife="n/a","n/a",IF(P$3&gt;(A15taxstdlife+$E258),(Input!$J$55-Input!$J$89)-SUM($I258:O258),(Input!$J$55-Input!$J$89)/A15taxstdlife))</f>
        <v>6.6467823077122042E-4</v>
      </c>
      <c r="Q258" s="67"/>
      <c r="R258" s="102"/>
      <c r="S258" s="102"/>
      <c r="T258" s="102"/>
      <c r="U258" s="102"/>
      <c r="V258" s="102"/>
      <c r="W258" s="102"/>
      <c r="X258" s="102"/>
      <c r="Y258" s="102"/>
      <c r="Z258" s="215"/>
      <c r="AA258" s="215"/>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185"/>
      <c r="BJ258" s="185"/>
      <c r="BK258" s="185"/>
      <c r="BL258" s="185"/>
      <c r="BM258" s="185"/>
      <c r="BN258" s="185"/>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hidden="1" customHeight="1" outlineLevel="2">
      <c r="A259" s="9"/>
      <c r="B259" s="9"/>
      <c r="C259" s="25"/>
      <c r="D259" s="385"/>
      <c r="E259" s="85">
        <v>4</v>
      </c>
      <c r="F259" s="203"/>
      <c r="G259" s="148"/>
      <c r="H259" s="148"/>
      <c r="I259" s="148"/>
      <c r="J259" s="147"/>
      <c r="K259" s="67">
        <f>IF(A15taxstdlife="n/a","n/a",IF(K$3&gt;(A15taxstdlife+$E259),(Input!$K$55-Input!$K$89)-SUM($J259:J259),(Input!$K$55-Input!$K$89)/A15taxstdlife))</f>
        <v>0</v>
      </c>
      <c r="L259" s="67"/>
      <c r="M259" s="67">
        <f>IF(A15taxstdlife="n/a","n/a",IF(M$3&gt;(A15taxstdlife+$E259),(Input!$K$55-Input!$K$89)-SUM($J259:L259),(Input!$K$55-Input!$K$89)/A15taxstdlife))</f>
        <v>0</v>
      </c>
      <c r="N259" s="67">
        <f>IF(A15taxstdlife="n/a","n/a",IF(N$3&gt;(A15taxstdlife+$E259),(Input!$K$55-Input!$K$89)-SUM($J259:M259),(Input!$K$55-Input!$K$89)/A15taxstdlife))</f>
        <v>0</v>
      </c>
      <c r="O259" s="67">
        <f>IF(A15taxstdlife="n/a","n/a",IF(O$3&gt;(A15taxstdlife+$E259),(Input!$K$55-Input!$K$89)-SUM($J259:N259),(Input!$K$55-Input!$K$89)/A15taxstdlife))</f>
        <v>0</v>
      </c>
      <c r="P259" s="67">
        <f>IF(A15taxstdlife="n/a","n/a",IF(P$3&gt;(A15taxstdlife+$E259),(Input!$K$55-Input!$K$89)-SUM($J259:O259),(Input!$K$55-Input!$K$89)/A15taxstdlife))</f>
        <v>0</v>
      </c>
      <c r="Q259" s="67"/>
      <c r="R259" s="102"/>
      <c r="S259" s="102"/>
      <c r="T259" s="102"/>
      <c r="U259" s="102"/>
      <c r="V259" s="102"/>
      <c r="W259" s="102"/>
      <c r="X259" s="102"/>
      <c r="Y259" s="102"/>
      <c r="Z259" s="215"/>
      <c r="AA259" s="215"/>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185"/>
      <c r="BJ259" s="185"/>
      <c r="BK259" s="185"/>
      <c r="BL259" s="185"/>
      <c r="BM259" s="185"/>
      <c r="BN259" s="185"/>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hidden="1" customHeight="1" outlineLevel="2">
      <c r="A260" s="9"/>
      <c r="B260" s="9"/>
      <c r="C260" s="25"/>
      <c r="D260" s="385"/>
      <c r="E260" s="85">
        <v>5</v>
      </c>
      <c r="F260" s="203"/>
      <c r="G260" s="148"/>
      <c r="H260" s="148"/>
      <c r="I260" s="148"/>
      <c r="J260" s="148"/>
      <c r="K260" s="147"/>
      <c r="L260" s="67"/>
      <c r="M260" s="67">
        <f>IF(A15taxstdlife="n/a","n/a",IF(M$3&gt;(A15taxstdlife+$E260),(Input!$L$55-Input!$L$89)-SUM($K260:L260),(Input!$L$55-Input!$L$89)/A15taxstdlife))</f>
        <v>0</v>
      </c>
      <c r="N260" s="67">
        <f>IF(A15taxstdlife="n/a","n/a",IF(N$3&gt;(A15taxstdlife+$E260),(Input!$L$55-Input!$L$89)-SUM($K260:M260),(Input!$L$55-Input!$L$89)/A15taxstdlife))</f>
        <v>0</v>
      </c>
      <c r="O260" s="67">
        <f>IF(A15taxstdlife="n/a","n/a",IF(O$3&gt;(A15taxstdlife+$E260),(Input!$L$55-Input!$L$89)-SUM($K260:N260),(Input!$L$55-Input!$L$89)/A15taxstdlife))</f>
        <v>0</v>
      </c>
      <c r="P260" s="67">
        <f>IF(A15taxstdlife="n/a","n/a",IF(P$3&gt;(A15taxstdlife+$E260),(Input!$L$55-Input!$L$89)-SUM($K260:O260),(Input!$L$55-Input!$L$89)/A15taxstdlife))</f>
        <v>0</v>
      </c>
      <c r="Q260" s="67"/>
      <c r="R260" s="102"/>
      <c r="S260" s="102"/>
      <c r="T260" s="102"/>
      <c r="U260" s="102"/>
      <c r="V260" s="102"/>
      <c r="W260" s="102"/>
      <c r="X260" s="102"/>
      <c r="Y260" s="102"/>
      <c r="Z260" s="215"/>
      <c r="AA260" s="215"/>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185"/>
      <c r="BJ260" s="185"/>
      <c r="BK260" s="185"/>
      <c r="BL260" s="185"/>
      <c r="BM260" s="185"/>
      <c r="BN260" s="185"/>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hidden="1" customHeight="1" outlineLevel="2">
      <c r="A261" s="9"/>
      <c r="B261" s="9"/>
      <c r="C261" s="25"/>
      <c r="D261" s="385"/>
      <c r="E261" s="85">
        <v>6</v>
      </c>
      <c r="F261" s="203"/>
      <c r="G261" s="148"/>
      <c r="H261" s="148"/>
      <c r="I261" s="148"/>
      <c r="J261" s="148"/>
      <c r="K261" s="148"/>
      <c r="L261" s="147"/>
      <c r="M261" s="67">
        <f>IF(A15taxstdlife="n/a","n/a",IF(M$3&gt;(A15taxstdlife+$E261),(Input!$M$55-Input!$M$89)-SUM($L261:L261),(Input!$M$55-Input!$M$89)/A15taxstdlife))</f>
        <v>0</v>
      </c>
      <c r="N261" s="67">
        <f>IF(A15taxstdlife="n/a","n/a",IF(N$3&gt;(A15taxstdlife+$E261),(Input!$M$55-Input!$M$89)-SUM($L261:M261),(Input!$M$55-Input!$M$89)/A15taxstdlife))</f>
        <v>0</v>
      </c>
      <c r="O261" s="67">
        <f>IF(A15taxstdlife="n/a","n/a",IF(O$3&gt;(A15taxstdlife+$E261),(Input!$M$55-Input!$M$89)-SUM($L261:N261),(Input!$M$55-Input!$M$89)/A15taxstdlife))</f>
        <v>0</v>
      </c>
      <c r="P261" s="67">
        <f>IF(A15taxstdlife="n/a","n/a",IF(P$3&gt;(A15taxstdlife+$E261),(Input!$M$55-Input!$M$89)-SUM($L261:O261),(Input!$M$55-Input!$M$89)/A15taxstdlife))</f>
        <v>0</v>
      </c>
      <c r="Q261" s="67"/>
      <c r="R261" s="102"/>
      <c r="S261" s="102"/>
      <c r="T261" s="102"/>
      <c r="U261" s="102"/>
      <c r="V261" s="102"/>
      <c r="W261" s="102"/>
      <c r="X261" s="102"/>
      <c r="Y261" s="102"/>
      <c r="Z261" s="215"/>
      <c r="AA261" s="215"/>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185"/>
      <c r="BJ261" s="185"/>
      <c r="BK261" s="185"/>
      <c r="BL261" s="185"/>
      <c r="BM261" s="185"/>
      <c r="BN261" s="185"/>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hidden="1" customHeight="1" outlineLevel="2">
      <c r="A262" s="9"/>
      <c r="B262" s="9"/>
      <c r="C262" s="25"/>
      <c r="D262" s="385"/>
      <c r="E262" s="85">
        <v>7</v>
      </c>
      <c r="F262" s="203"/>
      <c r="G262" s="148"/>
      <c r="H262" s="148"/>
      <c r="I262" s="148"/>
      <c r="J262" s="148"/>
      <c r="K262" s="148"/>
      <c r="L262" s="148"/>
      <c r="M262" s="147"/>
      <c r="N262" s="67">
        <f>IF(A15taxstdlife="n/a","n/a",IF(N$3&gt;(A15taxstdlife+$E262),(Input!$N$55-Input!$N$89)-SUM($M262:M262),(Input!$N$55-Input!$N$89)/A15taxstdlife))</f>
        <v>0</v>
      </c>
      <c r="O262" s="67">
        <f>IF(A15taxstdlife="n/a","n/a",IF(O$3&gt;(A15taxstdlife+$E262),(Input!$N$55-Input!$N$89)-SUM($M262:N262),(Input!$N$55-Input!$N$89)/A15taxstdlife))</f>
        <v>0</v>
      </c>
      <c r="P262" s="67">
        <f>IF(A15taxstdlife="n/a","n/a",IF(P$3&gt;(A15taxstdlife+$E262),(Input!$N$55-Input!$N$89)-SUM($M262:O262),(Input!$N$55-Input!$N$89)/A15taxstdlife))</f>
        <v>0</v>
      </c>
      <c r="Q262" s="67"/>
      <c r="R262" s="102"/>
      <c r="S262" s="102"/>
      <c r="T262" s="102"/>
      <c r="U262" s="102"/>
      <c r="V262" s="102"/>
      <c r="W262" s="102"/>
      <c r="X262" s="102"/>
      <c r="Y262" s="102"/>
      <c r="Z262" s="215"/>
      <c r="AA262" s="215"/>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185"/>
      <c r="BJ262" s="185"/>
      <c r="BK262" s="185"/>
      <c r="BL262" s="185"/>
      <c r="BM262" s="185"/>
      <c r="BN262" s="185"/>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hidden="1" customHeight="1" outlineLevel="2">
      <c r="A263" s="9"/>
      <c r="B263" s="9"/>
      <c r="C263" s="25"/>
      <c r="D263" s="385"/>
      <c r="E263" s="85">
        <v>8</v>
      </c>
      <c r="F263" s="203"/>
      <c r="G263" s="148"/>
      <c r="H263" s="148"/>
      <c r="I263" s="148"/>
      <c r="J263" s="148"/>
      <c r="K263" s="148"/>
      <c r="L263" s="148"/>
      <c r="M263" s="148"/>
      <c r="N263" s="147"/>
      <c r="O263" s="67">
        <f>IF(A15taxstdlife="n/a","n/a",IF(O$3&gt;(A15taxstdlife+$E263),(Input!$O$55-Input!$O$89)-SUM($N263:N263),(Input!$O$55-Input!$O$89)/A15taxstdlife))</f>
        <v>0</v>
      </c>
      <c r="P263" s="67">
        <f>IF(A15taxstdlife="n/a","n/a",IF(P$3&gt;(A15taxstdlife+$E263),(Input!$O$55-Input!$O$89)-SUM($N263:O263),(Input!$O$55-Input!$O$89)/A15taxstdlife))</f>
        <v>0</v>
      </c>
      <c r="Q263" s="67"/>
      <c r="R263" s="102"/>
      <c r="S263" s="102"/>
      <c r="T263" s="102"/>
      <c r="U263" s="102"/>
      <c r="V263" s="102"/>
      <c r="W263" s="102"/>
      <c r="X263" s="102"/>
      <c r="Y263" s="102"/>
      <c r="Z263" s="215"/>
      <c r="AA263" s="215"/>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185"/>
      <c r="BJ263" s="185"/>
      <c r="BK263" s="185"/>
      <c r="BL263" s="185"/>
      <c r="BM263" s="185"/>
      <c r="BN263" s="185"/>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hidden="1" customHeight="1" outlineLevel="2">
      <c r="A264" s="9"/>
      <c r="B264" s="9"/>
      <c r="C264" s="25"/>
      <c r="D264" s="385"/>
      <c r="E264" s="85">
        <v>9</v>
      </c>
      <c r="F264" s="203"/>
      <c r="G264" s="148"/>
      <c r="H264" s="148"/>
      <c r="I264" s="148"/>
      <c r="J264" s="148"/>
      <c r="K264" s="148"/>
      <c r="L264" s="148"/>
      <c r="M264" s="148"/>
      <c r="N264" s="148"/>
      <c r="O264" s="147"/>
      <c r="P264" s="67">
        <f>IF(A15taxstdlife="n/a","n/a",IF(P$3&gt;(A15taxstdlife+$E264),(Input!$P$55-Input!$P$89)-SUM($O264:O264),(Input!$P$55-Input!$P$89)/A15taxstdlife))</f>
        <v>0</v>
      </c>
      <c r="Q264" s="67"/>
      <c r="R264" s="102"/>
      <c r="S264" s="102"/>
      <c r="T264" s="102"/>
      <c r="U264" s="102"/>
      <c r="V264" s="102"/>
      <c r="W264" s="102"/>
      <c r="X264" s="102"/>
      <c r="Y264" s="102"/>
      <c r="Z264" s="215"/>
      <c r="AA264" s="215"/>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185"/>
      <c r="BJ264" s="185"/>
      <c r="BK264" s="185"/>
      <c r="BL264" s="185"/>
      <c r="BM264" s="185"/>
      <c r="BN264" s="185"/>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hidden="1" customHeight="1" outlineLevel="2">
      <c r="A265" s="9"/>
      <c r="B265" s="9"/>
      <c r="C265" s="25"/>
      <c r="D265" s="385"/>
      <c r="E265" s="86">
        <v>10</v>
      </c>
      <c r="F265" s="203"/>
      <c r="G265" s="148"/>
      <c r="H265" s="148"/>
      <c r="I265" s="148"/>
      <c r="J265" s="148"/>
      <c r="K265" s="148"/>
      <c r="L265" s="148"/>
      <c r="M265" s="148"/>
      <c r="N265" s="148"/>
      <c r="O265" s="187"/>
      <c r="P265" s="147"/>
      <c r="Q265" s="67"/>
      <c r="R265" s="102"/>
      <c r="S265" s="102"/>
      <c r="T265" s="102"/>
      <c r="U265" s="102"/>
      <c r="V265" s="102"/>
      <c r="W265" s="102"/>
      <c r="X265" s="102"/>
      <c r="Y265" s="102"/>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185"/>
      <c r="BJ265" s="185"/>
      <c r="BK265" s="185"/>
      <c r="BL265" s="185"/>
      <c r="BM265" s="185"/>
      <c r="BN265" s="18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hidden="1" customHeight="1" outlineLevel="1">
      <c r="A266" s="9"/>
      <c r="B266" s="9"/>
      <c r="C266" s="25" t="str">
        <f>Asset15</f>
        <v>Network control &amp; com systems</v>
      </c>
      <c r="D266" s="9"/>
      <c r="E266" s="9"/>
      <c r="F266" s="203"/>
      <c r="G266" s="164">
        <f>-SUM(G254:G265)</f>
        <v>-0.5051146214561999</v>
      </c>
      <c r="H266" s="164">
        <f>-SUM(H254:H265)</f>
        <v>-0.70683063164172233</v>
      </c>
      <c r="I266" s="164">
        <f>-SUM(I254:I265)</f>
        <v>-0.69982729888172235</v>
      </c>
      <c r="J266" s="164">
        <f>-SUM(J254:J265)</f>
        <v>-0.75812235003249362</v>
      </c>
      <c r="K266" s="164">
        <f>-SUM(K254:K265)</f>
        <v>-0.75812235003249362</v>
      </c>
      <c r="L266" s="164"/>
      <c r="M266" s="164">
        <f>IF(Input!N173&gt;0, -SUM(M254:M265), 0)</f>
        <v>0</v>
      </c>
      <c r="N266" s="164">
        <f>IF(Input!O173&gt;0, -SUM(N254:N265), 0)</f>
        <v>0</v>
      </c>
      <c r="O266" s="164">
        <f>IF(Input!P173&gt;0, -SUM(O254:O265), 0)</f>
        <v>0</v>
      </c>
      <c r="P266" s="164">
        <f>IF(Input!Q173&gt;0, -SUM(P254:P265), 0)</f>
        <v>0</v>
      </c>
      <c r="Q266" s="63"/>
      <c r="R266" s="101"/>
      <c r="S266" s="308"/>
      <c r="T266" s="101"/>
      <c r="U266" s="101"/>
      <c r="V266" s="101"/>
      <c r="W266" s="101"/>
      <c r="X266" s="101"/>
      <c r="Y266" s="101"/>
      <c r="Z266" s="21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216"/>
      <c r="BG266" s="216"/>
      <c r="BH266" s="216"/>
      <c r="BI266" s="185"/>
      <c r="BJ266" s="185"/>
      <c r="BK266" s="185"/>
      <c r="BL266" s="185"/>
      <c r="BM266" s="185"/>
      <c r="BN266" s="185"/>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hidden="1" customHeight="1" outlineLevel="2">
      <c r="A267" s="9"/>
      <c r="B267" s="31" t="str">
        <f>Asset16</f>
        <v>Communications (digital) - tx</v>
      </c>
      <c r="C267" s="32"/>
      <c r="D267" s="33" t="s">
        <v>67</v>
      </c>
      <c r="E267" s="32"/>
      <c r="F267" s="203"/>
      <c r="G267" s="356">
        <v>0</v>
      </c>
      <c r="H267" s="356">
        <v>0</v>
      </c>
      <c r="I267" s="356">
        <v>0</v>
      </c>
      <c r="J267" s="356">
        <v>0</v>
      </c>
      <c r="K267" s="356">
        <v>0</v>
      </c>
      <c r="L267" s="356"/>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2"/>
      <c r="S267" s="308">
        <f>SUM(K267:K272)</f>
        <v>9.8195562799999997E-2</v>
      </c>
      <c r="T267" s="102"/>
      <c r="U267" s="102"/>
      <c r="V267" s="102"/>
      <c r="W267" s="102"/>
      <c r="X267" s="102"/>
      <c r="Y267" s="102"/>
      <c r="Z267" s="215"/>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185"/>
      <c r="BJ267" s="185"/>
      <c r="BK267" s="185"/>
      <c r="BL267" s="185"/>
      <c r="BM267" s="185"/>
      <c r="BN267" s="185"/>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5"/>
      <c r="D268" s="384" t="s">
        <v>85</v>
      </c>
      <c r="E268" s="85"/>
      <c r="F268" s="309"/>
      <c r="G268" s="67"/>
      <c r="H268" s="67"/>
      <c r="I268" s="67"/>
      <c r="J268" s="67"/>
      <c r="K268" s="67"/>
      <c r="L268" s="67"/>
      <c r="M268" s="67"/>
      <c r="N268" s="67"/>
      <c r="O268" s="67"/>
      <c r="P268" s="67"/>
      <c r="Q268" s="67"/>
      <c r="R268" s="102"/>
      <c r="S268" s="102"/>
      <c r="T268" s="102"/>
      <c r="U268" s="102"/>
      <c r="V268" s="102"/>
      <c r="W268" s="102"/>
      <c r="X268" s="102"/>
      <c r="Y268" s="102"/>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185"/>
      <c r="BJ268" s="185"/>
      <c r="BK268" s="185"/>
      <c r="BL268" s="185"/>
      <c r="BM268" s="185"/>
      <c r="BN268" s="185"/>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hidden="1" customHeight="1" outlineLevel="2">
      <c r="A269" s="9"/>
      <c r="B269" s="9"/>
      <c r="C269" s="25"/>
      <c r="D269" s="385"/>
      <c r="E269" s="85">
        <v>1</v>
      </c>
      <c r="F269" s="191"/>
      <c r="G269" s="147"/>
      <c r="H269" s="67">
        <f>IF(A16taxstdlife="n/a","n/a",IF(H$3&gt;(A16taxstdlife+$E269),(Input!$H$56-Input!$H$90)-SUM($G269:G269),(Input!$H$56-Input!$H$90)/A16taxstdlife))</f>
        <v>0</v>
      </c>
      <c r="I269" s="67">
        <f>IF(A16taxstdlife="n/a","n/a",IF(I$3&gt;(A16taxstdlife+$E269),(Input!$H$56-Input!$H$90)-SUM($G269:H269),(Input!$H$56-Input!$H$90)/A16taxstdlife))</f>
        <v>0</v>
      </c>
      <c r="J269" s="67">
        <f>IF(A16taxstdlife="n/a","n/a",IF(J$3&gt;(A16taxstdlife+$E269),(Input!$H$56-Input!$H$90)-SUM($G269:I269),(Input!$H$56-Input!$H$90)/A16taxstdlife))</f>
        <v>0</v>
      </c>
      <c r="K269" s="67">
        <f>IF(A16taxstdlife="n/a","n/a",IF(K$3&gt;(A16taxstdlife+$E269),(Input!$H$56-Input!$H$90)-SUM($G269:J269),(Input!$H$56-Input!$H$90)/A16taxstdlife))</f>
        <v>0</v>
      </c>
      <c r="L269" s="67"/>
      <c r="M269" s="67">
        <f>IF(A16taxstdlife="n/a","n/a",IF(M$3&gt;(A16taxstdlife+$E269),(Input!$H$56-Input!$H$90)-SUM($G269:L269),(Input!$H$56-Input!$H$90)/A16taxstdlife))</f>
        <v>0</v>
      </c>
      <c r="N269" s="67">
        <f>IF(A16taxstdlife="n/a","n/a",IF(N$3&gt;(A16taxstdlife+$E269),(Input!$H$56-Input!$H$90)-SUM($G269:M269),(Input!$H$56-Input!$H$90)/A16taxstdlife))</f>
        <v>0</v>
      </c>
      <c r="O269" s="67">
        <f>IF(A16taxstdlife="n/a","n/a",IF(O$3&gt;(A16taxstdlife+$E269),(Input!$H$56-Input!$H$90)-SUM($G269:N269),(Input!$H$56-Input!$H$90)/A16taxstdlife))</f>
        <v>0</v>
      </c>
      <c r="P269" s="67">
        <f>IF(A16taxstdlife="n/a","n/a",IF(P$3&gt;(A16taxstdlife+$E269),(Input!$H$56-Input!$H$90)-SUM($G269:O269),(Input!$H$56-Input!$H$90)/A16taxstdlife))</f>
        <v>0</v>
      </c>
      <c r="Q269" s="67"/>
      <c r="R269" s="102"/>
      <c r="S269" s="102"/>
      <c r="T269" s="102"/>
      <c r="U269" s="102"/>
      <c r="V269" s="102"/>
      <c r="W269" s="102"/>
      <c r="X269" s="102"/>
      <c r="Y269" s="102"/>
      <c r="Z269" s="215"/>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185"/>
      <c r="BJ269" s="185"/>
      <c r="BK269" s="185"/>
      <c r="BL269" s="185"/>
      <c r="BM269" s="185"/>
      <c r="BN269" s="185"/>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hidden="1" customHeight="1" outlineLevel="2">
      <c r="A270" s="9"/>
      <c r="B270" s="9"/>
      <c r="C270" s="25"/>
      <c r="D270" s="385"/>
      <c r="E270" s="85">
        <v>2</v>
      </c>
      <c r="F270" s="191"/>
      <c r="G270" s="148"/>
      <c r="H270" s="147"/>
      <c r="I270" s="67">
        <f>IF(A16taxstdlife="n/a","n/a",IF(I$3&gt;(A16taxstdlife+$E270),(Input!$I$56-Input!$I$90)-SUM($H270:H270),(Input!$I$56-Input!$I$90)/A16taxstdlife))</f>
        <v>3.2362713000000001E-2</v>
      </c>
      <c r="J270" s="67">
        <f>IF(A16taxstdlife="n/a","n/a",IF(J$3&gt;(A16taxstdlife+$E270),(Input!$I$56-Input!$I$90)-SUM($H270:I270),(Input!$I$56-Input!$I$90)/A16taxstdlife))</f>
        <v>3.2362713000000001E-2</v>
      </c>
      <c r="K270" s="67">
        <f>IF(A16taxstdlife="n/a","n/a",IF(K$3&gt;(A16taxstdlife+$E270),(Input!$I$56-Input!$I$90)-SUM($H270:J270),(Input!$I$56-Input!$I$90)/A16taxstdlife))</f>
        <v>3.2362713000000001E-2</v>
      </c>
      <c r="L270" s="67"/>
      <c r="M270" s="67">
        <f>IF(A16taxstdlife="n/a","n/a",IF(M$3&gt;(A16taxstdlife+$E270),(Input!$I$56-Input!$I$90)-SUM($H270:L270),(Input!$I$56-Input!$I$90)/A16taxstdlife))</f>
        <v>3.2362713000000001E-2</v>
      </c>
      <c r="N270" s="67">
        <f>IF(A16taxstdlife="n/a","n/a",IF(N$3&gt;(A16taxstdlife+$E270),(Input!$I$56-Input!$I$90)-SUM($H270:M270),(Input!$I$56-Input!$I$90)/A16taxstdlife))</f>
        <v>3.2362713000000001E-2</v>
      </c>
      <c r="O270" s="67">
        <f>IF(A16taxstdlife="n/a","n/a",IF(O$3&gt;(A16taxstdlife+$E270),(Input!$I$56-Input!$I$90)-SUM($H270:N270),(Input!$I$56-Input!$I$90)/A16taxstdlife))</f>
        <v>3.2362713000000001E-2</v>
      </c>
      <c r="P270" s="67">
        <f>IF(A16taxstdlife="n/a","n/a",IF(P$3&gt;(A16taxstdlife+$E270),(Input!$I$56-Input!$I$90)-SUM($H270:O270),(Input!$I$56-Input!$I$90)/A16taxstdlife))</f>
        <v>0.12945085200000001</v>
      </c>
      <c r="Q270" s="67"/>
      <c r="R270" s="102"/>
      <c r="S270" s="102"/>
      <c r="T270" s="102"/>
      <c r="U270" s="102"/>
      <c r="V270" s="102"/>
      <c r="W270" s="102"/>
      <c r="X270" s="102"/>
      <c r="Y270" s="102"/>
      <c r="Z270" s="215"/>
      <c r="AA270" s="215"/>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185"/>
      <c r="BJ270" s="185"/>
      <c r="BK270" s="185"/>
      <c r="BL270" s="185"/>
      <c r="BM270" s="185"/>
      <c r="BN270" s="185"/>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hidden="1" customHeight="1" outlineLevel="2">
      <c r="A271" s="9"/>
      <c r="B271" s="9"/>
      <c r="C271" s="25"/>
      <c r="D271" s="385"/>
      <c r="E271" s="85">
        <v>3</v>
      </c>
      <c r="F271" s="191"/>
      <c r="G271" s="148"/>
      <c r="H271" s="148"/>
      <c r="I271" s="147"/>
      <c r="J271" s="67">
        <f>IF(A16taxstdlife="n/a","n/a",IF(J$3&gt;(A16taxstdlife+$E271),(Input!$J$56-Input!$J$90)-SUM($I271:I271),(Input!$J$56-Input!$J$90)/A16taxstdlife))</f>
        <v>4.8453745799999996E-2</v>
      </c>
      <c r="K271" s="67">
        <f>IF(A16taxstdlife="n/a","n/a",IF(K$3&gt;(A16taxstdlife+$E271),(Input!$J$56-Input!$J$90)-SUM($I271:J271),(Input!$J$56-Input!$J$90)/A16taxstdlife))</f>
        <v>4.8453745799999996E-2</v>
      </c>
      <c r="L271" s="67"/>
      <c r="M271" s="67">
        <f>IF(A16taxstdlife="n/a","n/a",IF(M$3&gt;(A16taxstdlife+$E271),(Input!$J$56-Input!$J$90)-SUM($I271:L271),(Input!$J$56-Input!$J$90)/A16taxstdlife))</f>
        <v>4.8453745799999996E-2</v>
      </c>
      <c r="N271" s="67">
        <f>IF(A16taxstdlife="n/a","n/a",IF(N$3&gt;(A16taxstdlife+$E271),(Input!$J$56-Input!$J$90)-SUM($I271:M271),(Input!$J$56-Input!$J$90)/A16taxstdlife))</f>
        <v>4.8453745799999996E-2</v>
      </c>
      <c r="O271" s="67">
        <f>IF(A16taxstdlife="n/a","n/a",IF(O$3&gt;(A16taxstdlife+$E271),(Input!$J$56-Input!$J$90)-SUM($I271:N271),(Input!$J$56-Input!$J$90)/A16taxstdlife))</f>
        <v>4.8453745799999996E-2</v>
      </c>
      <c r="P271" s="67">
        <f>IF(A16taxstdlife="n/a","n/a",IF(P$3&gt;(A16taxstdlife+$E271),(Input!$J$56-Input!$J$90)-SUM($I271:O271),(Input!$J$56-Input!$J$90)/A16taxstdlife))</f>
        <v>4.8453745799999996E-2</v>
      </c>
      <c r="Q271" s="67"/>
      <c r="R271" s="102"/>
      <c r="S271" s="102"/>
      <c r="T271" s="102"/>
      <c r="U271" s="102"/>
      <c r="V271" s="102"/>
      <c r="W271" s="102"/>
      <c r="X271" s="102"/>
      <c r="Y271" s="102"/>
      <c r="Z271" s="215"/>
      <c r="AA271" s="215"/>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185"/>
      <c r="BJ271" s="185"/>
      <c r="BK271" s="185"/>
      <c r="BL271" s="185"/>
      <c r="BM271" s="185"/>
      <c r="BN271" s="185"/>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hidden="1" customHeight="1" outlineLevel="2">
      <c r="A272" s="9"/>
      <c r="B272" s="9"/>
      <c r="C272" s="25"/>
      <c r="D272" s="385"/>
      <c r="E272" s="85">
        <v>4</v>
      </c>
      <c r="F272" s="191"/>
      <c r="G272" s="148"/>
      <c r="H272" s="148"/>
      <c r="I272" s="148"/>
      <c r="J272" s="147"/>
      <c r="K272" s="67">
        <f>IF(A16taxstdlife="n/a","n/a",IF(K$3&gt;(A16taxstdlife+$E272),(Input!$K$56-Input!$K$90)-SUM($J272:J272),(Input!$K$56-Input!$K$90)/A16taxstdlife))</f>
        <v>1.7379103999999999E-2</v>
      </c>
      <c r="L272" s="67"/>
      <c r="M272" s="67">
        <f>IF(A16taxstdlife="n/a","n/a",IF(M$3&gt;(A16taxstdlife+$E272),(Input!$K$56-Input!$K$90)-SUM($J272:L272),(Input!$K$56-Input!$K$90)/A16taxstdlife))</f>
        <v>1.7379103999999999E-2</v>
      </c>
      <c r="N272" s="67">
        <f>IF(A16taxstdlife="n/a","n/a",IF(N$3&gt;(A16taxstdlife+$E272),(Input!$K$56-Input!$K$90)-SUM($J272:M272),(Input!$K$56-Input!$K$90)/A16taxstdlife))</f>
        <v>1.7379103999999999E-2</v>
      </c>
      <c r="O272" s="67">
        <f>IF(A16taxstdlife="n/a","n/a",IF(O$3&gt;(A16taxstdlife+$E272),(Input!$K$56-Input!$K$90)-SUM($J272:N272),(Input!$K$56-Input!$K$90)/A16taxstdlife))</f>
        <v>1.7379103999999999E-2</v>
      </c>
      <c r="P272" s="67">
        <f>IF(A16taxstdlife="n/a","n/a",IF(P$3&gt;(A16taxstdlife+$E272),(Input!$K$56-Input!$K$90)-SUM($J272:O272),(Input!$K$56-Input!$K$90)/A16taxstdlife))</f>
        <v>1.7379103999999999E-2</v>
      </c>
      <c r="Q272" s="67"/>
      <c r="R272" s="102"/>
      <c r="S272" s="102"/>
      <c r="T272" s="102"/>
      <c r="U272" s="102"/>
      <c r="V272" s="102"/>
      <c r="W272" s="102"/>
      <c r="X272" s="102"/>
      <c r="Y272" s="102"/>
      <c r="Z272" s="215"/>
      <c r="AA272" s="215"/>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185"/>
      <c r="BJ272" s="185"/>
      <c r="BK272" s="185"/>
      <c r="BL272" s="185"/>
      <c r="BM272" s="185"/>
      <c r="BN272" s="185"/>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hidden="1" customHeight="1" outlineLevel="2">
      <c r="A273" s="9"/>
      <c r="B273" s="9"/>
      <c r="C273" s="25"/>
      <c r="D273" s="385"/>
      <c r="E273" s="85">
        <v>5</v>
      </c>
      <c r="F273" s="191"/>
      <c r="G273" s="148"/>
      <c r="H273" s="148"/>
      <c r="I273" s="148"/>
      <c r="J273" s="148"/>
      <c r="K273" s="147"/>
      <c r="L273" s="67"/>
      <c r="M273" s="67">
        <f>IF(A16taxstdlife="n/a","n/a",IF(M$3&gt;(A16taxstdlife+$E273),(Input!$L$56-Input!$L$90)-SUM($K273:L273),(Input!$L$56-Input!$L$90)/A16taxstdlife))</f>
        <v>1.3360132349145598E-2</v>
      </c>
      <c r="N273" s="67">
        <f>IF(A16taxstdlife="n/a","n/a",IF(N$3&gt;(A16taxstdlife+$E273),(Input!$L$56-Input!$L$90)-SUM($K273:M273),(Input!$L$56-Input!$L$90)/A16taxstdlife))</f>
        <v>1.3360132349145598E-2</v>
      </c>
      <c r="O273" s="67">
        <f>IF(A16taxstdlife="n/a","n/a",IF(O$3&gt;(A16taxstdlife+$E273),(Input!$L$56-Input!$L$90)-SUM($K273:N273),(Input!$L$56-Input!$L$90)/A16taxstdlife))</f>
        <v>1.3360132349145598E-2</v>
      </c>
      <c r="P273" s="67">
        <f>IF(A16taxstdlife="n/a","n/a",IF(P$3&gt;(A16taxstdlife+$E273),(Input!$L$56-Input!$L$90)-SUM($K273:O273),(Input!$L$56-Input!$L$90)/A16taxstdlife))</f>
        <v>1.3360132349145598E-2</v>
      </c>
      <c r="Q273" s="67"/>
      <c r="R273" s="102"/>
      <c r="S273" s="102"/>
      <c r="T273" s="102"/>
      <c r="U273" s="102"/>
      <c r="V273" s="102"/>
      <c r="W273" s="102"/>
      <c r="X273" s="102"/>
      <c r="Y273" s="102"/>
      <c r="Z273" s="215"/>
      <c r="AA273" s="215"/>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185"/>
      <c r="BJ273" s="185"/>
      <c r="BK273" s="185"/>
      <c r="BL273" s="185"/>
      <c r="BM273" s="185"/>
      <c r="BN273" s="185"/>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hidden="1" customHeight="1" outlineLevel="2">
      <c r="A274" s="9"/>
      <c r="B274" s="9"/>
      <c r="C274" s="25"/>
      <c r="D274" s="385"/>
      <c r="E274" s="85">
        <v>6</v>
      </c>
      <c r="F274" s="191"/>
      <c r="G274" s="148"/>
      <c r="H274" s="148"/>
      <c r="I274" s="148"/>
      <c r="J274" s="148"/>
      <c r="K274" s="148"/>
      <c r="L274" s="147"/>
      <c r="M274" s="67">
        <f>IF(A16taxstdlife="n/a","n/a",IF(M$3&gt;(A16taxstdlife+$E274),(Input!$M$56-Input!$M$90)-SUM($L274:L274),(Input!$M$56-Input!$M$90)/A16taxstdlife))</f>
        <v>0</v>
      </c>
      <c r="N274" s="67">
        <f>IF(A16taxstdlife="n/a","n/a",IF(N$3&gt;(A16taxstdlife+$E274),(Input!$M$56-Input!$M$90)-SUM($L274:M274),(Input!$M$56-Input!$M$90)/A16taxstdlife))</f>
        <v>0</v>
      </c>
      <c r="O274" s="67">
        <f>IF(A16taxstdlife="n/a","n/a",IF(O$3&gt;(A16taxstdlife+$E274),(Input!$M$56-Input!$M$90)-SUM($L274:N274),(Input!$M$56-Input!$M$90)/A16taxstdlife))</f>
        <v>0</v>
      </c>
      <c r="P274" s="67">
        <f>IF(A16taxstdlife="n/a","n/a",IF(P$3&gt;(A16taxstdlife+$E274),(Input!$M$56-Input!$M$90)-SUM($L274:O274),(Input!$M$56-Input!$M$90)/A16taxstdlife))</f>
        <v>0</v>
      </c>
      <c r="Q274" s="67"/>
      <c r="R274" s="102"/>
      <c r="S274" s="102"/>
      <c r="T274" s="102"/>
      <c r="U274" s="102"/>
      <c r="V274" s="102"/>
      <c r="W274" s="102"/>
      <c r="X274" s="102"/>
      <c r="Y274" s="102"/>
      <c r="Z274" s="215"/>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7"/>
      <c r="BJ274" s="185"/>
      <c r="BK274" s="185"/>
      <c r="BL274" s="185"/>
      <c r="BM274" s="185"/>
      <c r="BN274" s="185"/>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hidden="1" customHeight="1" outlineLevel="2">
      <c r="A275" s="9"/>
      <c r="B275" s="9"/>
      <c r="C275" s="25"/>
      <c r="D275" s="385"/>
      <c r="E275" s="85">
        <v>7</v>
      </c>
      <c r="F275" s="191"/>
      <c r="G275" s="148"/>
      <c r="H275" s="148"/>
      <c r="I275" s="148"/>
      <c r="J275" s="148"/>
      <c r="K275" s="148"/>
      <c r="L275" s="148"/>
      <c r="M275" s="147"/>
      <c r="N275" s="67">
        <f>IF(A16taxstdlife="n/a","n/a",IF(N$3&gt;(A16taxstdlife+$E275),(Input!$N$56-Input!$N$90)-SUM($M275:M275),(Input!$N$56-Input!$N$90)/A16taxstdlife))</f>
        <v>0</v>
      </c>
      <c r="O275" s="67">
        <f>IF(A16taxstdlife="n/a","n/a",IF(O$3&gt;(A16taxstdlife+$E275),(Input!$N$56-Input!$N$90)-SUM($M275:N275),(Input!$N$56-Input!$N$90)/A16taxstdlife))</f>
        <v>0</v>
      </c>
      <c r="P275" s="67">
        <f>IF(A16taxstdlife="n/a","n/a",IF(P$3&gt;(A16taxstdlife+$E275),(Input!$N$56-Input!$N$90)-SUM($M275:O275),(Input!$N$56-Input!$N$90)/A16taxstdlife))</f>
        <v>0</v>
      </c>
      <c r="Q275" s="67"/>
      <c r="R275" s="102"/>
      <c r="S275" s="102"/>
      <c r="T275" s="102"/>
      <c r="U275" s="102"/>
      <c r="V275" s="102"/>
      <c r="W275" s="102"/>
      <c r="X275" s="102"/>
      <c r="Y275" s="102"/>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185"/>
      <c r="BJ275" s="185"/>
      <c r="BK275" s="185"/>
      <c r="BL275" s="185"/>
      <c r="BM275" s="185"/>
      <c r="BN275" s="18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hidden="1" customHeight="1" outlineLevel="2">
      <c r="A276" s="9"/>
      <c r="B276" s="9"/>
      <c r="C276" s="25"/>
      <c r="D276" s="385"/>
      <c r="E276" s="85">
        <v>8</v>
      </c>
      <c r="F276" s="191"/>
      <c r="G276" s="148"/>
      <c r="H276" s="148"/>
      <c r="I276" s="148"/>
      <c r="J276" s="148"/>
      <c r="K276" s="148"/>
      <c r="L276" s="148"/>
      <c r="M276" s="148"/>
      <c r="N276" s="147"/>
      <c r="O276" s="67">
        <f>IF(A16taxstdlife="n/a","n/a",IF(O$3&gt;(A16taxstdlife+$E276),(Input!$O$56-Input!$O$90)-SUM($N276:N276),(Input!$O$56-Input!$O$90)/A16taxstdlife))</f>
        <v>0</v>
      </c>
      <c r="P276" s="67">
        <f>IF(A16taxstdlife="n/a","n/a",IF(P$3&gt;(A16taxstdlife+$E276),(Input!$O$56-Input!$O$90)-SUM($N276:O276),(Input!$O$56-Input!$O$90)/A16taxstdlife))</f>
        <v>0</v>
      </c>
      <c r="Q276" s="67"/>
      <c r="R276" s="102"/>
      <c r="S276" s="102"/>
      <c r="T276" s="102"/>
      <c r="U276" s="102"/>
      <c r="V276" s="102"/>
      <c r="W276" s="102"/>
      <c r="X276" s="102"/>
      <c r="Y276" s="102"/>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185"/>
      <c r="BJ276" s="185"/>
      <c r="BK276" s="185"/>
      <c r="BL276" s="185"/>
      <c r="BM276" s="185"/>
      <c r="BN276" s="185"/>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hidden="1" customHeight="1" outlineLevel="2">
      <c r="A277" s="9"/>
      <c r="B277" s="9"/>
      <c r="C277" s="25"/>
      <c r="D277" s="385"/>
      <c r="E277" s="85">
        <v>9</v>
      </c>
      <c r="F277" s="191"/>
      <c r="G277" s="148"/>
      <c r="H277" s="148"/>
      <c r="I277" s="148"/>
      <c r="J277" s="148"/>
      <c r="K277" s="148"/>
      <c r="L277" s="148"/>
      <c r="M277" s="148"/>
      <c r="N277" s="148"/>
      <c r="O277" s="147"/>
      <c r="P277" s="67">
        <f>IF(A16taxstdlife="n/a","n/a",IF(P$3&gt;(A16taxstdlife+$E277),(Input!$P$56-Input!$P$90)-SUM($O277:O277),(Input!$P$56-Input!$P$90)/A16taxstdlife))</f>
        <v>0</v>
      </c>
      <c r="Q277" s="67"/>
      <c r="R277" s="102"/>
      <c r="S277" s="102"/>
      <c r="T277" s="102"/>
      <c r="U277" s="102"/>
      <c r="V277" s="102"/>
      <c r="W277" s="102"/>
      <c r="X277" s="102"/>
      <c r="Y277" s="102"/>
      <c r="Z277" s="215"/>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185"/>
      <c r="BJ277" s="185"/>
      <c r="BK277" s="185"/>
      <c r="BL277" s="185"/>
      <c r="BM277" s="185"/>
      <c r="BN277" s="185"/>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hidden="1" customHeight="1" outlineLevel="2">
      <c r="A278" s="9"/>
      <c r="B278" s="9"/>
      <c r="C278" s="25"/>
      <c r="D278" s="385"/>
      <c r="E278" s="86">
        <v>10</v>
      </c>
      <c r="F278" s="191"/>
      <c r="G278" s="148"/>
      <c r="H278" s="148"/>
      <c r="I278" s="148"/>
      <c r="J278" s="148"/>
      <c r="K278" s="148"/>
      <c r="L278" s="148"/>
      <c r="M278" s="148"/>
      <c r="N278" s="148"/>
      <c r="O278" s="187"/>
      <c r="P278" s="147"/>
      <c r="Q278" s="67"/>
      <c r="R278" s="102"/>
      <c r="S278" s="102"/>
      <c r="T278" s="102"/>
      <c r="U278" s="102"/>
      <c r="V278" s="102"/>
      <c r="W278" s="102"/>
      <c r="X278" s="102"/>
      <c r="Y278" s="102"/>
      <c r="Z278" s="215"/>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185"/>
      <c r="BJ278" s="185"/>
      <c r="BK278" s="185"/>
      <c r="BL278" s="185"/>
      <c r="BM278" s="185"/>
      <c r="BN278" s="185"/>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hidden="1" customHeight="1" outlineLevel="1">
      <c r="A279" s="9"/>
      <c r="B279" s="9"/>
      <c r="C279" s="25" t="str">
        <f>Asset16</f>
        <v>Communications (digital) - tx</v>
      </c>
      <c r="D279" s="9"/>
      <c r="E279" s="9"/>
      <c r="F279" s="191"/>
      <c r="G279" s="164">
        <f>-SUM(G267:G278)</f>
        <v>0</v>
      </c>
      <c r="H279" s="164">
        <f>-SUM(H267:H278)</f>
        <v>0</v>
      </c>
      <c r="I279" s="164">
        <f>-SUM(I267:I278)</f>
        <v>-3.2362713000000001E-2</v>
      </c>
      <c r="J279" s="164">
        <f>-SUM(J267:J278)</f>
        <v>-8.0816458799999991E-2</v>
      </c>
      <c r="K279" s="164">
        <f>-SUM(K267:K278)</f>
        <v>-9.8195562799999997E-2</v>
      </c>
      <c r="L279" s="164"/>
      <c r="M279" s="164">
        <f>IF(Input!N173&gt;0, -SUM(M267:M278), 0)</f>
        <v>0</v>
      </c>
      <c r="N279" s="164">
        <f>IF(Input!O173&gt;0, -SUM(N267:N278), 0)</f>
        <v>0</v>
      </c>
      <c r="O279" s="164">
        <f>IF(Input!P173&gt;0, -SUM(O267:O278), 0)</f>
        <v>0</v>
      </c>
      <c r="P279" s="164">
        <f>IF(Input!Q173&gt;0, -SUM(P267:P278), 0)</f>
        <v>0</v>
      </c>
      <c r="Q279" s="63"/>
      <c r="R279" s="101"/>
      <c r="S279" s="101"/>
      <c r="T279" s="101"/>
      <c r="U279" s="101"/>
      <c r="V279" s="101"/>
      <c r="W279" s="101"/>
      <c r="X279" s="101"/>
      <c r="Y279" s="101"/>
      <c r="Z279" s="216"/>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185"/>
      <c r="BJ279" s="185"/>
      <c r="BK279" s="185"/>
      <c r="BL279" s="185"/>
      <c r="BM279" s="185"/>
      <c r="BN279" s="185"/>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hidden="1" customHeight="1" outlineLevel="2">
      <c r="A280" s="9"/>
      <c r="B280" s="186" t="str">
        <f>Asset17</f>
        <v>System IT (tx)</v>
      </c>
      <c r="C280" s="32"/>
      <c r="D280" s="33" t="s">
        <v>67</v>
      </c>
      <c r="E280" s="32"/>
      <c r="F280" s="191"/>
      <c r="G280" s="356">
        <v>0</v>
      </c>
      <c r="H280" s="356">
        <v>0</v>
      </c>
      <c r="I280" s="356">
        <v>0</v>
      </c>
      <c r="J280" s="356">
        <v>0</v>
      </c>
      <c r="K280" s="356">
        <v>0</v>
      </c>
      <c r="L280" s="356"/>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2"/>
      <c r="S280" s="308">
        <f>SUM(K280:K285)</f>
        <v>3.7032197358900003</v>
      </c>
      <c r="T280" s="102"/>
      <c r="U280" s="102"/>
      <c r="V280" s="102"/>
      <c r="W280" s="102"/>
      <c r="X280" s="102"/>
      <c r="Y280" s="102"/>
      <c r="Z280" s="215"/>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185"/>
      <c r="BJ280" s="185"/>
      <c r="BK280" s="185"/>
      <c r="BL280" s="185"/>
      <c r="BM280" s="185"/>
      <c r="BN280" s="185"/>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5"/>
      <c r="D281" s="384" t="s">
        <v>85</v>
      </c>
      <c r="E281" s="85"/>
      <c r="F281" s="309"/>
      <c r="G281" s="67"/>
      <c r="H281" s="67"/>
      <c r="I281" s="67"/>
      <c r="J281" s="67"/>
      <c r="K281" s="67"/>
      <c r="L281" s="67"/>
      <c r="M281" s="67"/>
      <c r="N281" s="67"/>
      <c r="O281" s="67"/>
      <c r="P281" s="67"/>
      <c r="Q281" s="67"/>
      <c r="R281" s="102"/>
      <c r="S281" s="102"/>
      <c r="T281" s="102"/>
      <c r="U281" s="102"/>
      <c r="V281" s="102"/>
      <c r="W281" s="102"/>
      <c r="X281" s="102"/>
      <c r="Y281" s="102"/>
      <c r="Z281" s="215"/>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185"/>
      <c r="BJ281" s="185"/>
      <c r="BK281" s="185"/>
      <c r="BL281" s="185"/>
      <c r="BM281" s="185"/>
      <c r="BN281" s="185"/>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hidden="1" customHeight="1" outlineLevel="2">
      <c r="A282" s="9"/>
      <c r="B282" s="9"/>
      <c r="C282" s="25"/>
      <c r="D282" s="385"/>
      <c r="E282" s="85">
        <v>1</v>
      </c>
      <c r="F282" s="191"/>
      <c r="G282" s="147"/>
      <c r="H282" s="67">
        <f>IF(A17taxstdlife="n/a","n/a",IF(H$3&gt;(A17taxstdlife+$E282),(Input!$H$57-Input!$H$91)-SUM($G282:G282),(Input!$H$57-Input!$H$91)/A17taxstdlife))</f>
        <v>0.50747260847214293</v>
      </c>
      <c r="I282" s="67">
        <f>IF(A17taxstdlife="n/a","n/a",IF(I$3&gt;(A17taxstdlife+$E282),(Input!$H$57-Input!$H$91)-SUM($G282:H282),(Input!$H$57-Input!$H$91)/A17taxstdlife))</f>
        <v>0.50747260847214293</v>
      </c>
      <c r="J282" s="67">
        <f>IF(A17taxstdlife="n/a","n/a",IF(J$3&gt;(A17taxstdlife+$E282),(Input!$H$57-Input!$H$91)-SUM($G282:I282),(Input!$H$57-Input!$H$91)/A17taxstdlife))</f>
        <v>0.50747260847214293</v>
      </c>
      <c r="K282" s="67">
        <f>IF(A17taxstdlife="n/a","n/a",IF(K$3&gt;(A17taxstdlife+$E282),(Input!$H$57-Input!$H$91)-SUM($G282:J282),(Input!$H$57-Input!$H$91)/A17taxstdlife))</f>
        <v>0.50747260847214293</v>
      </c>
      <c r="L282" s="67"/>
      <c r="M282" s="67">
        <f>IF(A17taxstdlife="n/a","n/a",IF(M$3&gt;(A17taxstdlife+$E282),(Input!$H$57-Input!$H$91)-SUM($G282:L282),(Input!$H$57-Input!$H$91)/A17taxstdlife))</f>
        <v>1.5224178254164284</v>
      </c>
      <c r="N282" s="67">
        <f>IF(A17taxstdlife="n/a","n/a",IF(N$3&gt;(A17taxstdlife+$E282),(Input!$H$57-Input!$H$91)-SUM($G282:M282),(Input!$H$57-Input!$H$91)/A17taxstdlife))</f>
        <v>0</v>
      </c>
      <c r="O282" s="67">
        <f>IF(A17taxstdlife="n/a","n/a",IF(O$3&gt;(A17taxstdlife+$E282),(Input!$H$57-Input!$H$91)-SUM($G282:N282),(Input!$H$57-Input!$H$91)/A17taxstdlife))</f>
        <v>0</v>
      </c>
      <c r="P282" s="67">
        <f>IF(A17taxstdlife="n/a","n/a",IF(P$3&gt;(A17taxstdlife+$E282),(Input!$H$57-Input!$H$91)-SUM($G282:O282),(Input!$H$57-Input!$H$91)/A17taxstdlife))</f>
        <v>0</v>
      </c>
      <c r="Q282" s="67"/>
      <c r="R282" s="102"/>
      <c r="S282" s="102"/>
      <c r="T282" s="102"/>
      <c r="U282" s="102"/>
      <c r="V282" s="102"/>
      <c r="W282" s="102"/>
      <c r="X282" s="102"/>
      <c r="Y282" s="102"/>
      <c r="Z282" s="215"/>
      <c r="AA282" s="215"/>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185"/>
      <c r="BJ282" s="185"/>
      <c r="BK282" s="185"/>
      <c r="BL282" s="185"/>
      <c r="BM282" s="185"/>
      <c r="BN282" s="185"/>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hidden="1" customHeight="1" outlineLevel="2">
      <c r="A283" s="9"/>
      <c r="B283" s="9"/>
      <c r="C283" s="25"/>
      <c r="D283" s="385"/>
      <c r="E283" s="85">
        <v>2</v>
      </c>
      <c r="F283" s="191"/>
      <c r="G283" s="148"/>
      <c r="H283" s="147"/>
      <c r="I283" s="67">
        <f>IF(A17taxstdlife="n/a","n/a",IF(I$3&gt;(A17taxstdlife+$E283),(Input!$I$57-Input!$I$91)-SUM($H283:H283),(Input!$I$57-Input!$I$91)/A17taxstdlife))</f>
        <v>1.145978248432143</v>
      </c>
      <c r="J283" s="67">
        <f>IF(A17taxstdlife="n/a","n/a",IF(J$3&gt;(A17taxstdlife+$E283),(Input!$I$57-Input!$I$91)-SUM($H283:I283),(Input!$I$57-Input!$I$91)/A17taxstdlife))</f>
        <v>1.145978248432143</v>
      </c>
      <c r="K283" s="67">
        <f>IF(A17taxstdlife="n/a","n/a",IF(K$3&gt;(A17taxstdlife+$E283),(Input!$I$57-Input!$I$91)-SUM($H283:J283),(Input!$I$57-Input!$I$91)/A17taxstdlife))</f>
        <v>1.145978248432143</v>
      </c>
      <c r="L283" s="67"/>
      <c r="M283" s="67">
        <f>IF(A17taxstdlife="n/a","n/a",IF(M$3&gt;(A17taxstdlife+$E283),(Input!$I$57-Input!$I$91)-SUM($H283:L283),(Input!$I$57-Input!$I$91)/A17taxstdlife))</f>
        <v>4.5839129937285712</v>
      </c>
      <c r="N283" s="67">
        <f>IF(A17taxstdlife="n/a","n/a",IF(N$3&gt;(A17taxstdlife+$E283),(Input!$I$57-Input!$I$91)-SUM($H283:M283),(Input!$I$57-Input!$I$91)/A17taxstdlife))</f>
        <v>0</v>
      </c>
      <c r="O283" s="67">
        <f>IF(A17taxstdlife="n/a","n/a",IF(O$3&gt;(A17taxstdlife+$E283),(Input!$I$57-Input!$I$91)-SUM($H283:N283),(Input!$I$57-Input!$I$91)/A17taxstdlife))</f>
        <v>0</v>
      </c>
      <c r="P283" s="67">
        <f>IF(A17taxstdlife="n/a","n/a",IF(P$3&gt;(A17taxstdlife+$E283),(Input!$I$57-Input!$I$91)-SUM($H283:O283),(Input!$I$57-Input!$I$91)/A17taxstdlife))</f>
        <v>0</v>
      </c>
      <c r="Q283" s="67"/>
      <c r="R283" s="102"/>
      <c r="S283" s="102"/>
      <c r="T283" s="102"/>
      <c r="U283" s="102"/>
      <c r="V283" s="102"/>
      <c r="W283" s="102"/>
      <c r="X283" s="102"/>
      <c r="Y283" s="102"/>
      <c r="Z283" s="215"/>
      <c r="AA283" s="215"/>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185"/>
      <c r="BJ283" s="185"/>
      <c r="BK283" s="185"/>
      <c r="BL283" s="185"/>
      <c r="BM283" s="185"/>
      <c r="BN283" s="185"/>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hidden="1" customHeight="1" outlineLevel="2">
      <c r="A284" s="9"/>
      <c r="B284" s="9"/>
      <c r="C284" s="25"/>
      <c r="D284" s="385"/>
      <c r="E284" s="85">
        <v>3</v>
      </c>
      <c r="F284" s="191"/>
      <c r="G284" s="148"/>
      <c r="H284" s="148"/>
      <c r="I284" s="147"/>
      <c r="J284" s="67">
        <f>IF(A17taxstdlife="n/a","n/a",IF(J$3&gt;(A17taxstdlife+$E284),(Input!$J$57-Input!$J$91)-SUM($I284:I284),(Input!$J$57-Input!$J$91)/A17taxstdlife))</f>
        <v>1.3394272454428573</v>
      </c>
      <c r="K284" s="67">
        <f>IF(A17taxstdlife="n/a","n/a",IF(K$3&gt;(A17taxstdlife+$E284),(Input!$J$57-Input!$J$91)-SUM($I284:J284),(Input!$J$57-Input!$J$91)/A17taxstdlife))</f>
        <v>1.3394272454428573</v>
      </c>
      <c r="L284" s="67"/>
      <c r="M284" s="67">
        <f>IF(A17taxstdlife="n/a","n/a",IF(M$3&gt;(A17taxstdlife+$E284),(Input!$J$57-Input!$J$91)-SUM($I284:L284),(Input!$J$57-Input!$J$91)/A17taxstdlife))</f>
        <v>1.3394272454428573</v>
      </c>
      <c r="N284" s="67">
        <f>IF(A17taxstdlife="n/a","n/a",IF(N$3&gt;(A17taxstdlife+$E284),(Input!$J$57-Input!$J$91)-SUM($I284:M284),(Input!$J$57-Input!$J$91)/A17taxstdlife))</f>
        <v>5.3577089817714292</v>
      </c>
      <c r="O284" s="67">
        <f>IF(A17taxstdlife="n/a","n/a",IF(O$3&gt;(A17taxstdlife+$E284),(Input!$J$57-Input!$J$91)-SUM($I284:N284),(Input!$J$57-Input!$J$91)/A17taxstdlife))</f>
        <v>0</v>
      </c>
      <c r="P284" s="67">
        <f>IF(A17taxstdlife="n/a","n/a",IF(P$3&gt;(A17taxstdlife+$E284),(Input!$J$57-Input!$J$91)-SUM($I284:O284),(Input!$J$57-Input!$J$91)/A17taxstdlife))</f>
        <v>0</v>
      </c>
      <c r="Q284" s="67"/>
      <c r="R284" s="102"/>
      <c r="S284" s="102"/>
      <c r="T284" s="102"/>
      <c r="U284" s="102"/>
      <c r="V284" s="102"/>
      <c r="W284" s="102"/>
      <c r="X284" s="102"/>
      <c r="Y284" s="102"/>
      <c r="Z284" s="215"/>
      <c r="AA284" s="215"/>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185"/>
      <c r="BJ284" s="185"/>
      <c r="BK284" s="185"/>
      <c r="BL284" s="185"/>
      <c r="BM284" s="185"/>
      <c r="BN284" s="185"/>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hidden="1" customHeight="1" outlineLevel="2">
      <c r="A285" s="9"/>
      <c r="B285" s="9"/>
      <c r="C285" s="25"/>
      <c r="D285" s="385"/>
      <c r="E285" s="85">
        <v>4</v>
      </c>
      <c r="F285" s="191"/>
      <c r="G285" s="148"/>
      <c r="H285" s="148"/>
      <c r="I285" s="148"/>
      <c r="J285" s="147"/>
      <c r="K285" s="67">
        <f>IF(A17taxstdlife="n/a","n/a",IF(K$3&gt;(A17taxstdlife+$E285),(Input!$K$57-Input!$K$91)-SUM($J285:J285),(Input!$K$57-Input!$K$91)/A17taxstdlife))</f>
        <v>0.71034163354285718</v>
      </c>
      <c r="L285" s="67"/>
      <c r="M285" s="67">
        <f>IF(A17taxstdlife="n/a","n/a",IF(M$3&gt;(A17taxstdlife+$E285),(Input!$K$57-Input!$K$91)-SUM($J285:L285),(Input!$K$57-Input!$K$91)/A17taxstdlife))</f>
        <v>0.71034163354285718</v>
      </c>
      <c r="N285" s="67">
        <f>IF(A17taxstdlife="n/a","n/a",IF(N$3&gt;(A17taxstdlife+$E285),(Input!$K$57-Input!$K$91)-SUM($J285:M285),(Input!$K$57-Input!$K$91)/A17taxstdlife))</f>
        <v>0.71034163354285718</v>
      </c>
      <c r="O285" s="67">
        <f>IF(A17taxstdlife="n/a","n/a",IF(O$3&gt;(A17taxstdlife+$E285),(Input!$K$57-Input!$K$91)-SUM($J285:N285),(Input!$K$57-Input!$K$91)/A17taxstdlife))</f>
        <v>2.8413665341714287</v>
      </c>
      <c r="P285" s="67">
        <f>IF(A17taxstdlife="n/a","n/a",IF(P$3&gt;(A17taxstdlife+$E285),(Input!$K$57-Input!$K$91)-SUM($J285:O285),(Input!$K$57-Input!$K$91)/A17taxstdlife))</f>
        <v>0</v>
      </c>
      <c r="Q285" s="67"/>
      <c r="R285" s="102"/>
      <c r="S285" s="102"/>
      <c r="T285" s="102"/>
      <c r="U285" s="102"/>
      <c r="V285" s="102"/>
      <c r="W285" s="102"/>
      <c r="X285" s="102"/>
      <c r="Y285" s="102"/>
      <c r="Z285" s="215"/>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185"/>
      <c r="BJ285" s="185"/>
      <c r="BK285" s="185"/>
      <c r="BL285" s="185"/>
      <c r="BM285" s="185"/>
      <c r="BN285" s="1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hidden="1" customHeight="1" outlineLevel="2">
      <c r="A286" s="9"/>
      <c r="B286" s="9"/>
      <c r="C286" s="25"/>
      <c r="D286" s="385"/>
      <c r="E286" s="85">
        <v>5</v>
      </c>
      <c r="F286" s="191"/>
      <c r="G286" s="148"/>
      <c r="H286" s="148"/>
      <c r="I286" s="148"/>
      <c r="J286" s="148"/>
      <c r="K286" s="147"/>
      <c r="L286" s="67"/>
      <c r="M286" s="67">
        <f>IF(A17taxstdlife="n/a","n/a",IF(M$3&gt;(A17taxstdlife+$E286),(Input!$L$57-Input!$L$91)-SUM($K286:L286),(Input!$L$57-Input!$L$91)/A17taxstdlife))</f>
        <v>0.54607292972300847</v>
      </c>
      <c r="N286" s="67">
        <f>IF(A17taxstdlife="n/a","n/a",IF(N$3&gt;(A17taxstdlife+$E286),(Input!$L$57-Input!$L$91)-SUM($K286:M286),(Input!$L$57-Input!$L$91)/A17taxstdlife))</f>
        <v>0.54607292972300847</v>
      </c>
      <c r="O286" s="67">
        <f>IF(A17taxstdlife="n/a","n/a",IF(O$3&gt;(A17taxstdlife+$E286),(Input!$L$57-Input!$L$91)-SUM($K286:N286),(Input!$L$57-Input!$L$91)/A17taxstdlife))</f>
        <v>0.54607292972300847</v>
      </c>
      <c r="P286" s="67">
        <f>IF(A17taxstdlife="n/a","n/a",IF(P$3&gt;(A17taxstdlife+$E286),(Input!$L$57-Input!$L$91)-SUM($K286:O286),(Input!$L$57-Input!$L$91)/A17taxstdlife))</f>
        <v>2.1842917188920339</v>
      </c>
      <c r="Q286" s="67"/>
      <c r="R286" s="102"/>
      <c r="S286" s="102"/>
      <c r="T286" s="102"/>
      <c r="U286" s="102"/>
      <c r="V286" s="102"/>
      <c r="W286" s="102"/>
      <c r="X286" s="102"/>
      <c r="Y286" s="102"/>
      <c r="Z286" s="215"/>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185"/>
      <c r="BJ286" s="185"/>
      <c r="BK286" s="185"/>
      <c r="BL286" s="185"/>
      <c r="BM286" s="185"/>
      <c r="BN286" s="185"/>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hidden="1" customHeight="1" outlineLevel="2">
      <c r="A287" s="9"/>
      <c r="B287" s="9"/>
      <c r="C287" s="25"/>
      <c r="D287" s="385"/>
      <c r="E287" s="85">
        <v>6</v>
      </c>
      <c r="F287" s="191"/>
      <c r="G287" s="148"/>
      <c r="H287" s="148"/>
      <c r="I287" s="148"/>
      <c r="J287" s="148"/>
      <c r="K287" s="148"/>
      <c r="L287" s="147"/>
      <c r="M287" s="67">
        <f>IF(A17taxstdlife="n/a","n/a",IF(M$3&gt;(A17taxstdlife+$E287),(Input!$M$57-Input!$M$91)-SUM($L287:L287),(Input!$M$57-Input!$M$91)/A17taxstdlife))</f>
        <v>0</v>
      </c>
      <c r="N287" s="67">
        <f>IF(A17taxstdlife="n/a","n/a",IF(N$3&gt;(A17taxstdlife+$E287),(Input!$M$57-Input!$M$91)-SUM($L287:M287),(Input!$M$57-Input!$M$91)/A17taxstdlife))</f>
        <v>0</v>
      </c>
      <c r="O287" s="67">
        <f>IF(A17taxstdlife="n/a","n/a",IF(O$3&gt;(A17taxstdlife+$E287),(Input!$M$57-Input!$M$91)-SUM($L287:N287),(Input!$M$57-Input!$M$91)/A17taxstdlife))</f>
        <v>0</v>
      </c>
      <c r="P287" s="67">
        <f>IF(A17taxstdlife="n/a","n/a",IF(P$3&gt;(A17taxstdlife+$E287),(Input!$M$57-Input!$M$91)-SUM($L287:O287),(Input!$M$57-Input!$M$91)/A17taxstdlife))</f>
        <v>0</v>
      </c>
      <c r="Q287" s="67"/>
      <c r="R287" s="102"/>
      <c r="S287" s="102"/>
      <c r="T287" s="102"/>
      <c r="U287" s="102"/>
      <c r="V287" s="102"/>
      <c r="W287" s="102"/>
      <c r="X287" s="102"/>
      <c r="Y287" s="102"/>
      <c r="Z287" s="215"/>
      <c r="AA287" s="215"/>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185"/>
      <c r="BJ287" s="185"/>
      <c r="BK287" s="185"/>
      <c r="BL287" s="185"/>
      <c r="BM287" s="185"/>
      <c r="BN287" s="185"/>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hidden="1" customHeight="1" outlineLevel="2">
      <c r="A288" s="9"/>
      <c r="B288" s="9"/>
      <c r="C288" s="25"/>
      <c r="D288" s="385"/>
      <c r="E288" s="85">
        <v>7</v>
      </c>
      <c r="F288" s="191"/>
      <c r="G288" s="148"/>
      <c r="H288" s="148"/>
      <c r="I288" s="148"/>
      <c r="J288" s="148"/>
      <c r="K288" s="148"/>
      <c r="L288" s="148"/>
      <c r="M288" s="147"/>
      <c r="N288" s="67">
        <f>IF(A17taxstdlife="n/a","n/a",IF(N$3&gt;(A17taxstdlife+$E288),(Input!$N$57-Input!$N$91)-SUM($M288:M288),(Input!$N$57-Input!$N$91)/A17taxstdlife))</f>
        <v>0</v>
      </c>
      <c r="O288" s="67">
        <f>IF(A17taxstdlife="n/a","n/a",IF(O$3&gt;(A17taxstdlife+$E288),(Input!$N$57-Input!$N$91)-SUM($M288:N288),(Input!$N$57-Input!$N$91)/A17taxstdlife))</f>
        <v>0</v>
      </c>
      <c r="P288" s="67">
        <f>IF(A17taxstdlife="n/a","n/a",IF(P$3&gt;(A17taxstdlife+$E288),(Input!$N$57-Input!$N$91)-SUM($M288:O288),(Input!$N$57-Input!$N$91)/A17taxstdlife))</f>
        <v>0</v>
      </c>
      <c r="Q288" s="67"/>
      <c r="R288" s="102"/>
      <c r="S288" s="102"/>
      <c r="T288" s="102"/>
      <c r="U288" s="102"/>
      <c r="V288" s="102"/>
      <c r="W288" s="102"/>
      <c r="X288" s="102"/>
      <c r="Y288" s="102"/>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185"/>
      <c r="BJ288" s="185"/>
      <c r="BK288" s="185"/>
      <c r="BL288" s="185"/>
      <c r="BM288" s="185"/>
      <c r="BN288" s="185"/>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hidden="1" customHeight="1" outlineLevel="2">
      <c r="A289" s="9"/>
      <c r="B289" s="9"/>
      <c r="C289" s="25"/>
      <c r="D289" s="385"/>
      <c r="E289" s="85">
        <v>8</v>
      </c>
      <c r="F289" s="191"/>
      <c r="G289" s="148"/>
      <c r="H289" s="148"/>
      <c r="I289" s="148"/>
      <c r="J289" s="148"/>
      <c r="K289" s="148"/>
      <c r="L289" s="148"/>
      <c r="M289" s="148"/>
      <c r="N289" s="147"/>
      <c r="O289" s="67">
        <f>IF(A17taxstdlife="n/a","n/a",IF(O$3&gt;(A17taxstdlife+$E289),(Input!$O$57-Input!$O$91)-SUM($N289:N289),(Input!$O$57-Input!$O$91)/A17taxstdlife))</f>
        <v>0</v>
      </c>
      <c r="P289" s="67">
        <f>IF(A17taxstdlife="n/a","n/a",IF(P$3&gt;(A17taxstdlife+$E289),(Input!$O$57-Input!$O$91)-SUM($N289:O289),(Input!$O$57-Input!$O$91)/A17taxstdlife))</f>
        <v>0</v>
      </c>
      <c r="Q289" s="67"/>
      <c r="R289" s="102"/>
      <c r="S289" s="102"/>
      <c r="T289" s="102"/>
      <c r="U289" s="102"/>
      <c r="V289" s="102"/>
      <c r="W289" s="102"/>
      <c r="X289" s="102"/>
      <c r="Y289" s="102"/>
      <c r="Z289" s="215"/>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185"/>
      <c r="BJ289" s="185"/>
      <c r="BK289" s="185"/>
      <c r="BL289" s="185"/>
      <c r="BM289" s="185"/>
      <c r="BN289" s="185"/>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hidden="1" customHeight="1" outlineLevel="2">
      <c r="A290" s="9"/>
      <c r="B290" s="9"/>
      <c r="C290" s="25"/>
      <c r="D290" s="385"/>
      <c r="E290" s="85">
        <v>9</v>
      </c>
      <c r="F290" s="191"/>
      <c r="G290" s="148"/>
      <c r="H290" s="148"/>
      <c r="I290" s="148"/>
      <c r="J290" s="148"/>
      <c r="K290" s="148"/>
      <c r="L290" s="148"/>
      <c r="M290" s="148"/>
      <c r="N290" s="148"/>
      <c r="O290" s="147"/>
      <c r="P290" s="67">
        <f>IF(A17taxstdlife="n/a","n/a",IF(P$3&gt;(A17taxstdlife+$E290),(Input!$P$57-Input!$P$91)-SUM($O290:O290),(Input!$P$57-Input!$P$91)/A17taxstdlife))</f>
        <v>0</v>
      </c>
      <c r="Q290" s="67"/>
      <c r="R290" s="102"/>
      <c r="S290" s="102"/>
      <c r="T290" s="102"/>
      <c r="U290" s="102"/>
      <c r="V290" s="102"/>
      <c r="W290" s="102"/>
      <c r="X290" s="102"/>
      <c r="Y290" s="102"/>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185"/>
      <c r="BJ290" s="185"/>
      <c r="BK290" s="185"/>
      <c r="BL290" s="185"/>
      <c r="BM290" s="185"/>
      <c r="BN290" s="185"/>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hidden="1" customHeight="1" outlineLevel="2">
      <c r="A291" s="9"/>
      <c r="B291" s="9"/>
      <c r="C291" s="25"/>
      <c r="D291" s="385"/>
      <c r="E291" s="86">
        <v>10</v>
      </c>
      <c r="F291" s="191"/>
      <c r="G291" s="148"/>
      <c r="H291" s="148"/>
      <c r="I291" s="148"/>
      <c r="J291" s="148"/>
      <c r="K291" s="148"/>
      <c r="L291" s="148"/>
      <c r="M291" s="148"/>
      <c r="N291" s="148"/>
      <c r="O291" s="187"/>
      <c r="P291" s="147"/>
      <c r="Q291" s="67"/>
      <c r="R291" s="102"/>
      <c r="S291" s="102"/>
      <c r="T291" s="102"/>
      <c r="U291" s="102"/>
      <c r="V291" s="102"/>
      <c r="W291" s="102"/>
      <c r="X291" s="102"/>
      <c r="Y291" s="102"/>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185"/>
      <c r="BJ291" s="185"/>
      <c r="BK291" s="185"/>
      <c r="BL291" s="185"/>
      <c r="BM291" s="185"/>
      <c r="BN291" s="185"/>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hidden="1" customHeight="1" outlineLevel="1">
      <c r="A292" s="9"/>
      <c r="B292" s="9"/>
      <c r="C292" s="25" t="str">
        <f>Asset17</f>
        <v>System IT (tx)</v>
      </c>
      <c r="D292" s="9"/>
      <c r="E292" s="9"/>
      <c r="F292" s="203"/>
      <c r="G292" s="164">
        <f>-SUM(G280:G291)</f>
        <v>0</v>
      </c>
      <c r="H292" s="164">
        <f>-SUM(H280:H291)</f>
        <v>-0.50747260847214293</v>
      </c>
      <c r="I292" s="164">
        <f>-SUM(I280:I291)</f>
        <v>-1.6534508569042861</v>
      </c>
      <c r="J292" s="164">
        <f>-SUM(J280:J291)</f>
        <v>-2.9928781023471434</v>
      </c>
      <c r="K292" s="164">
        <f>-SUM(K280:K291)</f>
        <v>-3.7032197358900003</v>
      </c>
      <c r="L292" s="164"/>
      <c r="M292" s="164">
        <f>IF(Input!N173&gt;0, -SUM(M280:M291), 0)</f>
        <v>0</v>
      </c>
      <c r="N292" s="164">
        <f>IF(Input!O173&gt;0, -SUM(N280:N291), 0)</f>
        <v>0</v>
      </c>
      <c r="O292" s="164">
        <f>IF(Input!P173&gt;0, -SUM(O280:O291), 0)</f>
        <v>0</v>
      </c>
      <c r="P292" s="164">
        <f>IF(Input!Q173&gt;0, -SUM(P280:P291), 0)</f>
        <v>0</v>
      </c>
      <c r="Q292" s="63"/>
      <c r="R292" s="101"/>
      <c r="S292" s="308"/>
      <c r="T292" s="101"/>
      <c r="U292" s="101"/>
      <c r="V292" s="101"/>
      <c r="W292" s="101"/>
      <c r="X292" s="101"/>
      <c r="Y292" s="101"/>
      <c r="Z292" s="216"/>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216"/>
      <c r="BE292" s="216"/>
      <c r="BF292" s="216"/>
      <c r="BG292" s="216"/>
      <c r="BH292" s="216"/>
      <c r="BI292" s="185"/>
      <c r="BJ292" s="185"/>
      <c r="BK292" s="185"/>
      <c r="BL292" s="185"/>
      <c r="BM292" s="185"/>
      <c r="BN292" s="185"/>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hidden="1" customHeight="1" outlineLevel="2">
      <c r="A293" s="9"/>
      <c r="B293" s="186" t="str">
        <f>Asset18</f>
        <v>IT systems</v>
      </c>
      <c r="C293" s="32"/>
      <c r="D293" s="33" t="s">
        <v>67</v>
      </c>
      <c r="E293" s="32"/>
      <c r="F293" s="203"/>
      <c r="G293" s="356">
        <v>4.3099516743795059</v>
      </c>
      <c r="H293" s="356">
        <v>3.9410736880157686</v>
      </c>
      <c r="I293" s="356">
        <v>3.0746400227647355</v>
      </c>
      <c r="J293" s="356">
        <v>1.4335040828468144</v>
      </c>
      <c r="K293" s="356">
        <v>1.4351491122535507</v>
      </c>
      <c r="L293" s="356"/>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2"/>
      <c r="S293" s="308">
        <f>SUM(K293:K298)</f>
        <v>5.7174657724310718</v>
      </c>
      <c r="T293" s="102"/>
      <c r="U293" s="102"/>
      <c r="V293" s="102"/>
      <c r="W293" s="102"/>
      <c r="X293" s="102"/>
      <c r="Y293" s="102"/>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185"/>
      <c r="BJ293" s="185"/>
      <c r="BK293" s="185"/>
      <c r="BL293" s="185"/>
      <c r="BM293" s="185"/>
      <c r="BN293" s="185"/>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5"/>
      <c r="D294" s="384" t="s">
        <v>85</v>
      </c>
      <c r="E294" s="85"/>
      <c r="F294" s="310"/>
      <c r="G294" s="67"/>
      <c r="H294" s="67"/>
      <c r="I294" s="67"/>
      <c r="J294" s="67"/>
      <c r="K294" s="67"/>
      <c r="L294" s="67"/>
      <c r="M294" s="67"/>
      <c r="N294" s="67"/>
      <c r="O294" s="67"/>
      <c r="P294" s="67"/>
      <c r="Q294" s="67"/>
      <c r="R294" s="102"/>
      <c r="S294" s="102"/>
      <c r="T294" s="102"/>
      <c r="U294" s="102"/>
      <c r="V294" s="102"/>
      <c r="W294" s="102"/>
      <c r="X294" s="102"/>
      <c r="Y294" s="102"/>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185"/>
      <c r="BJ294" s="185"/>
      <c r="BK294" s="185"/>
      <c r="BL294" s="185"/>
      <c r="BM294" s="185"/>
      <c r="BN294" s="185"/>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hidden="1" customHeight="1" outlineLevel="2">
      <c r="A295" s="9"/>
      <c r="B295" s="9"/>
      <c r="C295" s="25"/>
      <c r="D295" s="385"/>
      <c r="E295" s="85">
        <v>1</v>
      </c>
      <c r="F295" s="203"/>
      <c r="G295" s="147"/>
      <c r="H295" s="67">
        <f>IF(A18taxstdlife="n/a","n/a",IF(H$3&gt;(A18taxstdlife+$E295),(Input!$H$58-Input!$H$92)-SUM($G295:G295),(Input!$H$58-Input!$H$92)/A18taxstdlife))</f>
        <v>1.5612780329289855</v>
      </c>
      <c r="I295" s="67">
        <f>IF(A18taxstdlife="n/a","n/a",IF(I$3&gt;(A18taxstdlife+$E295),(Input!$H$58-Input!$H$92)-SUM($G295:H295),(Input!$H$58-Input!$H$92)/A18taxstdlife))</f>
        <v>4.6838340987869564</v>
      </c>
      <c r="J295" s="67">
        <f>IF(A18taxstdlife="n/a","n/a",IF(J$3&gt;(A18taxstdlife+$E295),(Input!$H$58-Input!$H$92)-SUM($G295:I295),(Input!$H$58-Input!$H$92)/A18taxstdlife))</f>
        <v>0</v>
      </c>
      <c r="K295" s="67">
        <f>IF(A18taxstdlife="n/a","n/a",IF(K$3&gt;(A18taxstdlife+$E295),(Input!$H$58-Input!$H$92)-SUM($G295:J295),(Input!$H$58-Input!$H$92)/A18taxstdlife))</f>
        <v>0</v>
      </c>
      <c r="L295" s="67"/>
      <c r="M295" s="67">
        <f>IF(A18taxstdlife="n/a","n/a",IF(M$3&gt;(A18taxstdlife+$E295),(Input!$H$58-Input!$H$92)-SUM($G295:L295),(Input!$H$58-Input!$H$92)/A18taxstdlife))</f>
        <v>0</v>
      </c>
      <c r="N295" s="67">
        <f>IF(A18taxstdlife="n/a","n/a",IF(N$3&gt;(A18taxstdlife+$E295),(Input!$H$58-Input!$H$92)-SUM($G295:M295),(Input!$H$58-Input!$H$92)/A18taxstdlife))</f>
        <v>0</v>
      </c>
      <c r="O295" s="67">
        <f>IF(A18taxstdlife="n/a","n/a",IF(O$3&gt;(A18taxstdlife+$E295),(Input!$H$58-Input!$H$92)-SUM($G295:N295),(Input!$H$58-Input!$H$92)/A18taxstdlife))</f>
        <v>0</v>
      </c>
      <c r="P295" s="67">
        <f>IF(A18taxstdlife="n/a","n/a",IF(P$3&gt;(A18taxstdlife+$E295),(Input!$H$58-Input!$H$92)-SUM($G295:O295),(Input!$H$58-Input!$H$92)/A18taxstdlife))</f>
        <v>0</v>
      </c>
      <c r="Q295" s="67"/>
      <c r="R295" s="102"/>
      <c r="S295" s="102"/>
      <c r="T295" s="102"/>
      <c r="U295" s="102"/>
      <c r="V295" s="102"/>
      <c r="W295" s="102"/>
      <c r="X295" s="102"/>
      <c r="Y295" s="102"/>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185"/>
      <c r="BJ295" s="185"/>
      <c r="BK295" s="185"/>
      <c r="BL295" s="185"/>
      <c r="BM295" s="185"/>
      <c r="BN295" s="18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hidden="1" customHeight="1" outlineLevel="2">
      <c r="A296" s="9"/>
      <c r="B296" s="9"/>
      <c r="C296" s="25"/>
      <c r="D296" s="385"/>
      <c r="E296" s="85">
        <v>2</v>
      </c>
      <c r="F296" s="203"/>
      <c r="G296" s="148"/>
      <c r="H296" s="147"/>
      <c r="I296" s="67">
        <f>IF(A18taxstdlife="n/a","n/a",IF(I$3&gt;(A18taxstdlife+$E296),(Input!$I$58-Input!$I$92)-SUM($H296:H296),(Input!$I$58-Input!$I$92)/A18taxstdlife))</f>
        <v>1.7608288312540745</v>
      </c>
      <c r="J296" s="67">
        <f>IF(A18taxstdlife="n/a","n/a",IF(J$3&gt;(A18taxstdlife+$E296),(Input!$I$58-Input!$I$92)-SUM($H296:I296),(Input!$I$58-Input!$I$92)/A18taxstdlife))</f>
        <v>5.2824864937622236</v>
      </c>
      <c r="K296" s="67">
        <f>IF(A18taxstdlife="n/a","n/a",IF(K$3&gt;(A18taxstdlife+$E296),(Input!$I$58-Input!$I$92)-SUM($H296:J296),(Input!$I$58-Input!$I$92)/A18taxstdlife))</f>
        <v>0</v>
      </c>
      <c r="L296" s="67"/>
      <c r="M296" s="67">
        <f>IF(A18taxstdlife="n/a","n/a",IF(M$3&gt;(A18taxstdlife+$E296),(Input!$I$58-Input!$I$92)-SUM($H296:L296),(Input!$I$58-Input!$I$92)/A18taxstdlife))</f>
        <v>0</v>
      </c>
      <c r="N296" s="67">
        <f>IF(A18taxstdlife="n/a","n/a",IF(N$3&gt;(A18taxstdlife+$E296),(Input!$I$58-Input!$I$92)-SUM($H296:M296),(Input!$I$58-Input!$I$92)/A18taxstdlife))</f>
        <v>0</v>
      </c>
      <c r="O296" s="67">
        <f>IF(A18taxstdlife="n/a","n/a",IF(O$3&gt;(A18taxstdlife+$E296),(Input!$I$58-Input!$I$92)-SUM($H296:N296),(Input!$I$58-Input!$I$92)/A18taxstdlife))</f>
        <v>0</v>
      </c>
      <c r="P296" s="67">
        <f>IF(A18taxstdlife="n/a","n/a",IF(P$3&gt;(A18taxstdlife+$E296),(Input!$I$58-Input!$I$92)-SUM($H296:O296),(Input!$I$58-Input!$I$92)/A18taxstdlife))</f>
        <v>0</v>
      </c>
      <c r="Q296" s="67"/>
      <c r="R296" s="102"/>
      <c r="S296" s="102"/>
      <c r="T296" s="102"/>
      <c r="U296" s="102"/>
      <c r="V296" s="102"/>
      <c r="W296" s="102"/>
      <c r="X296" s="102"/>
      <c r="Y296" s="102"/>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185"/>
      <c r="BJ296" s="185"/>
      <c r="BK296" s="185"/>
      <c r="BL296" s="185"/>
      <c r="BM296" s="185"/>
      <c r="BN296" s="185"/>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hidden="1" customHeight="1" outlineLevel="2">
      <c r="A297" s="9"/>
      <c r="B297" s="9"/>
      <c r="C297" s="25"/>
      <c r="D297" s="385"/>
      <c r="E297" s="85">
        <v>3</v>
      </c>
      <c r="F297" s="203"/>
      <c r="G297" s="148"/>
      <c r="H297" s="148"/>
      <c r="I297" s="147"/>
      <c r="J297" s="67">
        <f>IF(A18taxstdlife="n/a","n/a",IF(J$3&gt;(A18taxstdlife+$E297),(Input!$J$58-Input!$J$92)-SUM($I297:I297),(Input!$J$58-Input!$J$92)/A18taxstdlife))</f>
        <v>1.1355194227580971</v>
      </c>
      <c r="K297" s="67">
        <f>IF(A18taxstdlife="n/a","n/a",IF(K$3&gt;(A18taxstdlife+$E297),(Input!$J$58-Input!$J$92)-SUM($I297:J297),(Input!$J$58-Input!$J$92)/A18taxstdlife))</f>
        <v>3.4065582682742912</v>
      </c>
      <c r="L297" s="67"/>
      <c r="M297" s="67">
        <f>IF(A18taxstdlife="n/a","n/a",IF(M$3&gt;(A18taxstdlife+$E297),(Input!$J$58-Input!$J$92)-SUM($I297:L297),(Input!$J$58-Input!$J$92)/A18taxstdlife))</f>
        <v>0</v>
      </c>
      <c r="N297" s="67">
        <f>IF(A18taxstdlife="n/a","n/a",IF(N$3&gt;(A18taxstdlife+$E297),(Input!$J$58-Input!$J$92)-SUM($I297:M297),(Input!$J$58-Input!$J$92)/A18taxstdlife))</f>
        <v>0</v>
      </c>
      <c r="O297" s="67">
        <f>IF(A18taxstdlife="n/a","n/a",IF(O$3&gt;(A18taxstdlife+$E297),(Input!$J$58-Input!$J$92)-SUM($I297:N297),(Input!$J$58-Input!$J$92)/A18taxstdlife))</f>
        <v>0</v>
      </c>
      <c r="P297" s="67">
        <f>IF(A18taxstdlife="n/a","n/a",IF(P$3&gt;(A18taxstdlife+$E297),(Input!$J$58-Input!$J$92)-SUM($I297:O297),(Input!$J$58-Input!$J$92)/A18taxstdlife))</f>
        <v>0</v>
      </c>
      <c r="Q297" s="67"/>
      <c r="R297" s="102"/>
      <c r="S297" s="102"/>
      <c r="T297" s="102"/>
      <c r="U297" s="102"/>
      <c r="V297" s="102"/>
      <c r="W297" s="102"/>
      <c r="X297" s="102"/>
      <c r="Y297" s="102"/>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185"/>
      <c r="BJ297" s="185"/>
      <c r="BK297" s="185"/>
      <c r="BL297" s="185"/>
      <c r="BM297" s="185"/>
      <c r="BN297" s="185"/>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hidden="1" customHeight="1" outlineLevel="2">
      <c r="A298" s="9"/>
      <c r="B298" s="9"/>
      <c r="C298" s="25"/>
      <c r="D298" s="385"/>
      <c r="E298" s="85">
        <v>4</v>
      </c>
      <c r="F298" s="203"/>
      <c r="G298" s="148"/>
      <c r="H298" s="148"/>
      <c r="I298" s="148"/>
      <c r="J298" s="147"/>
      <c r="K298" s="67">
        <f>IF(A18taxstdlife="n/a","n/a",IF(K$3&gt;(A18taxstdlife+$E298),(Input!$K$58-Input!$K$92)-SUM($J298:J298),(Input!$K$58-Input!$K$92)/A18taxstdlife))</f>
        <v>0.87575839190322979</v>
      </c>
      <c r="L298" s="67"/>
      <c r="M298" s="67">
        <f>IF(A18taxstdlife="n/a","n/a",IF(M$3&gt;(A18taxstdlife+$E298),(Input!$K$58-Input!$K$92)-SUM($J298:L298),(Input!$K$58-Input!$K$92)/A18taxstdlife))</f>
        <v>2.6272751757096895</v>
      </c>
      <c r="N298" s="67">
        <f>IF(A18taxstdlife="n/a","n/a",IF(N$3&gt;(A18taxstdlife+$E298),(Input!$K$58-Input!$K$92)-SUM($J298:M298),(Input!$K$58-Input!$K$92)/A18taxstdlife))</f>
        <v>0</v>
      </c>
      <c r="O298" s="67">
        <f>IF(A18taxstdlife="n/a","n/a",IF(O$3&gt;(A18taxstdlife+$E298),(Input!$K$58-Input!$K$92)-SUM($J298:N298),(Input!$K$58-Input!$K$92)/A18taxstdlife))</f>
        <v>0</v>
      </c>
      <c r="P298" s="67">
        <f>IF(A18taxstdlife="n/a","n/a",IF(P$3&gt;(A18taxstdlife+$E298),(Input!$K$58-Input!$K$92)-SUM($J298:O298),(Input!$K$58-Input!$K$92)/A18taxstdlife))</f>
        <v>0</v>
      </c>
      <c r="Q298" s="67"/>
      <c r="R298" s="102"/>
      <c r="S298" s="102"/>
      <c r="T298" s="102"/>
      <c r="U298" s="102"/>
      <c r="V298" s="102"/>
      <c r="W298" s="102"/>
      <c r="X298" s="102"/>
      <c r="Y298" s="102"/>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185"/>
      <c r="BJ298" s="185"/>
      <c r="BK298" s="185"/>
      <c r="BL298" s="185"/>
      <c r="BM298" s="185"/>
      <c r="BN298" s="185"/>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hidden="1" customHeight="1" outlineLevel="2">
      <c r="A299" s="9"/>
      <c r="B299" s="9"/>
      <c r="C299" s="25"/>
      <c r="D299" s="385"/>
      <c r="E299" s="85">
        <v>5</v>
      </c>
      <c r="F299" s="203"/>
      <c r="G299" s="148"/>
      <c r="H299" s="148"/>
      <c r="I299" s="148"/>
      <c r="J299" s="148"/>
      <c r="K299" s="147"/>
      <c r="L299" s="67"/>
      <c r="M299" s="67">
        <f>IF(A18taxstdlife="n/a","n/a",IF(M$3&gt;(A18taxstdlife+$E299),(Input!$L$58-Input!$L$92)-SUM($K299:L299),(Input!$L$58-Input!$L$92)/A18taxstdlife))</f>
        <v>2.6977193084124389</v>
      </c>
      <c r="N299" s="67">
        <f>IF(A18taxstdlife="n/a","n/a",IF(N$3&gt;(A18taxstdlife+$E299),(Input!$L$58-Input!$L$92)-SUM($K299:M299),(Input!$L$58-Input!$L$92)/A18taxstdlife))</f>
        <v>0</v>
      </c>
      <c r="O299" s="67">
        <f>IF(A18taxstdlife="n/a","n/a",IF(O$3&gt;(A18taxstdlife+$E299),(Input!$L$58-Input!$L$92)-SUM($K299:N299),(Input!$L$58-Input!$L$92)/A18taxstdlife))</f>
        <v>0</v>
      </c>
      <c r="P299" s="67">
        <f>IF(A18taxstdlife="n/a","n/a",IF(P$3&gt;(A18taxstdlife+$E299),(Input!$L$58-Input!$L$92)-SUM($K299:O299),(Input!$L$58-Input!$L$92)/A18taxstdlife))</f>
        <v>0</v>
      </c>
      <c r="Q299" s="67"/>
      <c r="R299" s="102"/>
      <c r="S299" s="102"/>
      <c r="T299" s="102"/>
      <c r="U299" s="102"/>
      <c r="V299" s="102"/>
      <c r="W299" s="102"/>
      <c r="X299" s="102"/>
      <c r="Y299" s="102"/>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185"/>
      <c r="BJ299" s="185"/>
      <c r="BK299" s="185"/>
      <c r="BL299" s="185"/>
      <c r="BM299" s="185"/>
      <c r="BN299" s="185"/>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hidden="1" customHeight="1" outlineLevel="2">
      <c r="A300" s="9"/>
      <c r="B300" s="9"/>
      <c r="C300" s="25"/>
      <c r="D300" s="385"/>
      <c r="E300" s="85">
        <v>6</v>
      </c>
      <c r="F300" s="203"/>
      <c r="G300" s="148"/>
      <c r="H300" s="148"/>
      <c r="I300" s="148"/>
      <c r="J300" s="148"/>
      <c r="K300" s="148"/>
      <c r="L300" s="147"/>
      <c r="M300" s="67">
        <f>IF(A18taxstdlife="n/a","n/a",IF(M$3&gt;(A18taxstdlife+$E300),(Input!$M$58-Input!$M$92)-SUM($L300:L300),(Input!$M$58-Input!$M$92)/A18taxstdlife))</f>
        <v>0</v>
      </c>
      <c r="N300" s="67">
        <f>IF(A18taxstdlife="n/a","n/a",IF(N$3&gt;(A18taxstdlife+$E300),(Input!$M$58-Input!$M$92)-SUM($L300:M300),(Input!$M$58-Input!$M$92)/A18taxstdlife))</f>
        <v>0</v>
      </c>
      <c r="O300" s="67">
        <f>IF(A18taxstdlife="n/a","n/a",IF(O$3&gt;(A18taxstdlife+$E300),(Input!$M$58-Input!$M$92)-SUM($L300:N300),(Input!$M$58-Input!$M$92)/A18taxstdlife))</f>
        <v>0</v>
      </c>
      <c r="P300" s="67">
        <f>IF(A18taxstdlife="n/a","n/a",IF(P$3&gt;(A18taxstdlife+$E300),(Input!$M$58-Input!$M$92)-SUM($L300:O300),(Input!$M$58-Input!$M$92)/A18taxstdlife))</f>
        <v>0</v>
      </c>
      <c r="Q300" s="67"/>
      <c r="R300" s="102"/>
      <c r="S300" s="102"/>
      <c r="T300" s="102"/>
      <c r="U300" s="102"/>
      <c r="V300" s="102"/>
      <c r="W300" s="102"/>
      <c r="X300" s="102"/>
      <c r="Y300" s="102"/>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185"/>
      <c r="BJ300" s="185"/>
      <c r="BK300" s="185"/>
      <c r="BL300" s="185"/>
      <c r="BM300" s="185"/>
      <c r="BN300" s="185"/>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hidden="1" customHeight="1" outlineLevel="2">
      <c r="A301" s="9"/>
      <c r="B301" s="9"/>
      <c r="C301" s="25"/>
      <c r="D301" s="385"/>
      <c r="E301" s="85">
        <v>7</v>
      </c>
      <c r="F301" s="203"/>
      <c r="G301" s="148"/>
      <c r="H301" s="148"/>
      <c r="I301" s="148"/>
      <c r="J301" s="148"/>
      <c r="K301" s="148"/>
      <c r="L301" s="148"/>
      <c r="M301" s="147"/>
      <c r="N301" s="67">
        <f>IF(A18taxstdlife="n/a","n/a",IF(N$3&gt;(A18taxstdlife+$E301),(Input!$N$58-Input!$N$92)-SUM($M301:M301),(Input!$N$58-Input!$N$92)/A18taxstdlife))</f>
        <v>0</v>
      </c>
      <c r="O301" s="67">
        <f>IF(A18taxstdlife="n/a","n/a",IF(O$3&gt;(A18taxstdlife+$E301),(Input!$N$58-Input!$N$92)-SUM($M301:N301),(Input!$N$58-Input!$N$92)/A18taxstdlife))</f>
        <v>0</v>
      </c>
      <c r="P301" s="67">
        <f>IF(A18taxstdlife="n/a","n/a",IF(P$3&gt;(A18taxstdlife+$E301),(Input!$N$58-Input!$N$92)-SUM($M301:O301),(Input!$N$58-Input!$N$92)/A18taxstdlife))</f>
        <v>0</v>
      </c>
      <c r="Q301" s="67"/>
      <c r="R301" s="102"/>
      <c r="S301" s="102"/>
      <c r="T301" s="102"/>
      <c r="U301" s="102"/>
      <c r="V301" s="102"/>
      <c r="W301" s="102"/>
      <c r="X301" s="102"/>
      <c r="Y301" s="102"/>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185"/>
      <c r="BJ301" s="185"/>
      <c r="BK301" s="185"/>
      <c r="BL301" s="185"/>
      <c r="BM301" s="185"/>
      <c r="BN301" s="185"/>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2.75" hidden="1" customHeight="1" outlineLevel="2">
      <c r="A302" s="9"/>
      <c r="B302" s="9"/>
      <c r="C302" s="25"/>
      <c r="D302" s="385"/>
      <c r="E302" s="85">
        <v>8</v>
      </c>
      <c r="F302" s="203"/>
      <c r="G302" s="148"/>
      <c r="H302" s="148"/>
      <c r="I302" s="148"/>
      <c r="J302" s="148"/>
      <c r="K302" s="148"/>
      <c r="L302" s="148"/>
      <c r="M302" s="148"/>
      <c r="N302" s="147"/>
      <c r="O302" s="67">
        <f>IF(A18taxstdlife="n/a","n/a",IF(O$3&gt;(A18taxstdlife+$E302),(Input!$O$58-Input!$O$92)-SUM($N302:N302),(Input!$O$58-Input!$O$92)/A18taxstdlife))</f>
        <v>0</v>
      </c>
      <c r="P302" s="67">
        <f>IF(A18taxstdlife="n/a","n/a",IF(P$3&gt;(A18taxstdlife+$E302),(Input!$O$58-Input!$O$92)-SUM($N302:O302),(Input!$O$58-Input!$O$92)/A18taxstdlife))</f>
        <v>0</v>
      </c>
      <c r="Q302" s="67"/>
      <c r="R302" s="102"/>
      <c r="S302" s="102"/>
      <c r="T302" s="102"/>
      <c r="U302" s="102"/>
      <c r="V302" s="102"/>
      <c r="W302" s="102"/>
      <c r="X302" s="102"/>
      <c r="Y302" s="102"/>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185"/>
      <c r="BJ302" s="185"/>
      <c r="BK302" s="185"/>
      <c r="BL302" s="185"/>
      <c r="BM302" s="185"/>
      <c r="BN302" s="185"/>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hidden="1" customHeight="1" outlineLevel="2">
      <c r="A303" s="9"/>
      <c r="B303" s="9"/>
      <c r="C303" s="25"/>
      <c r="D303" s="385"/>
      <c r="E303" s="85">
        <v>9</v>
      </c>
      <c r="F303" s="203"/>
      <c r="G303" s="148"/>
      <c r="H303" s="148"/>
      <c r="I303" s="148"/>
      <c r="J303" s="148"/>
      <c r="K303" s="148"/>
      <c r="L303" s="148"/>
      <c r="M303" s="148"/>
      <c r="N303" s="148"/>
      <c r="O303" s="147"/>
      <c r="P303" s="67">
        <f>IF(A18taxstdlife="n/a","n/a",IF(P$3&gt;(A18taxstdlife+$E303),(Input!$P$58-Input!$P$92)-SUM($O303:O303),(Input!$P$58-Input!$P$92)/A18taxstdlife))</f>
        <v>0</v>
      </c>
      <c r="Q303" s="67"/>
      <c r="R303" s="102"/>
      <c r="S303" s="102"/>
      <c r="T303" s="102"/>
      <c r="U303" s="102"/>
      <c r="V303" s="102"/>
      <c r="W303" s="102"/>
      <c r="X303" s="102"/>
      <c r="Y303" s="102"/>
      <c r="Z303" s="215"/>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185"/>
      <c r="BJ303" s="185"/>
      <c r="BK303" s="185"/>
      <c r="BL303" s="185"/>
      <c r="BM303" s="185"/>
      <c r="BN303" s="185"/>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hidden="1" customHeight="1" outlineLevel="2">
      <c r="A304" s="9"/>
      <c r="B304" s="9"/>
      <c r="C304" s="25"/>
      <c r="D304" s="385"/>
      <c r="E304" s="86">
        <v>10</v>
      </c>
      <c r="F304" s="203"/>
      <c r="G304" s="148"/>
      <c r="H304" s="148"/>
      <c r="I304" s="148"/>
      <c r="J304" s="148"/>
      <c r="K304" s="148"/>
      <c r="L304" s="148"/>
      <c r="M304" s="148"/>
      <c r="N304" s="148"/>
      <c r="O304" s="187"/>
      <c r="P304" s="147"/>
      <c r="Q304" s="67"/>
      <c r="R304" s="102"/>
      <c r="S304" s="102"/>
      <c r="T304" s="102"/>
      <c r="U304" s="102"/>
      <c r="V304" s="102"/>
      <c r="W304" s="102"/>
      <c r="X304" s="102"/>
      <c r="Y304" s="102"/>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185"/>
      <c r="BJ304" s="185"/>
      <c r="BK304" s="185"/>
      <c r="BL304" s="185"/>
      <c r="BM304" s="185"/>
      <c r="BN304" s="185"/>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hidden="1" customHeight="1" outlineLevel="1">
      <c r="A305" s="9"/>
      <c r="B305" s="9"/>
      <c r="C305" s="25" t="str">
        <f>Asset18</f>
        <v>IT systems</v>
      </c>
      <c r="D305" s="9"/>
      <c r="E305" s="9"/>
      <c r="F305" s="203"/>
      <c r="G305" s="164">
        <f>-SUM(G293:G304)</f>
        <v>-4.3099516743795059</v>
      </c>
      <c r="H305" s="164">
        <f>-SUM(H293:H304)</f>
        <v>-5.5023517209447537</v>
      </c>
      <c r="I305" s="164">
        <f>-SUM(I293:I304)</f>
        <v>-9.5193029528057664</v>
      </c>
      <c r="J305" s="164">
        <f>-SUM(J293:J304)</f>
        <v>-7.8515099993671349</v>
      </c>
      <c r="K305" s="164">
        <f>-SUM(K293:K304)</f>
        <v>-5.7174657724310718</v>
      </c>
      <c r="L305" s="164"/>
      <c r="M305" s="164">
        <f>IF(Input!N173&gt;0, -SUM(M293:M304), 0)</f>
        <v>0</v>
      </c>
      <c r="N305" s="164">
        <f>IF(Input!O173&gt;0, -SUM(N293:N304), 0)</f>
        <v>0</v>
      </c>
      <c r="O305" s="164">
        <f>IF(Input!P173&gt;0, -SUM(O293:O304), 0)</f>
        <v>0</v>
      </c>
      <c r="P305" s="164">
        <f>IF(Input!Q173&gt;0, -SUM(P293:P304), 0)</f>
        <v>0</v>
      </c>
      <c r="Q305" s="63"/>
      <c r="R305" s="101"/>
      <c r="S305" s="101"/>
      <c r="T305" s="101"/>
      <c r="U305" s="101"/>
      <c r="V305" s="101"/>
      <c r="W305" s="101"/>
      <c r="X305" s="101"/>
      <c r="Y305" s="101"/>
      <c r="Z305" s="216"/>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185"/>
      <c r="BJ305" s="185"/>
      <c r="BK305" s="185"/>
      <c r="BL305" s="185"/>
      <c r="BM305" s="185"/>
      <c r="BN305" s="18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hidden="1" customHeight="1" outlineLevel="2">
      <c r="A306" s="9"/>
      <c r="B306" s="186" t="str">
        <f>Asset19</f>
        <v>Furniture, fittings, plant and equipment</v>
      </c>
      <c r="C306" s="32"/>
      <c r="D306" s="33" t="s">
        <v>67</v>
      </c>
      <c r="E306" s="32"/>
      <c r="F306" s="203"/>
      <c r="G306" s="356">
        <v>0.3972016757239577</v>
      </c>
      <c r="H306" s="356">
        <v>0.38384608956833799</v>
      </c>
      <c r="I306" s="356">
        <v>0.37820498403641489</v>
      </c>
      <c r="J306" s="356">
        <v>0.34394051641639534</v>
      </c>
      <c r="K306" s="356">
        <v>0.31823545935991659</v>
      </c>
      <c r="L306" s="356"/>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2"/>
      <c r="S306" s="308">
        <f>SUM(K306:K311)</f>
        <v>0.64358590408998795</v>
      </c>
      <c r="T306" s="102"/>
      <c r="U306" s="102"/>
      <c r="V306" s="102"/>
      <c r="W306" s="102"/>
      <c r="X306" s="102"/>
      <c r="Y306" s="102"/>
      <c r="Z306" s="215"/>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185"/>
      <c r="BJ306" s="185"/>
      <c r="BK306" s="185"/>
      <c r="BL306" s="185"/>
      <c r="BM306" s="185"/>
      <c r="BN306" s="185"/>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5"/>
      <c r="D307" s="384" t="s">
        <v>85</v>
      </c>
      <c r="E307" s="85"/>
      <c r="F307" s="309"/>
      <c r="G307" s="67"/>
      <c r="H307" s="67"/>
      <c r="I307" s="67"/>
      <c r="J307" s="67"/>
      <c r="K307" s="67"/>
      <c r="L307" s="67"/>
      <c r="M307" s="67"/>
      <c r="N307" s="67"/>
      <c r="O307" s="67"/>
      <c r="P307" s="67"/>
      <c r="Q307" s="67"/>
      <c r="R307" s="102"/>
      <c r="S307" s="102"/>
      <c r="T307" s="102"/>
      <c r="U307" s="102"/>
      <c r="V307" s="102"/>
      <c r="W307" s="102"/>
      <c r="X307" s="102"/>
      <c r="Y307" s="102"/>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185"/>
      <c r="BJ307" s="185"/>
      <c r="BK307" s="185"/>
      <c r="BL307" s="185"/>
      <c r="BM307" s="185"/>
      <c r="BN307" s="185"/>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hidden="1" customHeight="1" outlineLevel="2">
      <c r="A308" s="9"/>
      <c r="B308" s="9"/>
      <c r="C308" s="25"/>
      <c r="D308" s="385"/>
      <c r="E308" s="85">
        <v>1</v>
      </c>
      <c r="F308" s="191"/>
      <c r="G308" s="147"/>
      <c r="H308" s="67">
        <f>IF(A19taxstdlife="n/a","n/a",IF(H$3&gt;(A19taxstdlife+$E308),(Input!$H$59-Input!$H$93)-SUM($G308:G308),(Input!$H$59-Input!$H$93)/A19taxstdlife))</f>
        <v>9.3972130989830926E-2</v>
      </c>
      <c r="I308" s="67">
        <f>IF(A19taxstdlife="n/a","n/a",IF(I$3&gt;(A19taxstdlife+$E308),(Input!$H$59-Input!$H$93)-SUM($G308:H308),(Input!$H$59-Input!$H$93)/A19taxstdlife))</f>
        <v>9.3972130989830926E-2</v>
      </c>
      <c r="J308" s="67">
        <f>IF(A19taxstdlife="n/a","n/a",IF(J$3&gt;(A19taxstdlife+$E308),(Input!$H$59-Input!$H$93)-SUM($G308:I308),(Input!$H$59-Input!$H$93)/A19taxstdlife))</f>
        <v>9.3972130989830926E-2</v>
      </c>
      <c r="K308" s="67">
        <f>IF(A19taxstdlife="n/a","n/a",IF(K$3&gt;(A19taxstdlife+$E308),(Input!$H$59-Input!$H$93)-SUM($G308:J308),(Input!$H$59-Input!$H$93)/A19taxstdlife))</f>
        <v>9.3972130989830926E-2</v>
      </c>
      <c r="L308" s="67"/>
      <c r="M308" s="67">
        <f>IF(A19taxstdlife="n/a","n/a",IF(M$3&gt;(A19taxstdlife+$E308),(Input!$H$59-Input!$H$93)-SUM($G308:L308),(Input!$H$59-Input!$H$93)/A19taxstdlife))</f>
        <v>9.3972130989830926E-2</v>
      </c>
      <c r="N308" s="67">
        <f>IF(A19taxstdlife="n/a","n/a",IF(N$3&gt;(A19taxstdlife+$E308),(Input!$H$59-Input!$H$93)-SUM($G308:M308),(Input!$H$59-Input!$H$93)/A19taxstdlife))</f>
        <v>9.3972130989830926E-2</v>
      </c>
      <c r="O308" s="67">
        <f>IF(A19taxstdlife="n/a","n/a",IF(O$3&gt;(A19taxstdlife+$E308),(Input!$H$59-Input!$H$93)-SUM($G308:N308),(Input!$H$59-Input!$H$93)/A19taxstdlife))</f>
        <v>0.43227180255322217</v>
      </c>
      <c r="P308" s="67">
        <f>IF(A19taxstdlife="n/a","n/a",IF(P$3&gt;(A19taxstdlife+$E308),(Input!$H$59-Input!$H$93)-SUM($G308:O308),(Input!$H$59-Input!$H$93)/A19taxstdlife))</f>
        <v>0</v>
      </c>
      <c r="Q308" s="67"/>
      <c r="R308" s="102"/>
      <c r="S308" s="102"/>
      <c r="T308" s="102"/>
      <c r="U308" s="102"/>
      <c r="V308" s="102"/>
      <c r="W308" s="102"/>
      <c r="X308" s="102"/>
      <c r="Y308" s="102"/>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185"/>
      <c r="BJ308" s="185"/>
      <c r="BK308" s="185"/>
      <c r="BL308" s="185"/>
      <c r="BM308" s="185"/>
      <c r="BN308" s="185"/>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hidden="1" customHeight="1" outlineLevel="2">
      <c r="A309" s="9"/>
      <c r="B309" s="9"/>
      <c r="C309" s="25"/>
      <c r="D309" s="385"/>
      <c r="E309" s="85">
        <v>2</v>
      </c>
      <c r="F309" s="191"/>
      <c r="G309" s="148"/>
      <c r="H309" s="147"/>
      <c r="I309" s="67">
        <f>IF(A19taxstdlife="n/a","n/a",IF(I$3&gt;(A19taxstdlife+$E309),(Input!$I$59-Input!$I$93)-SUM($H309:H309),(Input!$I$59-Input!$I$93)/A19taxstdlife))</f>
        <v>8.5619839169407144E-2</v>
      </c>
      <c r="J309" s="67">
        <f>IF(A19taxstdlife="n/a","n/a",IF(J$3&gt;(A19taxstdlife+$E309),(Input!$I$59-Input!$I$93)-SUM($H309:I309),(Input!$I$59-Input!$I$93)/A19taxstdlife))</f>
        <v>8.5619839169407144E-2</v>
      </c>
      <c r="K309" s="67">
        <f>IF(A19taxstdlife="n/a","n/a",IF(K$3&gt;(A19taxstdlife+$E309),(Input!$I$59-Input!$I$93)-SUM($H309:J309),(Input!$I$59-Input!$I$93)/A19taxstdlife))</f>
        <v>8.5619839169407144E-2</v>
      </c>
      <c r="L309" s="67"/>
      <c r="M309" s="67">
        <f>IF(A19taxstdlife="n/a","n/a",IF(M$3&gt;(A19taxstdlife+$E309),(Input!$I$59-Input!$I$93)-SUM($H309:L309),(Input!$I$59-Input!$I$93)/A19taxstdlife))</f>
        <v>8.5619839169407144E-2</v>
      </c>
      <c r="N309" s="67">
        <f>IF(A19taxstdlife="n/a","n/a",IF(N$3&gt;(A19taxstdlife+$E309),(Input!$I$59-Input!$I$93)-SUM($H309:M309),(Input!$I$59-Input!$I$93)/A19taxstdlife))</f>
        <v>8.5619839169407144E-2</v>
      </c>
      <c r="O309" s="67">
        <f>IF(A19taxstdlife="n/a","n/a",IF(O$3&gt;(A19taxstdlife+$E309),(Input!$I$59-Input!$I$93)-SUM($H309:N309),(Input!$I$59-Input!$I$93)/A19taxstdlife))</f>
        <v>8.5619839169407144E-2</v>
      </c>
      <c r="P309" s="67">
        <f>IF(A19taxstdlife="n/a","n/a",IF(P$3&gt;(A19taxstdlife+$E309),(Input!$I$59-Input!$I$93)-SUM($H309:O309),(Input!$I$59-Input!$I$93)/A19taxstdlife))</f>
        <v>0.39385126017927274</v>
      </c>
      <c r="Q309" s="67"/>
      <c r="R309" s="102"/>
      <c r="S309" s="102"/>
      <c r="T309" s="102"/>
      <c r="U309" s="102"/>
      <c r="V309" s="102"/>
      <c r="W309" s="102"/>
      <c r="X309" s="102"/>
      <c r="Y309" s="102"/>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185"/>
      <c r="BJ309" s="185"/>
      <c r="BK309" s="185"/>
      <c r="BL309" s="185"/>
      <c r="BM309" s="185"/>
      <c r="BN309" s="185"/>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hidden="1" customHeight="1" outlineLevel="2">
      <c r="A310" s="9"/>
      <c r="B310" s="9"/>
      <c r="C310" s="25"/>
      <c r="D310" s="385"/>
      <c r="E310" s="85">
        <v>3</v>
      </c>
      <c r="F310" s="191"/>
      <c r="G310" s="148"/>
      <c r="H310" s="148"/>
      <c r="I310" s="147"/>
      <c r="J310" s="67">
        <f>IF(A19taxstdlife="n/a","n/a",IF(J$3&gt;(A19taxstdlife+$E310),(Input!$J$59-Input!$J$93)-SUM($I310:I310),(Input!$J$59-Input!$J$93)/A19taxstdlife))</f>
        <v>9.0399112898463391E-2</v>
      </c>
      <c r="K310" s="67">
        <f>IF(A19taxstdlife="n/a","n/a",IF(K$3&gt;(A19taxstdlife+$E310),(Input!$J$59-Input!$J$93)-SUM($I310:J310),(Input!$J$59-Input!$J$93)/A19taxstdlife))</f>
        <v>9.0399112898463391E-2</v>
      </c>
      <c r="L310" s="67"/>
      <c r="M310" s="67">
        <f>IF(A19taxstdlife="n/a","n/a",IF(M$3&gt;(A19taxstdlife+$E310),(Input!$J$59-Input!$J$93)-SUM($I310:L310),(Input!$J$59-Input!$J$93)/A19taxstdlife))</f>
        <v>9.0399112898463391E-2</v>
      </c>
      <c r="N310" s="67">
        <f>IF(A19taxstdlife="n/a","n/a",IF(N$3&gt;(A19taxstdlife+$E310),(Input!$J$59-Input!$J$93)-SUM($I310:M310),(Input!$J$59-Input!$J$93)/A19taxstdlife))</f>
        <v>9.0399112898463391E-2</v>
      </c>
      <c r="O310" s="67">
        <f>IF(A19taxstdlife="n/a","n/a",IF(O$3&gt;(A19taxstdlife+$E310),(Input!$J$59-Input!$J$93)-SUM($I310:N310),(Input!$J$59-Input!$J$93)/A19taxstdlife))</f>
        <v>9.0399112898463391E-2</v>
      </c>
      <c r="P310" s="67">
        <f>IF(A19taxstdlife="n/a","n/a",IF(P$3&gt;(A19taxstdlife+$E310),(Input!$J$59-Input!$J$93)-SUM($I310:O310),(Input!$J$59-Input!$J$93)/A19taxstdlife))</f>
        <v>9.0399112898463391E-2</v>
      </c>
      <c r="Q310" s="67"/>
      <c r="R310" s="102"/>
      <c r="S310" s="102"/>
      <c r="T310" s="102"/>
      <c r="U310" s="102"/>
      <c r="V310" s="102"/>
      <c r="W310" s="102"/>
      <c r="X310" s="102"/>
      <c r="Y310" s="102"/>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185"/>
      <c r="BJ310" s="185"/>
      <c r="BK310" s="185"/>
      <c r="BL310" s="185"/>
      <c r="BM310" s="185"/>
      <c r="BN310" s="185"/>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hidden="1" customHeight="1" outlineLevel="2">
      <c r="A311" s="9"/>
      <c r="B311" s="9"/>
      <c r="C311" s="25"/>
      <c r="D311" s="385"/>
      <c r="E311" s="85">
        <v>4</v>
      </c>
      <c r="F311" s="191"/>
      <c r="G311" s="148"/>
      <c r="H311" s="148"/>
      <c r="I311" s="148"/>
      <c r="J311" s="147"/>
      <c r="K311" s="67">
        <f>IF(A19taxstdlife="n/a","n/a",IF(K$3&gt;(A19taxstdlife+$E311),(Input!$K$59-Input!$K$93)-SUM($J311:J311),(Input!$K$59-Input!$K$93)/A19taxstdlife))</f>
        <v>5.5359361672369836E-2</v>
      </c>
      <c r="L311" s="67"/>
      <c r="M311" s="67">
        <f>IF(A19taxstdlife="n/a","n/a",IF(M$3&gt;(A19taxstdlife+$E311),(Input!$K$59-Input!$K$93)-SUM($J311:L311),(Input!$K$59-Input!$K$93)/A19taxstdlife))</f>
        <v>5.5359361672369836E-2</v>
      </c>
      <c r="N311" s="67">
        <f>IF(A19taxstdlife="n/a","n/a",IF(N$3&gt;(A19taxstdlife+$E311),(Input!$K$59-Input!$K$93)-SUM($J311:M311),(Input!$K$59-Input!$K$93)/A19taxstdlife))</f>
        <v>5.5359361672369836E-2</v>
      </c>
      <c r="O311" s="67">
        <f>IF(A19taxstdlife="n/a","n/a",IF(O$3&gt;(A19taxstdlife+$E311),(Input!$K$59-Input!$K$93)-SUM($J311:N311),(Input!$K$59-Input!$K$93)/A19taxstdlife))</f>
        <v>5.5359361672369836E-2</v>
      </c>
      <c r="P311" s="67">
        <f>IF(A19taxstdlife="n/a","n/a",IF(P$3&gt;(A19taxstdlife+$E311),(Input!$K$59-Input!$K$93)-SUM($J311:O311),(Input!$K$59-Input!$K$93)/A19taxstdlife))</f>
        <v>5.5359361672369836E-2</v>
      </c>
      <c r="Q311" s="67"/>
      <c r="R311" s="102"/>
      <c r="S311" s="102"/>
      <c r="T311" s="102"/>
      <c r="U311" s="102"/>
      <c r="V311" s="102"/>
      <c r="W311" s="102"/>
      <c r="X311" s="102"/>
      <c r="Y311" s="102"/>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185"/>
      <c r="BJ311" s="185"/>
      <c r="BK311" s="185"/>
      <c r="BL311" s="185"/>
      <c r="BM311" s="185"/>
      <c r="BN311" s="185"/>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hidden="1" customHeight="1" outlineLevel="2">
      <c r="A312" s="9"/>
      <c r="B312" s="9"/>
      <c r="C312" s="25"/>
      <c r="D312" s="385"/>
      <c r="E312" s="85">
        <v>5</v>
      </c>
      <c r="F312" s="191"/>
      <c r="G312" s="148"/>
      <c r="H312" s="148"/>
      <c r="I312" s="148"/>
      <c r="J312" s="148"/>
      <c r="K312" s="147"/>
      <c r="L312" s="67"/>
      <c r="M312" s="67">
        <f>IF(A19taxstdlife="n/a","n/a",IF(M$3&gt;(A19taxstdlife+$E312),(Input!$L$59-Input!$L$93)-SUM($K312:L312),(Input!$L$59-Input!$L$93)/A19taxstdlife))</f>
        <v>4.3070391531016161E-2</v>
      </c>
      <c r="N312" s="67">
        <f>IF(A19taxstdlife="n/a","n/a",IF(N$3&gt;(A19taxstdlife+$E312),(Input!$L$59-Input!$L$93)-SUM($K312:M312),(Input!$L$59-Input!$L$93)/A19taxstdlife))</f>
        <v>4.3070391531016161E-2</v>
      </c>
      <c r="O312" s="67">
        <f>IF(A19taxstdlife="n/a","n/a",IF(O$3&gt;(A19taxstdlife+$E312),(Input!$L$59-Input!$L$93)-SUM($K312:N312),(Input!$L$59-Input!$L$93)/A19taxstdlife))</f>
        <v>4.3070391531016161E-2</v>
      </c>
      <c r="P312" s="67">
        <f>IF(A19taxstdlife="n/a","n/a",IF(P$3&gt;(A19taxstdlife+$E312),(Input!$L$59-Input!$L$93)-SUM($K312:O312),(Input!$L$59-Input!$L$93)/A19taxstdlife))</f>
        <v>4.3070391531016161E-2</v>
      </c>
      <c r="Q312" s="67"/>
      <c r="R312" s="102"/>
      <c r="S312" s="102"/>
      <c r="T312" s="102"/>
      <c r="U312" s="102"/>
      <c r="V312" s="102"/>
      <c r="W312" s="102"/>
      <c r="X312" s="102"/>
      <c r="Y312" s="102"/>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185"/>
      <c r="BJ312" s="185"/>
      <c r="BK312" s="185"/>
      <c r="BL312" s="185"/>
      <c r="BM312" s="185"/>
      <c r="BN312" s="185"/>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hidden="1" customHeight="1" outlineLevel="2">
      <c r="A313" s="9"/>
      <c r="B313" s="9"/>
      <c r="C313" s="25"/>
      <c r="D313" s="385"/>
      <c r="E313" s="85">
        <v>6</v>
      </c>
      <c r="F313" s="191"/>
      <c r="G313" s="148"/>
      <c r="H313" s="148"/>
      <c r="I313" s="148"/>
      <c r="J313" s="148"/>
      <c r="K313" s="148"/>
      <c r="L313" s="147"/>
      <c r="M313" s="67">
        <f>IF(A19taxstdlife="n/a","n/a",IF(M$3&gt;(A19taxstdlife+$E313),(Input!$M$59-Input!$M$93)-SUM($L313:L313),(Input!$M$59-Input!$M$93)/A19taxstdlife))</f>
        <v>0</v>
      </c>
      <c r="N313" s="67">
        <f>IF(A19taxstdlife="n/a","n/a",IF(N$3&gt;(A19taxstdlife+$E313),(Input!$M$59-Input!$M$93)-SUM($L313:M313),(Input!$M$59-Input!$M$93)/A19taxstdlife))</f>
        <v>0</v>
      </c>
      <c r="O313" s="67">
        <f>IF(A19taxstdlife="n/a","n/a",IF(O$3&gt;(A19taxstdlife+$E313),(Input!$M$59-Input!$M$93)-SUM($L313:N313),(Input!$M$59-Input!$M$93)/A19taxstdlife))</f>
        <v>0</v>
      </c>
      <c r="P313" s="67">
        <f>IF(A19taxstdlife="n/a","n/a",IF(P$3&gt;(A19taxstdlife+$E313),(Input!$M$59-Input!$M$93)-SUM($L313:O313),(Input!$M$59-Input!$M$93)/A19taxstdlife))</f>
        <v>0</v>
      </c>
      <c r="Q313" s="67"/>
      <c r="R313" s="102"/>
      <c r="S313" s="102"/>
      <c r="T313" s="102"/>
      <c r="U313" s="102"/>
      <c r="V313" s="102"/>
      <c r="W313" s="102"/>
      <c r="X313" s="102"/>
      <c r="Y313" s="102"/>
      <c r="Z313" s="215"/>
      <c r="AA313" s="215"/>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185"/>
      <c r="BJ313" s="185"/>
      <c r="BK313" s="185"/>
      <c r="BL313" s="185"/>
      <c r="BM313" s="185"/>
      <c r="BN313" s="185"/>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hidden="1" customHeight="1" outlineLevel="2">
      <c r="A314" s="9"/>
      <c r="B314" s="9"/>
      <c r="C314" s="25"/>
      <c r="D314" s="385"/>
      <c r="E314" s="85">
        <v>7</v>
      </c>
      <c r="F314" s="191"/>
      <c r="G314" s="148"/>
      <c r="H314" s="148"/>
      <c r="I314" s="148"/>
      <c r="J314" s="148"/>
      <c r="K314" s="148"/>
      <c r="L314" s="148"/>
      <c r="M314" s="147"/>
      <c r="N314" s="67">
        <f>IF(A19taxstdlife="n/a","n/a",IF(N$3&gt;(A19taxstdlife+$E314),(Input!$N$59-Input!$N$93)-SUM($M314:M314),(Input!$N$59-Input!$N$93)/A19taxstdlife))</f>
        <v>0</v>
      </c>
      <c r="O314" s="67">
        <f>IF(A19taxstdlife="n/a","n/a",IF(O$3&gt;(A19taxstdlife+$E314),(Input!$N$59-Input!$N$93)-SUM($M314:N314),(Input!$N$59-Input!$N$93)/A19taxstdlife))</f>
        <v>0</v>
      </c>
      <c r="P314" s="67">
        <f>IF(A19taxstdlife="n/a","n/a",IF(P$3&gt;(A19taxstdlife+$E314),(Input!$N$59-Input!$N$93)-SUM($M314:O314),(Input!$N$59-Input!$N$93)/A19taxstdlife))</f>
        <v>0</v>
      </c>
      <c r="Q314" s="67"/>
      <c r="R314" s="102"/>
      <c r="S314" s="102"/>
      <c r="T314" s="102"/>
      <c r="U314" s="102"/>
      <c r="V314" s="102"/>
      <c r="W314" s="102"/>
      <c r="X314" s="102"/>
      <c r="Y314" s="102"/>
      <c r="Z314" s="215"/>
      <c r="AA314" s="215"/>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185"/>
      <c r="BJ314" s="185"/>
      <c r="BK314" s="185"/>
      <c r="BL314" s="185"/>
      <c r="BM314" s="185"/>
      <c r="BN314" s="185"/>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hidden="1" customHeight="1" outlineLevel="2">
      <c r="A315" s="9"/>
      <c r="B315" s="9"/>
      <c r="C315" s="25"/>
      <c r="D315" s="385"/>
      <c r="E315" s="85">
        <v>8</v>
      </c>
      <c r="F315" s="191"/>
      <c r="G315" s="148"/>
      <c r="H315" s="148"/>
      <c r="I315" s="148"/>
      <c r="J315" s="148"/>
      <c r="K315" s="148"/>
      <c r="L315" s="148"/>
      <c r="M315" s="148"/>
      <c r="N315" s="147"/>
      <c r="O315" s="67">
        <f>IF(A19taxstdlife="n/a","n/a",IF(O$3&gt;(A19taxstdlife+$E315),(Input!$O$59-Input!$O$93)-SUM($N315:N315),(Input!$O$59-Input!$O$93)/A19taxstdlife))</f>
        <v>0</v>
      </c>
      <c r="P315" s="67">
        <f>IF(A19taxstdlife="n/a","n/a",IF(P$3&gt;(A19taxstdlife+$E315),(Input!$O$59-Input!$O$93)-SUM($N315:O315),(Input!$O$59-Input!$O$93)/A19taxstdlife))</f>
        <v>0</v>
      </c>
      <c r="Q315" s="67"/>
      <c r="R315" s="102"/>
      <c r="S315" s="102"/>
      <c r="T315" s="102"/>
      <c r="U315" s="102"/>
      <c r="V315" s="102"/>
      <c r="W315" s="102"/>
      <c r="X315" s="102"/>
      <c r="Y315" s="102"/>
      <c r="Z315" s="215"/>
      <c r="AA315" s="215"/>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185"/>
      <c r="BJ315" s="185"/>
      <c r="BK315" s="185"/>
      <c r="BL315" s="185"/>
      <c r="BM315" s="185"/>
      <c r="BN315" s="18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hidden="1" customHeight="1" outlineLevel="2">
      <c r="A316" s="9"/>
      <c r="B316" s="9"/>
      <c r="C316" s="25"/>
      <c r="D316" s="385"/>
      <c r="E316" s="85">
        <v>9</v>
      </c>
      <c r="F316" s="191"/>
      <c r="G316" s="148"/>
      <c r="H316" s="148"/>
      <c r="I316" s="148"/>
      <c r="J316" s="148"/>
      <c r="K316" s="148"/>
      <c r="L316" s="148"/>
      <c r="M316" s="148"/>
      <c r="N316" s="148"/>
      <c r="O316" s="147"/>
      <c r="P316" s="67">
        <f>IF(A19taxstdlife="n/a","n/a",IF(P$3&gt;(A19taxstdlife+$E316),(Input!$P$59-Input!$P$93)-SUM($O316:O316),(Input!$P$59-Input!$P$93)/A19taxstdlife))</f>
        <v>0</v>
      </c>
      <c r="Q316" s="67"/>
      <c r="R316" s="102"/>
      <c r="S316" s="102"/>
      <c r="T316" s="102"/>
      <c r="U316" s="102"/>
      <c r="V316" s="102"/>
      <c r="W316" s="102"/>
      <c r="X316" s="102"/>
      <c r="Y316" s="102"/>
      <c r="Z316" s="215"/>
      <c r="AA316" s="215"/>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185"/>
      <c r="BJ316" s="185"/>
      <c r="BK316" s="185"/>
      <c r="BL316" s="185"/>
      <c r="BM316" s="185"/>
      <c r="BN316" s="185"/>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hidden="1" customHeight="1" outlineLevel="2">
      <c r="A317" s="9"/>
      <c r="B317" s="9"/>
      <c r="C317" s="25"/>
      <c r="D317" s="385"/>
      <c r="E317" s="86">
        <v>10</v>
      </c>
      <c r="F317" s="191"/>
      <c r="G317" s="148"/>
      <c r="H317" s="148"/>
      <c r="I317" s="148"/>
      <c r="J317" s="148"/>
      <c r="K317" s="148"/>
      <c r="L317" s="148"/>
      <c r="M317" s="148"/>
      <c r="N317" s="148"/>
      <c r="O317" s="187"/>
      <c r="P317" s="147"/>
      <c r="Q317" s="67"/>
      <c r="R317" s="102"/>
      <c r="S317" s="102"/>
      <c r="T317" s="102"/>
      <c r="U317" s="102"/>
      <c r="V317" s="102"/>
      <c r="W317" s="102"/>
      <c r="X317" s="102"/>
      <c r="Y317" s="102"/>
      <c r="Z317" s="215"/>
      <c r="AA317" s="215"/>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185"/>
      <c r="BJ317" s="185"/>
      <c r="BK317" s="185"/>
      <c r="BL317" s="185"/>
      <c r="BM317" s="185"/>
      <c r="BN317" s="185"/>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hidden="1" customHeight="1" outlineLevel="1">
      <c r="A318" s="9"/>
      <c r="B318" s="9"/>
      <c r="C318" s="25" t="str">
        <f>Asset19</f>
        <v>Furniture, fittings, plant and equipment</v>
      </c>
      <c r="D318" s="9"/>
      <c r="E318" s="9"/>
      <c r="F318" s="191"/>
      <c r="G318" s="357">
        <f>-SUM(G306:G317)</f>
        <v>-0.3972016757239577</v>
      </c>
      <c r="H318" s="357">
        <f>-SUM(H306:H317)</f>
        <v>-0.47781822055816892</v>
      </c>
      <c r="I318" s="357">
        <f>-SUM(I306:I317)</f>
        <v>-0.55779695419565301</v>
      </c>
      <c r="J318" s="357">
        <f>-SUM(J306:J317)</f>
        <v>-0.61393159947409681</v>
      </c>
      <c r="K318" s="357">
        <f>-SUM(K306:K317)</f>
        <v>-0.64358590408998795</v>
      </c>
      <c r="L318" s="357"/>
      <c r="M318" s="164">
        <f>IF(Input!N173&gt;0, -SUM(M306:M317), 0)</f>
        <v>0</v>
      </c>
      <c r="N318" s="164">
        <f>IF(Input!O173&gt;0, -SUM(N306:N317), 0)</f>
        <v>0</v>
      </c>
      <c r="O318" s="164">
        <f>IF(Input!P173&gt;0, -SUM(O306:O317), 0)</f>
        <v>0</v>
      </c>
      <c r="P318" s="164">
        <f>IF(Input!Q173&gt;0, -SUM(P306:P317), 0)</f>
        <v>0</v>
      </c>
      <c r="Q318" s="63"/>
      <c r="R318" s="101"/>
      <c r="S318" s="308"/>
      <c r="T318" s="101"/>
      <c r="U318" s="101"/>
      <c r="V318" s="101"/>
      <c r="W318" s="101"/>
      <c r="X318" s="101"/>
      <c r="Y318" s="101"/>
      <c r="Z318" s="216"/>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185"/>
      <c r="BJ318" s="185"/>
      <c r="BK318" s="185"/>
      <c r="BL318" s="185"/>
      <c r="BM318" s="185"/>
      <c r="BN318" s="185"/>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186" t="str">
        <f>Asset20</f>
        <v>Motor vehicles</v>
      </c>
      <c r="C319" s="32"/>
      <c r="D319" s="33" t="s">
        <v>67</v>
      </c>
      <c r="E319" s="32"/>
      <c r="F319" s="191"/>
      <c r="G319" s="356">
        <v>1.4636650521730126</v>
      </c>
      <c r="H319" s="356">
        <v>1.2659132504576873</v>
      </c>
      <c r="I319" s="356">
        <v>1.0405071500556404</v>
      </c>
      <c r="J319" s="356">
        <v>0.7485141064892481</v>
      </c>
      <c r="K319" s="356">
        <v>0.42567877498604972</v>
      </c>
      <c r="L319" s="356"/>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2"/>
      <c r="S319" s="308">
        <f>SUM(K319:K324)</f>
        <v>1.0372999992204464</v>
      </c>
      <c r="T319" s="102"/>
      <c r="U319" s="102"/>
      <c r="V319" s="102"/>
      <c r="W319" s="102"/>
      <c r="X319" s="102"/>
      <c r="Y319" s="102"/>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185"/>
      <c r="BJ319" s="185"/>
      <c r="BK319" s="185"/>
      <c r="BL319" s="185"/>
      <c r="BM319" s="185"/>
      <c r="BN319" s="185"/>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5"/>
      <c r="D320" s="384" t="s">
        <v>85</v>
      </c>
      <c r="E320" s="85"/>
      <c r="F320" s="309"/>
      <c r="G320" s="67"/>
      <c r="H320" s="67"/>
      <c r="I320" s="67"/>
      <c r="J320" s="67"/>
      <c r="K320" s="67"/>
      <c r="L320" s="67"/>
      <c r="M320" s="67"/>
      <c r="N320" s="67"/>
      <c r="O320" s="67"/>
      <c r="P320" s="67"/>
      <c r="Q320" s="67"/>
      <c r="R320" s="102"/>
      <c r="S320" s="102"/>
      <c r="T320" s="102"/>
      <c r="U320" s="102"/>
      <c r="V320" s="102"/>
      <c r="W320" s="102"/>
      <c r="X320" s="102"/>
      <c r="Y320" s="102"/>
      <c r="Z320" s="215"/>
      <c r="AA320" s="215"/>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185"/>
      <c r="BJ320" s="185"/>
      <c r="BK320" s="185"/>
      <c r="BL320" s="185"/>
      <c r="BM320" s="185"/>
      <c r="BN320" s="185"/>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5"/>
      <c r="D321" s="385"/>
      <c r="E321" s="85">
        <v>1</v>
      </c>
      <c r="F321" s="191"/>
      <c r="G321" s="147"/>
      <c r="H321" s="67">
        <f>IF(A20taxstdlife="n/a","n/a",IF(H$3&gt;(A20taxstdlife+$E321),(Input!$H$60-Input!$H$94)-SUM($G321:G321),(Input!$H$60-Input!$H$94)/A20taxstdlife))</f>
        <v>0.1623435813462151</v>
      </c>
      <c r="I321" s="67">
        <f>IF(A20taxstdlife="n/a","n/a",IF(I$3&gt;(A20taxstdlife+$E321),(Input!$H$60-Input!$H$94)-SUM($G321:H321),(Input!$H$60-Input!$H$94)/A20taxstdlife))</f>
        <v>0.1623435813462151</v>
      </c>
      <c r="J321" s="67">
        <f>IF(A20taxstdlife="n/a","n/a",IF(J$3&gt;(A20taxstdlife+$E321),(Input!$H$60-Input!$H$94)-SUM($G321:I321),(Input!$H$60-Input!$H$94)/A20taxstdlife))</f>
        <v>0.1623435813462151</v>
      </c>
      <c r="K321" s="67">
        <f>IF(A20taxstdlife="n/a","n/a",IF(K$3&gt;(A20taxstdlife+$E321),(Input!$H$60-Input!$H$94)-SUM($G321:J321),(Input!$H$60-Input!$H$94)/A20taxstdlife))</f>
        <v>0.1623435813462151</v>
      </c>
      <c r="L321" s="67"/>
      <c r="M321" s="67">
        <f>IF(A20taxstdlife="n/a","n/a",IF(M$3&gt;(A20taxstdlife+$E321),(Input!$H$60-Input!$H$94)-SUM($G321:L321),(Input!$H$60-Input!$H$94)/A20taxstdlife))</f>
        <v>0.1623435813462151</v>
      </c>
      <c r="N321" s="67">
        <f>IF(A20taxstdlife="n/a","n/a",IF(N$3&gt;(A20taxstdlife+$E321),(Input!$H$60-Input!$H$94)-SUM($G321:M321),(Input!$H$60-Input!$H$94)/A20taxstdlife))</f>
        <v>0.1623435813462151</v>
      </c>
      <c r="O321" s="67">
        <f>IF(A20taxstdlife="n/a","n/a",IF(O$3&gt;(A20taxstdlife+$E321),(Input!$H$60-Input!$H$94)-SUM($G321:N321),(Input!$H$60-Input!$H$94)/A20taxstdlife))</f>
        <v>0.1623435813462151</v>
      </c>
      <c r="P321" s="67">
        <f>IF(A20taxstdlife="n/a","n/a",IF(P$3&gt;(A20taxstdlife+$E321),(Input!$H$60-Input!$H$94)-SUM($G321:O321),(Input!$H$60-Input!$H$94)/A20taxstdlife))</f>
        <v>0.1623435813462151</v>
      </c>
      <c r="Q321" s="67"/>
      <c r="R321" s="102"/>
      <c r="S321" s="102"/>
      <c r="T321" s="102"/>
      <c r="U321" s="102"/>
      <c r="V321" s="102"/>
      <c r="W321" s="102"/>
      <c r="X321" s="102"/>
      <c r="Y321" s="102"/>
      <c r="Z321" s="215"/>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185"/>
      <c r="BJ321" s="185"/>
      <c r="BK321" s="185"/>
      <c r="BL321" s="185"/>
      <c r="BM321" s="185"/>
      <c r="BN321" s="185"/>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5"/>
      <c r="D322" s="385"/>
      <c r="E322" s="85">
        <v>2</v>
      </c>
      <c r="F322" s="191"/>
      <c r="G322" s="148"/>
      <c r="H322" s="147"/>
      <c r="I322" s="67">
        <f>IF(A20taxstdlife="n/a","n/a",IF(I$3&gt;(A20taxstdlife+$E322),(Input!$I$60-Input!$I$94)-SUM($H322:H322),(Input!$I$60-Input!$I$94)/A20taxstdlife))</f>
        <v>0.17414368706922528</v>
      </c>
      <c r="J322" s="67">
        <f>IF(A20taxstdlife="n/a","n/a",IF(J$3&gt;(A20taxstdlife+$E322),(Input!$I$60-Input!$I$94)-SUM($H322:I322),(Input!$I$60-Input!$I$94)/A20taxstdlife))</f>
        <v>0.17414368706922528</v>
      </c>
      <c r="K322" s="67">
        <f>IF(A20taxstdlife="n/a","n/a",IF(K$3&gt;(A20taxstdlife+$E322),(Input!$I$60-Input!$I$94)-SUM($H322:J322),(Input!$I$60-Input!$I$94)/A20taxstdlife))</f>
        <v>0.17414368706922528</v>
      </c>
      <c r="L322" s="67"/>
      <c r="M322" s="67">
        <f>IF(A20taxstdlife="n/a","n/a",IF(M$3&gt;(A20taxstdlife+$E322),(Input!$I$60-Input!$I$94)-SUM($H322:L322),(Input!$I$60-Input!$I$94)/A20taxstdlife))</f>
        <v>0.17414368706922528</v>
      </c>
      <c r="N322" s="67">
        <f>IF(A20taxstdlife="n/a","n/a",IF(N$3&gt;(A20taxstdlife+$E322),(Input!$I$60-Input!$I$94)-SUM($H322:M322),(Input!$I$60-Input!$I$94)/A20taxstdlife))</f>
        <v>0.17414368706922528</v>
      </c>
      <c r="O322" s="67">
        <f>IF(A20taxstdlife="n/a","n/a",IF(O$3&gt;(A20taxstdlife+$E322),(Input!$I$60-Input!$I$94)-SUM($H322:N322),(Input!$I$60-Input!$I$94)/A20taxstdlife))</f>
        <v>0.17414368706922528</v>
      </c>
      <c r="P322" s="67">
        <f>IF(A20taxstdlife="n/a","n/a",IF(P$3&gt;(A20taxstdlife+$E322),(Input!$I$60-Input!$I$94)-SUM($H322:O322),(Input!$I$60-Input!$I$94)/A20taxstdlife))</f>
        <v>0.17414368706922528</v>
      </c>
      <c r="Q322" s="67"/>
      <c r="R322" s="102"/>
      <c r="S322" s="102"/>
      <c r="T322" s="102"/>
      <c r="U322" s="102"/>
      <c r="V322" s="102"/>
      <c r="W322" s="102"/>
      <c r="X322" s="102"/>
      <c r="Y322" s="102"/>
      <c r="Z322" s="215"/>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7"/>
      <c r="BJ322" s="185"/>
      <c r="BK322" s="185"/>
      <c r="BL322" s="185"/>
      <c r="BM322" s="185"/>
      <c r="BN322" s="185"/>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5"/>
      <c r="D323" s="385"/>
      <c r="E323" s="85">
        <v>3</v>
      </c>
      <c r="F323" s="191"/>
      <c r="G323" s="148"/>
      <c r="H323" s="148"/>
      <c r="I323" s="147"/>
      <c r="J323" s="67">
        <f>IF(A20taxstdlife="n/a","n/a",IF(J$3&gt;(A20taxstdlife+$E323),(Input!$J$60-Input!$J$94)-SUM($I323:I323),(Input!$J$60-Input!$J$94)/A20taxstdlife))</f>
        <v>0.19042810098291524</v>
      </c>
      <c r="K323" s="67">
        <f>IF(A20taxstdlife="n/a","n/a",IF(K$3&gt;(A20taxstdlife+$E323),(Input!$J$60-Input!$J$94)-SUM($I323:J323),(Input!$J$60-Input!$J$94)/A20taxstdlife))</f>
        <v>0.19042810098291524</v>
      </c>
      <c r="L323" s="67"/>
      <c r="M323" s="67">
        <f>IF(A20taxstdlife="n/a","n/a",IF(M$3&gt;(A20taxstdlife+$E323),(Input!$J$60-Input!$J$94)-SUM($I323:L323),(Input!$J$60-Input!$J$94)/A20taxstdlife))</f>
        <v>0.19042810098291524</v>
      </c>
      <c r="N323" s="67">
        <f>IF(A20taxstdlife="n/a","n/a",IF(N$3&gt;(A20taxstdlife+$E323),(Input!$J$60-Input!$J$94)-SUM($I323:M323),(Input!$J$60-Input!$J$94)/A20taxstdlife))</f>
        <v>0.19042810098291524</v>
      </c>
      <c r="O323" s="67">
        <f>IF(A20taxstdlife="n/a","n/a",IF(O$3&gt;(A20taxstdlife+$E323),(Input!$J$60-Input!$J$94)-SUM($I323:N323),(Input!$J$60-Input!$J$94)/A20taxstdlife))</f>
        <v>0.19042810098291524</v>
      </c>
      <c r="P323" s="67">
        <f>IF(A20taxstdlife="n/a","n/a",IF(P$3&gt;(A20taxstdlife+$E323),(Input!$J$60-Input!$J$94)-SUM($I323:O323),(Input!$J$60-Input!$J$94)/A20taxstdlife))</f>
        <v>0.19042810098291524</v>
      </c>
      <c r="Q323" s="67"/>
      <c r="R323" s="102"/>
      <c r="S323" s="102"/>
      <c r="T323" s="102"/>
      <c r="U323" s="102"/>
      <c r="V323" s="102"/>
      <c r="W323" s="102"/>
      <c r="X323" s="102"/>
      <c r="Y323" s="102"/>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185"/>
      <c r="BJ323" s="185"/>
      <c r="BK323" s="185"/>
      <c r="BL323" s="185"/>
      <c r="BM323" s="185"/>
      <c r="BN323" s="185"/>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5"/>
      <c r="D324" s="385"/>
      <c r="E324" s="85">
        <v>4</v>
      </c>
      <c r="F324" s="191"/>
      <c r="G324" s="148"/>
      <c r="H324" s="148"/>
      <c r="I324" s="148"/>
      <c r="J324" s="147"/>
      <c r="K324" s="67">
        <f>IF(A20taxstdlife="n/a","n/a",IF(K$3&gt;(A20taxstdlife+$E324),(Input!$K$60-Input!$K$94)-SUM($J324:J324),(Input!$K$60-Input!$K$94)/A20taxstdlife))</f>
        <v>8.4705854836041053E-2</v>
      </c>
      <c r="L324" s="67"/>
      <c r="M324" s="67">
        <f>IF(A20taxstdlife="n/a","n/a",IF(M$3&gt;(A20taxstdlife+$E324),(Input!$K$60-Input!$K$94)-SUM($J324:L324),(Input!$K$60-Input!$K$94)/A20taxstdlife))</f>
        <v>8.4705854836041053E-2</v>
      </c>
      <c r="N324" s="67">
        <f>IF(A20taxstdlife="n/a","n/a",IF(N$3&gt;(A20taxstdlife+$E324),(Input!$K$60-Input!$K$94)-SUM($J324:M324),(Input!$K$60-Input!$K$94)/A20taxstdlife))</f>
        <v>8.4705854836041053E-2</v>
      </c>
      <c r="O324" s="67">
        <f>IF(A20taxstdlife="n/a","n/a",IF(O$3&gt;(A20taxstdlife+$E324),(Input!$K$60-Input!$K$94)-SUM($J324:N324),(Input!$K$60-Input!$K$94)/A20taxstdlife))</f>
        <v>8.4705854836041053E-2</v>
      </c>
      <c r="P324" s="67">
        <f>IF(A20taxstdlife="n/a","n/a",IF(P$3&gt;(A20taxstdlife+$E324),(Input!$K$60-Input!$K$94)-SUM($J324:O324),(Input!$K$60-Input!$K$94)/A20taxstdlife))</f>
        <v>8.4705854836041053E-2</v>
      </c>
      <c r="Q324" s="67"/>
      <c r="R324" s="102"/>
      <c r="S324" s="102"/>
      <c r="T324" s="102"/>
      <c r="U324" s="102"/>
      <c r="V324" s="102"/>
      <c r="W324" s="102"/>
      <c r="X324" s="102"/>
      <c r="Y324" s="102"/>
      <c r="Z324" s="215"/>
      <c r="AA324" s="215"/>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185"/>
      <c r="BJ324" s="185"/>
      <c r="BK324" s="185"/>
      <c r="BL324" s="185"/>
      <c r="BM324" s="185"/>
      <c r="BN324" s="185"/>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5"/>
      <c r="D325" s="385"/>
      <c r="E325" s="85">
        <v>5</v>
      </c>
      <c r="F325" s="191"/>
      <c r="G325" s="148"/>
      <c r="H325" s="148"/>
      <c r="I325" s="148"/>
      <c r="J325" s="148"/>
      <c r="K325" s="147"/>
      <c r="L325" s="67"/>
      <c r="M325" s="67">
        <f>IF(A20taxstdlife="n/a","n/a",IF(M$3&gt;(A20taxstdlife+$E325),(Input!$L$60-Input!$L$94)-SUM($K325:L325),(Input!$L$60-Input!$L$94)/A20taxstdlife))</f>
        <v>7.6664287593507047E-2</v>
      </c>
      <c r="N325" s="67">
        <f>IF(A20taxstdlife="n/a","n/a",IF(N$3&gt;(A20taxstdlife+$E325),(Input!$L$60-Input!$L$94)-SUM($K325:M325),(Input!$L$60-Input!$L$94)/A20taxstdlife))</f>
        <v>7.6664287593507047E-2</v>
      </c>
      <c r="O325" s="67">
        <f>IF(A20taxstdlife="n/a","n/a",IF(O$3&gt;(A20taxstdlife+$E325),(Input!$L$60-Input!$L$94)-SUM($K325:N325),(Input!$L$60-Input!$L$94)/A20taxstdlife))</f>
        <v>7.6664287593507047E-2</v>
      </c>
      <c r="P325" s="67">
        <f>IF(A20taxstdlife="n/a","n/a",IF(P$3&gt;(A20taxstdlife+$E325),(Input!$L$60-Input!$L$94)-SUM($K325:O325),(Input!$L$60-Input!$L$94)/A20taxstdlife))</f>
        <v>7.6664287593507047E-2</v>
      </c>
      <c r="Q325" s="67"/>
      <c r="R325" s="102"/>
      <c r="S325" s="102"/>
      <c r="T325" s="102"/>
      <c r="U325" s="102"/>
      <c r="V325" s="102"/>
      <c r="W325" s="102"/>
      <c r="X325" s="102"/>
      <c r="Y325" s="102"/>
      <c r="Z325" s="215"/>
      <c r="AA325" s="215"/>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185"/>
      <c r="BJ325" s="185"/>
      <c r="BK325" s="185"/>
      <c r="BL325" s="185"/>
      <c r="BM325" s="185"/>
      <c r="BN325" s="18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5"/>
      <c r="D326" s="385"/>
      <c r="E326" s="85">
        <v>6</v>
      </c>
      <c r="F326" s="191"/>
      <c r="G326" s="148"/>
      <c r="H326" s="148"/>
      <c r="I326" s="148"/>
      <c r="J326" s="148"/>
      <c r="K326" s="148"/>
      <c r="L326" s="147"/>
      <c r="M326" s="67">
        <f>IF(A20taxstdlife="n/a","n/a",IF(M$3&gt;(A20taxstdlife+$E326),(Input!$M$60-Input!$M$94)-SUM($L326:L326),(Input!$M$60-Input!$M$94)/A20taxstdlife))</f>
        <v>0</v>
      </c>
      <c r="N326" s="67">
        <f>IF(A20taxstdlife="n/a","n/a",IF(N$3&gt;(A20taxstdlife+$E326),(Input!$M$60-Input!$M$94)-SUM($L326:M326),(Input!$M$60-Input!$M$94)/A20taxstdlife))</f>
        <v>0</v>
      </c>
      <c r="O326" s="67">
        <f>IF(A20taxstdlife="n/a","n/a",IF(O$3&gt;(A20taxstdlife+$E326),(Input!$M$60-Input!$M$94)-SUM($L326:N326),(Input!$M$60-Input!$M$94)/A20taxstdlife))</f>
        <v>0</v>
      </c>
      <c r="P326" s="67">
        <f>IF(A20taxstdlife="n/a","n/a",IF(P$3&gt;(A20taxstdlife+$E326),(Input!$M$60-Input!$M$94)-SUM($L326:O326),(Input!$M$60-Input!$M$94)/A20taxstdlife))</f>
        <v>0</v>
      </c>
      <c r="Q326" s="67"/>
      <c r="R326" s="102"/>
      <c r="S326" s="102"/>
      <c r="T326" s="102"/>
      <c r="U326" s="102"/>
      <c r="V326" s="102"/>
      <c r="W326" s="102"/>
      <c r="X326" s="102"/>
      <c r="Y326" s="102"/>
      <c r="Z326" s="215"/>
      <c r="AA326" s="215"/>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185"/>
      <c r="BJ326" s="185"/>
      <c r="BK326" s="185"/>
      <c r="BL326" s="185"/>
      <c r="BM326" s="185"/>
      <c r="BN326" s="185"/>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5"/>
      <c r="D327" s="385"/>
      <c r="E327" s="85">
        <v>7</v>
      </c>
      <c r="F327" s="191"/>
      <c r="G327" s="148"/>
      <c r="H327" s="148"/>
      <c r="I327" s="148"/>
      <c r="J327" s="148"/>
      <c r="K327" s="148"/>
      <c r="L327" s="148"/>
      <c r="M327" s="147"/>
      <c r="N327" s="67">
        <f>IF(A20taxstdlife="n/a","n/a",IF(N$3&gt;(A20taxstdlife+$E327),(Input!$N$60-Input!$N$94)-SUM($M327:M327),(Input!$N$60-Input!$N$94)/A20taxstdlife))</f>
        <v>0</v>
      </c>
      <c r="O327" s="67">
        <f>IF(A20taxstdlife="n/a","n/a",IF(O$3&gt;(A20taxstdlife+$E327),(Input!$N$60-Input!$N$94)-SUM($M327:N327),(Input!$N$60-Input!$N$94)/A20taxstdlife))</f>
        <v>0</v>
      </c>
      <c r="P327" s="67">
        <f>IF(A20taxstdlife="n/a","n/a",IF(P$3&gt;(A20taxstdlife+$E327),(Input!$N$60-Input!$N$94)-SUM($M327:O327),(Input!$N$60-Input!$N$94)/A20taxstdlife))</f>
        <v>0</v>
      </c>
      <c r="Q327" s="67"/>
      <c r="R327" s="102"/>
      <c r="S327" s="102"/>
      <c r="T327" s="102"/>
      <c r="U327" s="102"/>
      <c r="V327" s="102"/>
      <c r="W327" s="102"/>
      <c r="X327" s="102"/>
      <c r="Y327" s="102"/>
      <c r="Z327" s="215"/>
      <c r="AA327" s="215"/>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185"/>
      <c r="BJ327" s="185"/>
      <c r="BK327" s="185"/>
      <c r="BL327" s="185"/>
      <c r="BM327" s="185"/>
      <c r="BN327" s="185"/>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5"/>
      <c r="D328" s="385"/>
      <c r="E328" s="85">
        <v>8</v>
      </c>
      <c r="F328" s="191"/>
      <c r="G328" s="148"/>
      <c r="H328" s="148"/>
      <c r="I328" s="148"/>
      <c r="J328" s="148"/>
      <c r="K328" s="148"/>
      <c r="L328" s="148"/>
      <c r="M328" s="148"/>
      <c r="N328" s="147"/>
      <c r="O328" s="67">
        <f>IF(A20taxstdlife="n/a","n/a",IF(O$3&gt;(A20taxstdlife+$E328),(Input!$O$60-Input!$O$94)-SUM($N328:N328),(Input!$O$60-Input!$O$94)/A20taxstdlife))</f>
        <v>0</v>
      </c>
      <c r="P328" s="67">
        <f>IF(A20taxstdlife="n/a","n/a",IF(P$3&gt;(A20taxstdlife+$E328),(Input!$O$60-Input!$O$94)-SUM($N328:O328),(Input!$O$60-Input!$O$94)/A20taxstdlife))</f>
        <v>0</v>
      </c>
      <c r="Q328" s="67"/>
      <c r="R328" s="102"/>
      <c r="S328" s="102"/>
      <c r="T328" s="102"/>
      <c r="U328" s="102"/>
      <c r="V328" s="102"/>
      <c r="W328" s="102"/>
      <c r="X328" s="102"/>
      <c r="Y328" s="102"/>
      <c r="Z328" s="215"/>
      <c r="AA328" s="215"/>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185"/>
      <c r="BJ328" s="185"/>
      <c r="BK328" s="185"/>
      <c r="BL328" s="185"/>
      <c r="BM328" s="185"/>
      <c r="BN328" s="185"/>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5"/>
      <c r="D329" s="385"/>
      <c r="E329" s="85">
        <v>9</v>
      </c>
      <c r="F329" s="191"/>
      <c r="G329" s="148"/>
      <c r="H329" s="148"/>
      <c r="I329" s="148"/>
      <c r="J329" s="148"/>
      <c r="K329" s="148"/>
      <c r="L329" s="148"/>
      <c r="M329" s="148"/>
      <c r="N329" s="148"/>
      <c r="O329" s="147"/>
      <c r="P329" s="67">
        <f>IF(A20taxstdlife="n/a","n/a",IF(P$3&gt;(A20taxstdlife+$E329),(Input!$P$60-Input!$P$94)-SUM($O329:O329),(Input!$P$60-Input!$P$94)/A20taxstdlife))</f>
        <v>0</v>
      </c>
      <c r="Q329" s="67"/>
      <c r="R329" s="102"/>
      <c r="S329" s="102"/>
      <c r="T329" s="102"/>
      <c r="U329" s="102"/>
      <c r="V329" s="102"/>
      <c r="W329" s="102"/>
      <c r="X329" s="102"/>
      <c r="Y329" s="102"/>
      <c r="Z329" s="215"/>
      <c r="AA329" s="215"/>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185"/>
      <c r="BJ329" s="185"/>
      <c r="BK329" s="185"/>
      <c r="BL329" s="185"/>
      <c r="BM329" s="185"/>
      <c r="BN329" s="185"/>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5"/>
      <c r="D330" s="385"/>
      <c r="E330" s="86">
        <v>10</v>
      </c>
      <c r="F330" s="191"/>
      <c r="G330" s="148"/>
      <c r="H330" s="148"/>
      <c r="I330" s="148"/>
      <c r="J330" s="148"/>
      <c r="K330" s="148"/>
      <c r="L330" s="148"/>
      <c r="M330" s="148"/>
      <c r="N330" s="148"/>
      <c r="O330" s="187"/>
      <c r="P330" s="147"/>
      <c r="Q330" s="67"/>
      <c r="R330" s="102"/>
      <c r="S330" s="102"/>
      <c r="T330" s="102"/>
      <c r="U330" s="102"/>
      <c r="V330" s="102"/>
      <c r="W330" s="102"/>
      <c r="X330" s="102"/>
      <c r="Y330" s="102"/>
      <c r="Z330" s="215"/>
      <c r="AA330" s="215"/>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185"/>
      <c r="BJ330" s="185"/>
      <c r="BK330" s="185"/>
      <c r="BL330" s="185"/>
      <c r="BM330" s="185"/>
      <c r="BN330" s="185"/>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hidden="1" customHeight="1" outlineLevel="1">
      <c r="A331" s="9"/>
      <c r="B331" s="9"/>
      <c r="C331" s="25" t="str">
        <f>Asset20</f>
        <v>Motor vehicles</v>
      </c>
      <c r="D331" s="9"/>
      <c r="E331" s="9"/>
      <c r="F331" s="203"/>
      <c r="G331" s="164">
        <f>-SUM(G319:G330)</f>
        <v>-1.4636650521730126</v>
      </c>
      <c r="H331" s="164">
        <f>-SUM(H319:H330)</f>
        <v>-1.4282568318039024</v>
      </c>
      <c r="I331" s="164">
        <f>-SUM(I319:I330)</f>
        <v>-1.3769944184710807</v>
      </c>
      <c r="J331" s="164">
        <f>-SUM(J319:J330)</f>
        <v>-1.2754294758876037</v>
      </c>
      <c r="K331" s="164">
        <f>-SUM(K319:K330)</f>
        <v>-1.0372999992204464</v>
      </c>
      <c r="L331" s="164"/>
      <c r="M331" s="164">
        <f>IF(Input!N173&gt;0, -SUM(M319:M330), 0)</f>
        <v>0</v>
      </c>
      <c r="N331" s="164">
        <f>IF(Input!O173&gt;0, -SUM(N319:N330), 0)</f>
        <v>0</v>
      </c>
      <c r="O331" s="164">
        <f>IF(Input!P173&gt;0, -SUM(O319:O330), 0)</f>
        <v>0</v>
      </c>
      <c r="P331" s="164">
        <f>IF(Input!Q173&gt;0, -SUM(P319:P330), 0)</f>
        <v>0</v>
      </c>
      <c r="Q331" s="63"/>
      <c r="R331" s="101"/>
      <c r="S331" s="101"/>
      <c r="T331" s="101"/>
      <c r="U331" s="101"/>
      <c r="V331" s="101"/>
      <c r="W331" s="101"/>
      <c r="X331" s="101"/>
      <c r="Y331" s="101"/>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185"/>
      <c r="BJ331" s="185"/>
      <c r="BK331" s="185"/>
      <c r="BL331" s="185"/>
      <c r="BM331" s="185"/>
      <c r="BN331" s="185"/>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hidden="1" customHeight="1" outlineLevel="2">
      <c r="A332" s="9"/>
      <c r="B332" s="186" t="str">
        <f>Asset21</f>
        <v>Buildings</v>
      </c>
      <c r="C332" s="32"/>
      <c r="D332" s="33" t="s">
        <v>67</v>
      </c>
      <c r="E332" s="32"/>
      <c r="F332" s="203"/>
      <c r="G332" s="356">
        <v>0.87475414863004564</v>
      </c>
      <c r="H332" s="356">
        <v>0.83284043065992819</v>
      </c>
      <c r="I332" s="356">
        <v>0.7924336031908108</v>
      </c>
      <c r="J332" s="356">
        <v>0.76707654778634138</v>
      </c>
      <c r="K332" s="356">
        <v>0.73875387898741807</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2"/>
      <c r="S332" s="308">
        <f>SUM(K332:K337)</f>
        <v>1.355236924066531</v>
      </c>
      <c r="T332" s="102"/>
      <c r="U332" s="102"/>
      <c r="V332" s="102"/>
      <c r="W332" s="102"/>
      <c r="X332" s="102"/>
      <c r="Y332" s="102"/>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185"/>
      <c r="BJ332" s="185"/>
      <c r="BK332" s="185"/>
      <c r="BL332" s="185"/>
      <c r="BM332" s="185"/>
      <c r="BN332" s="185"/>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hidden="1" customHeight="1" outlineLevel="2">
      <c r="A333" s="9"/>
      <c r="B333" s="9"/>
      <c r="C333" s="25"/>
      <c r="D333" s="384" t="s">
        <v>85</v>
      </c>
      <c r="E333" s="85"/>
      <c r="F333" s="310"/>
      <c r="G333" s="67"/>
      <c r="H333" s="67"/>
      <c r="I333" s="67"/>
      <c r="J333" s="67"/>
      <c r="K333" s="67"/>
      <c r="L333" s="67"/>
      <c r="M333" s="67"/>
      <c r="N333" s="67"/>
      <c r="O333" s="67"/>
      <c r="P333" s="67"/>
      <c r="Q333" s="67"/>
      <c r="R333" s="102"/>
      <c r="S333" s="102"/>
      <c r="T333" s="102"/>
      <c r="U333" s="102"/>
      <c r="V333" s="102"/>
      <c r="W333" s="102"/>
      <c r="X333" s="102"/>
      <c r="Y333" s="102"/>
      <c r="Z333" s="21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185"/>
      <c r="BJ333" s="185"/>
      <c r="BK333" s="185"/>
      <c r="BL333" s="185"/>
      <c r="BM333" s="185"/>
      <c r="BN333" s="185"/>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hidden="1" customHeight="1" outlineLevel="2">
      <c r="A334" s="9"/>
      <c r="B334" s="9"/>
      <c r="C334" s="25"/>
      <c r="D334" s="385"/>
      <c r="E334" s="85">
        <v>1</v>
      </c>
      <c r="F334" s="203"/>
      <c r="G334" s="147"/>
      <c r="H334" s="67">
        <f>IF(A21taxstdlife="n/a","n/a",IF(H$3&gt;(A21taxstdlife+$E334),(Input!$H$61-Input!$H$95)-SUM($G334:G334),(Input!$H$61-Input!$H$95)/A21taxstdlife))</f>
        <v>0.22113475317183545</v>
      </c>
      <c r="I334" s="67">
        <f>IF(A21taxstdlife="n/a","n/a",IF(I$3&gt;(A21taxstdlife+$E334),(Input!$H$61-Input!$H$95)-SUM($G334:H334),(Input!$H$61-Input!$H$95)/A21taxstdlife))</f>
        <v>0.22113475317183545</v>
      </c>
      <c r="J334" s="67">
        <f>IF(A21taxstdlife="n/a","n/a",IF(J$3&gt;(A21taxstdlife+$E334),(Input!$H$61-Input!$H$95)-SUM($G334:I334),(Input!$H$61-Input!$H$95)/A21taxstdlife))</f>
        <v>0.22113475317183545</v>
      </c>
      <c r="K334" s="67">
        <f>IF(A21taxstdlife="n/a","n/a",IF(K$3&gt;(A21taxstdlife+$E334),(Input!$H$61-Input!$H$95)-SUM($G334:J334),(Input!$H$61-Input!$H$95)/A21taxstdlife))</f>
        <v>0.22113475317183545</v>
      </c>
      <c r="L334" s="67"/>
      <c r="M334" s="67">
        <f>IF(A21taxstdlife="n/a","n/a",IF(M$3&gt;(A21taxstdlife+$E334),(Input!$H$61-Input!$H$95)-SUM($G334:L334),(Input!$H$61-Input!$H$95)/A21taxstdlife))</f>
        <v>0.22113475317183545</v>
      </c>
      <c r="N334" s="67">
        <f>IF(A21taxstdlife="n/a","n/a",IF(N$3&gt;(A21taxstdlife+$E334),(Input!$H$61-Input!$H$95)-SUM($G334:M334),(Input!$H$61-Input!$H$95)/A21taxstdlife))</f>
        <v>0.22113475317183545</v>
      </c>
      <c r="O334" s="67">
        <f>IF(A21taxstdlife="n/a","n/a",IF(O$3&gt;(A21taxstdlife+$E334),(Input!$H$61-Input!$H$95)-SUM($G334:N334),(Input!$H$61-Input!$H$95)/A21taxstdlife))</f>
        <v>0.22113475317183545</v>
      </c>
      <c r="P334" s="67">
        <f>IF(A21taxstdlife="n/a","n/a",IF(P$3&gt;(A21taxstdlife+$E334),(Input!$H$61-Input!$H$95)-SUM($G334:O334),(Input!$H$61-Input!$H$95)/A21taxstdlife))</f>
        <v>0.22113475317183545</v>
      </c>
      <c r="Q334" s="67"/>
      <c r="R334" s="102"/>
      <c r="S334" s="102"/>
      <c r="T334" s="102"/>
      <c r="U334" s="102"/>
      <c r="V334" s="102"/>
      <c r="W334" s="102"/>
      <c r="X334" s="102"/>
      <c r="Y334" s="102"/>
      <c r="Z334" s="21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185"/>
      <c r="BJ334" s="185"/>
      <c r="BK334" s="185"/>
      <c r="BL334" s="185"/>
      <c r="BM334" s="185"/>
      <c r="BN334" s="185"/>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hidden="1" customHeight="1" outlineLevel="2">
      <c r="A335" s="9"/>
      <c r="B335" s="9"/>
      <c r="C335" s="25"/>
      <c r="D335" s="385"/>
      <c r="E335" s="85">
        <v>2</v>
      </c>
      <c r="F335" s="203"/>
      <c r="G335" s="148"/>
      <c r="H335" s="147"/>
      <c r="I335" s="67">
        <f>IF(A21taxstdlife="n/a","n/a",IF(I$3&gt;(A21taxstdlife+$E335),(Input!$I$61-Input!$I$95)-SUM($H335:H335),(Input!$I$61-Input!$I$95)/A21taxstdlife))</f>
        <v>0.20783290994390602</v>
      </c>
      <c r="J335" s="67">
        <f>IF(A21taxstdlife="n/a","n/a",IF(J$3&gt;(A21taxstdlife+$E335),(Input!$I$61-Input!$I$95)-SUM($H335:I335),(Input!$I$61-Input!$I$95)/A21taxstdlife))</f>
        <v>0.20783290994390602</v>
      </c>
      <c r="K335" s="67">
        <f>IF(A21taxstdlife="n/a","n/a",IF(K$3&gt;(A21taxstdlife+$E335),(Input!$I$61-Input!$I$95)-SUM($H335:J335),(Input!$I$61-Input!$I$95)/A21taxstdlife))</f>
        <v>0.20783290994390602</v>
      </c>
      <c r="L335" s="67"/>
      <c r="M335" s="67">
        <f>IF(A21taxstdlife="n/a","n/a",IF(M$3&gt;(A21taxstdlife+$E335),(Input!$I$61-Input!$I$95)-SUM($H335:L335),(Input!$I$61-Input!$I$95)/A21taxstdlife))</f>
        <v>0.20783290994390602</v>
      </c>
      <c r="N335" s="67">
        <f>IF(A21taxstdlife="n/a","n/a",IF(N$3&gt;(A21taxstdlife+$E335),(Input!$I$61-Input!$I$95)-SUM($H335:M335),(Input!$I$61-Input!$I$95)/A21taxstdlife))</f>
        <v>0.20783290994390602</v>
      </c>
      <c r="O335" s="67">
        <f>IF(A21taxstdlife="n/a","n/a",IF(O$3&gt;(A21taxstdlife+$E335),(Input!$I$61-Input!$I$95)-SUM($H335:N335),(Input!$I$61-Input!$I$95)/A21taxstdlife))</f>
        <v>0.20783290994390602</v>
      </c>
      <c r="P335" s="67">
        <f>IF(A21taxstdlife="n/a","n/a",IF(P$3&gt;(A21taxstdlife+$E335),(Input!$I$61-Input!$I$95)-SUM($H335:O335),(Input!$I$61-Input!$I$95)/A21taxstdlife))</f>
        <v>0.20783290994390602</v>
      </c>
      <c r="Q335" s="67"/>
      <c r="R335" s="102"/>
      <c r="S335" s="102"/>
      <c r="T335" s="102"/>
      <c r="U335" s="102"/>
      <c r="V335" s="102"/>
      <c r="W335" s="102"/>
      <c r="X335" s="102"/>
      <c r="Y335" s="102"/>
      <c r="Z335" s="215"/>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7"/>
      <c r="BJ335" s="185"/>
      <c r="BK335" s="185"/>
      <c r="BL335" s="185"/>
      <c r="BM335" s="185"/>
      <c r="BN335" s="18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hidden="1" customHeight="1" outlineLevel="2">
      <c r="A336" s="9"/>
      <c r="B336" s="9"/>
      <c r="C336" s="25"/>
      <c r="D336" s="385"/>
      <c r="E336" s="85">
        <v>3</v>
      </c>
      <c r="F336" s="203"/>
      <c r="G336" s="148"/>
      <c r="H336" s="148"/>
      <c r="I336" s="147"/>
      <c r="J336" s="67">
        <f>IF(A21taxstdlife="n/a","n/a",IF(J$3&gt;(A21taxstdlife+$E336),(Input!$J$61-Input!$J$95)-SUM($I336:I336),(Input!$J$61-Input!$J$95)/A21taxstdlife))</f>
        <v>0.10399755482706978</v>
      </c>
      <c r="K336" s="67">
        <f>IF(A21taxstdlife="n/a","n/a",IF(K$3&gt;(A21taxstdlife+$E336),(Input!$J$61-Input!$J$95)-SUM($I336:J336),(Input!$J$61-Input!$J$95)/A21taxstdlife))</f>
        <v>0.10399755482706978</v>
      </c>
      <c r="L336" s="67"/>
      <c r="M336" s="67">
        <f>IF(A21taxstdlife="n/a","n/a",IF(M$3&gt;(A21taxstdlife+$E336),(Input!$J$61-Input!$J$95)-SUM($I336:L336),(Input!$J$61-Input!$J$95)/A21taxstdlife))</f>
        <v>0.10399755482706978</v>
      </c>
      <c r="N336" s="67">
        <f>IF(A21taxstdlife="n/a","n/a",IF(N$3&gt;(A21taxstdlife+$E336),(Input!$J$61-Input!$J$95)-SUM($I336:M336),(Input!$J$61-Input!$J$95)/A21taxstdlife))</f>
        <v>0.10399755482706978</v>
      </c>
      <c r="O336" s="67">
        <f>IF(A21taxstdlife="n/a","n/a",IF(O$3&gt;(A21taxstdlife+$E336),(Input!$J$61-Input!$J$95)-SUM($I336:N336),(Input!$J$61-Input!$J$95)/A21taxstdlife))</f>
        <v>0.10399755482706978</v>
      </c>
      <c r="P336" s="67">
        <f>IF(A21taxstdlife="n/a","n/a",IF(P$3&gt;(A21taxstdlife+$E336),(Input!$J$61-Input!$J$95)-SUM($I336:O336),(Input!$J$61-Input!$J$95)/A21taxstdlife))</f>
        <v>0.10399755482706978</v>
      </c>
      <c r="Q336" s="67"/>
      <c r="R336" s="102"/>
      <c r="S336" s="102"/>
      <c r="T336" s="102"/>
      <c r="U336" s="102"/>
      <c r="V336" s="102"/>
      <c r="W336" s="102"/>
      <c r="X336" s="102"/>
      <c r="Y336" s="102"/>
      <c r="Z336" s="215"/>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185"/>
      <c r="BJ336" s="185"/>
      <c r="BK336" s="185"/>
      <c r="BL336" s="185"/>
      <c r="BM336" s="185"/>
      <c r="BN336" s="185"/>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hidden="1" customHeight="1" outlineLevel="2">
      <c r="A337" s="9"/>
      <c r="B337" s="9"/>
      <c r="C337" s="25"/>
      <c r="D337" s="385"/>
      <c r="E337" s="85">
        <v>4</v>
      </c>
      <c r="F337" s="203"/>
      <c r="G337" s="148"/>
      <c r="H337" s="148"/>
      <c r="I337" s="148"/>
      <c r="J337" s="147"/>
      <c r="K337" s="67">
        <f>IF(A21taxstdlife="n/a","n/a",IF(K$3&gt;(A21taxstdlife+$E337),(Input!$K$61-Input!$K$95)-SUM($J337:J337),(Input!$K$61-Input!$K$95)/A21taxstdlife))</f>
        <v>8.3517827136301848E-2</v>
      </c>
      <c r="L337" s="67"/>
      <c r="M337" s="67">
        <f>IF(A21taxstdlife="n/a","n/a",IF(M$3&gt;(A21taxstdlife+$E337),(Input!$K$61-Input!$K$95)-SUM($J337:L337),(Input!$K$61-Input!$K$95)/A21taxstdlife))</f>
        <v>8.3517827136301848E-2</v>
      </c>
      <c r="N337" s="67">
        <f>IF(A21taxstdlife="n/a","n/a",IF(N$3&gt;(A21taxstdlife+$E337),(Input!$K$61-Input!$K$95)-SUM($J337:M337),(Input!$K$61-Input!$K$95)/A21taxstdlife))</f>
        <v>8.3517827136301848E-2</v>
      </c>
      <c r="O337" s="67">
        <f>IF(A21taxstdlife="n/a","n/a",IF(O$3&gt;(A21taxstdlife+$E337),(Input!$K$61-Input!$K$95)-SUM($J337:N337),(Input!$K$61-Input!$K$95)/A21taxstdlife))</f>
        <v>8.3517827136301848E-2</v>
      </c>
      <c r="P337" s="67">
        <f>IF(A21taxstdlife="n/a","n/a",IF(P$3&gt;(A21taxstdlife+$E337),(Input!$K$61-Input!$K$95)-SUM($J337:O337),(Input!$K$61-Input!$K$95)/A21taxstdlife))</f>
        <v>8.3517827136301848E-2</v>
      </c>
      <c r="Q337" s="67"/>
      <c r="R337" s="102"/>
      <c r="S337" s="102"/>
      <c r="T337" s="102"/>
      <c r="U337" s="102"/>
      <c r="V337" s="102"/>
      <c r="W337" s="102"/>
      <c r="X337" s="102"/>
      <c r="Y337" s="102"/>
      <c r="Z337" s="215"/>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185"/>
      <c r="BJ337" s="185"/>
      <c r="BK337" s="185"/>
      <c r="BL337" s="185"/>
      <c r="BM337" s="185"/>
      <c r="BN337" s="185"/>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hidden="1" customHeight="1" outlineLevel="2">
      <c r="A338" s="9"/>
      <c r="B338" s="9"/>
      <c r="C338" s="25"/>
      <c r="D338" s="385"/>
      <c r="E338" s="85">
        <v>5</v>
      </c>
      <c r="F338" s="203"/>
      <c r="G338" s="148"/>
      <c r="H338" s="148"/>
      <c r="I338" s="148"/>
      <c r="J338" s="148"/>
      <c r="K338" s="147"/>
      <c r="L338" s="67"/>
      <c r="M338" s="67">
        <f>IF(A21taxstdlife="n/a","n/a",IF(M$3&gt;(A21taxstdlife+$E338),(Input!$L$61-Input!$L$95)-SUM($K338:L338),(Input!$L$61-Input!$L$95)/A21taxstdlife))</f>
        <v>-0.13553534212962509</v>
      </c>
      <c r="N338" s="67">
        <f>IF(A21taxstdlife="n/a","n/a",IF(N$3&gt;(A21taxstdlife+$E338),(Input!$L$61-Input!$L$95)-SUM($K338:M338),(Input!$L$61-Input!$L$95)/A21taxstdlife))</f>
        <v>-0.13553534212962509</v>
      </c>
      <c r="O338" s="67">
        <f>IF(A21taxstdlife="n/a","n/a",IF(O$3&gt;(A21taxstdlife+$E338),(Input!$L$61-Input!$L$95)-SUM($K338:N338),(Input!$L$61-Input!$L$95)/A21taxstdlife))</f>
        <v>-0.13553534212962509</v>
      </c>
      <c r="P338" s="67">
        <f>IF(A21taxstdlife="n/a","n/a",IF(P$3&gt;(A21taxstdlife+$E338),(Input!$L$61-Input!$L$95)-SUM($K338:O338),(Input!$L$61-Input!$L$95)/A21taxstdlife))</f>
        <v>-0.13553534212962509</v>
      </c>
      <c r="Q338" s="67"/>
      <c r="R338" s="102"/>
      <c r="S338" s="102"/>
      <c r="T338" s="102"/>
      <c r="U338" s="102"/>
      <c r="V338" s="102"/>
      <c r="W338" s="102"/>
      <c r="X338" s="102"/>
      <c r="Y338" s="102"/>
      <c r="Z338" s="215"/>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185"/>
      <c r="BJ338" s="185"/>
      <c r="BK338" s="185"/>
      <c r="BL338" s="185"/>
      <c r="BM338" s="185"/>
      <c r="BN338" s="185"/>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hidden="1" customHeight="1" outlineLevel="2">
      <c r="A339" s="9"/>
      <c r="B339" s="9"/>
      <c r="C339" s="25"/>
      <c r="D339" s="385"/>
      <c r="E339" s="85">
        <v>6</v>
      </c>
      <c r="F339" s="203"/>
      <c r="G339" s="148"/>
      <c r="H339" s="148"/>
      <c r="I339" s="148"/>
      <c r="J339" s="148"/>
      <c r="K339" s="148"/>
      <c r="L339" s="147"/>
      <c r="M339" s="67">
        <f>IF(A21taxstdlife="n/a","n/a",IF(M$3&gt;(A21taxstdlife+$E339),(Input!$M$61-Input!$M$95)-SUM($L339:L339),(Input!$M$61-Input!$M$95)/A21taxstdlife))</f>
        <v>0</v>
      </c>
      <c r="N339" s="67">
        <f>IF(A21taxstdlife="n/a","n/a",IF(N$3&gt;(A21taxstdlife+$E339),(Input!$M$61-Input!$M$95)-SUM($L339:M339),(Input!$M$61-Input!$M$95)/A21taxstdlife))</f>
        <v>0</v>
      </c>
      <c r="O339" s="67">
        <f>IF(A21taxstdlife="n/a","n/a",IF(O$3&gt;(A21taxstdlife+$E339),(Input!$M$61-Input!$M$95)-SUM($L339:N339),(Input!$M$61-Input!$M$95)/A21taxstdlife))</f>
        <v>0</v>
      </c>
      <c r="P339" s="67">
        <f>IF(A21taxstdlife="n/a","n/a",IF(P$3&gt;(A21taxstdlife+$E339),(Input!$M$61-Input!$M$95)-SUM($L339:O339),(Input!$M$61-Input!$M$95)/A21taxstdlife))</f>
        <v>0</v>
      </c>
      <c r="Q339" s="67"/>
      <c r="R339" s="102"/>
      <c r="S339" s="102"/>
      <c r="T339" s="102"/>
      <c r="U339" s="102"/>
      <c r="V339" s="102"/>
      <c r="W339" s="102"/>
      <c r="X339" s="102"/>
      <c r="Y339" s="102"/>
      <c r="Z339" s="21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185"/>
      <c r="BJ339" s="185"/>
      <c r="BK339" s="185"/>
      <c r="BL339" s="185"/>
      <c r="BM339" s="185"/>
      <c r="BN339" s="185"/>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hidden="1" customHeight="1" outlineLevel="2">
      <c r="A340" s="9"/>
      <c r="B340" s="9"/>
      <c r="C340" s="25"/>
      <c r="D340" s="385"/>
      <c r="E340" s="85">
        <v>7</v>
      </c>
      <c r="F340" s="203"/>
      <c r="G340" s="148"/>
      <c r="H340" s="148"/>
      <c r="I340" s="148"/>
      <c r="J340" s="148"/>
      <c r="K340" s="148"/>
      <c r="L340" s="148"/>
      <c r="M340" s="147"/>
      <c r="N340" s="67">
        <f>IF(A21taxstdlife="n/a","n/a",IF(N$3&gt;(A21taxstdlife+$E340),(Input!$N$61-Input!$N$95)-SUM($M340:M340),(Input!$N$61-Input!$N$95)/A21taxstdlife))</f>
        <v>0</v>
      </c>
      <c r="O340" s="67">
        <f>IF(A21taxstdlife="n/a","n/a",IF(O$3&gt;(A21taxstdlife+$E340),(Input!$N$61-Input!$N$95)-SUM($M340:N340),(Input!$N$61-Input!$N$95)/A21taxstdlife))</f>
        <v>0</v>
      </c>
      <c r="P340" s="67">
        <f>IF(A21taxstdlife="n/a","n/a",IF(P$3&gt;(A21taxstdlife+$E340),(Input!$N$61-Input!$N$95)-SUM($M340:O340),(Input!$N$61-Input!$N$95)/A21taxstdlife))</f>
        <v>0</v>
      </c>
      <c r="Q340" s="67"/>
      <c r="R340" s="102"/>
      <c r="S340" s="102"/>
      <c r="T340" s="102"/>
      <c r="U340" s="102"/>
      <c r="V340" s="102"/>
      <c r="W340" s="102"/>
      <c r="X340" s="102"/>
      <c r="Y340" s="102"/>
      <c r="Z340" s="21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185"/>
      <c r="BJ340" s="185"/>
      <c r="BK340" s="185"/>
      <c r="BL340" s="185"/>
      <c r="BM340" s="185"/>
      <c r="BN340" s="185"/>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hidden="1" customHeight="1" outlineLevel="2">
      <c r="A341" s="9"/>
      <c r="B341" s="9"/>
      <c r="C341" s="25"/>
      <c r="D341" s="385"/>
      <c r="E341" s="85">
        <v>8</v>
      </c>
      <c r="F341" s="203"/>
      <c r="G341" s="148"/>
      <c r="H341" s="148"/>
      <c r="I341" s="148"/>
      <c r="J341" s="148"/>
      <c r="K341" s="148"/>
      <c r="L341" s="148"/>
      <c r="M341" s="148"/>
      <c r="N341" s="147"/>
      <c r="O341" s="67">
        <f>IF(A21taxstdlife="n/a","n/a",IF(O$3&gt;(A21taxstdlife+$E341),(Input!$O$61-Input!$O$95)-SUM($N341:N341),(Input!$O$61-Input!$O$95)/A21taxstdlife))</f>
        <v>0</v>
      </c>
      <c r="P341" s="67">
        <f>IF(A21taxstdlife="n/a","n/a",IF(P$3&gt;(A21taxstdlife+$E341),(Input!$O$61-Input!$O$95)-SUM($N341:O341),(Input!$O$61-Input!$O$95)/A21taxstdlife))</f>
        <v>0</v>
      </c>
      <c r="Q341" s="67"/>
      <c r="R341" s="102"/>
      <c r="S341" s="102"/>
      <c r="T341" s="102"/>
      <c r="U341" s="102"/>
      <c r="V341" s="102"/>
      <c r="W341" s="102"/>
      <c r="X341" s="102"/>
      <c r="Y341" s="102"/>
      <c r="Z341" s="215"/>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185"/>
      <c r="BJ341" s="185"/>
      <c r="BK341" s="185"/>
      <c r="BL341" s="185"/>
      <c r="BM341" s="185"/>
      <c r="BN341" s="185"/>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hidden="1" customHeight="1" outlineLevel="2">
      <c r="A342" s="9"/>
      <c r="B342" s="9"/>
      <c r="C342" s="25"/>
      <c r="D342" s="385"/>
      <c r="E342" s="85">
        <v>9</v>
      </c>
      <c r="F342" s="203"/>
      <c r="G342" s="148"/>
      <c r="H342" s="148"/>
      <c r="I342" s="148"/>
      <c r="J342" s="148"/>
      <c r="K342" s="148"/>
      <c r="L342" s="148"/>
      <c r="M342" s="148"/>
      <c r="N342" s="148"/>
      <c r="O342" s="147"/>
      <c r="P342" s="67">
        <f>IF(A21taxstdlife="n/a","n/a",IF(P$3&gt;(A21taxstdlife+$E342),(Input!$P$61-Input!$P$95)-SUM($O342:O342),(Input!$P$61-Input!$P$95)/A21taxstdlife))</f>
        <v>0</v>
      </c>
      <c r="Q342" s="67"/>
      <c r="R342" s="102"/>
      <c r="S342" s="102"/>
      <c r="T342" s="102"/>
      <c r="U342" s="102"/>
      <c r="V342" s="102"/>
      <c r="W342" s="102"/>
      <c r="X342" s="102"/>
      <c r="Y342" s="102"/>
      <c r="Z342" s="215"/>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185"/>
      <c r="BJ342" s="185"/>
      <c r="BK342" s="185"/>
      <c r="BL342" s="185"/>
      <c r="BM342" s="185"/>
      <c r="BN342" s="185"/>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hidden="1" customHeight="1" outlineLevel="2">
      <c r="A343" s="9"/>
      <c r="B343" s="9"/>
      <c r="C343" s="25"/>
      <c r="D343" s="385"/>
      <c r="E343" s="86">
        <v>10</v>
      </c>
      <c r="F343" s="203"/>
      <c r="G343" s="148"/>
      <c r="H343" s="148"/>
      <c r="I343" s="148"/>
      <c r="J343" s="148"/>
      <c r="K343" s="148"/>
      <c r="L343" s="148"/>
      <c r="M343" s="148"/>
      <c r="N343" s="148"/>
      <c r="O343" s="187"/>
      <c r="P343" s="147"/>
      <c r="Q343" s="67"/>
      <c r="R343" s="102"/>
      <c r="S343" s="102"/>
      <c r="T343" s="102"/>
      <c r="U343" s="102"/>
      <c r="V343" s="102"/>
      <c r="W343" s="102"/>
      <c r="X343" s="102"/>
      <c r="Y343" s="102"/>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185"/>
      <c r="BJ343" s="185"/>
      <c r="BK343" s="185"/>
      <c r="BL343" s="185"/>
      <c r="BM343" s="185"/>
      <c r="BN343" s="185"/>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hidden="1" customHeight="1" outlineLevel="1">
      <c r="A344" s="9"/>
      <c r="B344" s="9"/>
      <c r="C344" s="25" t="str">
        <f>Asset21</f>
        <v>Buildings</v>
      </c>
      <c r="D344" s="9"/>
      <c r="E344" s="9"/>
      <c r="F344" s="203">
        <f t="shared" ref="F344:K344" si="9">-SUM(F332:F343)</f>
        <v>0</v>
      </c>
      <c r="G344" s="164">
        <f t="shared" si="9"/>
        <v>-0.87475414863004564</v>
      </c>
      <c r="H344" s="164">
        <f t="shared" si="9"/>
        <v>-1.0539751838317637</v>
      </c>
      <c r="I344" s="164">
        <f t="shared" si="9"/>
        <v>-1.2214012663065523</v>
      </c>
      <c r="J344" s="164">
        <f t="shared" si="9"/>
        <v>-1.3000417657291525</v>
      </c>
      <c r="K344" s="164">
        <f t="shared" si="9"/>
        <v>-1.355236924066531</v>
      </c>
      <c r="L344" s="164"/>
      <c r="M344" s="164">
        <f>IF(Input!N173&gt;0, -SUM(M332:M343), 0)</f>
        <v>0</v>
      </c>
      <c r="N344" s="164">
        <f>IF(Input!O173&gt;0, -SUM(N332:N343), 0)</f>
        <v>0</v>
      </c>
      <c r="O344" s="164">
        <f>IF(Input!P173&gt;0, -SUM(O332:O343), 0)</f>
        <v>0</v>
      </c>
      <c r="P344" s="164">
        <f>IF(Input!Q173&gt;0, -SUM(P332:P343), 0)</f>
        <v>0</v>
      </c>
      <c r="Q344" s="63"/>
      <c r="R344" s="101"/>
      <c r="S344" s="308"/>
      <c r="T344" s="101"/>
      <c r="U344" s="101"/>
      <c r="V344" s="101"/>
      <c r="W344" s="101"/>
      <c r="X344" s="101"/>
      <c r="Y344" s="101"/>
      <c r="Z344" s="216"/>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185"/>
      <c r="BJ344" s="185"/>
      <c r="BK344" s="185"/>
      <c r="BL344" s="185"/>
      <c r="BM344" s="185"/>
      <c r="BN344" s="185"/>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3.5" hidden="1" customHeight="1" outlineLevel="2">
      <c r="A345" s="9"/>
      <c r="B345" s="186" t="str">
        <f>Asset22</f>
        <v>Land (non-system)</v>
      </c>
      <c r="C345" s="32"/>
      <c r="D345" s="33" t="s">
        <v>67</v>
      </c>
      <c r="E345" s="32"/>
      <c r="F345" s="204"/>
      <c r="G345" s="356">
        <v>0</v>
      </c>
      <c r="H345" s="356">
        <v>0</v>
      </c>
      <c r="I345" s="356">
        <v>0</v>
      </c>
      <c r="J345" s="356">
        <v>0</v>
      </c>
      <c r="K345" s="356">
        <v>0</v>
      </c>
      <c r="L345" s="66"/>
      <c r="M345" s="66" t="str">
        <f>IF(M$3&gt;A22taxremlife,A22taxvalue-SUM($F345:L345),IF(A22taxremlife="N/A","n/a",A22taxvalue/A22taxremlife))</f>
        <v>n/a</v>
      </c>
      <c r="N345" s="66" t="str">
        <f>IF(N$3&gt;A22taxremlife,A22taxvalue-SUM($F345:M345),IF(A22taxremlife="N/A","n/a",A22taxvalue/A22taxremlife))</f>
        <v>n/a</v>
      </c>
      <c r="O345" s="66" t="str">
        <f>IF(O$3&gt;A22taxremlife,A22taxvalue-SUM($F345:N345),IF(A22taxremlife="N/A","n/a",A22taxvalue/A22taxremlife))</f>
        <v>n/a</v>
      </c>
      <c r="P345" s="66" t="str">
        <f>IF(P$3&gt;A22taxremlife,A22taxvalue-SUM($F345:O345),IF(A22taxremlife="N/A","n/a",A22taxvalue/A22taxremlife))</f>
        <v>n/a</v>
      </c>
      <c r="Q345" s="66"/>
      <c r="R345" s="102"/>
      <c r="S345" s="308">
        <f>SUM(K345:K350)</f>
        <v>0</v>
      </c>
      <c r="T345" s="102"/>
      <c r="U345" s="102"/>
      <c r="V345" s="102"/>
      <c r="W345" s="102"/>
      <c r="X345" s="102"/>
      <c r="Y345" s="102"/>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185"/>
      <c r="BJ345" s="185"/>
      <c r="BK345" s="185"/>
      <c r="BL345" s="185"/>
      <c r="BM345" s="185"/>
      <c r="BN345" s="18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hidden="1" customHeight="1" outlineLevel="2">
      <c r="A346" s="9"/>
      <c r="B346" s="9"/>
      <c r="C346" s="25"/>
      <c r="D346" s="384" t="s">
        <v>85</v>
      </c>
      <c r="E346" s="85">
        <v>0</v>
      </c>
      <c r="F346" s="310"/>
      <c r="G346" s="67"/>
      <c r="H346" s="67"/>
      <c r="I346" s="67"/>
      <c r="J346" s="67"/>
      <c r="K346" s="67"/>
      <c r="L346" s="67"/>
      <c r="M346" s="67"/>
      <c r="N346" s="67"/>
      <c r="O346" s="67"/>
      <c r="P346" s="67"/>
      <c r="Q346" s="67"/>
      <c r="R346" s="102"/>
      <c r="S346" s="102"/>
      <c r="T346" s="102"/>
      <c r="U346" s="354"/>
      <c r="V346" s="102"/>
      <c r="W346" s="102"/>
      <c r="X346" s="102"/>
      <c r="Y346" s="102"/>
      <c r="Z346" s="215"/>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185"/>
      <c r="BJ346" s="185"/>
      <c r="BK346" s="185"/>
      <c r="BL346" s="185"/>
      <c r="BM346" s="185"/>
      <c r="BN346" s="185"/>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hidden="1" customHeight="1" outlineLevel="2">
      <c r="A347" s="9"/>
      <c r="B347" s="9"/>
      <c r="C347" s="25"/>
      <c r="D347" s="385"/>
      <c r="E347" s="85">
        <v>1</v>
      </c>
      <c r="F347" s="203"/>
      <c r="G347" s="147"/>
      <c r="H347" s="67" t="str">
        <f>IF(A22taxstdlife="n/a","n/a",IF(H$3&gt;(A22taxstdlife+$E347),(Input!$H$62-Input!$H$96)-SUM($G347:G347),(Input!$H$62-Input!$H$96)/A22taxstdlife))</f>
        <v>n/a</v>
      </c>
      <c r="I347" s="67" t="str">
        <f>IF(A22taxstdlife="n/a","n/a",IF(I$3&gt;(A22taxstdlife+$E347),(Input!$G$62-Input!$G$96)-SUM($G347:H347),(Input!$G$62-Input!$G$96)/A22taxstdlife))</f>
        <v>n/a</v>
      </c>
      <c r="J347" s="67" t="str">
        <f>IF(A22taxstdlife="n/a","n/a",IF(J$3&gt;(A22taxstdlife+$E347),(Input!$G$62-Input!$G$96)-SUM($G347:I347),(Input!$G$62-Input!$G$96)/A22taxstdlife))</f>
        <v>n/a</v>
      </c>
      <c r="K347" s="67" t="str">
        <f>IF(A22taxstdlife="n/a","n/a",IF(K$3&gt;(A22taxstdlife+$E347),(Input!$G$62-Input!$G$96)-SUM($G347:J347),(Input!$G$62-Input!$G$96)/A22taxstdlife))</f>
        <v>n/a</v>
      </c>
      <c r="L347" s="67"/>
      <c r="M347" s="67" t="str">
        <f>IF(A22taxstdlife="n/a","n/a",IF(M$3&gt;(A22taxstdlife+$E347),(Input!$G$62-Input!$G$96)-SUM($G347:L347),(Input!$G$62-Input!$G$96)/A22taxstdlife))</f>
        <v>n/a</v>
      </c>
      <c r="N347" s="67" t="str">
        <f>IF(A22taxstdlife="n/a","n/a",IF(N$3&gt;(A22taxstdlife+$E347),(Input!$G$62-Input!$G$96)-SUM($G347:M347),(Input!$G$62-Input!$G$96)/A22taxstdlife))</f>
        <v>n/a</v>
      </c>
      <c r="O347" s="67" t="str">
        <f>IF(A22taxstdlife="n/a","n/a",IF(O$3&gt;(A22taxstdlife+$E347),(Input!$G$62-Input!$G$96)-SUM($G347:N347),(Input!$G$62-Input!$G$96)/A22taxstdlife))</f>
        <v>n/a</v>
      </c>
      <c r="P347" s="67" t="str">
        <f>IF(A22taxstdlife="n/a","n/a",IF(P$3&gt;(A22taxstdlife+$E347),(Input!$G$62-Input!$G$96)-SUM($G347:O347),(Input!$G$62-Input!$G$96)/A22taxstdlife))</f>
        <v>n/a</v>
      </c>
      <c r="Q347" s="67"/>
      <c r="R347" s="102"/>
      <c r="S347" s="102"/>
      <c r="T347" s="102"/>
      <c r="U347" s="354"/>
      <c r="V347" s="102"/>
      <c r="W347" s="102"/>
      <c r="X347" s="102"/>
      <c r="Y347" s="102"/>
      <c r="Z347" s="21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185"/>
      <c r="BJ347" s="185"/>
      <c r="BK347" s="185"/>
      <c r="BL347" s="185"/>
      <c r="BM347" s="185"/>
      <c r="BN347" s="185"/>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hidden="1" customHeight="1" outlineLevel="2">
      <c r="A348" s="9"/>
      <c r="B348" s="9"/>
      <c r="C348" s="25"/>
      <c r="D348" s="385"/>
      <c r="E348" s="85">
        <v>2</v>
      </c>
      <c r="F348" s="203"/>
      <c r="G348" s="148"/>
      <c r="H348" s="147"/>
      <c r="I348" s="67" t="str">
        <f>IF(A22taxstdlife="n/a","n/a",IF(I$3&gt;(A22taxstdlife+$E348),(Input!$I$62-Input!$I$96)-SUM($H348:H348),(Input!$I$62-Input!$I$96)/A22taxstdlife))</f>
        <v>n/a</v>
      </c>
      <c r="J348" s="67" t="str">
        <f>IF(A22taxstdlife="n/a","n/a",IF(J$3&gt;(A22taxstdlife+$E348),(Input!$I$62-Input!$I$96)-SUM($H348:I348),(Input!$I$62-Input!$I$96)/A22taxstdlife))</f>
        <v>n/a</v>
      </c>
      <c r="K348" s="67" t="str">
        <f>IF(A22taxstdlife="n/a","n/a",IF(K$3&gt;(A22taxstdlife+$E348),(Input!$I$62-Input!$I$96)-SUM($H348:J348),(Input!$I$62-Input!$I$96)/A22taxstdlife))</f>
        <v>n/a</v>
      </c>
      <c r="L348" s="67"/>
      <c r="M348" s="67" t="str">
        <f>IF(A22taxstdlife="n/a","n/a",IF(M$3&gt;(A22taxstdlife+$E348),(Input!$I$62-Input!$I$96)-SUM($H348:L348),(Input!$I$62-Input!$I$96)/A22taxstdlife))</f>
        <v>n/a</v>
      </c>
      <c r="N348" s="67" t="str">
        <f>IF(A22taxstdlife="n/a","n/a",IF(N$3&gt;(A22taxstdlife+$E348),(Input!$I$62-Input!$I$96)-SUM($H348:M348),(Input!$I$62-Input!$I$96)/A22taxstdlife))</f>
        <v>n/a</v>
      </c>
      <c r="O348" s="67" t="str">
        <f>IF(A22taxstdlife="n/a","n/a",IF(O$3&gt;(A22taxstdlife+$E348),(Input!$I$62-Input!$I$96)-SUM($H348:N348),(Input!$I$62-Input!$I$96)/A22taxstdlife))</f>
        <v>n/a</v>
      </c>
      <c r="P348" s="67" t="str">
        <f>IF(A22taxstdlife="n/a","n/a",IF(P$3&gt;(A22taxstdlife+$E348),(Input!$I$62-Input!$I$96)-SUM($H348:O348),(Input!$I$62-Input!$I$96)/A22taxstdlife))</f>
        <v>n/a</v>
      </c>
      <c r="Q348" s="67"/>
      <c r="R348" s="102"/>
      <c r="S348" s="102"/>
      <c r="T348" s="102"/>
      <c r="U348" s="354"/>
      <c r="V348" s="102"/>
      <c r="W348" s="102"/>
      <c r="X348" s="102"/>
      <c r="Y348" s="102"/>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185"/>
      <c r="BJ348" s="185"/>
      <c r="BK348" s="185"/>
      <c r="BL348" s="185"/>
      <c r="BM348" s="185"/>
      <c r="BN348" s="185"/>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hidden="1" customHeight="1" outlineLevel="2">
      <c r="A349" s="9"/>
      <c r="B349" s="9"/>
      <c r="C349" s="25"/>
      <c r="D349" s="385"/>
      <c r="E349" s="85">
        <v>3</v>
      </c>
      <c r="F349" s="203"/>
      <c r="G349" s="148"/>
      <c r="H349" s="148"/>
      <c r="I349" s="147"/>
      <c r="J349" s="67" t="str">
        <f>IF(A22taxstdlife="n/a","n/a",IF(J$3&gt;(A22taxstdlife+$E349),(Input!$J$62-Input!$J$96)-SUM($I349:I349),(Input!$J$62-Input!$J$96)/A22taxstdlife))</f>
        <v>n/a</v>
      </c>
      <c r="K349" s="67" t="str">
        <f>IF(A22taxstdlife="n/a","n/a",IF(K$3&gt;(A22taxstdlife+$E349),(Input!$J$62-Input!$J$96)-SUM($I349:J349),(Input!$J$62-Input!$J$96)/A22taxstdlife))</f>
        <v>n/a</v>
      </c>
      <c r="L349" s="67"/>
      <c r="M349" s="67" t="str">
        <f>IF(A22taxstdlife="n/a","n/a",IF(M$3&gt;(A22taxstdlife+$E349),(Input!$J$62-Input!$J$96)-SUM($I349:L349),(Input!$J$62-Input!$J$96)/A22taxstdlife))</f>
        <v>n/a</v>
      </c>
      <c r="N349" s="67" t="str">
        <f>IF(A22taxstdlife="n/a","n/a",IF(N$3&gt;(A22taxstdlife+$E349),(Input!$J$62-Input!$J$96)-SUM($I349:M349),(Input!$J$62-Input!$J$96)/A22taxstdlife))</f>
        <v>n/a</v>
      </c>
      <c r="O349" s="67" t="str">
        <f>IF(A22taxstdlife="n/a","n/a",IF(O$3&gt;(A22taxstdlife+$E349),(Input!$J$62-Input!$J$96)-SUM($I349:N349),(Input!$J$62-Input!$J$96)/A22taxstdlife))</f>
        <v>n/a</v>
      </c>
      <c r="P349" s="67" t="str">
        <f>IF(A22taxstdlife="n/a","n/a",IF(P$3&gt;(A22taxstdlife+$E349),(Input!$J$62-Input!$J$96)-SUM($I349:O349),(Input!$J$62-Input!$J$96)/A22taxstdlife))</f>
        <v>n/a</v>
      </c>
      <c r="Q349" s="67"/>
      <c r="R349" s="102"/>
      <c r="S349" s="102"/>
      <c r="T349" s="102"/>
      <c r="U349" s="354"/>
      <c r="V349" s="102"/>
      <c r="W349" s="102"/>
      <c r="X349" s="102"/>
      <c r="Y349" s="102"/>
      <c r="Z349" s="215"/>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7"/>
      <c r="BJ349" s="185"/>
      <c r="BK349" s="185"/>
      <c r="BL349" s="185"/>
      <c r="BM349" s="185"/>
      <c r="BN349" s="185"/>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hidden="1" customHeight="1" outlineLevel="2">
      <c r="A350" s="9"/>
      <c r="B350" s="9"/>
      <c r="C350" s="25"/>
      <c r="D350" s="385"/>
      <c r="E350" s="85">
        <v>4</v>
      </c>
      <c r="F350" s="203"/>
      <c r="G350" s="148"/>
      <c r="H350" s="148"/>
      <c r="I350" s="148"/>
      <c r="J350" s="147"/>
      <c r="K350" s="67" t="str">
        <f>IF(A22taxstdlife="n/a","n/a",IF(K$3&gt;(A22taxstdlife+$E350),(Input!$K$62-Input!$K$96)-SUM($J350:J350),(Input!$K$62-Input!$K$96)/A22taxstdlife))</f>
        <v>n/a</v>
      </c>
      <c r="L350" s="67"/>
      <c r="M350" s="67" t="str">
        <f>IF(A22taxstdlife="n/a","n/a",IF(M$3&gt;(A22taxstdlife+$E350),(Input!$K$62-Input!$K$96)-SUM($J350:L350),(Input!$K$62-Input!$K$96)/A22taxstdlife))</f>
        <v>n/a</v>
      </c>
      <c r="N350" s="67" t="str">
        <f>IF(A22taxstdlife="n/a","n/a",IF(N$3&gt;(A22taxstdlife+$E350),(Input!$K$62-Input!$K$96)-SUM($J350:M350),(Input!$K$62-Input!$K$96)/A22taxstdlife))</f>
        <v>n/a</v>
      </c>
      <c r="O350" s="67" t="str">
        <f>IF(A22taxstdlife="n/a","n/a",IF(O$3&gt;(A22taxstdlife+$E350),(Input!$K$62-Input!$K$96)-SUM($J350:N350),(Input!$K$62-Input!$K$96)/A22taxstdlife))</f>
        <v>n/a</v>
      </c>
      <c r="P350" s="67" t="str">
        <f>IF(A22taxstdlife="n/a","n/a",IF(P$3&gt;(A22taxstdlife+$E350),(Input!$K$62-Input!$K$96)-SUM($J350:O350),(Input!$K$62-Input!$K$96)/A22taxstdlife))</f>
        <v>n/a</v>
      </c>
      <c r="Q350" s="67"/>
      <c r="R350" s="102"/>
      <c r="S350" s="102"/>
      <c r="T350" s="102"/>
      <c r="U350" s="354"/>
      <c r="V350" s="102"/>
      <c r="W350" s="102"/>
      <c r="X350" s="102"/>
      <c r="Y350" s="102"/>
      <c r="Z350" s="21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185"/>
      <c r="BJ350" s="185"/>
      <c r="BK350" s="185"/>
      <c r="BL350" s="185"/>
      <c r="BM350" s="185"/>
      <c r="BN350" s="185"/>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hidden="1" customHeight="1" outlineLevel="2">
      <c r="A351" s="9"/>
      <c r="B351" s="9"/>
      <c r="C351" s="25"/>
      <c r="D351" s="385"/>
      <c r="E351" s="85">
        <v>5</v>
      </c>
      <c r="F351" s="203"/>
      <c r="G351" s="148"/>
      <c r="H351" s="148"/>
      <c r="I351" s="148"/>
      <c r="J351" s="148"/>
      <c r="K351" s="147"/>
      <c r="L351" s="67"/>
      <c r="M351" s="67" t="str">
        <f>IF(A22taxstdlife="n/a","n/a",IF(M$3&gt;(A22taxstdlife+$E351),(Input!$L$62-Input!$L$96)-SUM($K351:L351),(Input!$L$62-Input!$L$96)/A22taxstdlife))</f>
        <v>n/a</v>
      </c>
      <c r="N351" s="67" t="str">
        <f>IF(A22taxstdlife="n/a","n/a",IF(N$3&gt;(A22taxstdlife+$E351),(Input!$L$62-Input!$L$96)-SUM($K351:M351),(Input!$L$62-Input!$L$96)/A22taxstdlife))</f>
        <v>n/a</v>
      </c>
      <c r="O351" s="67" t="str">
        <f>IF(A22taxstdlife="n/a","n/a",IF(O$3&gt;(A22taxstdlife+$E351),(Input!$L$62-Input!$L$96)-SUM($K351:N351),(Input!$L$62-Input!$L$96)/A22taxstdlife))</f>
        <v>n/a</v>
      </c>
      <c r="P351" s="67" t="str">
        <f>IF(A22taxstdlife="n/a","n/a",IF(P$3&gt;(A22taxstdlife+$E351),(Input!$L$62-Input!$L$96)-SUM($K351:O351),(Input!$L$62-Input!$L$96)/A22taxstdlife))</f>
        <v>n/a</v>
      </c>
      <c r="Q351" s="67"/>
      <c r="R351" s="102"/>
      <c r="S351" s="102"/>
      <c r="T351" s="102"/>
      <c r="U351" s="354"/>
      <c r="V351" s="102"/>
      <c r="W351" s="102"/>
      <c r="X351" s="102"/>
      <c r="Y351" s="102"/>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185"/>
      <c r="BJ351" s="185"/>
      <c r="BK351" s="185"/>
      <c r="BL351" s="185"/>
      <c r="BM351" s="185"/>
      <c r="BN351" s="185"/>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hidden="1" customHeight="1" outlineLevel="2">
      <c r="A352" s="9"/>
      <c r="B352" s="9"/>
      <c r="C352" s="25"/>
      <c r="D352" s="385"/>
      <c r="E352" s="85">
        <v>6</v>
      </c>
      <c r="F352" s="203"/>
      <c r="G352" s="148"/>
      <c r="H352" s="148"/>
      <c r="I352" s="148"/>
      <c r="J352" s="148"/>
      <c r="K352" s="148"/>
      <c r="L352" s="147"/>
      <c r="M352" s="67" t="str">
        <f>IF(A22taxstdlife="n/a","n/a",IF(M$3&gt;(A22taxstdlife+$E352),(Input!$M$62-Input!$M$96)-SUM($L352:L352),(Input!$M$62-Input!$M$96)/A22taxstdlife))</f>
        <v>n/a</v>
      </c>
      <c r="N352" s="67" t="str">
        <f>IF(A22taxstdlife="n/a","n/a",IF(N$3&gt;(A22taxstdlife+$E352),(Input!$M$62-Input!$M$96)-SUM($L352:M352),(Input!$M$62-Input!$M$96)/A22taxstdlife))</f>
        <v>n/a</v>
      </c>
      <c r="O352" s="67" t="str">
        <f>IF(A22taxstdlife="n/a","n/a",IF(O$3&gt;(A22taxstdlife+$E352),(Input!$M$62-Input!$M$96)-SUM($L352:N352),(Input!$M$62-Input!$M$96)/A22taxstdlife))</f>
        <v>n/a</v>
      </c>
      <c r="P352" s="67" t="str">
        <f>IF(A22taxstdlife="n/a","n/a",IF(P$3&gt;(A22taxstdlife+$E352),(Input!$M$62-Input!$M$96)-SUM($L352:O352),(Input!$M$62-Input!$M$96)/A22taxstdlife))</f>
        <v>n/a</v>
      </c>
      <c r="Q352" s="67"/>
      <c r="R352" s="102"/>
      <c r="S352" s="102"/>
      <c r="T352" s="102"/>
      <c r="U352" s="354"/>
      <c r="V352" s="102"/>
      <c r="W352" s="102"/>
      <c r="X352" s="102"/>
      <c r="Y352" s="102"/>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185"/>
      <c r="BJ352" s="185"/>
      <c r="BK352" s="185"/>
      <c r="BL352" s="185"/>
      <c r="BM352" s="185"/>
      <c r="BN352" s="185"/>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hidden="1" customHeight="1" outlineLevel="2">
      <c r="A353" s="9"/>
      <c r="B353" s="9"/>
      <c r="C353" s="25"/>
      <c r="D353" s="385"/>
      <c r="E353" s="85">
        <v>7</v>
      </c>
      <c r="F353" s="203"/>
      <c r="G353" s="148"/>
      <c r="H353" s="148"/>
      <c r="I353" s="148"/>
      <c r="J353" s="148"/>
      <c r="K353" s="148"/>
      <c r="L353" s="148"/>
      <c r="M353" s="147"/>
      <c r="N353" s="67" t="str">
        <f>IF(A22taxstdlife="n/a","n/a",IF(N$3&gt;(A22taxstdlife+$E353),(Input!$N$62-Input!$N$96)-SUM($M353:M353),(Input!$N$62-Input!$N$96)/A22taxstdlife))</f>
        <v>n/a</v>
      </c>
      <c r="O353" s="67" t="str">
        <f>IF(A22taxstdlife="n/a","n/a",IF(O$3&gt;(A22taxstdlife+$E353),(Input!$N$62-Input!$N$96)-SUM($M353:N353),(Input!$N$62-Input!$N$96)/A22taxstdlife))</f>
        <v>n/a</v>
      </c>
      <c r="P353" s="67" t="str">
        <f>IF(A22taxstdlife="n/a","n/a",IF(P$3&gt;(A22taxstdlife+$E353),(Input!$N$62-Input!$N$96)-SUM($M353:O353),(Input!$N$62-Input!$N$96)/A22taxstdlife))</f>
        <v>n/a</v>
      </c>
      <c r="Q353" s="67"/>
      <c r="R353" s="102"/>
      <c r="S353" s="102"/>
      <c r="T353" s="102"/>
      <c r="U353" s="354"/>
      <c r="V353" s="102"/>
      <c r="W353" s="102"/>
      <c r="X353" s="102"/>
      <c r="Y353" s="102"/>
      <c r="Z353" s="215"/>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185"/>
      <c r="BJ353" s="185"/>
      <c r="BK353" s="185"/>
      <c r="BL353" s="185"/>
      <c r="BM353" s="185"/>
      <c r="BN353" s="185"/>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hidden="1" customHeight="1" outlineLevel="2">
      <c r="A354" s="9"/>
      <c r="B354" s="9"/>
      <c r="C354" s="25"/>
      <c r="D354" s="385"/>
      <c r="E354" s="85">
        <v>8</v>
      </c>
      <c r="F354" s="203"/>
      <c r="G354" s="148"/>
      <c r="H354" s="148"/>
      <c r="I354" s="148"/>
      <c r="J354" s="148"/>
      <c r="K354" s="148"/>
      <c r="L354" s="148"/>
      <c r="M354" s="148"/>
      <c r="N354" s="147"/>
      <c r="O354" s="67" t="str">
        <f>IF(A22taxstdlife="n/a","n/a",IF(O$3&gt;(A22taxstdlife+$E354),(Input!$O$62-Input!$O$96)-SUM($N354:N354),(Input!$O$62-Input!$O$96)/A22taxstdlife))</f>
        <v>n/a</v>
      </c>
      <c r="P354" s="67" t="str">
        <f>IF(A22taxstdlife="n/a","n/a",IF(P$3&gt;(A22taxstdlife+$E354),(Input!$O$62-Input!$O$96)-SUM($N354:O354),(Input!$O$62-Input!$O$96)/A22taxstdlife))</f>
        <v>n/a</v>
      </c>
      <c r="Q354" s="67"/>
      <c r="R354" s="102"/>
      <c r="S354" s="102"/>
      <c r="T354" s="102"/>
      <c r="U354" s="354"/>
      <c r="V354" s="102"/>
      <c r="W354" s="102"/>
      <c r="X354" s="102"/>
      <c r="Y354" s="102"/>
      <c r="Z354" s="21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185"/>
      <c r="BJ354" s="185"/>
      <c r="BK354" s="185"/>
      <c r="BL354" s="185"/>
      <c r="BM354" s="185"/>
      <c r="BN354" s="185"/>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hidden="1" customHeight="1" outlineLevel="2">
      <c r="A355" s="9"/>
      <c r="B355" s="9"/>
      <c r="C355" s="25"/>
      <c r="D355" s="385"/>
      <c r="E355" s="85">
        <v>9</v>
      </c>
      <c r="F355" s="203"/>
      <c r="G355" s="148"/>
      <c r="H355" s="148"/>
      <c r="I355" s="148"/>
      <c r="J355" s="148"/>
      <c r="K355" s="148"/>
      <c r="L355" s="148"/>
      <c r="M355" s="148"/>
      <c r="N355" s="148"/>
      <c r="O355" s="147"/>
      <c r="P355" s="67" t="str">
        <f>IF(A22taxstdlife="n/a","n/a",IF(P$3&gt;(A22taxstdlife+$E355),(Input!$P$62-Input!$P$96)-SUM($O355:O355),(Input!$P$62-Input!$P$96)/A22taxstdlife))</f>
        <v>n/a</v>
      </c>
      <c r="Q355" s="67"/>
      <c r="R355" s="102"/>
      <c r="S355" s="102"/>
      <c r="T355" s="102"/>
      <c r="U355" s="354"/>
      <c r="V355" s="102"/>
      <c r="W355" s="102"/>
      <c r="X355" s="102"/>
      <c r="Y355" s="102"/>
      <c r="Z355" s="21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185"/>
      <c r="BJ355" s="185"/>
      <c r="BK355" s="185"/>
      <c r="BL355" s="185"/>
      <c r="BM355" s="185"/>
      <c r="BN355" s="18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hidden="1" customHeight="1" outlineLevel="2">
      <c r="A356" s="9"/>
      <c r="B356" s="9"/>
      <c r="C356" s="25"/>
      <c r="D356" s="385"/>
      <c r="E356" s="85">
        <v>10</v>
      </c>
      <c r="F356" s="203"/>
      <c r="G356" s="148"/>
      <c r="H356" s="148"/>
      <c r="I356" s="148"/>
      <c r="J356" s="148"/>
      <c r="K356" s="148"/>
      <c r="L356" s="148"/>
      <c r="M356" s="148"/>
      <c r="N356" s="148"/>
      <c r="O356" s="148"/>
      <c r="P356" s="147"/>
      <c r="Q356" s="67"/>
      <c r="R356" s="102"/>
      <c r="S356" s="102"/>
      <c r="T356" s="102"/>
      <c r="U356" s="354"/>
      <c r="V356" s="102"/>
      <c r="W356" s="102"/>
      <c r="X356" s="102"/>
      <c r="Y356" s="102"/>
      <c r="Z356" s="215"/>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185"/>
      <c r="BJ356" s="185"/>
      <c r="BK356" s="185"/>
      <c r="BL356" s="185"/>
      <c r="BM356" s="185"/>
      <c r="BN356" s="185"/>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hidden="1" customHeight="1" outlineLevel="2">
      <c r="A357" s="9"/>
      <c r="B357" s="9"/>
      <c r="C357" s="25"/>
      <c r="D357" s="385"/>
      <c r="E357" s="86">
        <v>11</v>
      </c>
      <c r="F357" s="351"/>
      <c r="G357" s="147"/>
      <c r="H357" s="148"/>
      <c r="I357" s="148"/>
      <c r="J357" s="148"/>
      <c r="K357" s="148"/>
      <c r="L357" s="148"/>
      <c r="M357" s="148"/>
      <c r="N357" s="148"/>
      <c r="O357" s="148"/>
      <c r="P357" s="187"/>
      <c r="Q357" s="350"/>
      <c r="R357" s="102"/>
      <c r="S357" s="101"/>
      <c r="T357" s="102"/>
      <c r="U357" s="354"/>
      <c r="V357" s="102"/>
      <c r="W357" s="102"/>
      <c r="X357" s="102"/>
      <c r="Y357" s="102"/>
      <c r="Z357" s="215"/>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185"/>
      <c r="BJ357" s="185"/>
      <c r="BK357" s="185"/>
      <c r="BL357" s="185"/>
      <c r="BM357" s="185"/>
      <c r="BN357" s="185"/>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hidden="1" customHeight="1" outlineLevel="1">
      <c r="A358" s="9"/>
      <c r="B358" s="9"/>
      <c r="C358" s="25" t="str">
        <f>Asset22</f>
        <v>Land (non-system)</v>
      </c>
      <c r="D358" s="9"/>
      <c r="E358" s="9"/>
      <c r="F358" s="208">
        <f t="shared" ref="F358:K358" si="10">-SUM(F345:F357)</f>
        <v>0</v>
      </c>
      <c r="G358" s="164">
        <f t="shared" si="10"/>
        <v>0</v>
      </c>
      <c r="H358" s="164">
        <f t="shared" si="10"/>
        <v>0</v>
      </c>
      <c r="I358" s="164">
        <f t="shared" si="10"/>
        <v>0</v>
      </c>
      <c r="J358" s="164">
        <f t="shared" si="10"/>
        <v>0</v>
      </c>
      <c r="K358" s="164">
        <f t="shared" si="10"/>
        <v>0</v>
      </c>
      <c r="L358" s="164"/>
      <c r="M358" s="164">
        <f>IF(Input!N173&gt;0, -SUM(M345:M357), 0)</f>
        <v>0</v>
      </c>
      <c r="N358" s="164">
        <f>IF(Input!O173&gt;0, -SUM(N345:N357), 0)</f>
        <v>0</v>
      </c>
      <c r="O358" s="164">
        <f>IF(Input!P173&gt;0, -SUM(O345:O357), 0)</f>
        <v>0</v>
      </c>
      <c r="P358" s="164">
        <f>IF(Input!Q173&gt;0, -SUM(P345:P357), 0)</f>
        <v>0</v>
      </c>
      <c r="Q358" s="63"/>
      <c r="R358" s="101"/>
      <c r="S358" s="318"/>
      <c r="T358" s="101"/>
      <c r="U358" s="354"/>
      <c r="V358" s="101"/>
      <c r="W358" s="101"/>
      <c r="X358" s="101"/>
      <c r="Y358" s="101"/>
      <c r="Z358" s="21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185"/>
      <c r="BJ358" s="185"/>
      <c r="BK358" s="185"/>
      <c r="BL358" s="185"/>
      <c r="BM358" s="185"/>
      <c r="BN358" s="185"/>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hidden="1" customHeight="1" outlineLevel="2">
      <c r="A359" s="9"/>
      <c r="B359" s="186" t="str">
        <f>Asset23</f>
        <v>Other non system assets</v>
      </c>
      <c r="C359" s="32"/>
      <c r="D359" s="33" t="s">
        <v>67</v>
      </c>
      <c r="E359" s="32"/>
      <c r="F359" s="204"/>
      <c r="G359" s="356">
        <v>3.8030028999981091E-2</v>
      </c>
      <c r="H359" s="356">
        <v>3.8030028999981091E-2</v>
      </c>
      <c r="I359" s="356">
        <v>3.7524151237307631E-2</v>
      </c>
      <c r="J359" s="356">
        <v>2.9987468647641229E-2</v>
      </c>
      <c r="K359" s="356">
        <v>3.4747154239037077E-2</v>
      </c>
      <c r="L359" s="66"/>
      <c r="M359" s="66" t="str">
        <f>IF(M$3&gt;A23taxremlife,A23taxvalue-SUM($F359:L359),IF(A23taxremlife="N/A","n/a",A23taxvalue/A23taxremlife))</f>
        <v>n/a</v>
      </c>
      <c r="N359" s="66" t="str">
        <f>IF(N$3&gt;A23taxremlife,A23taxvalue-SUM($F359:M359),IF(A23taxremlife="N/A","n/a",A23taxvalue/A23taxremlife))</f>
        <v>n/a</v>
      </c>
      <c r="O359" s="66" t="str">
        <f>IF(O$3&gt;A23taxremlife,A23taxvalue-SUM($F359:N359),IF(A23taxremlife="N/A","n/a",A23taxvalue/A23taxremlife))</f>
        <v>n/a</v>
      </c>
      <c r="P359" s="66" t="str">
        <f>IF(P$3&gt;A23taxremlife,A23taxvalue-SUM($F359:O359),IF(A23taxremlife="N/A","n/a",A23taxvalue/A23taxremlife))</f>
        <v>n/a</v>
      </c>
      <c r="Q359" s="66"/>
      <c r="R359" s="102"/>
      <c r="S359" s="308">
        <f>SUM(K359:K364)</f>
        <v>5.1280918292194444E-2</v>
      </c>
      <c r="T359" s="102"/>
      <c r="U359" s="354"/>
      <c r="V359" s="102"/>
      <c r="W359" s="102"/>
      <c r="X359" s="102"/>
      <c r="Y359" s="102"/>
      <c r="Z359" s="21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185"/>
      <c r="BJ359" s="185"/>
      <c r="BK359" s="185"/>
      <c r="BL359" s="185"/>
      <c r="BM359" s="185"/>
      <c r="BN359" s="185"/>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hidden="1" customHeight="1" outlineLevel="2">
      <c r="A360" s="9"/>
      <c r="B360" s="9"/>
      <c r="C360" s="25"/>
      <c r="D360" s="384" t="s">
        <v>85</v>
      </c>
      <c r="E360" s="85">
        <v>0</v>
      </c>
      <c r="F360" s="310"/>
      <c r="G360" s="67"/>
      <c r="H360" s="67"/>
      <c r="I360" s="67"/>
      <c r="J360" s="67"/>
      <c r="K360" s="67"/>
      <c r="L360" s="67"/>
      <c r="M360" s="67"/>
      <c r="N360" s="67"/>
      <c r="O360" s="67"/>
      <c r="P360" s="67"/>
      <c r="Q360" s="67"/>
      <c r="R360" s="102"/>
      <c r="S360" s="102"/>
      <c r="T360" s="102"/>
      <c r="U360" s="354"/>
      <c r="V360" s="102"/>
      <c r="W360" s="102"/>
      <c r="X360" s="102"/>
      <c r="Y360" s="102"/>
      <c r="Z360" s="215"/>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185"/>
      <c r="BJ360" s="185"/>
      <c r="BK360" s="185"/>
      <c r="BL360" s="185"/>
      <c r="BM360" s="185"/>
      <c r="BN360" s="185"/>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hidden="1" customHeight="1" outlineLevel="2">
      <c r="A361" s="9"/>
      <c r="B361" s="9"/>
      <c r="C361" s="25"/>
      <c r="D361" s="385"/>
      <c r="E361" s="85">
        <v>1</v>
      </c>
      <c r="F361" s="203"/>
      <c r="G361" s="147"/>
      <c r="H361" s="67">
        <f>IF(A23taxstdlife="n/a","n/a",IF(H$3&gt;(A23taxstdlife+$E361),(Input!$H$63-Input!$H$97)-SUM($G361:G361),(Input!$H$63-Input!$H$97)/A23taxstdlife))</f>
        <v>0</v>
      </c>
      <c r="I361" s="67">
        <f>IF(A23taxstdlife="n/a","n/a",IF(I$3&gt;(A23taxstdlife+$E361),(Input!$H$63-Input!$H$97)-SUM($G361:H361),(Input!$H$63-Input!$H$97)/A23taxstdlife))</f>
        <v>0</v>
      </c>
      <c r="J361" s="67">
        <f>IF(A23taxstdlife="n/a","n/a",IF(J$3&gt;(A23taxstdlife+$E361),(Input!$H$63-Input!$H$97)-SUM($G361:I361),(Input!$H$63-Input!$H$97)/A23taxstdlife))</f>
        <v>0</v>
      </c>
      <c r="K361" s="67">
        <f>IF(A23taxstdlife="n/a","n/a",IF(K$3&gt;(A23taxstdlife+$E361),(Input!$H$63-Input!$H$97)-SUM($G361:J361),(Input!$H$63-Input!$H$97)/A23taxstdlife))</f>
        <v>0</v>
      </c>
      <c r="L361" s="67">
        <f>IF(A23taxstdlife="n/a","n/a",IF(L$3&gt;(A23taxstdlife+$E361),(Input!$H$63-Input!$H$97)-SUM($G361:K361),(Input!$H$63-Input!$H$97)/A23taxstdlife))</f>
        <v>0</v>
      </c>
      <c r="M361" s="67"/>
      <c r="N361" s="67">
        <f>IF(A23taxstdlife="n/a","n/a",IF(N$3&gt;(A23taxstdlife+$E361),(Input!$H$63-Input!$H$97)-SUM($G361:M361),(Input!$H$63-Input!$H$97)/A23taxstdlife))</f>
        <v>0</v>
      </c>
      <c r="O361" s="67">
        <f>IF(A23taxstdlife="n/a","n/a",IF(O$3&gt;(A23taxstdlife+$E361),(Input!$H$63-Input!$H$97)-SUM($G361:N361),(Input!$H$63-Input!$H$97)/A23taxstdlife))</f>
        <v>0</v>
      </c>
      <c r="P361" s="67">
        <f>IF(A23taxstdlife="n/a","n/a",IF(P$3&gt;(A23taxstdlife+$E361),(Input!$H$63-Input!$H$97)-SUM($G361:O361),(Input!$H$63-Input!$H$97)/A23taxstdlife))</f>
        <v>0</v>
      </c>
      <c r="Q361" s="67"/>
      <c r="R361" s="102"/>
      <c r="S361" s="102"/>
      <c r="T361" s="102"/>
      <c r="U361" s="354"/>
      <c r="V361" s="102"/>
      <c r="W361" s="102"/>
      <c r="X361" s="102"/>
      <c r="Y361" s="102"/>
      <c r="Z361" s="215"/>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185"/>
      <c r="BJ361" s="185"/>
      <c r="BK361" s="185"/>
      <c r="BL361" s="185"/>
      <c r="BM361" s="185"/>
      <c r="BN361" s="185"/>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hidden="1" customHeight="1" outlineLevel="2">
      <c r="A362" s="9"/>
      <c r="B362" s="9"/>
      <c r="C362" s="25"/>
      <c r="D362" s="385"/>
      <c r="E362" s="85">
        <v>2</v>
      </c>
      <c r="F362" s="203"/>
      <c r="G362" s="148"/>
      <c r="H362" s="147"/>
      <c r="I362" s="67">
        <f>IF(A23taxstdlife="n/a","n/a",IF(I$3&gt;(A23taxstdlife+$E362),(Input!$I$63-Input!$I$97)-SUM($H362:H362),(Input!$I$63-Input!$I$97)/A23taxstdlife))</f>
        <v>6.2694770201142771E-4</v>
      </c>
      <c r="J362" s="67">
        <f>IF(A23taxstdlife="n/a","n/a",IF(J$3&gt;(A23taxstdlife+$E362),(Input!$I$63-Input!$I$97)-SUM($H362:I362),(Input!$I$63-Input!$I$97)/A23taxstdlife))</f>
        <v>6.2694770201142771E-4</v>
      </c>
      <c r="K362" s="67">
        <f>IF(A23taxstdlife="n/a","n/a",IF(K$3&gt;(A23taxstdlife+$E362),(Input!$I$63-Input!$I$97)-SUM($H362:J362),(Input!$I$63-Input!$I$97)/A23taxstdlife))</f>
        <v>6.2694770201142771E-4</v>
      </c>
      <c r="L362" s="67">
        <f>IF(A23taxstdlife="n/a","n/a",IF(L$3&gt;(A23taxstdlife+$E362),(Input!$I$63-Input!$I$97)-SUM($H362:K362),(Input!$I$63-Input!$I$97)/A23taxstdlife))</f>
        <v>6.2694770201142771E-4</v>
      </c>
      <c r="M362" s="67"/>
      <c r="N362" s="67">
        <f>IF(A23taxstdlife="n/a","n/a",IF(N$3&gt;(A23taxstdlife+$E362),(Input!$I$63-Input!$I$97)-SUM($H362:M362),(Input!$I$63-Input!$I$97)/A23taxstdlife))</f>
        <v>6.2694770201142771E-4</v>
      </c>
      <c r="O362" s="67">
        <f>IF(A23taxstdlife="n/a","n/a",IF(O$3&gt;(A23taxstdlife+$E362),(Input!$I$63-Input!$I$97)-SUM($H362:N362),(Input!$I$63-Input!$I$97)/A23taxstdlife))</f>
        <v>6.2694770201142771E-4</v>
      </c>
      <c r="P362" s="67">
        <f>IF(A23taxstdlife="n/a","n/a",IF(P$3&gt;(A23taxstdlife+$E362),(Input!$I$63-Input!$I$97)-SUM($H362:O362),(Input!$I$63-Input!$I$97)/A23taxstdlife))</f>
        <v>2.8212646590514245E-3</v>
      </c>
      <c r="Q362" s="67"/>
      <c r="R362" s="102"/>
      <c r="S362" s="102"/>
      <c r="T362" s="102"/>
      <c r="U362" s="354"/>
      <c r="V362" s="102"/>
      <c r="W362" s="102"/>
      <c r="X362" s="102"/>
      <c r="Y362" s="102"/>
      <c r="Z362" s="215"/>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185"/>
      <c r="BJ362" s="185"/>
      <c r="BK362" s="185"/>
      <c r="BL362" s="185"/>
      <c r="BM362" s="185"/>
      <c r="BN362" s="185"/>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hidden="1" customHeight="1" outlineLevel="2">
      <c r="A363" s="9"/>
      <c r="B363" s="9"/>
      <c r="C363" s="25"/>
      <c r="D363" s="385"/>
      <c r="E363" s="85">
        <v>3</v>
      </c>
      <c r="F363" s="203"/>
      <c r="G363" s="148"/>
      <c r="H363" s="148"/>
      <c r="I363" s="147"/>
      <c r="J363" s="67">
        <f>IF(A23taxstdlife="n/a","n/a",IF(J$3&gt;(A23taxstdlife+$E363),(Input!$J$63-Input!$J$97)-SUM($I363:I363),(Input!$J$63-Input!$J$97)/A23taxstdlife))</f>
        <v>1.4850737349331618E-2</v>
      </c>
      <c r="K363" s="67">
        <f>IF(A23taxstdlife="n/a","n/a",IF(K$3&gt;(A23taxstdlife+$E363),(Input!$J$63-Input!$J$97)-SUM($I363:J363),(Input!$J$63-Input!$J$97)/A23taxstdlife))</f>
        <v>1.4850737349331618E-2</v>
      </c>
      <c r="L363" s="67">
        <f>IF(A23taxstdlife="n/a","n/a",IF(L$3&gt;(A23taxstdlife+$E363),(Input!$J$63-Input!$J$97)-SUM($I363:K363),(Input!$J$63-Input!$J$97)/A23taxstdlife))</f>
        <v>1.4850737349331618E-2</v>
      </c>
      <c r="M363" s="67"/>
      <c r="N363" s="67">
        <f>IF(A23taxstdlife="n/a","n/a",IF(N$3&gt;(A23taxstdlife+$E363),(Input!$J$63-Input!$J$97)-SUM($I363:M363),(Input!$J$63-Input!$J$97)/A23taxstdlife))</f>
        <v>1.4850737349331618E-2</v>
      </c>
      <c r="O363" s="67">
        <f>IF(A23taxstdlife="n/a","n/a",IF(O$3&gt;(A23taxstdlife+$E363),(Input!$J$63-Input!$J$97)-SUM($I363:N363),(Input!$J$63-Input!$J$97)/A23taxstdlife))</f>
        <v>1.4850737349331618E-2</v>
      </c>
      <c r="P363" s="67">
        <f>IF(A23taxstdlife="n/a","n/a",IF(P$3&gt;(A23taxstdlife+$E363),(Input!$J$63-Input!$J$97)-SUM($I363:O363),(Input!$J$63-Input!$J$97)/A23taxstdlife))</f>
        <v>1.4850737349331618E-2</v>
      </c>
      <c r="Q363" s="67"/>
      <c r="R363" s="102"/>
      <c r="S363" s="102"/>
      <c r="T363" s="102"/>
      <c r="U363" s="354"/>
      <c r="V363" s="102"/>
      <c r="W363" s="102"/>
      <c r="X363" s="102"/>
      <c r="Y363" s="102"/>
      <c r="Z363" s="215"/>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7"/>
      <c r="BJ363" s="185"/>
      <c r="BK363" s="185"/>
      <c r="BL363" s="185"/>
      <c r="BM363" s="185"/>
      <c r="BN363" s="185"/>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hidden="1" customHeight="1" outlineLevel="2">
      <c r="A364" s="9"/>
      <c r="B364" s="9"/>
      <c r="C364" s="25"/>
      <c r="D364" s="385"/>
      <c r="E364" s="85">
        <v>4</v>
      </c>
      <c r="F364" s="203"/>
      <c r="G364" s="148"/>
      <c r="H364" s="148"/>
      <c r="I364" s="148"/>
      <c r="J364" s="147"/>
      <c r="K364" s="67">
        <f>IF(A23taxstdlife="n/a","n/a",IF(K$3&gt;(A23taxstdlife+$E364),(Input!$K$63-Input!$K$97)-SUM($J364:J364),(Input!$K$63-Input!$K$97)/A23taxstdlife))</f>
        <v>1.0560790018143158E-3</v>
      </c>
      <c r="L364" s="67">
        <f>IF(A23taxstdlife="n/a","n/a",IF(L$3&gt;(A23taxstdlife+$E364),(Input!$K$63-Input!$K$97)-SUM($K364:K364),(Input!$K$63-Input!$K$97)/A23taxstdlife))</f>
        <v>1.0560790018143158E-3</v>
      </c>
      <c r="M364" s="67"/>
      <c r="N364" s="67">
        <f>IF(A23taxstdlife="n/a","n/a",IF(N$3&gt;(A23taxstdlife+$E364),(Input!$K$63-Input!$K$97)-SUM($J364:M364),(Input!$K$63-Input!$K$97)/A23taxstdlife))</f>
        <v>1.0560790018143158E-3</v>
      </c>
      <c r="O364" s="67">
        <f>IF(A23taxstdlife="n/a","n/a",IF(O$3&gt;(A23taxstdlife+$E364),(Input!$K$63-Input!$K$97)-SUM($J364:N364),(Input!$K$63-Input!$K$97)/A23taxstdlife))</f>
        <v>1.0560790018143158E-3</v>
      </c>
      <c r="P364" s="67">
        <f>IF(A23taxstdlife="n/a","n/a",IF(P$3&gt;(A23taxstdlife+$E364),(Input!$K$63-Input!$K$97)-SUM($J364:O364),(Input!$K$63-Input!$K$97)/A23taxstdlife))</f>
        <v>1.0560790018143158E-3</v>
      </c>
      <c r="Q364" s="67"/>
      <c r="R364" s="102"/>
      <c r="S364" s="102"/>
      <c r="T364" s="102"/>
      <c r="U364" s="354"/>
      <c r="V364" s="102"/>
      <c r="W364" s="102"/>
      <c r="X364" s="102"/>
      <c r="Y364" s="102"/>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185"/>
      <c r="BJ364" s="185"/>
      <c r="BK364" s="185"/>
      <c r="BL364" s="185"/>
      <c r="BM364" s="185"/>
      <c r="BN364" s="185"/>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hidden="1" customHeight="1" outlineLevel="2">
      <c r="A365" s="9"/>
      <c r="B365" s="9"/>
      <c r="C365" s="25"/>
      <c r="D365" s="385"/>
      <c r="E365" s="85">
        <v>5</v>
      </c>
      <c r="F365" s="203"/>
      <c r="G365" s="148"/>
      <c r="H365" s="148"/>
      <c r="I365" s="148"/>
      <c r="J365" s="148"/>
      <c r="K365" s="147"/>
      <c r="L365" s="67">
        <f>IF(A23taxstdlife="n/a","n/a",IF(L$3&gt;(A23taxstdlife+$E365),(Input!$L$63-Input!$L$97)-SUM($K365:K365),(Input!$L$63-Input!$L$97)/A23taxstdlife))</f>
        <v>9.7550496136100044E-4</v>
      </c>
      <c r="M365" s="67"/>
      <c r="N365" s="67">
        <f>IF(A23taxstdlife="n/a","n/a",IF(N$3&gt;(A23taxstdlife+$E365),(Input!$L$63-Input!$L$97)-SUM($K365:M365),(Input!$L$63-Input!$L$97)/A23taxstdlife))</f>
        <v>9.7550496136100044E-4</v>
      </c>
      <c r="O365" s="67">
        <f>IF(A23taxstdlife="n/a","n/a",IF(O$3&gt;(A23taxstdlife+$E365),(Input!$L$63-Input!$L$97)-SUM($K365:N365),(Input!$L$63-Input!$L$97)/A23taxstdlife))</f>
        <v>9.7550496136100044E-4</v>
      </c>
      <c r="P365" s="67">
        <f>IF(A23taxstdlife="n/a","n/a",IF(P$3&gt;(A23taxstdlife+$E365),(Input!$L$63-Input!$L$97)-SUM($K365:O365),(Input!$L$63-Input!$L$97)/A23taxstdlife))</f>
        <v>9.7550496136100044E-4</v>
      </c>
      <c r="Q365" s="67"/>
      <c r="R365" s="102"/>
      <c r="S365" s="102"/>
      <c r="T365" s="102"/>
      <c r="U365" s="354"/>
      <c r="V365" s="102"/>
      <c r="W365" s="102"/>
      <c r="X365" s="102"/>
      <c r="Y365" s="102"/>
      <c r="Z365" s="215"/>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185"/>
      <c r="BJ365" s="185"/>
      <c r="BK365" s="185"/>
      <c r="BL365" s="185"/>
      <c r="BM365" s="185"/>
      <c r="BN365" s="18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hidden="1" customHeight="1" outlineLevel="2">
      <c r="A366" s="9"/>
      <c r="B366" s="9"/>
      <c r="C366" s="25"/>
      <c r="D366" s="385"/>
      <c r="E366" s="85">
        <v>6</v>
      </c>
      <c r="F366" s="203"/>
      <c r="G366" s="148"/>
      <c r="H366" s="148"/>
      <c r="I366" s="148"/>
      <c r="J366" s="148"/>
      <c r="K366" s="148"/>
      <c r="L366" s="147"/>
      <c r="M366" s="67"/>
      <c r="N366" s="67">
        <f>IF(A23taxstdlife="n/a","n/a",IF(N$3&gt;(A23taxstdlife+$E366),(Input!$M$63-Input!$M$97)-SUM($L366:M366),(Input!$M$63-Input!$M$97)/A23taxstdlife))</f>
        <v>0</v>
      </c>
      <c r="O366" s="67">
        <f>IF(A23taxstdlife="n/a","n/a",IF(O$3&gt;(A23taxstdlife+$E366),(Input!$M$63-Input!$M$97)-SUM($L366:N366),(Input!$M$63-Input!$M$97)/A23taxstdlife))</f>
        <v>0</v>
      </c>
      <c r="P366" s="67">
        <f>IF(A23taxstdlife="n/a","n/a",IF(P$3&gt;(A23taxstdlife+$E366),(Input!$M$63-Input!$M$97)-SUM($L366:O366),(Input!$M$63-Input!$M$97)/A23taxstdlife))</f>
        <v>0</v>
      </c>
      <c r="Q366" s="67"/>
      <c r="R366" s="102"/>
      <c r="S366" s="102"/>
      <c r="T366" s="102"/>
      <c r="U366" s="354"/>
      <c r="V366" s="102"/>
      <c r="W366" s="102"/>
      <c r="X366" s="102"/>
      <c r="Y366" s="102"/>
      <c r="Z366" s="215"/>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185"/>
      <c r="BJ366" s="185"/>
      <c r="BK366" s="185"/>
      <c r="BL366" s="185"/>
      <c r="BM366" s="185"/>
      <c r="BN366" s="185"/>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hidden="1" customHeight="1" outlineLevel="2">
      <c r="A367" s="9"/>
      <c r="B367" s="9"/>
      <c r="C367" s="25"/>
      <c r="D367" s="385"/>
      <c r="E367" s="85">
        <v>7</v>
      </c>
      <c r="F367" s="203"/>
      <c r="G367" s="148"/>
      <c r="H367" s="148"/>
      <c r="I367" s="148"/>
      <c r="J367" s="148"/>
      <c r="K367" s="148"/>
      <c r="L367" s="148"/>
      <c r="M367" s="147"/>
      <c r="N367" s="67">
        <f>IF(A23taxstdlife="n/a","n/a",IF(N$3&gt;(A23taxstdlife+$E367),(Input!$N$63-Input!$N$97)-SUM($M367:M367),(Input!$N$63-Input!$N$97)/A23taxstdlife))</f>
        <v>0</v>
      </c>
      <c r="O367" s="67">
        <f>IF(A23taxstdlife="n/a","n/a",IF(O$3&gt;(A23taxstdlife+$E367),(Input!$N$63-Input!$N$97)-SUM($M367:N367),(Input!$N$63-Input!$N$97)/A23taxstdlife))</f>
        <v>0</v>
      </c>
      <c r="P367" s="67">
        <f>IF(A23taxstdlife="n/a","n/a",IF(P$3&gt;(A23taxstdlife+$E367),(Input!$N$63-Input!$N$97)-SUM($M367:O367),(Input!$N$63-Input!$N$97)/A23taxstdlife))</f>
        <v>0</v>
      </c>
      <c r="Q367" s="67"/>
      <c r="R367" s="102"/>
      <c r="S367" s="102"/>
      <c r="T367" s="102"/>
      <c r="U367" s="354"/>
      <c r="V367" s="102"/>
      <c r="W367" s="102"/>
      <c r="X367" s="102"/>
      <c r="Y367" s="102"/>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185"/>
      <c r="BJ367" s="185"/>
      <c r="BK367" s="185"/>
      <c r="BL367" s="185"/>
      <c r="BM367" s="185"/>
      <c r="BN367" s="185"/>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hidden="1" customHeight="1" outlineLevel="2">
      <c r="A368" s="9"/>
      <c r="B368" s="9"/>
      <c r="C368" s="25"/>
      <c r="D368" s="385"/>
      <c r="E368" s="85">
        <v>8</v>
      </c>
      <c r="F368" s="203"/>
      <c r="G368" s="148"/>
      <c r="H368" s="148"/>
      <c r="I368" s="148"/>
      <c r="J368" s="148"/>
      <c r="K368" s="148"/>
      <c r="L368" s="148"/>
      <c r="M368" s="148"/>
      <c r="N368" s="147"/>
      <c r="O368" s="67">
        <f>IF(A23taxstdlife="n/a","n/a",IF(O$3&gt;(A23taxstdlife+$E368),(Input!$O$63-Input!$O$97)-SUM($N368:N368),(Input!$O$63-Input!$O$97)/A23taxstdlife))</f>
        <v>0</v>
      </c>
      <c r="P368" s="67">
        <f>IF(A23taxstdlife="n/a","n/a",IF(P$3&gt;(A23taxstdlife+$E368),(Input!$O$63-Input!$O$97)-SUM($N368:O368),(Input!$O$63-Input!$O$97)/A23taxstdlife))</f>
        <v>0</v>
      </c>
      <c r="Q368" s="67"/>
      <c r="R368" s="102"/>
      <c r="S368" s="102"/>
      <c r="T368" s="102"/>
      <c r="U368" s="354"/>
      <c r="V368" s="102"/>
      <c r="W368" s="102"/>
      <c r="X368" s="102"/>
      <c r="Y368" s="102"/>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185"/>
      <c r="BJ368" s="185"/>
      <c r="BK368" s="185"/>
      <c r="BL368" s="185"/>
      <c r="BM368" s="185"/>
      <c r="BN368" s="185"/>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hidden="1" customHeight="1" outlineLevel="2">
      <c r="A369" s="9"/>
      <c r="B369" s="9"/>
      <c r="C369" s="25"/>
      <c r="D369" s="385"/>
      <c r="E369" s="85">
        <v>9</v>
      </c>
      <c r="F369" s="203"/>
      <c r="G369" s="148"/>
      <c r="H369" s="148"/>
      <c r="I369" s="148"/>
      <c r="J369" s="148"/>
      <c r="K369" s="148"/>
      <c r="L369" s="148"/>
      <c r="M369" s="148"/>
      <c r="N369" s="148"/>
      <c r="O369" s="147"/>
      <c r="P369" s="67">
        <f>IF(A23taxstdlife="n/a","n/a",IF(P$3&gt;(A23taxstdlife+$E369),(Input!$P$63-Input!$P$97)-SUM($O369:O369),(Input!$P$63-Input!$P$97)/A23taxstdlife))</f>
        <v>0</v>
      </c>
      <c r="Q369" s="67"/>
      <c r="R369" s="102"/>
      <c r="S369" s="102"/>
      <c r="T369" s="102"/>
      <c r="U369" s="354"/>
      <c r="V369" s="102"/>
      <c r="W369" s="102"/>
      <c r="X369" s="102"/>
      <c r="Y369" s="102"/>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185"/>
      <c r="BJ369" s="185"/>
      <c r="BK369" s="185"/>
      <c r="BL369" s="185"/>
      <c r="BM369" s="185"/>
      <c r="BN369" s="185"/>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hidden="1" customHeight="1" outlineLevel="2">
      <c r="A370" s="9"/>
      <c r="B370" s="9"/>
      <c r="C370" s="25"/>
      <c r="D370" s="385"/>
      <c r="E370" s="85">
        <v>10</v>
      </c>
      <c r="F370" s="203"/>
      <c r="G370" s="148"/>
      <c r="H370" s="148"/>
      <c r="I370" s="148"/>
      <c r="J370" s="148"/>
      <c r="K370" s="148"/>
      <c r="L370" s="148"/>
      <c r="M370" s="148"/>
      <c r="N370" s="148"/>
      <c r="O370" s="148"/>
      <c r="P370" s="147"/>
      <c r="Q370" s="67"/>
      <c r="R370" s="102"/>
      <c r="S370" s="308"/>
      <c r="T370" s="102"/>
      <c r="U370" s="354"/>
      <c r="V370" s="102"/>
      <c r="W370" s="102"/>
      <c r="X370" s="102"/>
      <c r="Y370" s="102"/>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185"/>
      <c r="BJ370" s="185"/>
      <c r="BK370" s="185"/>
      <c r="BL370" s="185"/>
      <c r="BM370" s="185"/>
      <c r="BN370" s="185"/>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hidden="1" customHeight="1" outlineLevel="2">
      <c r="A371" s="9"/>
      <c r="B371" s="9"/>
      <c r="C371" s="25"/>
      <c r="D371" s="385"/>
      <c r="E371" s="86">
        <v>11</v>
      </c>
      <c r="F371" s="351"/>
      <c r="G371" s="147"/>
      <c r="H371" s="148"/>
      <c r="I371" s="148"/>
      <c r="J371" s="148"/>
      <c r="K371" s="148"/>
      <c r="L371" s="148"/>
      <c r="M371" s="148"/>
      <c r="N371" s="148"/>
      <c r="O371" s="148"/>
      <c r="P371" s="187"/>
      <c r="Q371" s="350"/>
      <c r="R371" s="102"/>
      <c r="S371" s="318"/>
      <c r="T371" s="102"/>
      <c r="U371" s="354"/>
      <c r="V371" s="102"/>
      <c r="W371" s="102"/>
      <c r="X371" s="102"/>
      <c r="Y371" s="102"/>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185"/>
      <c r="BJ371" s="185"/>
      <c r="BK371" s="185"/>
      <c r="BL371" s="185"/>
      <c r="BM371" s="185"/>
      <c r="BN371" s="185"/>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hidden="1" customHeight="1" outlineLevel="1">
      <c r="A372" s="9"/>
      <c r="B372" s="9"/>
      <c r="C372" s="25" t="str">
        <f>Asset23</f>
        <v>Other non system assets</v>
      </c>
      <c r="D372" s="9"/>
      <c r="E372" s="9"/>
      <c r="F372" s="208">
        <f t="shared" ref="F372:K372" si="11">-SUM(F359:F371)</f>
        <v>0</v>
      </c>
      <c r="G372" s="164">
        <f t="shared" si="11"/>
        <v>-3.8030028999981091E-2</v>
      </c>
      <c r="H372" s="164">
        <f t="shared" si="11"/>
        <v>-3.8030028999981091E-2</v>
      </c>
      <c r="I372" s="164">
        <f t="shared" si="11"/>
        <v>-3.8151098939319061E-2</v>
      </c>
      <c r="J372" s="164">
        <f t="shared" si="11"/>
        <v>-4.5465153698984274E-2</v>
      </c>
      <c r="K372" s="164">
        <f t="shared" si="11"/>
        <v>-5.1280918292194444E-2</v>
      </c>
      <c r="L372" s="164"/>
      <c r="M372" s="164">
        <f>IF(Input!N173&gt;0, -SUM(M359:M371), 0)</f>
        <v>0</v>
      </c>
      <c r="N372" s="164">
        <f>IF(Input!O173&gt;0, -SUM(N359:N371), 0)</f>
        <v>0</v>
      </c>
      <c r="O372" s="164">
        <f>IF(Input!P173&gt;0, -SUM(O359:O371), 0)</f>
        <v>0</v>
      </c>
      <c r="P372" s="164">
        <f>IF(Input!Q173&gt;0, -SUM(P359:P371), 0)</f>
        <v>0</v>
      </c>
      <c r="Q372" s="63"/>
      <c r="R372" s="101"/>
      <c r="S372" s="318"/>
      <c r="T372" s="101"/>
      <c r="U372" s="354"/>
      <c r="V372" s="101"/>
      <c r="W372" s="101"/>
      <c r="X372" s="101"/>
      <c r="Y372" s="101"/>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185"/>
      <c r="BJ372" s="185"/>
      <c r="BK372" s="185"/>
      <c r="BL372" s="185"/>
      <c r="BM372" s="185"/>
      <c r="BN372" s="185"/>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hidden="1" customHeight="1" outlineLevel="2">
      <c r="A373" s="9"/>
      <c r="B373" s="186" t="str">
        <f>Asset24</f>
        <v>Equity raising costs</v>
      </c>
      <c r="C373" s="32"/>
      <c r="D373" s="33" t="s">
        <v>67</v>
      </c>
      <c r="E373" s="32"/>
      <c r="F373" s="204"/>
      <c r="G373" s="356">
        <v>0</v>
      </c>
      <c r="H373" s="356">
        <v>0</v>
      </c>
      <c r="I373" s="356">
        <v>0</v>
      </c>
      <c r="J373" s="356">
        <v>0</v>
      </c>
      <c r="K373" s="356">
        <v>0</v>
      </c>
      <c r="L373" s="66"/>
      <c r="M373" s="66" t="str">
        <f>IF(M$3&gt;A24taxremlife,A24taxvalue-SUM($F373:L373),IF(A24taxremlife="N/A","n/a",A24taxvalue/A24taxremlife))</f>
        <v>n/a</v>
      </c>
      <c r="N373" s="66" t="str">
        <f>IF(N$3&gt;A24taxremlife,A24taxvalue-SUM($F373:M373),IF(A24taxremlife="N/A","n/a",A24taxvalue/A24taxremlife))</f>
        <v>n/a</v>
      </c>
      <c r="O373" s="66" t="str">
        <f>IF(O$3&gt;A24taxremlife,A24taxvalue-SUM($F373:N373),IF(A24taxremlife="N/A","n/a",A24taxvalue/A24taxremlife))</f>
        <v>n/a</v>
      </c>
      <c r="P373" s="66" t="str">
        <f>IF(P$3&gt;A24taxremlife,A24taxvalue-SUM($F373:O373),IF(A24taxremlife="N/A","n/a",A24taxvalue/A24taxremlife))</f>
        <v>n/a</v>
      </c>
      <c r="Q373" s="66"/>
      <c r="R373" s="102"/>
      <c r="S373" s="308">
        <f>SUM(K373:K378)</f>
        <v>0.13720685358878634</v>
      </c>
      <c r="T373" s="102"/>
      <c r="U373" s="354"/>
      <c r="V373" s="102"/>
      <c r="W373" s="102"/>
      <c r="X373" s="102"/>
      <c r="Y373" s="102"/>
      <c r="Z373" s="215"/>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185"/>
      <c r="BJ373" s="185"/>
      <c r="BK373" s="185"/>
      <c r="BL373" s="185"/>
      <c r="BM373" s="185"/>
      <c r="BN373" s="185"/>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hidden="1" customHeight="1" outlineLevel="2">
      <c r="A374" s="9"/>
      <c r="B374" s="9"/>
      <c r="C374" s="25"/>
      <c r="D374" s="384" t="s">
        <v>85</v>
      </c>
      <c r="E374" s="85">
        <v>0</v>
      </c>
      <c r="F374" s="310"/>
      <c r="G374" s="67"/>
      <c r="H374" s="67"/>
      <c r="I374" s="67"/>
      <c r="J374" s="67"/>
      <c r="K374" s="67"/>
      <c r="L374" s="67"/>
      <c r="M374" s="67"/>
      <c r="N374" s="67"/>
      <c r="O374" s="67"/>
      <c r="P374" s="67"/>
      <c r="Q374" s="67"/>
      <c r="R374" s="102"/>
      <c r="S374" s="102"/>
      <c r="T374" s="102"/>
      <c r="U374" s="354"/>
      <c r="V374" s="102"/>
      <c r="W374" s="102"/>
      <c r="X374" s="102"/>
      <c r="Y374" s="102"/>
      <c r="Z374" s="21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185"/>
      <c r="BJ374" s="185"/>
      <c r="BK374" s="185"/>
      <c r="BL374" s="185"/>
      <c r="BM374" s="185"/>
      <c r="BN374" s="185"/>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hidden="1" customHeight="1" outlineLevel="2">
      <c r="A375" s="9"/>
      <c r="B375" s="9"/>
      <c r="C375" s="25"/>
      <c r="D375" s="385"/>
      <c r="E375" s="85">
        <v>1</v>
      </c>
      <c r="F375" s="203"/>
      <c r="G375" s="147"/>
      <c r="H375" s="67">
        <f>IF(A24taxstdlife="n/a","n/a",IF(H$3&gt;(A24taxstdlife+$E375),(Input!$H$64-Input!$H$98)-SUM($G375:G375),(Input!$H$64-Input!$H$98)/A24taxstdlife))</f>
        <v>0.13720685358878634</v>
      </c>
      <c r="I375" s="67">
        <f>IF(A24taxstdlife="n/a","n/a",IF(I$3&gt;(A24taxstdlife+$E375),(Input!$H$64-Input!$H$98)-SUM($G375:H375),(Input!$H$64-Input!$H$98)/A24taxstdlife))</f>
        <v>0.13720685358878634</v>
      </c>
      <c r="J375" s="67">
        <f>IF(A24taxstdlife="n/a","n/a",IF(J$3&gt;(A24taxstdlife+$E375),(Input!$H$64-Input!$H$98)-SUM($G375:I375),(Input!$H$64-Input!$H$98)/A24taxstdlife))</f>
        <v>0.13720685358878634</v>
      </c>
      <c r="K375" s="67">
        <f>IF(A24taxstdlife="n/a","n/a",IF(K$3&gt;(A24taxstdlife+$E375),(Input!$H$64-Input!$H$98)-SUM($G375:J375),(Input!$H$64-Input!$H$98)/A24taxstdlife))</f>
        <v>0.13720685358878634</v>
      </c>
      <c r="L375" s="67">
        <f>IF(A24taxstdlife="n/a","n/a",IF(L$3&gt;(A24taxstdlife+$E375),(Input!$H$64-Input!$H$98)-SUM($G375:K375),(Input!$H$64-Input!$H$98)/A24taxstdlife))</f>
        <v>0.13720685358878634</v>
      </c>
      <c r="M375" s="67"/>
      <c r="N375" s="67">
        <f>IF(A24taxstdlife="n/a","n/a",IF(N$3&gt;(A24taxstdlife+$E375),(Input!$H$64-Input!$H$98)-SUM($G375:M375),(Input!$H$64-Input!$H$98)/A24taxstdlife))</f>
        <v>0.13720685358878634</v>
      </c>
      <c r="O375" s="67">
        <f>IF(A24taxstdlife="n/a","n/a",IF(O$3&gt;(A24taxstdlife+$E375),(Input!$H$64-Input!$H$98)-SUM($G375:N375),(Input!$H$64-Input!$H$98)/A24taxstdlife))</f>
        <v>0.13720685358878634</v>
      </c>
      <c r="P375" s="67">
        <f>IF(A24taxstdlife="n/a","n/a",IF(P$3&gt;(A24taxstdlife+$E375),(Input!$H$64-Input!$H$98)-SUM($G375:O375),(Input!$H$64-Input!$H$98)/A24taxstdlife))</f>
        <v>0.13720685358878634</v>
      </c>
      <c r="Q375" s="67"/>
      <c r="R375" s="102"/>
      <c r="S375" s="102"/>
      <c r="T375" s="102"/>
      <c r="U375" s="354"/>
      <c r="V375" s="102"/>
      <c r="W375" s="102"/>
      <c r="X375" s="102"/>
      <c r="Y375" s="102"/>
      <c r="Z375" s="215"/>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185"/>
      <c r="BJ375" s="185"/>
      <c r="BK375" s="185"/>
      <c r="BL375" s="185"/>
      <c r="BM375" s="185"/>
      <c r="BN375" s="18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hidden="1" customHeight="1" outlineLevel="2">
      <c r="A376" s="9"/>
      <c r="B376" s="9"/>
      <c r="C376" s="25"/>
      <c r="D376" s="385"/>
      <c r="E376" s="85">
        <v>2</v>
      </c>
      <c r="F376" s="203"/>
      <c r="G376" s="148"/>
      <c r="H376" s="147"/>
      <c r="I376" s="67">
        <f>IF(A24taxstdlife="n/a","n/a",IF(I$3&gt;(A24taxstdlife+$E376),(Input!$I$64-Input!$I$98)-SUM($H376:H376),(Input!$I$64-Input!$I$98)/A24taxstdlife))</f>
        <v>0</v>
      </c>
      <c r="J376" s="67">
        <f>IF(A24taxstdlife="n/a","n/a",IF(J$3&gt;(A24taxstdlife+$E376),(Input!$I$64-Input!$I$98)-SUM($H376:I376),(Input!$I$64-Input!$I$98)/A24taxstdlife))</f>
        <v>0</v>
      </c>
      <c r="K376" s="67">
        <f>IF(A24taxstdlife="n/a","n/a",IF(K$3&gt;(A24taxstdlife+$E376),(Input!$I$64-Input!$I$98)-SUM($H376:J376),(Input!$I$64-Input!$I$98)/A24taxstdlife))</f>
        <v>0</v>
      </c>
      <c r="L376" s="67">
        <f>IF(A24taxstdlife="n/a","n/a",IF(L$3&gt;(A24taxstdlife+$E376),(Input!$I$64-Input!$I$98)-SUM($H376:K376),(Input!$I$64-Input!$I$98)/A24taxstdlife))</f>
        <v>0</v>
      </c>
      <c r="M376" s="67"/>
      <c r="N376" s="67">
        <f>IF(A24taxstdlife="n/a","n/a",IF(N$3&gt;(A24taxstdlife+$E376),(Input!$I$64-Input!$I$98)-SUM($H376:M376),(Input!$I$64-Input!$I$98)/A24taxstdlife))</f>
        <v>0</v>
      </c>
      <c r="O376" s="67">
        <f>IF(A24taxstdlife="n/a","n/a",IF(O$3&gt;(A24taxstdlife+$E376),(Input!$I$64-Input!$I$98)-SUM($H376:N376),(Input!$I$64-Input!$I$98)/A24taxstdlife))</f>
        <v>0</v>
      </c>
      <c r="P376" s="67">
        <f>IF(A24taxstdlife="n/a","n/a",IF(P$3&gt;(A24taxstdlife+$E376),(Input!$I$64-Input!$I$98)-SUM($H376:O376),(Input!$I$64-Input!$I$98)/A24taxstdlife))</f>
        <v>0</v>
      </c>
      <c r="Q376" s="67"/>
      <c r="R376" s="102"/>
      <c r="S376" s="102"/>
      <c r="T376" s="102"/>
      <c r="U376" s="354"/>
      <c r="V376" s="102"/>
      <c r="W376" s="102"/>
      <c r="X376" s="102"/>
      <c r="Y376" s="102"/>
      <c r="Z376" s="21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185"/>
      <c r="BJ376" s="185"/>
      <c r="BK376" s="185"/>
      <c r="BL376" s="185"/>
      <c r="BM376" s="185"/>
      <c r="BN376" s="185"/>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hidden="1" customHeight="1" outlineLevel="2">
      <c r="A377" s="9"/>
      <c r="B377" s="9"/>
      <c r="C377" s="25"/>
      <c r="D377" s="385"/>
      <c r="E377" s="85">
        <v>3</v>
      </c>
      <c r="F377" s="203"/>
      <c r="G377" s="148"/>
      <c r="H377" s="148"/>
      <c r="I377" s="147"/>
      <c r="J377" s="67">
        <f>IF(A24taxstdlife="n/a","n/a",IF(J$3&gt;(A24taxstdlife+$E377),(Input!$J$64-Input!$J$98)-SUM($I377:I377),(Input!$J$64-Input!$J$98)/A24taxstdlife))</f>
        <v>0</v>
      </c>
      <c r="K377" s="67">
        <f>IF(A24taxstdlife="n/a","n/a",IF(K$3&gt;(A24taxstdlife+$E377),(Input!$J$64-Input!$J$98)-SUM($I377:J377),(Input!$J$64-Input!$J$98)/A24taxstdlife))</f>
        <v>0</v>
      </c>
      <c r="L377" s="67">
        <f>IF(A24taxstdlife="n/a","n/a",IF(L$3&gt;(A24taxstdlife+$E377),(Input!$J$64-Input!$J$98)-SUM($I377:K377),(Input!$J$64-Input!$J$98)/A24taxstdlife))</f>
        <v>0</v>
      </c>
      <c r="M377" s="67"/>
      <c r="N377" s="67">
        <f>IF(A24taxstdlife="n/a","n/a",IF(N$3&gt;(A24taxstdlife+$E377),(Input!$J$64-Input!$J$98)-SUM($I377:M377),(Input!$J$64-Input!$J$98)/A24taxstdlife))</f>
        <v>0</v>
      </c>
      <c r="O377" s="67">
        <f>IF(A24taxstdlife="n/a","n/a",IF(O$3&gt;(A24taxstdlife+$E377),(Input!$J$64-Input!$J$98)-SUM($I377:N377),(Input!$J$64-Input!$J$98)/A24taxstdlife))</f>
        <v>0</v>
      </c>
      <c r="P377" s="67">
        <f>IF(A24taxstdlife="n/a","n/a",IF(P$3&gt;(A24taxstdlife+$E377),(Input!$J$64-Input!$J$98)-SUM($I377:O377),(Input!$J$64-Input!$J$98)/A24taxstdlife))</f>
        <v>0</v>
      </c>
      <c r="Q377" s="67"/>
      <c r="R377" s="102"/>
      <c r="S377" s="102"/>
      <c r="T377" s="102"/>
      <c r="U377" s="354"/>
      <c r="V377" s="102"/>
      <c r="W377" s="102"/>
      <c r="X377" s="102"/>
      <c r="Y377" s="102"/>
      <c r="Z377" s="215"/>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7"/>
      <c r="BJ377" s="185"/>
      <c r="BK377" s="185"/>
      <c r="BL377" s="185"/>
      <c r="BM377" s="185"/>
      <c r="BN377" s="185"/>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hidden="1" customHeight="1" outlineLevel="2">
      <c r="A378" s="9"/>
      <c r="B378" s="9"/>
      <c r="C378" s="25"/>
      <c r="D378" s="385"/>
      <c r="E378" s="85">
        <v>4</v>
      </c>
      <c r="F378" s="203"/>
      <c r="G378" s="148"/>
      <c r="H378" s="148"/>
      <c r="I378" s="148"/>
      <c r="J378" s="147"/>
      <c r="K378" s="67">
        <f>IF(A24taxstdlife="n/a","n/a",IF(K$3&gt;(A24taxstdlife+$E378),(Input!$K$64-Input!$K$98)-SUM($J378:J378),(Input!$K$64-Input!$K$98)/A24taxstdlife))</f>
        <v>0</v>
      </c>
      <c r="L378" s="67">
        <f>IF(A24taxstdlife="n/a","n/a",IF(L$3&gt;(A24taxstdlife+$E378),(Input!$K$64-Input!$K$98)-SUM($J378:K378),(Input!$K$64-Input!$K$98)/A24taxstdlife))</f>
        <v>0</v>
      </c>
      <c r="M378" s="67"/>
      <c r="N378" s="67">
        <f>IF(A24taxstdlife="n/a","n/a",IF(N$3&gt;(A24taxstdlife+$E378),(Input!$K$64-Input!$K$98)-SUM($J378:M378),(Input!$K$64-Input!$K$98)/A24taxstdlife))</f>
        <v>0</v>
      </c>
      <c r="O378" s="67">
        <f>IF(A24taxstdlife="n/a","n/a",IF(O$3&gt;(A24taxstdlife+$E378),(Input!$K$64-Input!$K$98)-SUM($J378:N378),(Input!$K$64-Input!$K$98)/A24taxstdlife))</f>
        <v>0</v>
      </c>
      <c r="P378" s="67">
        <f>IF(A24taxstdlife="n/a","n/a",IF(P$3&gt;(A24taxstdlife+$E378),(Input!$K$64-Input!$K$98)-SUM($J378:O378),(Input!$K$64-Input!$K$98)/A24taxstdlife))</f>
        <v>0</v>
      </c>
      <c r="Q378" s="67"/>
      <c r="R378" s="102"/>
      <c r="S378" s="102"/>
      <c r="T378" s="102"/>
      <c r="U378" s="354"/>
      <c r="V378" s="102"/>
      <c r="W378" s="102"/>
      <c r="X378" s="102"/>
      <c r="Y378" s="102"/>
      <c r="Z378" s="21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185"/>
      <c r="BJ378" s="185"/>
      <c r="BK378" s="185"/>
      <c r="BL378" s="185"/>
      <c r="BM378" s="185"/>
      <c r="BN378" s="185"/>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hidden="1" customHeight="1" outlineLevel="2">
      <c r="A379" s="9"/>
      <c r="B379" s="9"/>
      <c r="C379" s="25"/>
      <c r="D379" s="385"/>
      <c r="E379" s="85">
        <v>5</v>
      </c>
      <c r="F379" s="203"/>
      <c r="G379" s="148"/>
      <c r="H379" s="148"/>
      <c r="I379" s="148"/>
      <c r="J379" s="148"/>
      <c r="K379" s="147"/>
      <c r="L379" s="67">
        <f>IF(A24taxstdlife="n/a","n/a",IF(L$3&gt;(A24taxstdlife+$E379),(Input!$L$64-Input!$L$98)-SUM($K379:K379),(Input!$L$64-Input!$L$98)/A24taxstdlife))</f>
        <v>0</v>
      </c>
      <c r="M379" s="67"/>
      <c r="N379" s="67">
        <f>IF(A24taxstdlife="n/a","n/a",IF(N$3&gt;(A24taxstdlife+$E379),(Input!$L$64-Input!$L$98)-SUM($K379:M379),(Input!$L$64-Input!$L$98)/A24taxstdlife))</f>
        <v>0</v>
      </c>
      <c r="O379" s="67">
        <f>IF(A24taxstdlife="n/a","n/a",IF(O$3&gt;(A24taxstdlife+$E379),(Input!$L$64-Input!$L$98)-SUM($K379:N379),(Input!$L$64-Input!$L$98)/A24taxstdlife))</f>
        <v>0</v>
      </c>
      <c r="P379" s="67">
        <f>IF(A24taxstdlife="n/a","n/a",IF(P$3&gt;(A24taxstdlife+$E379),(Input!$L$64-Input!$L$98)-SUM($K379:O379),(Input!$L$64-Input!$L$98)/A24taxstdlife))</f>
        <v>0</v>
      </c>
      <c r="Q379" s="67"/>
      <c r="R379" s="102"/>
      <c r="S379" s="102"/>
      <c r="T379" s="102"/>
      <c r="U379" s="354"/>
      <c r="V379" s="102"/>
      <c r="W379" s="102"/>
      <c r="X379" s="102"/>
      <c r="Y379" s="102"/>
      <c r="Z379" s="215"/>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185"/>
      <c r="BJ379" s="185"/>
      <c r="BK379" s="185"/>
      <c r="BL379" s="185"/>
      <c r="BM379" s="185"/>
      <c r="BN379" s="185"/>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hidden="1" customHeight="1" outlineLevel="2">
      <c r="A380" s="9"/>
      <c r="B380" s="9"/>
      <c r="C380" s="25"/>
      <c r="D380" s="385"/>
      <c r="E380" s="85">
        <v>6</v>
      </c>
      <c r="F380" s="203"/>
      <c r="G380" s="148"/>
      <c r="H380" s="148"/>
      <c r="I380" s="148"/>
      <c r="J380" s="148"/>
      <c r="K380" s="148"/>
      <c r="L380" s="147"/>
      <c r="M380" s="67"/>
      <c r="N380" s="67">
        <f>IF(A24taxstdlife="n/a","n/a",IF(N$3&gt;(A24taxstdlife+$E380),(Input!$M$64-Input!$M$98)-SUM($L380:M380),(Input!$M$64-Input!$M$98)/A24taxstdlife))</f>
        <v>0</v>
      </c>
      <c r="O380" s="67">
        <f>IF(A24taxstdlife="n/a","n/a",IF(O$3&gt;(A24taxstdlife+$E380),(Input!$M$64-Input!$M$98)-SUM($L380:N380),(Input!$M$64-Input!$M$98)/A24taxstdlife))</f>
        <v>0</v>
      </c>
      <c r="P380" s="67">
        <f>IF(A24taxstdlife="n/a","n/a",IF(P$3&gt;(A24taxstdlife+$E380),(Input!$M$64-Input!$M$98)-SUM($L380:O380),(Input!$M$64-Input!$M$98)/A24taxstdlife))</f>
        <v>0</v>
      </c>
      <c r="Q380" s="67"/>
      <c r="R380" s="102"/>
      <c r="S380" s="102"/>
      <c r="T380" s="102"/>
      <c r="U380" s="354"/>
      <c r="V380" s="102"/>
      <c r="W380" s="102"/>
      <c r="X380" s="102"/>
      <c r="Y380" s="102"/>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185"/>
      <c r="BJ380" s="185"/>
      <c r="BK380" s="185"/>
      <c r="BL380" s="185"/>
      <c r="BM380" s="185"/>
      <c r="BN380" s="185"/>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hidden="1" customHeight="1" outlineLevel="2">
      <c r="A381" s="9"/>
      <c r="B381" s="9"/>
      <c r="C381" s="25"/>
      <c r="D381" s="385"/>
      <c r="E381" s="85">
        <v>7</v>
      </c>
      <c r="F381" s="203"/>
      <c r="G381" s="148"/>
      <c r="H381" s="148"/>
      <c r="I381" s="148"/>
      <c r="J381" s="148"/>
      <c r="K381" s="148"/>
      <c r="L381" s="148"/>
      <c r="M381" s="147"/>
      <c r="N381" s="67">
        <f>IF(A24taxstdlife="n/a","n/a",IF(N$3&gt;(A24taxstdlife+$E381),(Input!$N$64-Input!$N$98)-SUM($M381:M381),(Input!$N$64-Input!$N$98)/A24taxstdlife))</f>
        <v>0</v>
      </c>
      <c r="O381" s="67">
        <f>IF(A24taxstdlife="n/a","n/a",IF(O$3&gt;(A24taxstdlife+$E381),(Input!$N$64-Input!$N$98)-SUM($M381:N381),(Input!$N$64-Input!$N$98)/A24taxstdlife))</f>
        <v>0</v>
      </c>
      <c r="P381" s="67">
        <f>IF(A24taxstdlife="n/a","n/a",IF(P$3&gt;(A24taxstdlife+$E381),(Input!$N$64-Input!$N$98)-SUM($M381:O381),(Input!$N$64-Input!$N$98)/A24taxstdlife))</f>
        <v>0</v>
      </c>
      <c r="Q381" s="67"/>
      <c r="R381" s="102"/>
      <c r="S381" s="102"/>
      <c r="T381" s="102"/>
      <c r="U381" s="354"/>
      <c r="V381" s="102"/>
      <c r="W381" s="102"/>
      <c r="X381" s="102"/>
      <c r="Y381" s="102"/>
      <c r="Z381" s="215"/>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185"/>
      <c r="BJ381" s="185"/>
      <c r="BK381" s="185"/>
      <c r="BL381" s="185"/>
      <c r="BM381" s="185"/>
      <c r="BN381" s="185"/>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hidden="1" customHeight="1" outlineLevel="2">
      <c r="A382" s="9"/>
      <c r="B382" s="9"/>
      <c r="C382" s="25"/>
      <c r="D382" s="385"/>
      <c r="E382" s="85">
        <v>8</v>
      </c>
      <c r="F382" s="203"/>
      <c r="G382" s="148"/>
      <c r="H382" s="148"/>
      <c r="I382" s="148"/>
      <c r="J382" s="148"/>
      <c r="K382" s="148"/>
      <c r="L382" s="148"/>
      <c r="M382" s="148"/>
      <c r="N382" s="147"/>
      <c r="O382" s="67">
        <f>IF(A24taxstdlife="n/a","n/a",IF(O$3&gt;(A24taxstdlife+$E382),(Input!$O$64-Input!$O$98)-SUM($N382:N382),(Input!$O$64-Input!$O$98)/A24taxstdlife))</f>
        <v>0</v>
      </c>
      <c r="P382" s="67">
        <f>IF(A24taxstdlife="n/a","n/a",IF(P$3&gt;(A24taxstdlife+$E382),(Input!$O$64-Input!$O$98)-SUM($N382:O382),(Input!$O$64-Input!$O$98)/A24taxstdlife))</f>
        <v>0</v>
      </c>
      <c r="Q382" s="67"/>
      <c r="R382" s="102"/>
      <c r="S382" s="102"/>
      <c r="T382" s="102"/>
      <c r="U382" s="354"/>
      <c r="V382" s="102"/>
      <c r="W382" s="102"/>
      <c r="X382" s="102"/>
      <c r="Y382" s="102"/>
      <c r="Z382" s="215"/>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185"/>
      <c r="BJ382" s="185"/>
      <c r="BK382" s="185"/>
      <c r="BL382" s="185"/>
      <c r="BM382" s="185"/>
      <c r="BN382" s="185"/>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hidden="1" customHeight="1" outlineLevel="2">
      <c r="A383" s="9"/>
      <c r="B383" s="9"/>
      <c r="C383" s="25"/>
      <c r="D383" s="385"/>
      <c r="E383" s="85">
        <v>9</v>
      </c>
      <c r="F383" s="203"/>
      <c r="G383" s="148"/>
      <c r="H383" s="148"/>
      <c r="I383" s="148"/>
      <c r="J383" s="148"/>
      <c r="K383" s="148"/>
      <c r="L383" s="148"/>
      <c r="M383" s="148"/>
      <c r="N383" s="148"/>
      <c r="O383" s="147"/>
      <c r="P383" s="67">
        <f>IF(A24taxstdlife="n/a","n/a",IF(P$3&gt;(A24taxstdlife+$E383),(Input!$P$64-Input!$P$98)-SUM($O383:O383),(Input!$P$64-Input!$P$98)/A24taxstdlife))</f>
        <v>0</v>
      </c>
      <c r="Q383" s="67"/>
      <c r="R383" s="102"/>
      <c r="S383" s="102"/>
      <c r="T383" s="102"/>
      <c r="U383" s="354"/>
      <c r="V383" s="102"/>
      <c r="W383" s="102"/>
      <c r="X383" s="102"/>
      <c r="Y383" s="102"/>
      <c r="Z383" s="215"/>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185"/>
      <c r="BJ383" s="185"/>
      <c r="BK383" s="185"/>
      <c r="BL383" s="185"/>
      <c r="BM383" s="185"/>
      <c r="BN383" s="185"/>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hidden="1" customHeight="1" outlineLevel="2">
      <c r="A384" s="9"/>
      <c r="B384" s="9"/>
      <c r="C384" s="25"/>
      <c r="D384" s="385"/>
      <c r="E384" s="85">
        <v>10</v>
      </c>
      <c r="F384" s="203"/>
      <c r="G384" s="148"/>
      <c r="H384" s="148"/>
      <c r="I384" s="148"/>
      <c r="J384" s="148"/>
      <c r="K384" s="148"/>
      <c r="L384" s="148"/>
      <c r="M384" s="148"/>
      <c r="N384" s="148"/>
      <c r="O384" s="148"/>
      <c r="P384" s="147"/>
      <c r="Q384" s="67"/>
      <c r="R384" s="102"/>
      <c r="S384" s="102"/>
      <c r="T384" s="102"/>
      <c r="U384" s="354"/>
      <c r="V384" s="102"/>
      <c r="W384" s="102"/>
      <c r="X384" s="102"/>
      <c r="Y384" s="102"/>
      <c r="Z384" s="215"/>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185"/>
      <c r="BJ384" s="185"/>
      <c r="BK384" s="185"/>
      <c r="BL384" s="185"/>
      <c r="BM384" s="185"/>
      <c r="BN384" s="185"/>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hidden="1" customHeight="1" outlineLevel="2">
      <c r="A385" s="9"/>
      <c r="B385" s="9"/>
      <c r="C385" s="25"/>
      <c r="D385" s="385"/>
      <c r="E385" s="86">
        <v>11</v>
      </c>
      <c r="F385" s="351"/>
      <c r="G385" s="147"/>
      <c r="H385" s="148"/>
      <c r="I385" s="148"/>
      <c r="J385" s="148"/>
      <c r="K385" s="148"/>
      <c r="L385" s="148"/>
      <c r="M385" s="148"/>
      <c r="N385" s="148"/>
      <c r="O385" s="148"/>
      <c r="P385" s="187"/>
      <c r="Q385" s="67"/>
      <c r="R385" s="102"/>
      <c r="S385" s="102"/>
      <c r="T385" s="102"/>
      <c r="U385" s="354"/>
      <c r="V385" s="102"/>
      <c r="W385" s="102"/>
      <c r="X385" s="102"/>
      <c r="Y385" s="102"/>
      <c r="Z385" s="215"/>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185"/>
      <c r="BJ385" s="185"/>
      <c r="BK385" s="185"/>
      <c r="BL385" s="185"/>
      <c r="BM385" s="185"/>
      <c r="BN385" s="1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hidden="1" customHeight="1" outlineLevel="1">
      <c r="A386" s="9"/>
      <c r="B386" s="9"/>
      <c r="C386" s="25" t="str">
        <f>Asset24</f>
        <v>Equity raising costs</v>
      </c>
      <c r="D386" s="9"/>
      <c r="E386" s="9"/>
      <c r="F386" s="208">
        <f t="shared" ref="F386:K386" si="12">-SUM(F373:F385)</f>
        <v>0</v>
      </c>
      <c r="G386" s="164">
        <f t="shared" si="12"/>
        <v>0</v>
      </c>
      <c r="H386" s="164">
        <f t="shared" si="12"/>
        <v>-0.13720685358878634</v>
      </c>
      <c r="I386" s="164">
        <f t="shared" si="12"/>
        <v>-0.13720685358878634</v>
      </c>
      <c r="J386" s="164">
        <f t="shared" si="12"/>
        <v>-0.13720685358878634</v>
      </c>
      <c r="K386" s="164">
        <f t="shared" si="12"/>
        <v>-0.13720685358878634</v>
      </c>
      <c r="L386" s="164"/>
      <c r="M386" s="164">
        <f>IF(Input!N173&gt;0, -SUM(M373:M385), 0)</f>
        <v>0</v>
      </c>
      <c r="N386" s="164">
        <f>IF(Input!O173&gt;0, -SUM(N373:N385), 0)</f>
        <v>0</v>
      </c>
      <c r="O386" s="164">
        <f>IF(Input!P173&gt;0, -SUM(O373:O385), 0)</f>
        <v>0</v>
      </c>
      <c r="P386" s="164">
        <f>IF(Input!Q173&gt;0, -SUM(P373:P385), 0)</f>
        <v>0</v>
      </c>
      <c r="Q386" s="63"/>
      <c r="R386" s="101"/>
      <c r="S386" s="101"/>
      <c r="T386" s="101"/>
      <c r="U386" s="101"/>
      <c r="V386" s="101"/>
      <c r="W386" s="101"/>
      <c r="X386" s="101"/>
      <c r="Y386" s="101"/>
      <c r="Z386" s="21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185"/>
      <c r="BJ386" s="185"/>
      <c r="BK386" s="185"/>
      <c r="BL386" s="185"/>
      <c r="BM386" s="185"/>
      <c r="BN386" s="185"/>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hidden="1" customHeight="1" outlineLevel="2">
      <c r="A387" s="9"/>
      <c r="B387" s="186">
        <f>Asset25</f>
        <v>0</v>
      </c>
      <c r="C387" s="32"/>
      <c r="D387" s="33" t="s">
        <v>67</v>
      </c>
      <c r="E387" s="32"/>
      <c r="F387" s="204"/>
      <c r="G387" s="66">
        <f>IF(G$3&gt;A25taxremlife,A25taxvalue-SUM($F387:F387),IF(A25taxremlife="N/A","n/a",A25taxvalue/A25taxremlife))</f>
        <v>0</v>
      </c>
      <c r="H387" s="66">
        <f>IF(H$3&gt;A25taxremlife,A25taxvalue-SUM($F387:G387),IF(A25taxremlife="N/A","n/a",A25taxvalue/A25taxremlife))</f>
        <v>0</v>
      </c>
      <c r="I387" s="66">
        <f>IF(I$3&gt;A25taxremlife,A25taxvalue-SUM($F387:H387),IF(A25taxremlife="N/A","n/a",A25taxvalue/A25taxremlife))</f>
        <v>0</v>
      </c>
      <c r="J387" s="66">
        <f>IF(J$3&gt;A25taxremlife,A25taxvalue-SUM($F387:I387),IF(A25taxremlife="N/A","n/a",A25taxvalue/A25taxremlife))</f>
        <v>0</v>
      </c>
      <c r="K387" s="66">
        <f>IF(K$3&gt;A25taxremlife,A25taxvalue-SUM($F387:J387),IF(A25taxremlife="N/A","n/a",A25taxvalue/A25taxremlife))</f>
        <v>0</v>
      </c>
      <c r="L387" s="66"/>
      <c r="M387" s="66">
        <f>IF(M$3&gt;A25taxremlife,A25taxvalue-SUM($F387:L387),IF(A25taxremlife="N/A","n/a",A25taxvalue/A25taxremlife))</f>
        <v>0</v>
      </c>
      <c r="N387" s="66">
        <f>IF(N$3&gt;A25taxremlife,A25taxvalue-SUM($F387:M387),IF(A25taxremlife="N/A","n/a",A25taxvalue/A25taxremlife))</f>
        <v>0</v>
      </c>
      <c r="O387" s="66">
        <f>IF(O$3&gt;A25taxremlife,A25taxvalue-SUM($F387:N387),IF(A25taxremlife="N/A","n/a",A25taxvalue/A25taxremlife))</f>
        <v>0</v>
      </c>
      <c r="P387" s="66">
        <f>IF(P$3&gt;A25taxremlife,A25taxvalue-SUM($F387:O387),IF(A25taxremlife="N/A","n/a",A25taxvalue/A25taxremlife))</f>
        <v>0</v>
      </c>
      <c r="Q387" s="66"/>
      <c r="R387" s="102"/>
      <c r="S387" s="102"/>
      <c r="T387" s="102"/>
      <c r="U387" s="102"/>
      <c r="V387" s="102"/>
      <c r="W387" s="102"/>
      <c r="X387" s="102"/>
      <c r="Y387" s="102"/>
      <c r="Z387" s="215"/>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185"/>
      <c r="BJ387" s="185"/>
      <c r="BK387" s="185"/>
      <c r="BL387" s="185"/>
      <c r="BM387" s="185"/>
      <c r="BN387" s="185"/>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hidden="1" customHeight="1" outlineLevel="2">
      <c r="A388" s="9"/>
      <c r="B388" s="9"/>
      <c r="C388" s="25"/>
      <c r="D388" s="384" t="s">
        <v>85</v>
      </c>
      <c r="E388" s="85">
        <v>0</v>
      </c>
      <c r="F388" s="310"/>
      <c r="G388" s="67"/>
      <c r="H388" s="67"/>
      <c r="I388" s="67"/>
      <c r="J388" s="67"/>
      <c r="K388" s="67"/>
      <c r="L388" s="67"/>
      <c r="M388" s="67"/>
      <c r="N388" s="67"/>
      <c r="O388" s="67"/>
      <c r="P388" s="67"/>
      <c r="Q388" s="67"/>
      <c r="R388" s="102"/>
      <c r="S388" s="102"/>
      <c r="T388" s="102"/>
      <c r="U388" s="102"/>
      <c r="V388" s="102"/>
      <c r="W388" s="102"/>
      <c r="X388" s="102"/>
      <c r="Y388" s="102"/>
      <c r="Z388" s="21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185"/>
      <c r="BJ388" s="185"/>
      <c r="BK388" s="185"/>
      <c r="BL388" s="185"/>
      <c r="BM388" s="185"/>
      <c r="BN388" s="185"/>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hidden="1" customHeight="1" outlineLevel="2">
      <c r="A389" s="9"/>
      <c r="B389" s="9"/>
      <c r="C389" s="25"/>
      <c r="D389" s="385"/>
      <c r="E389" s="85">
        <v>1</v>
      </c>
      <c r="F389" s="203"/>
      <c r="G389" s="206">
        <f>IF(A25taxstdlife="n/a","n/a",IF(G$3&gt;(A25taxstdlife+$E389),(Input!$G$65-Input!$G$99)-SUM($F389:F389),(Input!$G$65-Input!$G$99)/A25taxstdlife))</f>
        <v>0</v>
      </c>
      <c r="H389" s="67">
        <f>IF(A25taxstdlife="n/a","n/a",IF(H$3&gt;(A25taxstdlife+$E389),(Input!$G$65-Input!$G$99)-SUM($F389:G389),(Input!$G$65-Input!$G$99)/A25taxstdlife))</f>
        <v>0</v>
      </c>
      <c r="I389" s="67">
        <f>IF(A25taxstdlife="n/a","n/a",IF(I$3&gt;(A25taxstdlife+$E389),(Input!$G$65-Input!$G$99)-SUM($F389:H389),(Input!$G$65-Input!$G$99)/A25taxstdlife))</f>
        <v>0</v>
      </c>
      <c r="J389" s="67">
        <f>IF(A25taxstdlife="n/a","n/a",IF(J$3&gt;(A25taxstdlife+$E389),(Input!$G$65-Input!$G$99)-SUM($F389:I389),(Input!$G$65-Input!$G$99)/A25taxstdlife))</f>
        <v>0</v>
      </c>
      <c r="K389" s="67">
        <f>IF(A25taxstdlife="n/a","n/a",IF(K$3&gt;(A25taxstdlife+$E389),(Input!$G$65-Input!$G$99)-SUM($F389:J389),(Input!$G$65-Input!$G$99)/A25taxstdlife))</f>
        <v>0</v>
      </c>
      <c r="L389" s="67"/>
      <c r="M389" s="67">
        <f>IF(A25taxstdlife="n/a","n/a",IF(M$3&gt;(A25taxstdlife+$E389),(Input!$G$65-Input!$G$99)-SUM($F389:L389),(Input!$G$65-Input!$G$99)/A25taxstdlife))</f>
        <v>0</v>
      </c>
      <c r="N389" s="67">
        <f>IF(A25taxstdlife="n/a","n/a",IF(N$3&gt;(A25taxstdlife+$E389),(Input!$G$65-Input!$G$99)-SUM($F389:M389),(Input!$G$65-Input!$G$99)/A25taxstdlife))</f>
        <v>0</v>
      </c>
      <c r="O389" s="67">
        <f>IF(A25taxstdlife="n/a","n/a",IF(O$3&gt;(A25taxstdlife+$E389),(Input!$G$65-Input!$G$99)-SUM($F389:N389),(Input!$G$65-Input!$G$99)/A25taxstdlife))</f>
        <v>0</v>
      </c>
      <c r="P389" s="67">
        <f>IF(A25taxstdlife="n/a","n/a",IF(P$3&gt;(A25taxstdlife+$E389),(Input!$G$65-Input!$G$99)-SUM($F389:O389),(Input!$G$65-Input!$G$99)/A25taxstdlife))</f>
        <v>0</v>
      </c>
      <c r="Q389" s="67"/>
      <c r="R389" s="102"/>
      <c r="S389" s="102"/>
      <c r="T389" s="102"/>
      <c r="U389" s="102"/>
      <c r="V389" s="102"/>
      <c r="W389" s="102"/>
      <c r="X389" s="102"/>
      <c r="Y389" s="102"/>
      <c r="Z389" s="21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185"/>
      <c r="BJ389" s="185"/>
      <c r="BK389" s="185"/>
      <c r="BL389" s="185"/>
      <c r="BM389" s="185"/>
      <c r="BN389" s="185"/>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hidden="1" customHeight="1" outlineLevel="2">
      <c r="A390" s="9"/>
      <c r="B390" s="9"/>
      <c r="C390" s="25"/>
      <c r="D390" s="385"/>
      <c r="E390" s="85">
        <v>2</v>
      </c>
      <c r="F390" s="203"/>
      <c r="G390" s="207"/>
      <c r="H390" s="147">
        <f>IF(A25taxstdlife="n/a","n/a",IF(H$3&gt;(A25taxstdlife+$E390),(Input!$H$65-Input!$H$99)-SUM($G390:G390),(Input!$H$65-Input!$H$99)/A25taxstdlife))</f>
        <v>0</v>
      </c>
      <c r="I390" s="67">
        <f>IF(A25taxstdlife="n/a","n/a",IF(I$3&gt;(A25taxstdlife+$E390),(Input!$H$65-Input!$H$99)-SUM($G390:H390),(Input!$H$65-Input!$H$99)/A25taxstdlife))</f>
        <v>0</v>
      </c>
      <c r="J390" s="67">
        <f>IF(A25taxstdlife="n/a","n/a",IF(J$3&gt;(A25taxstdlife+$E390),(Input!$H$65-Input!$H$99)-SUM($G390:I390),(Input!$H$65-Input!$H$99)/A25taxstdlife))</f>
        <v>0</v>
      </c>
      <c r="K390" s="67">
        <f>IF(A25taxstdlife="n/a","n/a",IF(K$3&gt;(A25taxstdlife+$E390),(Input!$H$65-Input!$H$99)-SUM($G390:J390),(Input!$H$65-Input!$H$99)/A25taxstdlife))</f>
        <v>0</v>
      </c>
      <c r="L390" s="67"/>
      <c r="M390" s="67">
        <f>IF(A25taxstdlife="n/a","n/a",IF(M$3&gt;(A25taxstdlife+$E390),(Input!$H$65-Input!$H$99)-SUM($G390:L390),(Input!$H$65-Input!$H$99)/A25taxstdlife))</f>
        <v>0</v>
      </c>
      <c r="N390" s="67">
        <f>IF(A25taxstdlife="n/a","n/a",IF(N$3&gt;(A25taxstdlife+$E390),(Input!$H$65-Input!$H$99)-SUM($G390:M390),(Input!$H$65-Input!$H$99)/A25taxstdlife))</f>
        <v>0</v>
      </c>
      <c r="O390" s="67">
        <f>IF(A25taxstdlife="n/a","n/a",IF(O$3&gt;(A25taxstdlife+$E390),(Input!$H$65-Input!$H$99)-SUM($G390:N390),(Input!$H$65-Input!$H$99)/A25taxstdlife))</f>
        <v>0</v>
      </c>
      <c r="P390" s="67">
        <f>IF(A25taxstdlife="n/a","n/a",IF(P$3&gt;(A25taxstdlife+$E390),(Input!$H$65-Input!$H$99)-SUM($G390:O390),(Input!$H$65-Input!$H$99)/A25taxstdlife))</f>
        <v>0</v>
      </c>
      <c r="Q390" s="67"/>
      <c r="R390" s="102"/>
      <c r="S390" s="102"/>
      <c r="T390" s="102"/>
      <c r="U390" s="102"/>
      <c r="V390" s="102"/>
      <c r="W390" s="102"/>
      <c r="X390" s="102"/>
      <c r="Y390" s="102"/>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185"/>
      <c r="BJ390" s="185"/>
      <c r="BK390" s="185"/>
      <c r="BL390" s="185"/>
      <c r="BM390" s="185"/>
      <c r="BN390" s="185"/>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hidden="1" customHeight="1" outlineLevel="2">
      <c r="A391" s="9"/>
      <c r="B391" s="9"/>
      <c r="C391" s="25"/>
      <c r="D391" s="385"/>
      <c r="E391" s="85">
        <v>3</v>
      </c>
      <c r="F391" s="203"/>
      <c r="G391" s="207"/>
      <c r="H391" s="148"/>
      <c r="I391" s="147">
        <f>IF(A25taxstdlife="n/a","n/a",IF(I$3&gt;(A25taxstdlife+$E391),(Input!$I$65-Input!$I$99)-SUM($H391:H391),(Input!$I$65-Input!$I$99)/A25taxstdlife))</f>
        <v>0</v>
      </c>
      <c r="J391" s="67">
        <f>IF(A25taxstdlife="n/a","n/a",IF(J$3&gt;(A25taxstdlife+$E391),(Input!$I$65-Input!$I$99)-SUM($H391:I391),(Input!$I$65-Input!$I$99)/A25taxstdlife))</f>
        <v>0</v>
      </c>
      <c r="K391" s="67">
        <f>IF(A25taxstdlife="n/a","n/a",IF(K$3&gt;(A25taxstdlife+$E391),(Input!$I$65-Input!$I$99)-SUM($H391:J391),(Input!$I$65-Input!$I$99)/A25taxstdlife))</f>
        <v>0</v>
      </c>
      <c r="L391" s="67"/>
      <c r="M391" s="67">
        <f>IF(A25taxstdlife="n/a","n/a",IF(M$3&gt;(A25taxstdlife+$E391),(Input!$I$65-Input!$I$99)-SUM($H391:L391),(Input!$I$65-Input!$I$99)/A25taxstdlife))</f>
        <v>0</v>
      </c>
      <c r="N391" s="67">
        <f>IF(A25taxstdlife="n/a","n/a",IF(N$3&gt;(A25taxstdlife+$E391),(Input!$I$65-Input!$I$99)-SUM($H391:M391),(Input!$I$65-Input!$I$99)/A25taxstdlife))</f>
        <v>0</v>
      </c>
      <c r="O391" s="67">
        <f>IF(A25taxstdlife="n/a","n/a",IF(O$3&gt;(A25taxstdlife+$E391),(Input!$I$65-Input!$I$99)-SUM($H391:N391),(Input!$I$65-Input!$I$99)/A25taxstdlife))</f>
        <v>0</v>
      </c>
      <c r="P391" s="67">
        <f>IF(A25taxstdlife="n/a","n/a",IF(P$3&gt;(A25taxstdlife+$E391),(Input!$I$65-Input!$I$99)-SUM($H391:O391),(Input!$I$65-Input!$I$99)/A25taxstdlife))</f>
        <v>0</v>
      </c>
      <c r="Q391" s="67"/>
      <c r="R391" s="102"/>
      <c r="S391" s="102"/>
      <c r="T391" s="102"/>
      <c r="U391" s="102"/>
      <c r="V391" s="102"/>
      <c r="W391" s="102"/>
      <c r="X391" s="102"/>
      <c r="Y391" s="102"/>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7"/>
      <c r="BJ391" s="185"/>
      <c r="BK391" s="185"/>
      <c r="BL391" s="185"/>
      <c r="BM391" s="185"/>
      <c r="BN391" s="185"/>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hidden="1" customHeight="1" outlineLevel="2">
      <c r="A392" s="9"/>
      <c r="B392" s="9"/>
      <c r="C392" s="25"/>
      <c r="D392" s="385"/>
      <c r="E392" s="85">
        <v>4</v>
      </c>
      <c r="F392" s="203"/>
      <c r="G392" s="207"/>
      <c r="H392" s="148"/>
      <c r="I392" s="148"/>
      <c r="J392" s="147">
        <f>IF(A25taxstdlife="n/a","n/a",IF(J$3&gt;(A25taxstdlife+$E392),(Input!$J$65-Input!$J$99)-SUM($I392:I392),(Input!$J$65-Input!$J$99)/A25taxstdlife))</f>
        <v>0</v>
      </c>
      <c r="K392" s="67">
        <f>IF(A25taxstdlife="n/a","n/a",IF(K$3&gt;(A25taxstdlife+$E392),(Input!$J$65-Input!$J$99)-SUM($I392:J392),(Input!$J$65-Input!$J$99)/A25taxstdlife))</f>
        <v>0</v>
      </c>
      <c r="L392" s="67"/>
      <c r="M392" s="67">
        <f>IF(A25taxstdlife="n/a","n/a",IF(M$3&gt;(A25taxstdlife+$E392),(Input!$J$65-Input!$J$99)-SUM($I392:L392),(Input!$J$65-Input!$J$99)/A25taxstdlife))</f>
        <v>0</v>
      </c>
      <c r="N392" s="67">
        <f>IF(A25taxstdlife="n/a","n/a",IF(N$3&gt;(A25taxstdlife+$E392),(Input!$J$65-Input!$J$99)-SUM($I392:M392),(Input!$J$65-Input!$J$99)/A25taxstdlife))</f>
        <v>0</v>
      </c>
      <c r="O392" s="67">
        <f>IF(A25taxstdlife="n/a","n/a",IF(O$3&gt;(A25taxstdlife+$E392),(Input!$J$65-Input!$J$99)-SUM($I392:N392),(Input!$J$65-Input!$J$99)/A25taxstdlife))</f>
        <v>0</v>
      </c>
      <c r="P392" s="67">
        <f>IF(A25taxstdlife="n/a","n/a",IF(P$3&gt;(A25taxstdlife+$E392),(Input!$J$65-Input!$J$99)-SUM($I392:O392),(Input!$J$65-Input!$J$99)/A25taxstdlife))</f>
        <v>0</v>
      </c>
      <c r="Q392" s="67"/>
      <c r="R392" s="102"/>
      <c r="S392" s="102"/>
      <c r="T392" s="102"/>
      <c r="U392" s="102"/>
      <c r="V392" s="102"/>
      <c r="W392" s="102"/>
      <c r="X392" s="102"/>
      <c r="Y392" s="102"/>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185"/>
      <c r="BJ392" s="185"/>
      <c r="BK392" s="185"/>
      <c r="BL392" s="185"/>
      <c r="BM392" s="185"/>
      <c r="BN392" s="185"/>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hidden="1" customHeight="1" outlineLevel="2">
      <c r="A393" s="9"/>
      <c r="B393" s="9"/>
      <c r="C393" s="25"/>
      <c r="D393" s="385"/>
      <c r="E393" s="85">
        <v>5</v>
      </c>
      <c r="F393" s="203"/>
      <c r="G393" s="207"/>
      <c r="H393" s="148"/>
      <c r="I393" s="148"/>
      <c r="J393" s="148"/>
      <c r="K393" s="147">
        <f>IF(A25taxstdlife="n/a","n/a",IF(K$3&gt;(A25taxstdlife+$E393),(Input!$K$65-Input!$K$99)-SUM($J393:J393),(Input!$K$65-Input!$K$99)/A25taxstdlife))</f>
        <v>0</v>
      </c>
      <c r="L393" s="67"/>
      <c r="M393" s="67">
        <f>IF(A25taxstdlife="n/a","n/a",IF(M$3&gt;(A25taxstdlife+$E393),(Input!$K$65-Input!$K$99)-SUM($J393:L393),(Input!$K$65-Input!$K$99)/A25taxstdlife))</f>
        <v>0</v>
      </c>
      <c r="N393" s="67">
        <f>IF(A25taxstdlife="n/a","n/a",IF(N$3&gt;(A25taxstdlife+$E393),(Input!$K$65-Input!$K$99)-SUM($J393:M393),(Input!$K$65-Input!$K$99)/A25taxstdlife))</f>
        <v>0</v>
      </c>
      <c r="O393" s="67">
        <f>IF(A25taxstdlife="n/a","n/a",IF(O$3&gt;(A25taxstdlife+$E393),(Input!$K$65-Input!$K$99)-SUM($J393:N393),(Input!$K$65-Input!$K$99)/A25taxstdlife))</f>
        <v>0</v>
      </c>
      <c r="P393" s="67">
        <f>IF(A25taxstdlife="n/a","n/a",IF(P$3&gt;(A25taxstdlife+$E393),(Input!$K$65-Input!$K$99)-SUM($J393:O393),(Input!$K$65-Input!$K$99)/A25taxstdlife))</f>
        <v>0</v>
      </c>
      <c r="Q393" s="67"/>
      <c r="R393" s="102"/>
      <c r="S393" s="102"/>
      <c r="T393" s="102"/>
      <c r="U393" s="102"/>
      <c r="V393" s="102"/>
      <c r="W393" s="102"/>
      <c r="X393" s="102"/>
      <c r="Y393" s="102"/>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185"/>
      <c r="BJ393" s="185"/>
      <c r="BK393" s="185"/>
      <c r="BL393" s="185"/>
      <c r="BM393" s="185"/>
      <c r="BN393" s="185"/>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hidden="1" customHeight="1" outlineLevel="2">
      <c r="A394" s="9"/>
      <c r="B394" s="9"/>
      <c r="C394" s="25"/>
      <c r="D394" s="385"/>
      <c r="E394" s="85">
        <v>6</v>
      </c>
      <c r="F394" s="203"/>
      <c r="G394" s="207"/>
      <c r="H394" s="148"/>
      <c r="I394" s="148"/>
      <c r="J394" s="148"/>
      <c r="K394" s="148"/>
      <c r="L394" s="147"/>
      <c r="M394" s="67">
        <f>IF(A25taxstdlife="n/a","n/a",IF(M$3&gt;(A25taxstdlife+$E394),(Input!$L$65-Input!$L$99)-SUM($K394:L394),(Input!$L$65-Input!$L$99)/A25taxstdlife))</f>
        <v>0</v>
      </c>
      <c r="N394" s="67">
        <f>IF(A25taxstdlife="n/a","n/a",IF(N$3&gt;(A25taxstdlife+$E394),(Input!$L$65-Input!$L$99)-SUM($K394:M394),(Input!$L$65-Input!$L$99)/A25taxstdlife))</f>
        <v>0</v>
      </c>
      <c r="O394" s="67">
        <f>IF(A25taxstdlife="n/a","n/a",IF(O$3&gt;(A25taxstdlife+$E394),(Input!$L$65-Input!$L$99)-SUM($K394:N394),(Input!$L$65-Input!$L$99)/A25taxstdlife))</f>
        <v>0</v>
      </c>
      <c r="P394" s="67">
        <f>IF(A25taxstdlife="n/a","n/a",IF(P$3&gt;(A25taxstdlife+$E394),(Input!$L$65-Input!$L$99)-SUM($K394:O394),(Input!$L$65-Input!$L$99)/A25taxstdlife))</f>
        <v>0</v>
      </c>
      <c r="Q394" s="67"/>
      <c r="R394" s="102"/>
      <c r="S394" s="102"/>
      <c r="T394" s="102"/>
      <c r="U394" s="102"/>
      <c r="V394" s="102"/>
      <c r="W394" s="102"/>
      <c r="X394" s="102"/>
      <c r="Y394" s="102"/>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185"/>
      <c r="BJ394" s="185"/>
      <c r="BK394" s="185"/>
      <c r="BL394" s="185"/>
      <c r="BM394" s="185"/>
      <c r="BN394" s="185"/>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hidden="1" customHeight="1" outlineLevel="2">
      <c r="A395" s="9"/>
      <c r="B395" s="9"/>
      <c r="C395" s="25"/>
      <c r="D395" s="385"/>
      <c r="E395" s="85">
        <v>7</v>
      </c>
      <c r="F395" s="203"/>
      <c r="G395" s="207"/>
      <c r="H395" s="148"/>
      <c r="I395" s="148"/>
      <c r="J395" s="148"/>
      <c r="K395" s="148"/>
      <c r="L395" s="148"/>
      <c r="M395" s="147">
        <f>IF(A25taxstdlife="n/a","n/a",IF(M$3&gt;(A25taxstdlife+$E395),(Input!$M$65-Input!$M$99)-SUM($L395:L395),(Input!$M$65-Input!$M$99)/A25taxstdlife))</f>
        <v>0</v>
      </c>
      <c r="N395" s="67">
        <f>IF(A25taxstdlife="n/a","n/a",IF(N$3&gt;(A25taxstdlife+$E395),(Input!$M$65-Input!$M$99)-SUM($L395:M395),(Input!$M$65-Input!$M$99)/A25taxstdlife))</f>
        <v>0</v>
      </c>
      <c r="O395" s="67">
        <f>IF(A25taxstdlife="n/a","n/a",IF(O$3&gt;(A25taxstdlife+$E395),(Input!$M$65-Input!$M$99)-SUM($L395:N395),(Input!$M$65-Input!$M$99)/A25taxstdlife))</f>
        <v>0</v>
      </c>
      <c r="P395" s="67">
        <f>IF(A25taxstdlife="n/a","n/a",IF(P$3&gt;(A25taxstdlife+$E395),(Input!$M$65-Input!$M$99)-SUM($L395:O395),(Input!$M$65-Input!$M$99)/A25taxstdlife))</f>
        <v>0</v>
      </c>
      <c r="Q395" s="67"/>
      <c r="R395" s="102"/>
      <c r="S395" s="102"/>
      <c r="T395" s="102"/>
      <c r="U395" s="102"/>
      <c r="V395" s="102"/>
      <c r="W395" s="102"/>
      <c r="X395" s="102"/>
      <c r="Y395" s="102"/>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185"/>
      <c r="BJ395" s="185"/>
      <c r="BK395" s="185"/>
      <c r="BL395" s="185"/>
      <c r="BM395" s="185"/>
      <c r="BN395" s="18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hidden="1" customHeight="1" outlineLevel="2">
      <c r="A396" s="9"/>
      <c r="B396" s="9"/>
      <c r="C396" s="25"/>
      <c r="D396" s="385"/>
      <c r="E396" s="85">
        <v>8</v>
      </c>
      <c r="F396" s="203"/>
      <c r="G396" s="207"/>
      <c r="H396" s="148"/>
      <c r="I396" s="148"/>
      <c r="J396" s="148"/>
      <c r="K396" s="148"/>
      <c r="L396" s="148"/>
      <c r="M396" s="148"/>
      <c r="N396" s="147">
        <f>IF(A25taxstdlife="n/a","n/a",IF(N$3&gt;(A25taxstdlife+$E396),(Input!$N$65-Input!$N$99)-SUM($M396:M396),(Input!$N$65-Input!$N$99)/A25taxstdlife))</f>
        <v>0</v>
      </c>
      <c r="O396" s="67">
        <f>IF(A25taxstdlife="n/a","n/a",IF(O$3&gt;(A25taxstdlife+$E396),(Input!$N$65-Input!$N$99)-SUM($M396:N396),(Input!$N$65-Input!$N$99)/A25taxstdlife))</f>
        <v>0</v>
      </c>
      <c r="P396" s="67">
        <f>IF(A25taxstdlife="n/a","n/a",IF(P$3&gt;(A25taxstdlife+$E396),(Input!$N$65-Input!$N$99)-SUM($M396:O396),(Input!$N$65-Input!$N$99)/A25taxstdlife))</f>
        <v>0</v>
      </c>
      <c r="Q396" s="67"/>
      <c r="R396" s="102"/>
      <c r="S396" s="102"/>
      <c r="T396" s="102"/>
      <c r="U396" s="102"/>
      <c r="V396" s="102"/>
      <c r="W396" s="102"/>
      <c r="X396" s="102"/>
      <c r="Y396" s="102"/>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185"/>
      <c r="BJ396" s="185"/>
      <c r="BK396" s="185"/>
      <c r="BL396" s="185"/>
      <c r="BM396" s="185"/>
      <c r="BN396" s="185"/>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hidden="1" customHeight="1" outlineLevel="2">
      <c r="A397" s="9"/>
      <c r="B397" s="9"/>
      <c r="C397" s="25"/>
      <c r="D397" s="385"/>
      <c r="E397" s="85">
        <v>9</v>
      </c>
      <c r="F397" s="203"/>
      <c r="G397" s="207"/>
      <c r="H397" s="148"/>
      <c r="I397" s="148"/>
      <c r="J397" s="148"/>
      <c r="K397" s="148"/>
      <c r="L397" s="148"/>
      <c r="M397" s="148"/>
      <c r="N397" s="148"/>
      <c r="O397" s="147">
        <f>IF(A25taxstdlife="n/a","n/a",IF(O$3&gt;(A25taxstdlife+$E397),(Input!$O$65-Input!$O$99)-SUM($N397:N397),(Input!$O$65-Input!$O$99)/A25taxstdlife))</f>
        <v>0</v>
      </c>
      <c r="P397" s="67">
        <f>IF(A25taxstdlife="n/a","n/a",IF(P$3&gt;(A25taxstdlife+$E397),(Input!$O$65-Input!$O$99)-SUM($N397:O397),(Input!$O$65-Input!$O$99)/A25taxstdlife))</f>
        <v>0</v>
      </c>
      <c r="Q397" s="360"/>
      <c r="R397" s="102"/>
      <c r="S397" s="102"/>
      <c r="T397" s="102"/>
      <c r="U397" s="102"/>
      <c r="V397" s="102"/>
      <c r="W397" s="102"/>
      <c r="X397" s="102"/>
      <c r="Y397" s="102"/>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185"/>
      <c r="BJ397" s="185"/>
      <c r="BK397" s="185"/>
      <c r="BL397" s="185"/>
      <c r="BM397" s="185"/>
      <c r="BN397" s="185"/>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hidden="1" customHeight="1" outlineLevel="2">
      <c r="A398" s="9"/>
      <c r="B398" s="9"/>
      <c r="C398" s="25"/>
      <c r="D398" s="385"/>
      <c r="E398" s="85">
        <v>10</v>
      </c>
      <c r="F398" s="203"/>
      <c r="G398" s="207"/>
      <c r="H398" s="148"/>
      <c r="I398" s="148"/>
      <c r="J398" s="148"/>
      <c r="K398" s="148"/>
      <c r="L398" s="148"/>
      <c r="M398" s="148"/>
      <c r="N398" s="148"/>
      <c r="O398" s="148"/>
      <c r="P398" s="147">
        <f>IF(A25taxstdlife="n/a","n/a",IF(P$3&gt;(A25taxstdlife+$E398),(Input!$P$65-Input!$P$99)-SUM($O398:O398),(Input!$P$65-Input!$P$99)/A25taxstdlife))</f>
        <v>0</v>
      </c>
      <c r="Q398" s="360"/>
      <c r="R398" s="102"/>
      <c r="S398" s="102"/>
      <c r="T398" s="102"/>
      <c r="U398" s="102"/>
      <c r="V398" s="102"/>
      <c r="W398" s="102"/>
      <c r="X398" s="102"/>
      <c r="Y398" s="102"/>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185"/>
      <c r="BJ398" s="185"/>
      <c r="BK398" s="185"/>
      <c r="BL398" s="185"/>
      <c r="BM398" s="185"/>
      <c r="BN398" s="185"/>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hidden="1" customHeight="1" outlineLevel="2">
      <c r="A399" s="9"/>
      <c r="B399" s="9"/>
      <c r="C399" s="25"/>
      <c r="D399" s="385"/>
      <c r="E399" s="86">
        <v>11</v>
      </c>
      <c r="F399" s="351"/>
      <c r="G399" s="207"/>
      <c r="H399" s="148"/>
      <c r="I399" s="148"/>
      <c r="J399" s="148"/>
      <c r="K399" s="148"/>
      <c r="L399" s="148"/>
      <c r="M399" s="148"/>
      <c r="N399" s="148"/>
      <c r="O399" s="148"/>
      <c r="P399" s="187"/>
      <c r="Q399" s="350"/>
      <c r="R399" s="102"/>
      <c r="S399" s="102"/>
      <c r="T399" s="102"/>
      <c r="U399" s="102"/>
      <c r="V399" s="102"/>
      <c r="W399" s="102"/>
      <c r="X399" s="102"/>
      <c r="Y399" s="102"/>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185"/>
      <c r="BJ399" s="185"/>
      <c r="BK399" s="185"/>
      <c r="BL399" s="185"/>
      <c r="BM399" s="185"/>
      <c r="BN399" s="185"/>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hidden="1" customHeight="1" outlineLevel="1">
      <c r="A400" s="9"/>
      <c r="B400" s="9"/>
      <c r="C400" s="25">
        <f>Asset25</f>
        <v>0</v>
      </c>
      <c r="D400" s="9"/>
      <c r="E400" s="9"/>
      <c r="F400" s="358">
        <f t="shared" ref="F400:K400" si="13">-SUM(F387:F399)</f>
        <v>0</v>
      </c>
      <c r="G400" s="208">
        <f t="shared" si="13"/>
        <v>0</v>
      </c>
      <c r="H400" s="164">
        <f t="shared" si="13"/>
        <v>0</v>
      </c>
      <c r="I400" s="164">
        <f t="shared" si="13"/>
        <v>0</v>
      </c>
      <c r="J400" s="164">
        <f t="shared" si="13"/>
        <v>0</v>
      </c>
      <c r="K400" s="164">
        <f t="shared" si="13"/>
        <v>0</v>
      </c>
      <c r="L400" s="164"/>
      <c r="M400" s="164">
        <f>IF(Input!N173&gt;0, -SUM(M387:M399), 0)</f>
        <v>0</v>
      </c>
      <c r="N400" s="164">
        <f>IF(Input!O173&gt;0, -SUM(N387:N399), 0)</f>
        <v>0</v>
      </c>
      <c r="O400" s="164">
        <f>IF(Input!P173&gt;0, -SUM(O387:O399), 0)</f>
        <v>0</v>
      </c>
      <c r="P400" s="164">
        <f>IF(Input!Q173&gt;0, -SUM(P387:P399), 0)</f>
        <v>0</v>
      </c>
      <c r="Q400" s="357"/>
      <c r="R400" s="101"/>
      <c r="S400" s="101"/>
      <c r="T400" s="101"/>
      <c r="U400" s="101"/>
      <c r="V400" s="101"/>
      <c r="W400" s="101"/>
      <c r="X400" s="101"/>
      <c r="Y400" s="101"/>
      <c r="Z400" s="216"/>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185"/>
      <c r="BJ400" s="185"/>
      <c r="BK400" s="185"/>
      <c r="BL400" s="185"/>
      <c r="BM400" s="185"/>
      <c r="BN400" s="185"/>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hidden="1" customHeight="1" outlineLevel="2">
      <c r="A401" s="9"/>
      <c r="B401" s="186">
        <f>Asset26</f>
        <v>0</v>
      </c>
      <c r="C401" s="32"/>
      <c r="D401" s="33" t="s">
        <v>67</v>
      </c>
      <c r="E401" s="32"/>
      <c r="F401" s="359"/>
      <c r="G401" s="204">
        <f>IF(G$3&gt;A26taxremlife,A26taxvalue-SUM($F401:F401),IF(A26taxremlife="N/A","n/a",A26taxvalue/A26taxremlife))</f>
        <v>0</v>
      </c>
      <c r="H401" s="66">
        <f>IF(H$3&gt;A26taxremlife,A26taxvalue-SUM($F401:G401),IF(A26taxremlife="N/A","n/a",A26taxvalue/A26taxremlife))</f>
        <v>0</v>
      </c>
      <c r="I401" s="66">
        <f>IF(I$3&gt;A26taxremlife,A26taxvalue-SUM($F401:H401),IF(A26taxremlife="N/A","n/a",A26taxvalue/A26taxremlife))</f>
        <v>0</v>
      </c>
      <c r="J401" s="66">
        <f>IF(J$3&gt;A26taxremlife,A26taxvalue-SUM($F401:I401),IF(A26taxremlife="N/A","n/a",A26taxvalue/A26taxremlife))</f>
        <v>0</v>
      </c>
      <c r="K401" s="66">
        <f>IF(K$3&gt;A26taxremlife,A26taxvalue-SUM($F401:J401),IF(A26taxremlife="N/A","n/a",A26taxvalue/A26taxremlife))</f>
        <v>0</v>
      </c>
      <c r="L401" s="66"/>
      <c r="M401" s="66">
        <f>IF(M$3&gt;A26taxremlife,A26taxvalue-SUM($F401:L401),IF(A26taxremlife="N/A","n/a",A26taxvalue/A26taxremlife))</f>
        <v>0</v>
      </c>
      <c r="N401" s="66">
        <f>IF(N$3&gt;A26taxremlife,A26taxvalue-SUM($F401:M401),IF(A26taxremlife="N/A","n/a",A26taxvalue/A26taxremlife))</f>
        <v>0</v>
      </c>
      <c r="O401" s="66">
        <f>IF(O$3&gt;A26taxremlife,A26taxvalue-SUM($F401:N401),IF(A26taxremlife="N/A","n/a",A26taxvalue/A26taxremlife))</f>
        <v>0</v>
      </c>
      <c r="P401" s="66">
        <f>IF(P$3&gt;A26taxremlife,A26taxvalue-SUM($F401:O401),IF(A26taxremlife="N/A","n/a",A26taxvalue/A26taxremlife))</f>
        <v>0</v>
      </c>
      <c r="Q401" s="356"/>
      <c r="R401" s="102"/>
      <c r="S401" s="102"/>
      <c r="T401" s="102"/>
      <c r="U401" s="102"/>
      <c r="V401" s="102"/>
      <c r="W401" s="102"/>
      <c r="X401" s="102"/>
      <c r="Y401" s="102"/>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185"/>
      <c r="BJ401" s="185"/>
      <c r="BK401" s="185"/>
      <c r="BL401" s="185"/>
      <c r="BM401" s="185"/>
      <c r="BN401" s="185"/>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hidden="1" customHeight="1" outlineLevel="2">
      <c r="A402" s="9"/>
      <c r="B402" s="9"/>
      <c r="C402" s="25"/>
      <c r="D402" s="384" t="s">
        <v>85</v>
      </c>
      <c r="E402" s="85">
        <v>0</v>
      </c>
      <c r="F402" s="310"/>
      <c r="G402" s="205"/>
      <c r="H402" s="67"/>
      <c r="I402" s="67"/>
      <c r="J402" s="67"/>
      <c r="K402" s="67"/>
      <c r="L402" s="67"/>
      <c r="M402" s="67"/>
      <c r="N402" s="67"/>
      <c r="O402" s="67"/>
      <c r="P402" s="67"/>
      <c r="Q402" s="360"/>
      <c r="R402" s="102"/>
      <c r="S402" s="102"/>
      <c r="T402" s="102"/>
      <c r="U402" s="102"/>
      <c r="V402" s="102"/>
      <c r="W402" s="102"/>
      <c r="X402" s="102"/>
      <c r="Y402" s="102"/>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185"/>
      <c r="BJ402" s="185"/>
      <c r="BK402" s="185"/>
      <c r="BL402" s="185"/>
      <c r="BM402" s="185"/>
      <c r="BN402" s="185"/>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hidden="1" customHeight="1" outlineLevel="2">
      <c r="A403" s="9"/>
      <c r="B403" s="9"/>
      <c r="C403" s="25"/>
      <c r="D403" s="385"/>
      <c r="E403" s="85">
        <v>1</v>
      </c>
      <c r="F403" s="203"/>
      <c r="G403" s="206">
        <f>IF(A26taxstdlife="n/a","n/a",IF(G$3&gt;(A26taxstdlife+$E403),(Input!$G$66-Input!$G$100)-SUM($F403:F403),(Input!$G$66-Input!$G$100)/A26taxstdlife))</f>
        <v>0</v>
      </c>
      <c r="H403" s="67">
        <f>IF(A26taxstdlife="n/a","n/a",IF(H$3&gt;(A26taxstdlife+$E403),(Input!$G$66-Input!$G$100)-SUM($F403:G403),(Input!$G$66-Input!$G$100)/A26taxstdlife))</f>
        <v>0</v>
      </c>
      <c r="I403" s="67">
        <f>IF(A26taxstdlife="n/a","n/a",IF(I$3&gt;(A26taxstdlife+$E403),(Input!$G$66-Input!$G$100)-SUM($F403:H403),(Input!$G$66-Input!$G$100)/A26taxstdlife))</f>
        <v>0</v>
      </c>
      <c r="J403" s="67">
        <f>IF(A26taxstdlife="n/a","n/a",IF(J$3&gt;(A26taxstdlife+$E403),(Input!$G$66-Input!$G$100)-SUM($F403:I403),(Input!$G$66-Input!$G$100)/A26taxstdlife))</f>
        <v>0</v>
      </c>
      <c r="K403" s="67">
        <f>IF(A26taxstdlife="n/a","n/a",IF(K$3&gt;(A26taxstdlife+$E403),(Input!$G$66-Input!$G$100)-SUM($F403:J403),(Input!$G$66-Input!$G$100)/A26taxstdlife))</f>
        <v>0</v>
      </c>
      <c r="L403" s="67"/>
      <c r="M403" s="67">
        <f>IF(A26taxstdlife="n/a","n/a",IF(M$3&gt;(A26taxstdlife+$E403),(Input!$G$66-Input!$G$100)-SUM($F403:L403),(Input!$G$66-Input!$G$100)/A26taxstdlife))</f>
        <v>0</v>
      </c>
      <c r="N403" s="67">
        <f>IF(A26taxstdlife="n/a","n/a",IF(N$3&gt;(A26taxstdlife+$E403),(Input!$G$66-Input!$G$100)-SUM($F403:M403),(Input!$G$66-Input!$G$100)/A26taxstdlife))</f>
        <v>0</v>
      </c>
      <c r="O403" s="67">
        <f>IF(A26taxstdlife="n/a","n/a",IF(O$3&gt;(A26taxstdlife+$E403),(Input!$G$66-Input!$G$100)-SUM($F403:N403),(Input!$G$66-Input!$G$100)/A26taxstdlife))</f>
        <v>0</v>
      </c>
      <c r="P403" s="67">
        <f>IF(A26taxstdlife="n/a","n/a",IF(P$3&gt;(A26taxstdlife+$E403),(Input!$G$66-Input!$G$100)-SUM($F403:O403),(Input!$G$66-Input!$G$100)/A26taxstdlife))</f>
        <v>0</v>
      </c>
      <c r="Q403" s="360"/>
      <c r="R403" s="102"/>
      <c r="S403" s="102"/>
      <c r="T403" s="102"/>
      <c r="U403" s="102"/>
      <c r="V403" s="102"/>
      <c r="W403" s="102"/>
      <c r="X403" s="102"/>
      <c r="Y403" s="102"/>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185"/>
      <c r="BJ403" s="185"/>
      <c r="BK403" s="185"/>
      <c r="BL403" s="185"/>
      <c r="BM403" s="185"/>
      <c r="BN403" s="185"/>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hidden="1" customHeight="1" outlineLevel="2">
      <c r="A404" s="9"/>
      <c r="B404" s="9"/>
      <c r="C404" s="25"/>
      <c r="D404" s="385"/>
      <c r="E404" s="85">
        <v>2</v>
      </c>
      <c r="F404" s="203"/>
      <c r="G404" s="207"/>
      <c r="H404" s="147">
        <f>IF(A26taxstdlife="n/a","n/a",IF(H$3&gt;(A26taxstdlife+$E404),(Input!$H$66-Input!$H$100)-SUM($G404:G404),(Input!$H$66-Input!$H$100)/A26taxstdlife))</f>
        <v>0</v>
      </c>
      <c r="I404" s="67">
        <f>IF(A26taxstdlife="n/a","n/a",IF(I$3&gt;(A26taxstdlife+$E404),(Input!$H$66-Input!$H$100)-SUM($G404:H404),(Input!$H$66-Input!$H$100)/A26taxstdlife))</f>
        <v>0</v>
      </c>
      <c r="J404" s="67">
        <f>IF(A26taxstdlife="n/a","n/a",IF(J$3&gt;(A26taxstdlife+$E404),(Input!$H$66-Input!$H$100)-SUM($G404:I404),(Input!$H$66-Input!$H$100)/A26taxstdlife))</f>
        <v>0</v>
      </c>
      <c r="K404" s="67">
        <f>IF(A26taxstdlife="n/a","n/a",IF(K$3&gt;(A26taxstdlife+$E404),(Input!$H$66-Input!$H$100)-SUM($G404:J404),(Input!$H$66-Input!$H$100)/A26taxstdlife))</f>
        <v>0</v>
      </c>
      <c r="L404" s="67"/>
      <c r="M404" s="67">
        <f>IF(A26taxstdlife="n/a","n/a",IF(M$3&gt;(A26taxstdlife+$E404),(Input!$H$66-Input!$H$100)-SUM($G404:L404),(Input!$H$66-Input!$H$100)/A26taxstdlife))</f>
        <v>0</v>
      </c>
      <c r="N404" s="67">
        <f>IF(A26taxstdlife="n/a","n/a",IF(N$3&gt;(A26taxstdlife+$E404),(Input!$H$66-Input!$H$100)-SUM($G404:M404),(Input!$H$66-Input!$H$100)/A26taxstdlife))</f>
        <v>0</v>
      </c>
      <c r="O404" s="67">
        <f>IF(A26taxstdlife="n/a","n/a",IF(O$3&gt;(A26taxstdlife+$E404),(Input!$H$66-Input!$H$100)-SUM($G404:N404),(Input!$H$66-Input!$H$100)/A26taxstdlife))</f>
        <v>0</v>
      </c>
      <c r="P404" s="67">
        <f>IF(A26taxstdlife="n/a","n/a",IF(P$3&gt;(A26taxstdlife+$E404),(Input!$H$66-Input!$H$100)-SUM($G404:O404),(Input!$H$66-Input!$H$100)/A26taxstdlife))</f>
        <v>0</v>
      </c>
      <c r="Q404" s="360"/>
      <c r="R404" s="102"/>
      <c r="S404" s="102"/>
      <c r="T404" s="102"/>
      <c r="U404" s="102"/>
      <c r="V404" s="102"/>
      <c r="W404" s="102"/>
      <c r="X404" s="102"/>
      <c r="Y404" s="102"/>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185"/>
      <c r="BJ404" s="185"/>
      <c r="BK404" s="185"/>
      <c r="BL404" s="185"/>
      <c r="BM404" s="185"/>
      <c r="BN404" s="185"/>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hidden="1" customHeight="1" outlineLevel="2">
      <c r="A405" s="9"/>
      <c r="B405" s="9"/>
      <c r="C405" s="25"/>
      <c r="D405" s="385"/>
      <c r="E405" s="85">
        <v>3</v>
      </c>
      <c r="F405" s="203"/>
      <c r="G405" s="207"/>
      <c r="H405" s="148"/>
      <c r="I405" s="147">
        <f>IF(A26taxstdlife="n/a","n/a",IF(I$3&gt;(A26taxstdlife+$E405),(Input!$I$66-Input!$I$100)-SUM($H405:H405),(Input!$I$66-Input!$I$100)/A26taxstdlife))</f>
        <v>0</v>
      </c>
      <c r="J405" s="67">
        <f>IF(A26taxstdlife="n/a","n/a",IF(J$3&gt;(A26taxstdlife+$E405),(Input!$I$66-Input!$I$100)-SUM($H405:I405),(Input!$I$66-Input!$I$100)/A26taxstdlife))</f>
        <v>0</v>
      </c>
      <c r="K405" s="67">
        <f>IF(A26taxstdlife="n/a","n/a",IF(K$3&gt;(A26taxstdlife+$E405),(Input!$I$66-Input!$I$100)-SUM($H405:J405),(Input!$I$66-Input!$I$100)/A26taxstdlife))</f>
        <v>0</v>
      </c>
      <c r="L405" s="67"/>
      <c r="M405" s="67">
        <f>IF(A26taxstdlife="n/a","n/a",IF(M$3&gt;(A26taxstdlife+$E405),(Input!$I$66-Input!$I$100)-SUM($H405:L405),(Input!$I$66-Input!$I$100)/A26taxstdlife))</f>
        <v>0</v>
      </c>
      <c r="N405" s="67">
        <f>IF(A26taxstdlife="n/a","n/a",IF(N$3&gt;(A26taxstdlife+$E405),(Input!$I$66-Input!$I$100)-SUM($H405:M405),(Input!$I$66-Input!$I$100)/A26taxstdlife))</f>
        <v>0</v>
      </c>
      <c r="O405" s="67">
        <f>IF(A26taxstdlife="n/a","n/a",IF(O$3&gt;(A26taxstdlife+$E405),(Input!$I$66-Input!$I$100)-SUM($H405:N405),(Input!$I$66-Input!$I$100)/A26taxstdlife))</f>
        <v>0</v>
      </c>
      <c r="P405" s="67">
        <f>IF(A26taxstdlife="n/a","n/a",IF(P$3&gt;(A26taxstdlife+$E405),(Input!$I$66-Input!$I$100)-SUM($H405:O405),(Input!$I$66-Input!$I$100)/A26taxstdlife))</f>
        <v>0</v>
      </c>
      <c r="Q405" s="360"/>
      <c r="R405" s="102"/>
      <c r="S405" s="102"/>
      <c r="T405" s="102"/>
      <c r="U405" s="102"/>
      <c r="V405" s="102"/>
      <c r="W405" s="102"/>
      <c r="X405" s="102"/>
      <c r="Y405" s="102"/>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7"/>
      <c r="BJ405" s="185"/>
      <c r="BK405" s="185"/>
      <c r="BL405" s="185"/>
      <c r="BM405" s="185"/>
      <c r="BN405" s="18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hidden="1" customHeight="1" outlineLevel="2">
      <c r="A406" s="9"/>
      <c r="B406" s="9"/>
      <c r="C406" s="25"/>
      <c r="D406" s="385"/>
      <c r="E406" s="85">
        <v>4</v>
      </c>
      <c r="F406" s="203"/>
      <c r="G406" s="207"/>
      <c r="H406" s="148"/>
      <c r="I406" s="148"/>
      <c r="J406" s="147">
        <f>IF(A26taxstdlife="n/a","n/a",IF(J$3&gt;(A26taxstdlife+$E406),(Input!$J$66-Input!$J$100)-SUM($I406:I406),(Input!$J$66-Input!$J$100)/A26taxstdlife))</f>
        <v>0</v>
      </c>
      <c r="K406" s="67">
        <f>IF(A26taxstdlife="n/a","n/a",IF(K$3&gt;(A26taxstdlife+$E406),(Input!$J$66-Input!$J$100)-SUM($I406:J406),(Input!$J$66-Input!$J$100)/A26taxstdlife))</f>
        <v>0</v>
      </c>
      <c r="L406" s="67"/>
      <c r="M406" s="67">
        <f>IF(A26taxstdlife="n/a","n/a",IF(M$3&gt;(A26taxstdlife+$E406),(Input!$J$66-Input!$J$100)-SUM($I406:L406),(Input!$J$66-Input!$J$100)/A26taxstdlife))</f>
        <v>0</v>
      </c>
      <c r="N406" s="67">
        <f>IF(A26taxstdlife="n/a","n/a",IF(N$3&gt;(A26taxstdlife+$E406),(Input!$J$66-Input!$J$100)-SUM($I406:M406),(Input!$J$66-Input!$J$100)/A26taxstdlife))</f>
        <v>0</v>
      </c>
      <c r="O406" s="67">
        <f>IF(A26taxstdlife="n/a","n/a",IF(O$3&gt;(A26taxstdlife+$E406),(Input!$J$66-Input!$J$100)-SUM($I406:N406),(Input!$J$66-Input!$J$100)/A26taxstdlife))</f>
        <v>0</v>
      </c>
      <c r="P406" s="67">
        <f>IF(A26taxstdlife="n/a","n/a",IF(P$3&gt;(A26taxstdlife+$E406),(Input!$J$66-Input!$J$100)-SUM($I406:O406),(Input!$J$66-Input!$J$100)/A26taxstdlife))</f>
        <v>0</v>
      </c>
      <c r="Q406" s="360"/>
      <c r="R406" s="102"/>
      <c r="S406" s="102"/>
      <c r="T406" s="102"/>
      <c r="U406" s="102"/>
      <c r="V406" s="102"/>
      <c r="W406" s="102"/>
      <c r="X406" s="102"/>
      <c r="Y406" s="102"/>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185"/>
      <c r="BJ406" s="185"/>
      <c r="BK406" s="185"/>
      <c r="BL406" s="185"/>
      <c r="BM406" s="185"/>
      <c r="BN406" s="185"/>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hidden="1" customHeight="1" outlineLevel="2">
      <c r="A407" s="9"/>
      <c r="B407" s="9"/>
      <c r="C407" s="25"/>
      <c r="D407" s="385"/>
      <c r="E407" s="85">
        <v>5</v>
      </c>
      <c r="F407" s="203"/>
      <c r="G407" s="207"/>
      <c r="H407" s="148"/>
      <c r="I407" s="148"/>
      <c r="J407" s="148"/>
      <c r="K407" s="147">
        <f>IF(A26taxstdlife="n/a","n/a",IF(K$3&gt;(A26taxstdlife+$E407),(Input!$K$66-Input!$K$100)-SUM($J407:J407),(Input!$K$66-Input!$K$100)/A26taxstdlife))</f>
        <v>0</v>
      </c>
      <c r="L407" s="67"/>
      <c r="M407" s="67">
        <f>IF(A26taxstdlife="n/a","n/a",IF(M$3&gt;(A26taxstdlife+$E407),(Input!$K$66-Input!$K$100)-SUM($J407:L407),(Input!$K$66-Input!$K$100)/A26taxstdlife))</f>
        <v>0</v>
      </c>
      <c r="N407" s="67">
        <f>IF(A26taxstdlife="n/a","n/a",IF(N$3&gt;(A26taxstdlife+$E407),(Input!$K$66-Input!$K$100)-SUM($J407:M407),(Input!$K$66-Input!$K$100)/A26taxstdlife))</f>
        <v>0</v>
      </c>
      <c r="O407" s="67">
        <f>IF(A26taxstdlife="n/a","n/a",IF(O$3&gt;(A26taxstdlife+$E407),(Input!$K$66-Input!$K$100)-SUM($J407:N407),(Input!$K$66-Input!$K$100)/A26taxstdlife))</f>
        <v>0</v>
      </c>
      <c r="P407" s="67">
        <f>IF(A26taxstdlife="n/a","n/a",IF(P$3&gt;(A26taxstdlife+$E407),(Input!$K$66-Input!$K$100)-SUM($J407:O407),(Input!$K$66-Input!$K$100)/A26taxstdlife))</f>
        <v>0</v>
      </c>
      <c r="Q407" s="360"/>
      <c r="R407" s="102"/>
      <c r="S407" s="102"/>
      <c r="T407" s="102"/>
      <c r="U407" s="102"/>
      <c r="V407" s="102"/>
      <c r="W407" s="102"/>
      <c r="X407" s="102"/>
      <c r="Y407" s="102"/>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185"/>
      <c r="BJ407" s="185"/>
      <c r="BK407" s="185"/>
      <c r="BL407" s="185"/>
      <c r="BM407" s="185"/>
      <c r="BN407" s="185"/>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hidden="1" customHeight="1" outlineLevel="2">
      <c r="A408" s="9"/>
      <c r="B408" s="9"/>
      <c r="C408" s="25"/>
      <c r="D408" s="385"/>
      <c r="E408" s="85">
        <v>6</v>
      </c>
      <c r="F408" s="203"/>
      <c r="G408" s="207"/>
      <c r="H408" s="148"/>
      <c r="I408" s="148"/>
      <c r="J408" s="148"/>
      <c r="K408" s="148"/>
      <c r="L408" s="147"/>
      <c r="M408" s="67">
        <f>IF(A26taxstdlife="n/a","n/a",IF(M$3&gt;(A26taxstdlife+$E408),(Input!$L$66-Input!$L$100)-SUM($K408:L408),(Input!$L$66-Input!$L$100)/A26taxstdlife))</f>
        <v>0</v>
      </c>
      <c r="N408" s="67">
        <f>IF(A26taxstdlife="n/a","n/a",IF(N$3&gt;(A26taxstdlife+$E408),(Input!$L$66-Input!$L$100)-SUM($K408:M408),(Input!$L$66-Input!$L$100)/A26taxstdlife))</f>
        <v>0</v>
      </c>
      <c r="O408" s="67">
        <f>IF(A26taxstdlife="n/a","n/a",IF(O$3&gt;(A26taxstdlife+$E408),(Input!$L$66-Input!$L$100)-SUM($K408:N408),(Input!$L$66-Input!$L$100)/A26taxstdlife))</f>
        <v>0</v>
      </c>
      <c r="P408" s="67">
        <f>IF(A26taxstdlife="n/a","n/a",IF(P$3&gt;(A26taxstdlife+$E408),(Input!$L$66-Input!$L$100)-SUM($K408:O408),(Input!$L$66-Input!$L$100)/A26taxstdlife))</f>
        <v>0</v>
      </c>
      <c r="Q408" s="360"/>
      <c r="R408" s="102"/>
      <c r="S408" s="102"/>
      <c r="T408" s="102"/>
      <c r="U408" s="102"/>
      <c r="V408" s="102"/>
      <c r="W408" s="102"/>
      <c r="X408" s="102"/>
      <c r="Y408" s="102"/>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185"/>
      <c r="BJ408" s="185"/>
      <c r="BK408" s="185"/>
      <c r="BL408" s="185"/>
      <c r="BM408" s="185"/>
      <c r="BN408" s="185"/>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hidden="1" customHeight="1" outlineLevel="2">
      <c r="A409" s="9"/>
      <c r="B409" s="9"/>
      <c r="C409" s="25"/>
      <c r="D409" s="385"/>
      <c r="E409" s="85">
        <v>7</v>
      </c>
      <c r="F409" s="203"/>
      <c r="G409" s="207"/>
      <c r="H409" s="148"/>
      <c r="I409" s="148"/>
      <c r="J409" s="148"/>
      <c r="K409" s="148"/>
      <c r="L409" s="148"/>
      <c r="M409" s="147">
        <f>IF(A26taxstdlife="n/a","n/a",IF(M$3&gt;(A26taxstdlife+$E409),(Input!$M$66-Input!$M$100)-SUM($L409:L409),(Input!$M$66-Input!$M$100)/A26taxstdlife))</f>
        <v>0</v>
      </c>
      <c r="N409" s="67">
        <f>IF(A26taxstdlife="n/a","n/a",IF(N$3&gt;(A26taxstdlife+$E409),(Input!$M$66-Input!$M$100)-SUM($L409:M409),(Input!$M$66-Input!$M$100)/A26taxstdlife))</f>
        <v>0</v>
      </c>
      <c r="O409" s="67">
        <f>IF(A26taxstdlife="n/a","n/a",IF(O$3&gt;(A26taxstdlife+$E409),(Input!$M$66-Input!$M$100)-SUM($L409:N409),(Input!$M$66-Input!$M$100)/A26taxstdlife))</f>
        <v>0</v>
      </c>
      <c r="P409" s="67">
        <f>IF(A26taxstdlife="n/a","n/a",IF(P$3&gt;(A26taxstdlife+$E409),(Input!$M$66-Input!$M$100)-SUM($L409:O409),(Input!$M$66-Input!$M$100)/A26taxstdlife))</f>
        <v>0</v>
      </c>
      <c r="Q409" s="360"/>
      <c r="R409" s="102"/>
      <c r="S409" s="102"/>
      <c r="T409" s="102"/>
      <c r="U409" s="102"/>
      <c r="V409" s="102"/>
      <c r="W409" s="102"/>
      <c r="X409" s="102"/>
      <c r="Y409" s="102"/>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185"/>
      <c r="BJ409" s="185"/>
      <c r="BK409" s="185"/>
      <c r="BL409" s="185"/>
      <c r="BM409" s="185"/>
      <c r="BN409" s="185"/>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hidden="1" customHeight="1" outlineLevel="2">
      <c r="A410" s="9"/>
      <c r="B410" s="9"/>
      <c r="C410" s="25"/>
      <c r="D410" s="385"/>
      <c r="E410" s="85">
        <v>8</v>
      </c>
      <c r="F410" s="203"/>
      <c r="G410" s="207"/>
      <c r="H410" s="148"/>
      <c r="I410" s="148"/>
      <c r="J410" s="148"/>
      <c r="K410" s="148"/>
      <c r="L410" s="148"/>
      <c r="M410" s="148"/>
      <c r="N410" s="147">
        <f>IF(A26taxstdlife="n/a","n/a",IF(N$3&gt;(A26taxstdlife+$E410),(Input!$N$66-Input!$N$100)-SUM($M410:M410),(Input!$N$66-Input!$N$100)/A26taxstdlife))</f>
        <v>0</v>
      </c>
      <c r="O410" s="67">
        <f>IF(A26taxstdlife="n/a","n/a",IF(O$3&gt;(A26taxstdlife+$E410),(Input!$N$66-Input!$N$100)-SUM($M410:N410),(Input!$N$66-Input!$N$100)/A26taxstdlife))</f>
        <v>0</v>
      </c>
      <c r="P410" s="67">
        <f>IF(A26taxstdlife="n/a","n/a",IF(P$3&gt;(A26taxstdlife+$E410),(Input!$N$66-Input!$N$100)-SUM($M410:O410),(Input!$N$66-Input!$N$100)/A26taxstdlife))</f>
        <v>0</v>
      </c>
      <c r="Q410" s="360"/>
      <c r="R410" s="102"/>
      <c r="S410" s="102"/>
      <c r="T410" s="102"/>
      <c r="U410" s="102"/>
      <c r="V410" s="102"/>
      <c r="W410" s="102"/>
      <c r="X410" s="102"/>
      <c r="Y410" s="102"/>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185"/>
      <c r="BJ410" s="185"/>
      <c r="BK410" s="185"/>
      <c r="BL410" s="185"/>
      <c r="BM410" s="185"/>
      <c r="BN410" s="185"/>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hidden="1" customHeight="1" outlineLevel="2">
      <c r="A411" s="9"/>
      <c r="B411" s="9"/>
      <c r="C411" s="25"/>
      <c r="D411" s="385"/>
      <c r="E411" s="85">
        <v>9</v>
      </c>
      <c r="F411" s="203"/>
      <c r="G411" s="207"/>
      <c r="H411" s="148"/>
      <c r="I411" s="148"/>
      <c r="J411" s="148"/>
      <c r="K411" s="148"/>
      <c r="L411" s="148"/>
      <c r="M411" s="148"/>
      <c r="N411" s="148"/>
      <c r="O411" s="147">
        <f>IF(A26taxstdlife="n/a","n/a",IF(O$3&gt;(A26taxstdlife+$E411),(Input!$O$66-Input!$O$100)-SUM($N411:N411),(Input!$O$66-Input!$O$100)/A26taxstdlife))</f>
        <v>0</v>
      </c>
      <c r="P411" s="67">
        <f>IF(A26taxstdlife="n/a","n/a",IF(P$3&gt;(A26taxstdlife+$E411),(Input!$O$66-Input!$O$100)-SUM($N411:O411),(Input!$O$66-Input!$O$100)/A26taxstdlife))</f>
        <v>0</v>
      </c>
      <c r="Q411" s="360"/>
      <c r="R411" s="102"/>
      <c r="S411" s="102"/>
      <c r="T411" s="102"/>
      <c r="U411" s="102"/>
      <c r="V411" s="102"/>
      <c r="W411" s="102"/>
      <c r="X411" s="102"/>
      <c r="Y411" s="102"/>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185"/>
      <c r="BJ411" s="185"/>
      <c r="BK411" s="185"/>
      <c r="BL411" s="185"/>
      <c r="BM411" s="185"/>
      <c r="BN411" s="185"/>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hidden="1" customHeight="1" outlineLevel="2">
      <c r="A412" s="9"/>
      <c r="B412" s="9"/>
      <c r="C412" s="25"/>
      <c r="D412" s="385"/>
      <c r="E412" s="85">
        <v>10</v>
      </c>
      <c r="F412" s="203"/>
      <c r="G412" s="207"/>
      <c r="H412" s="148"/>
      <c r="I412" s="148"/>
      <c r="J412" s="148"/>
      <c r="K412" s="148"/>
      <c r="L412" s="148"/>
      <c r="M412" s="148"/>
      <c r="N412" s="148"/>
      <c r="O412" s="148"/>
      <c r="P412" s="147">
        <f>IF(A26taxstdlife="n/a","n/a",IF(P$3&gt;(A26taxstdlife+$E412),(Input!$P$66-Input!$P$100)-SUM($O412:O412),(Input!$P$66-Input!$P$100)/A26taxstdlife))</f>
        <v>0</v>
      </c>
      <c r="Q412" s="360"/>
      <c r="R412" s="102"/>
      <c r="S412" s="102"/>
      <c r="T412" s="102"/>
      <c r="U412" s="102"/>
      <c r="V412" s="102"/>
      <c r="W412" s="102"/>
      <c r="X412" s="102"/>
      <c r="Y412" s="102"/>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185"/>
      <c r="BJ412" s="185"/>
      <c r="BK412" s="185"/>
      <c r="BL412" s="185"/>
      <c r="BM412" s="185"/>
      <c r="BN412" s="185"/>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hidden="1" customHeight="1" outlineLevel="2">
      <c r="A413" s="9"/>
      <c r="B413" s="9"/>
      <c r="C413" s="25"/>
      <c r="D413" s="385"/>
      <c r="E413" s="86">
        <v>11</v>
      </c>
      <c r="F413" s="351"/>
      <c r="G413" s="207"/>
      <c r="H413" s="148"/>
      <c r="I413" s="148"/>
      <c r="J413" s="148"/>
      <c r="K413" s="148"/>
      <c r="L413" s="148"/>
      <c r="M413" s="148"/>
      <c r="N413" s="148"/>
      <c r="O413" s="148"/>
      <c r="P413" s="187"/>
      <c r="Q413" s="350"/>
      <c r="R413" s="102"/>
      <c r="S413" s="102"/>
      <c r="T413" s="102"/>
      <c r="U413" s="102"/>
      <c r="V413" s="102"/>
      <c r="W413" s="102"/>
      <c r="X413" s="102"/>
      <c r="Y413" s="102"/>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185"/>
      <c r="BJ413" s="185"/>
      <c r="BK413" s="185"/>
      <c r="BL413" s="185"/>
      <c r="BM413" s="185"/>
      <c r="BN413" s="185"/>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hidden="1" customHeight="1" outlineLevel="1">
      <c r="A414" s="9"/>
      <c r="B414" s="9"/>
      <c r="C414" s="25">
        <f>Asset26</f>
        <v>0</v>
      </c>
      <c r="D414" s="9"/>
      <c r="E414" s="9"/>
      <c r="F414" s="358">
        <f t="shared" ref="F414:K414" si="14">-SUM(F401:F413)</f>
        <v>0</v>
      </c>
      <c r="G414" s="208">
        <f t="shared" si="14"/>
        <v>0</v>
      </c>
      <c r="H414" s="164">
        <f t="shared" si="14"/>
        <v>0</v>
      </c>
      <c r="I414" s="164">
        <f t="shared" si="14"/>
        <v>0</v>
      </c>
      <c r="J414" s="164">
        <f t="shared" si="14"/>
        <v>0</v>
      </c>
      <c r="K414" s="164">
        <f t="shared" si="14"/>
        <v>0</v>
      </c>
      <c r="L414" s="164"/>
      <c r="M414" s="164">
        <f>IF(Input!N173&gt;0, -SUM(M401:M413), 0)</f>
        <v>0</v>
      </c>
      <c r="N414" s="164">
        <f>IF(Input!O173&gt;0, -SUM(N401:N413), 0)</f>
        <v>0</v>
      </c>
      <c r="O414" s="164">
        <f>IF(Input!P173&gt;0, -SUM(O401:O413), 0)</f>
        <v>0</v>
      </c>
      <c r="P414" s="164">
        <f>IF(Input!Q173&gt;0, -SUM(P401:P413), 0)</f>
        <v>0</v>
      </c>
      <c r="Q414" s="357"/>
      <c r="R414" s="101"/>
      <c r="S414" s="101"/>
      <c r="T414" s="101"/>
      <c r="U414" s="101"/>
      <c r="V414" s="101"/>
      <c r="W414" s="101"/>
      <c r="X414" s="101"/>
      <c r="Y414" s="101"/>
      <c r="Z414" s="21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185"/>
      <c r="BJ414" s="185"/>
      <c r="BK414" s="185"/>
      <c r="BL414" s="185"/>
      <c r="BM414" s="185"/>
      <c r="BN414" s="185"/>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hidden="1" customHeight="1" outlineLevel="2">
      <c r="A415" s="9"/>
      <c r="B415" s="186">
        <f>Asset27</f>
        <v>0</v>
      </c>
      <c r="C415" s="32"/>
      <c r="D415" s="33" t="s">
        <v>67</v>
      </c>
      <c r="E415" s="32"/>
      <c r="F415" s="359"/>
      <c r="G415" s="204">
        <f>IF(G$3&gt;A27taxremlife,A27taxvalue-SUM($F415:F415),IF(A27taxremlife="N/A","n/a",A27taxvalue/A27taxremlife))</f>
        <v>0</v>
      </c>
      <c r="H415" s="66">
        <f>IF(H$3&gt;A27taxremlife,A27taxvalue-SUM($F415:G415),IF(A27taxremlife="N/A","n/a",A27taxvalue/A27taxremlife))</f>
        <v>0</v>
      </c>
      <c r="I415" s="66">
        <f>IF(I$3&gt;A27taxremlife,A27taxvalue-SUM($F415:H415),IF(A27taxremlife="N/A","n/a",A27taxvalue/A27taxremlife))</f>
        <v>0</v>
      </c>
      <c r="J415" s="66">
        <f>IF(J$3&gt;A27taxremlife,A27taxvalue-SUM($F415:I415),IF(A27taxremlife="N/A","n/a",A27taxvalue/A27taxremlife))</f>
        <v>0</v>
      </c>
      <c r="K415" s="66">
        <f>IF(K$3&gt;A27taxremlife,A27taxvalue-SUM($F415:J415),IF(A27taxremlife="N/A","n/a",A27taxvalue/A27taxremlife))</f>
        <v>0</v>
      </c>
      <c r="L415" s="66"/>
      <c r="M415" s="66">
        <f>IF(M$3&gt;A27taxremlife,A27taxvalue-SUM($F415:L415),IF(A27taxremlife="N/A","n/a",A27taxvalue/A27taxremlife))</f>
        <v>0</v>
      </c>
      <c r="N415" s="66">
        <f>IF(N$3&gt;A27taxremlife,A27taxvalue-SUM($F415:M415),IF(A27taxremlife="N/A","n/a",A27taxvalue/A27taxremlife))</f>
        <v>0</v>
      </c>
      <c r="O415" s="66">
        <f>IF(O$3&gt;A27taxremlife,A27taxvalue-SUM($F415:N415),IF(A27taxremlife="N/A","n/a",A27taxvalue/A27taxremlife))</f>
        <v>0</v>
      </c>
      <c r="P415" s="66">
        <f>IF(P$3&gt;A27taxremlife,A27taxvalue-SUM($F415:O415),IF(A27taxremlife="N/A","n/a",A27taxvalue/A27taxremlife))</f>
        <v>0</v>
      </c>
      <c r="Q415" s="356"/>
      <c r="R415" s="102"/>
      <c r="S415" s="102"/>
      <c r="T415" s="102"/>
      <c r="U415" s="102"/>
      <c r="V415" s="102"/>
      <c r="W415" s="102"/>
      <c r="X415" s="102"/>
      <c r="Y415" s="102"/>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185"/>
      <c r="BJ415" s="185"/>
      <c r="BK415" s="185"/>
      <c r="BL415" s="185"/>
      <c r="BM415" s="185"/>
      <c r="BN415" s="18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hidden="1" customHeight="1" outlineLevel="2">
      <c r="A416" s="9"/>
      <c r="B416" s="9"/>
      <c r="C416" s="25"/>
      <c r="D416" s="384" t="s">
        <v>85</v>
      </c>
      <c r="E416" s="85">
        <v>0</v>
      </c>
      <c r="F416" s="310"/>
      <c r="G416" s="205"/>
      <c r="H416" s="67"/>
      <c r="I416" s="67"/>
      <c r="J416" s="67"/>
      <c r="K416" s="67"/>
      <c r="L416" s="67"/>
      <c r="M416" s="67"/>
      <c r="N416" s="67"/>
      <c r="O416" s="67"/>
      <c r="P416" s="67"/>
      <c r="Q416" s="360"/>
      <c r="R416" s="102"/>
      <c r="S416" s="102"/>
      <c r="T416" s="102"/>
      <c r="U416" s="102"/>
      <c r="V416" s="102"/>
      <c r="W416" s="102"/>
      <c r="X416" s="102"/>
      <c r="Y416" s="102"/>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185"/>
      <c r="BJ416" s="185"/>
      <c r="BK416" s="185"/>
      <c r="BL416" s="185"/>
      <c r="BM416" s="185"/>
      <c r="BN416" s="185"/>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hidden="1" customHeight="1" outlineLevel="2">
      <c r="A417" s="9"/>
      <c r="B417" s="9"/>
      <c r="C417" s="25"/>
      <c r="D417" s="385"/>
      <c r="E417" s="85">
        <v>1</v>
      </c>
      <c r="F417" s="203"/>
      <c r="G417" s="206">
        <f>IF(A27taxstdlife="n/a","n/a",IF(G$3&gt;(A27taxstdlife+$E417),(Input!$G$67-Input!$G$101)-SUM($F417:F417),(Input!$G$67-Input!$G$101)/A27taxstdlife))</f>
        <v>0</v>
      </c>
      <c r="H417" s="67">
        <f>IF(A27taxstdlife="n/a","n/a",IF(H$3&gt;(A27taxstdlife+$E417),(Input!$G$67-Input!$G$101)-SUM($F417:G417),(Input!$G$67-Input!$G$101)/A27taxstdlife))</f>
        <v>0</v>
      </c>
      <c r="I417" s="67">
        <f>IF(A27taxstdlife="n/a","n/a",IF(I$3&gt;(A27taxstdlife+$E417),(Input!$G$67-Input!$G$101)-SUM($F417:H417),(Input!$G$67-Input!$G$101)/A27taxstdlife))</f>
        <v>0</v>
      </c>
      <c r="J417" s="67">
        <f>IF(A27taxstdlife="n/a","n/a",IF(J$3&gt;(A27taxstdlife+$E417),(Input!$G$67-Input!$G$101)-SUM($F417:I417),(Input!$G$67-Input!$G$101)/A27taxstdlife))</f>
        <v>0</v>
      </c>
      <c r="K417" s="67">
        <f>IF(A27taxstdlife="n/a","n/a",IF(K$3&gt;(A27taxstdlife+$E417),(Input!$G$67-Input!$G$101)-SUM($F417:J417),(Input!$G$67-Input!$G$101)/A27taxstdlife))</f>
        <v>0</v>
      </c>
      <c r="L417" s="67"/>
      <c r="M417" s="67">
        <f>IF(A27taxstdlife="n/a","n/a",IF(M$3&gt;(A27taxstdlife+$E417),(Input!$G$67-Input!$G$101)-SUM($F417:L417),(Input!$G$67-Input!$G$101)/A27taxstdlife))</f>
        <v>0</v>
      </c>
      <c r="N417" s="67">
        <f>IF(A27taxstdlife="n/a","n/a",IF(N$3&gt;(A27taxstdlife+$E417),(Input!$G$67-Input!$G$101)-SUM($F417:M417),(Input!$G$67-Input!$G$101)/A27taxstdlife))</f>
        <v>0</v>
      </c>
      <c r="O417" s="67">
        <f>IF(A27taxstdlife="n/a","n/a",IF(O$3&gt;(A27taxstdlife+$E417),(Input!$G$67-Input!$G$101)-SUM($F417:N417),(Input!$G$67-Input!$G$101)/A27taxstdlife))</f>
        <v>0</v>
      </c>
      <c r="P417" s="67">
        <f>IF(A27taxstdlife="n/a","n/a",IF(P$3&gt;(A27taxstdlife+$E417),(Input!$G$67-Input!$G$101)-SUM($F417:O417),(Input!$G$67-Input!$G$101)/A27taxstdlife))</f>
        <v>0</v>
      </c>
      <c r="Q417" s="360"/>
      <c r="R417" s="102"/>
      <c r="S417" s="102"/>
      <c r="T417" s="102"/>
      <c r="U417" s="102"/>
      <c r="V417" s="102"/>
      <c r="W417" s="102"/>
      <c r="X417" s="102"/>
      <c r="Y417" s="102"/>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185"/>
      <c r="BJ417" s="185"/>
      <c r="BK417" s="185"/>
      <c r="BL417" s="185"/>
      <c r="BM417" s="185"/>
      <c r="BN417" s="185"/>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hidden="1" customHeight="1" outlineLevel="2">
      <c r="A418" s="9"/>
      <c r="B418" s="9"/>
      <c r="C418" s="25"/>
      <c r="D418" s="385"/>
      <c r="E418" s="85">
        <v>2</v>
      </c>
      <c r="F418" s="203"/>
      <c r="G418" s="207"/>
      <c r="H418" s="147">
        <f>IF(A27taxstdlife="n/a","n/a",IF(H$3&gt;(A27taxstdlife+$E418),(Input!$H$67-Input!$H$101)-SUM($G418:G418),(Input!$H$67-Input!$H$101)/A27taxstdlife))</f>
        <v>0</v>
      </c>
      <c r="I418" s="67">
        <f>IF(A27taxstdlife="n/a","n/a",IF(I$3&gt;(A27taxstdlife+$E418),(Input!$H$67-Input!$H$101)-SUM($G418:H418),(Input!$H$67-Input!$H$101)/A27taxstdlife))</f>
        <v>0</v>
      </c>
      <c r="J418" s="67">
        <f>IF(A27taxstdlife="n/a","n/a",IF(J$3&gt;(A27taxstdlife+$E418),(Input!$H$67-Input!$H$101)-SUM($G418:I418),(Input!$H$67-Input!$H$101)/A27taxstdlife))</f>
        <v>0</v>
      </c>
      <c r="K418" s="67">
        <f>IF(A27taxstdlife="n/a","n/a",IF(K$3&gt;(A27taxstdlife+$E418),(Input!$H$67-Input!$H$101)-SUM($G418:J418),(Input!$H$67-Input!$H$101)/A27taxstdlife))</f>
        <v>0</v>
      </c>
      <c r="L418" s="67"/>
      <c r="M418" s="67">
        <f>IF(A27taxstdlife="n/a","n/a",IF(M$3&gt;(A27taxstdlife+$E418),(Input!$H$67-Input!$H$101)-SUM($G418:L418),(Input!$H$67-Input!$H$101)/A27taxstdlife))</f>
        <v>0</v>
      </c>
      <c r="N418" s="67">
        <f>IF(A27taxstdlife="n/a","n/a",IF(N$3&gt;(A27taxstdlife+$E418),(Input!$H$67-Input!$H$101)-SUM($G418:M418),(Input!$H$67-Input!$H$101)/A27taxstdlife))</f>
        <v>0</v>
      </c>
      <c r="O418" s="67">
        <f>IF(A27taxstdlife="n/a","n/a",IF(O$3&gt;(A27taxstdlife+$E418),(Input!$H$67-Input!$H$101)-SUM($G418:N418),(Input!$H$67-Input!$H$101)/A27taxstdlife))</f>
        <v>0</v>
      </c>
      <c r="P418" s="67">
        <f>IF(A27taxstdlife="n/a","n/a",IF(P$3&gt;(A27taxstdlife+$E418),(Input!$H$67-Input!$H$101)-SUM($G418:O418),(Input!$H$67-Input!$H$101)/A27taxstdlife))</f>
        <v>0</v>
      </c>
      <c r="Q418" s="360"/>
      <c r="R418" s="102"/>
      <c r="S418" s="102"/>
      <c r="T418" s="102"/>
      <c r="U418" s="102"/>
      <c r="V418" s="102"/>
      <c r="W418" s="102"/>
      <c r="X418" s="102"/>
      <c r="Y418" s="102"/>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185"/>
      <c r="BJ418" s="185"/>
      <c r="BK418" s="185"/>
      <c r="BL418" s="185"/>
      <c r="BM418" s="185"/>
      <c r="BN418" s="185"/>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hidden="1" customHeight="1" outlineLevel="2">
      <c r="A419" s="9"/>
      <c r="B419" s="9"/>
      <c r="C419" s="25"/>
      <c r="D419" s="385"/>
      <c r="E419" s="85">
        <v>3</v>
      </c>
      <c r="F419" s="203"/>
      <c r="G419" s="207"/>
      <c r="H419" s="148"/>
      <c r="I419" s="147">
        <f>IF(A27taxstdlife="n/a","n/a",IF(I$3&gt;(A27taxstdlife+$E419),(Input!$I$67-Input!$I$101)-SUM($H419:H419),(Input!$I$67-Input!$I$101)/A27taxstdlife))</f>
        <v>0</v>
      </c>
      <c r="J419" s="67">
        <f>IF(A27taxstdlife="n/a","n/a",IF(J$3&gt;(A27taxstdlife+$E419),(Input!$I$67-Input!$I$101)-SUM($H419:I419),(Input!$I$67-Input!$I$101)/A27taxstdlife))</f>
        <v>0</v>
      </c>
      <c r="K419" s="67">
        <f>IF(A27taxstdlife="n/a","n/a",IF(K$3&gt;(A27taxstdlife+$E419),(Input!$I$67-Input!$I$101)-SUM($H419:J419),(Input!$I$67-Input!$I$101)/A27taxstdlife))</f>
        <v>0</v>
      </c>
      <c r="L419" s="67"/>
      <c r="M419" s="67">
        <f>IF(A27taxstdlife="n/a","n/a",IF(M$3&gt;(A27taxstdlife+$E419),(Input!$I$67-Input!$I$101)-SUM($H419:L419),(Input!$I$67-Input!$I$101)/A27taxstdlife))</f>
        <v>0</v>
      </c>
      <c r="N419" s="67">
        <f>IF(A27taxstdlife="n/a","n/a",IF(N$3&gt;(A27taxstdlife+$E419),(Input!$I$67-Input!$I$101)-SUM($H419:M419),(Input!$I$67-Input!$I$101)/A27taxstdlife))</f>
        <v>0</v>
      </c>
      <c r="O419" s="67">
        <f>IF(A27taxstdlife="n/a","n/a",IF(O$3&gt;(A27taxstdlife+$E419),(Input!$I$67-Input!$I$101)-SUM($H419:N419),(Input!$I$67-Input!$I$101)/A27taxstdlife))</f>
        <v>0</v>
      </c>
      <c r="P419" s="67">
        <f>IF(A27taxstdlife="n/a","n/a",IF(P$3&gt;(A27taxstdlife+$E419),(Input!$I$67-Input!$I$101)-SUM($H419:O419),(Input!$I$67-Input!$I$101)/A27taxstdlife))</f>
        <v>0</v>
      </c>
      <c r="Q419" s="360"/>
      <c r="R419" s="102"/>
      <c r="S419" s="102"/>
      <c r="T419" s="102"/>
      <c r="U419" s="102"/>
      <c r="V419" s="102"/>
      <c r="W419" s="102"/>
      <c r="X419" s="102"/>
      <c r="Y419" s="102"/>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7"/>
      <c r="BJ419" s="185"/>
      <c r="BK419" s="185"/>
      <c r="BL419" s="185"/>
      <c r="BM419" s="185"/>
      <c r="BN419" s="185"/>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hidden="1" customHeight="1" outlineLevel="2">
      <c r="A420" s="9"/>
      <c r="B420" s="9"/>
      <c r="C420" s="25"/>
      <c r="D420" s="385"/>
      <c r="E420" s="85">
        <v>4</v>
      </c>
      <c r="F420" s="203"/>
      <c r="G420" s="207"/>
      <c r="H420" s="148"/>
      <c r="I420" s="148"/>
      <c r="J420" s="147">
        <f>IF(A27taxstdlife="n/a","n/a",IF(J$3&gt;(A27taxstdlife+$E420),(Input!$J$67-Input!$J$101)-SUM($I420:I420),(Input!$J$67-Input!$J$101)/A27taxstdlife))</f>
        <v>0</v>
      </c>
      <c r="K420" s="67">
        <f>IF(A27taxstdlife="n/a","n/a",IF(K$3&gt;(A27taxstdlife+$E420),(Input!$J$67-Input!$J$101)-SUM($I420:J420),(Input!$J$67-Input!$J$101)/A27taxstdlife))</f>
        <v>0</v>
      </c>
      <c r="L420" s="67"/>
      <c r="M420" s="67">
        <f>IF(A27taxstdlife="n/a","n/a",IF(M$3&gt;(A27taxstdlife+$E420),(Input!$J$67-Input!$J$101)-SUM($I420:L420),(Input!$J$67-Input!$J$101)/A27taxstdlife))</f>
        <v>0</v>
      </c>
      <c r="N420" s="67">
        <f>IF(A27taxstdlife="n/a","n/a",IF(N$3&gt;(A27taxstdlife+$E420),(Input!$J$67-Input!$J$101)-SUM($I420:M420),(Input!$J$67-Input!$J$101)/A27taxstdlife))</f>
        <v>0</v>
      </c>
      <c r="O420" s="67">
        <f>IF(A27taxstdlife="n/a","n/a",IF(O$3&gt;(A27taxstdlife+$E420),(Input!$J$67-Input!$J$101)-SUM($I420:N420),(Input!$J$67-Input!$J$101)/A27taxstdlife))</f>
        <v>0</v>
      </c>
      <c r="P420" s="67">
        <f>IF(A27taxstdlife="n/a","n/a",IF(P$3&gt;(A27taxstdlife+$E420),(Input!$J$67-Input!$J$101)-SUM($I420:O420),(Input!$J$67-Input!$J$101)/A27taxstdlife))</f>
        <v>0</v>
      </c>
      <c r="Q420" s="360"/>
      <c r="R420" s="102"/>
      <c r="S420" s="102"/>
      <c r="T420" s="102"/>
      <c r="U420" s="102"/>
      <c r="V420" s="102"/>
      <c r="W420" s="102"/>
      <c r="X420" s="102"/>
      <c r="Y420" s="102"/>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185"/>
      <c r="BJ420" s="185"/>
      <c r="BK420" s="185"/>
      <c r="BL420" s="185"/>
      <c r="BM420" s="185"/>
      <c r="BN420" s="185"/>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hidden="1" customHeight="1" outlineLevel="2">
      <c r="A421" s="9"/>
      <c r="B421" s="9"/>
      <c r="C421" s="25"/>
      <c r="D421" s="385"/>
      <c r="E421" s="85">
        <v>5</v>
      </c>
      <c r="F421" s="203"/>
      <c r="G421" s="207"/>
      <c r="H421" s="148"/>
      <c r="I421" s="148"/>
      <c r="J421" s="148"/>
      <c r="K421" s="147">
        <f>IF(A27taxstdlife="n/a","n/a",IF(K$3&gt;(A27taxstdlife+$E421),(Input!$K$67-Input!$K$101)-SUM($J421:J421),(Input!$K$67-Input!$K$101)/A27taxstdlife))</f>
        <v>0</v>
      </c>
      <c r="L421" s="67"/>
      <c r="M421" s="67">
        <f>IF(A27taxstdlife="n/a","n/a",IF(M$3&gt;(A27taxstdlife+$E421),(Input!$K$67-Input!$K$101)-SUM($J421:L421),(Input!$K$67-Input!$K$101)/A27taxstdlife))</f>
        <v>0</v>
      </c>
      <c r="N421" s="67">
        <f>IF(A27taxstdlife="n/a","n/a",IF(N$3&gt;(A27taxstdlife+$E421),(Input!$K$67-Input!$K$101)-SUM($J421:M421),(Input!$K$67-Input!$K$101)/A27taxstdlife))</f>
        <v>0</v>
      </c>
      <c r="O421" s="67">
        <f>IF(A27taxstdlife="n/a","n/a",IF(O$3&gt;(A27taxstdlife+$E421),(Input!$K$67-Input!$K$101)-SUM($J421:N421),(Input!$K$67-Input!$K$101)/A27taxstdlife))</f>
        <v>0</v>
      </c>
      <c r="P421" s="67">
        <f>IF(A27taxstdlife="n/a","n/a",IF(P$3&gt;(A27taxstdlife+$E421),(Input!$K$67-Input!$K$101)-SUM($J421:O421),(Input!$K$67-Input!$K$101)/A27taxstdlife))</f>
        <v>0</v>
      </c>
      <c r="Q421" s="360"/>
      <c r="R421" s="102"/>
      <c r="S421" s="102"/>
      <c r="T421" s="102"/>
      <c r="U421" s="102"/>
      <c r="V421" s="102"/>
      <c r="W421" s="102"/>
      <c r="X421" s="102"/>
      <c r="Y421" s="102"/>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185"/>
      <c r="BJ421" s="185"/>
      <c r="BK421" s="185"/>
      <c r="BL421" s="185"/>
      <c r="BM421" s="185"/>
      <c r="BN421" s="185"/>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hidden="1" customHeight="1" outlineLevel="2">
      <c r="A422" s="9"/>
      <c r="B422" s="9"/>
      <c r="C422" s="25"/>
      <c r="D422" s="385"/>
      <c r="E422" s="85">
        <v>6</v>
      </c>
      <c r="F422" s="203"/>
      <c r="G422" s="207"/>
      <c r="H422" s="148"/>
      <c r="I422" s="148"/>
      <c r="J422" s="148"/>
      <c r="K422" s="148"/>
      <c r="L422" s="147"/>
      <c r="M422" s="67">
        <f>IF(A27taxstdlife="n/a","n/a",IF(M$3&gt;(A27taxstdlife+$E422),(Input!$L$67-Input!$L$101)-SUM($K422:L422),(Input!$L$67-Input!$L$101)/A27taxstdlife))</f>
        <v>0</v>
      </c>
      <c r="N422" s="67">
        <f>IF(A27taxstdlife="n/a","n/a",IF(N$3&gt;(A27taxstdlife+$E422),(Input!$L$67-Input!$L$101)-SUM($K422:M422),(Input!$L$67-Input!$L$101)/A27taxstdlife))</f>
        <v>0</v>
      </c>
      <c r="O422" s="67">
        <f>IF(A27taxstdlife="n/a","n/a",IF(O$3&gt;(A27taxstdlife+$E422),(Input!$L$67-Input!$L$101)-SUM($K422:N422),(Input!$L$67-Input!$L$101)/A27taxstdlife))</f>
        <v>0</v>
      </c>
      <c r="P422" s="67">
        <f>IF(A27taxstdlife="n/a","n/a",IF(P$3&gt;(A27taxstdlife+$E422),(Input!$L$67-Input!$L$101)-SUM($K422:O422),(Input!$L$67-Input!$L$101)/A27taxstdlife))</f>
        <v>0</v>
      </c>
      <c r="Q422" s="360"/>
      <c r="R422" s="102"/>
      <c r="S422" s="102"/>
      <c r="T422" s="102"/>
      <c r="U422" s="102"/>
      <c r="V422" s="102"/>
      <c r="W422" s="102"/>
      <c r="X422" s="102"/>
      <c r="Y422" s="102"/>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185"/>
      <c r="BJ422" s="185"/>
      <c r="BK422" s="185"/>
      <c r="BL422" s="185"/>
      <c r="BM422" s="185"/>
      <c r="BN422" s="185"/>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hidden="1" customHeight="1" outlineLevel="2">
      <c r="A423" s="9"/>
      <c r="B423" s="9"/>
      <c r="C423" s="25"/>
      <c r="D423" s="385"/>
      <c r="E423" s="85">
        <v>7</v>
      </c>
      <c r="F423" s="203"/>
      <c r="G423" s="207"/>
      <c r="H423" s="148"/>
      <c r="I423" s="148"/>
      <c r="J423" s="148"/>
      <c r="K423" s="148"/>
      <c r="L423" s="148"/>
      <c r="M423" s="147">
        <f>IF(A27taxstdlife="n/a","n/a",IF(M$3&gt;(A27taxstdlife+$E423),(Input!$M$67-Input!$M$101)-SUM($L423:L423),(Input!$M$67-Input!$M$101)/A27taxstdlife))</f>
        <v>0</v>
      </c>
      <c r="N423" s="67">
        <f>IF(A27taxstdlife="n/a","n/a",IF(N$3&gt;(A27taxstdlife+$E423),(Input!$M$67-Input!$M$101)-SUM($L423:M423),(Input!$M$67-Input!$M$101)/A27taxstdlife))</f>
        <v>0</v>
      </c>
      <c r="O423" s="67">
        <f>IF(A27taxstdlife="n/a","n/a",IF(O$3&gt;(A27taxstdlife+$E423),(Input!$M$67-Input!$M$101)-SUM($L423:N423),(Input!$M$67-Input!$M$101)/A27taxstdlife))</f>
        <v>0</v>
      </c>
      <c r="P423" s="67">
        <f>IF(A27taxstdlife="n/a","n/a",IF(P$3&gt;(A27taxstdlife+$E423),(Input!$M$67-Input!$M$101)-SUM($L423:O423),(Input!$M$67-Input!$M$101)/A27taxstdlife))</f>
        <v>0</v>
      </c>
      <c r="Q423" s="360"/>
      <c r="R423" s="102"/>
      <c r="S423" s="102"/>
      <c r="T423" s="102"/>
      <c r="U423" s="102"/>
      <c r="V423" s="102"/>
      <c r="W423" s="102"/>
      <c r="X423" s="102"/>
      <c r="Y423" s="102"/>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185"/>
      <c r="BJ423" s="185"/>
      <c r="BK423" s="185"/>
      <c r="BL423" s="185"/>
      <c r="BM423" s="185"/>
      <c r="BN423" s="185"/>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hidden="1" customHeight="1" outlineLevel="2">
      <c r="A424" s="9"/>
      <c r="B424" s="9"/>
      <c r="C424" s="25"/>
      <c r="D424" s="385"/>
      <c r="E424" s="85">
        <v>8</v>
      </c>
      <c r="F424" s="203"/>
      <c r="G424" s="207"/>
      <c r="H424" s="148"/>
      <c r="I424" s="148"/>
      <c r="J424" s="148"/>
      <c r="K424" s="148"/>
      <c r="L424" s="148"/>
      <c r="M424" s="148"/>
      <c r="N424" s="147">
        <f>IF(A27taxstdlife="n/a","n/a",IF(N$3&gt;(A27taxstdlife+$E424),(Input!$N$67-Input!$N$101)-SUM($M424:M424),(Input!$N$67-Input!$N$101)/A27taxstdlife))</f>
        <v>0</v>
      </c>
      <c r="O424" s="67">
        <f>IF(A27taxstdlife="n/a","n/a",IF(O$3&gt;(A27taxstdlife+$E424),(Input!$N$67-Input!$N$101)-SUM($M424:N424),(Input!$N$67-Input!$N$101)/A27taxstdlife))</f>
        <v>0</v>
      </c>
      <c r="P424" s="67">
        <f>IF(A27taxstdlife="n/a","n/a",IF(P$3&gt;(A27taxstdlife+$E424),(Input!$N$67-Input!$N$101)-SUM($M424:O424),(Input!$N$67-Input!$N$101)/A27taxstdlife))</f>
        <v>0</v>
      </c>
      <c r="Q424" s="360"/>
      <c r="R424" s="102"/>
      <c r="S424" s="102"/>
      <c r="T424" s="102"/>
      <c r="U424" s="102"/>
      <c r="V424" s="102"/>
      <c r="W424" s="102"/>
      <c r="X424" s="102"/>
      <c r="Y424" s="102"/>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185"/>
      <c r="BJ424" s="185"/>
      <c r="BK424" s="185"/>
      <c r="BL424" s="185"/>
      <c r="BM424" s="185"/>
      <c r="BN424" s="185"/>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hidden="1" customHeight="1" outlineLevel="2">
      <c r="A425" s="9"/>
      <c r="B425" s="9"/>
      <c r="C425" s="25"/>
      <c r="D425" s="385"/>
      <c r="E425" s="85">
        <v>9</v>
      </c>
      <c r="F425" s="203"/>
      <c r="G425" s="207"/>
      <c r="H425" s="148"/>
      <c r="I425" s="148"/>
      <c r="J425" s="148"/>
      <c r="K425" s="148"/>
      <c r="L425" s="148"/>
      <c r="M425" s="148"/>
      <c r="N425" s="148"/>
      <c r="O425" s="147">
        <f>IF(A27taxstdlife="n/a","n/a",IF(O$3&gt;(A27taxstdlife+$E425),(Input!$O$67-Input!$O$101)-SUM($N425:N425),(Input!$O$67-Input!$O$101)/A27taxstdlife))</f>
        <v>0</v>
      </c>
      <c r="P425" s="67">
        <f>IF(A27taxstdlife="n/a","n/a",IF(P$3&gt;(A27taxstdlife+$E425),(Input!$O$67-Input!$O$101)-SUM($N425:O425),(Input!$O$67-Input!$O$101)/A27taxstdlife))</f>
        <v>0</v>
      </c>
      <c r="Q425" s="360"/>
      <c r="R425" s="102"/>
      <c r="S425" s="102"/>
      <c r="T425" s="102"/>
      <c r="U425" s="102"/>
      <c r="V425" s="102"/>
      <c r="W425" s="102"/>
      <c r="X425" s="102"/>
      <c r="Y425" s="102"/>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185"/>
      <c r="BJ425" s="185"/>
      <c r="BK425" s="185"/>
      <c r="BL425" s="185"/>
      <c r="BM425" s="185"/>
      <c r="BN425" s="18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hidden="1" customHeight="1" outlineLevel="2">
      <c r="A426" s="9"/>
      <c r="B426" s="9"/>
      <c r="C426" s="25"/>
      <c r="D426" s="385"/>
      <c r="E426" s="85">
        <v>10</v>
      </c>
      <c r="F426" s="203"/>
      <c r="G426" s="207"/>
      <c r="H426" s="148"/>
      <c r="I426" s="148"/>
      <c r="J426" s="148"/>
      <c r="K426" s="148"/>
      <c r="L426" s="148"/>
      <c r="M426" s="148"/>
      <c r="N426" s="148"/>
      <c r="O426" s="148"/>
      <c r="P426" s="147">
        <f>IF(A27taxstdlife="n/a","n/a",IF(P$3&gt;(A27taxstdlife+$E426),(Input!$P$67-Input!$P$101)-SUM($O426:O426),(Input!$P$67-Input!$P$101)/A27taxstdlife))</f>
        <v>0</v>
      </c>
      <c r="Q426" s="360"/>
      <c r="R426" s="102"/>
      <c r="S426" s="102"/>
      <c r="T426" s="102"/>
      <c r="U426" s="102"/>
      <c r="V426" s="102"/>
      <c r="W426" s="102"/>
      <c r="X426" s="102"/>
      <c r="Y426" s="102"/>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185"/>
      <c r="BJ426" s="185"/>
      <c r="BK426" s="185"/>
      <c r="BL426" s="185"/>
      <c r="BM426" s="185"/>
      <c r="BN426" s="185"/>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hidden="1" customHeight="1" outlineLevel="2">
      <c r="A427" s="9"/>
      <c r="B427" s="9"/>
      <c r="C427" s="25"/>
      <c r="D427" s="385"/>
      <c r="E427" s="86">
        <v>11</v>
      </c>
      <c r="F427" s="351"/>
      <c r="G427" s="207"/>
      <c r="H427" s="148"/>
      <c r="I427" s="148"/>
      <c r="J427" s="148"/>
      <c r="K427" s="148"/>
      <c r="L427" s="148"/>
      <c r="M427" s="148"/>
      <c r="N427" s="148"/>
      <c r="O427" s="148"/>
      <c r="P427" s="187"/>
      <c r="Q427" s="350"/>
      <c r="R427" s="102"/>
      <c r="S427" s="102"/>
      <c r="T427" s="102"/>
      <c r="U427" s="102"/>
      <c r="V427" s="102"/>
      <c r="W427" s="102"/>
      <c r="X427" s="102"/>
      <c r="Y427" s="102"/>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185"/>
      <c r="BJ427" s="185"/>
      <c r="BK427" s="185"/>
      <c r="BL427" s="185"/>
      <c r="BM427" s="185"/>
      <c r="BN427" s="185"/>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hidden="1" customHeight="1" outlineLevel="1">
      <c r="A428" s="9"/>
      <c r="B428" s="9"/>
      <c r="C428" s="25">
        <f>Asset27</f>
        <v>0</v>
      </c>
      <c r="D428" s="9"/>
      <c r="E428" s="9"/>
      <c r="F428" s="358">
        <f t="shared" ref="F428:K428" si="15">-SUM(F415:F427)</f>
        <v>0</v>
      </c>
      <c r="G428" s="208">
        <f t="shared" si="15"/>
        <v>0</v>
      </c>
      <c r="H428" s="164">
        <f t="shared" si="15"/>
        <v>0</v>
      </c>
      <c r="I428" s="164">
        <f t="shared" si="15"/>
        <v>0</v>
      </c>
      <c r="J428" s="164">
        <f t="shared" si="15"/>
        <v>0</v>
      </c>
      <c r="K428" s="164">
        <f t="shared" si="15"/>
        <v>0</v>
      </c>
      <c r="L428" s="164"/>
      <c r="M428" s="164">
        <f>IF(Input!N173&gt;0, -SUM(M415:M427), 0)</f>
        <v>0</v>
      </c>
      <c r="N428" s="164">
        <f>IF(Input!O173&gt;0, -SUM(N415:N427), 0)</f>
        <v>0</v>
      </c>
      <c r="O428" s="164">
        <f>IF(Input!P173&gt;0, -SUM(O415:O427), 0)</f>
        <v>0</v>
      </c>
      <c r="P428" s="164">
        <f>IF(Input!Q173&gt;0, -SUM(P415:P427), 0)</f>
        <v>0</v>
      </c>
      <c r="Q428" s="357"/>
      <c r="R428" s="101"/>
      <c r="S428" s="101"/>
      <c r="T428" s="101"/>
      <c r="U428" s="101"/>
      <c r="V428" s="101"/>
      <c r="W428" s="101"/>
      <c r="X428" s="101"/>
      <c r="Y428" s="101"/>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185"/>
      <c r="BJ428" s="185"/>
      <c r="BK428" s="185"/>
      <c r="BL428" s="185"/>
      <c r="BM428" s="185"/>
      <c r="BN428" s="185"/>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hidden="1" customHeight="1" outlineLevel="2">
      <c r="A429" s="9"/>
      <c r="B429" s="186">
        <f>Asset28</f>
        <v>0</v>
      </c>
      <c r="C429" s="32"/>
      <c r="D429" s="33" t="s">
        <v>67</v>
      </c>
      <c r="E429" s="32"/>
      <c r="F429" s="359"/>
      <c r="G429" s="204">
        <f>IF(G$3&gt;A28taxremlife,A28taxvalue-SUM($F429:F429),IF(A28taxremlife="N/A","n/a",A28taxvalue/A28taxremlife))</f>
        <v>0</v>
      </c>
      <c r="H429" s="66">
        <f>IF(H$3&gt;A28taxremlife,A28taxvalue-SUM($F429:G429),IF(A28taxremlife="N/A","n/a",A28taxvalue/A28taxremlife))</f>
        <v>0</v>
      </c>
      <c r="I429" s="66">
        <f>IF(I$3&gt;A28taxremlife,A28taxvalue-SUM($F429:H429),IF(A28taxremlife="N/A","n/a",A28taxvalue/A28taxremlife))</f>
        <v>0</v>
      </c>
      <c r="J429" s="66">
        <f>IF(J$3&gt;A28taxremlife,A28taxvalue-SUM($F429:I429),IF(A28taxremlife="N/A","n/a",A28taxvalue/A28taxremlife))</f>
        <v>0</v>
      </c>
      <c r="K429" s="66">
        <f>IF(K$3&gt;A28taxremlife,A28taxvalue-SUM($F429:J429),IF(A28taxremlife="N/A","n/a",A28taxvalue/A28taxremlife))</f>
        <v>0</v>
      </c>
      <c r="L429" s="66"/>
      <c r="M429" s="66">
        <f>IF(M$3&gt;A28taxremlife,A28taxvalue-SUM($F429:L429),IF(A28taxremlife="N/A","n/a",A28taxvalue/A28taxremlife))</f>
        <v>0</v>
      </c>
      <c r="N429" s="66">
        <f>IF(N$3&gt;A28taxremlife,A28taxvalue-SUM($F429:M429),IF(A28taxremlife="N/A","n/a",A28taxvalue/A28taxremlife))</f>
        <v>0</v>
      </c>
      <c r="O429" s="66">
        <f>IF(O$3&gt;A28taxremlife,A28taxvalue-SUM($F429:N429),IF(A28taxremlife="N/A","n/a",A28taxvalue/A28taxremlife))</f>
        <v>0</v>
      </c>
      <c r="P429" s="66">
        <f>IF(P$3&gt;A28taxremlife,A28taxvalue-SUM($F429:O429),IF(A28taxremlife="N/A","n/a",A28taxvalue/A28taxremlife))</f>
        <v>0</v>
      </c>
      <c r="Q429" s="356"/>
      <c r="R429" s="102"/>
      <c r="S429" s="102"/>
      <c r="T429" s="102"/>
      <c r="U429" s="102"/>
      <c r="V429" s="102"/>
      <c r="W429" s="102"/>
      <c r="X429" s="102"/>
      <c r="Y429" s="102"/>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185"/>
      <c r="BJ429" s="185"/>
      <c r="BK429" s="185"/>
      <c r="BL429" s="185"/>
      <c r="BM429" s="185"/>
      <c r="BN429" s="185"/>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hidden="1" customHeight="1" outlineLevel="2">
      <c r="A430" s="9"/>
      <c r="B430" s="9"/>
      <c r="C430" s="25"/>
      <c r="D430" s="384" t="s">
        <v>85</v>
      </c>
      <c r="E430" s="85">
        <v>0</v>
      </c>
      <c r="F430" s="310"/>
      <c r="G430" s="205"/>
      <c r="H430" s="67"/>
      <c r="I430" s="67"/>
      <c r="J430" s="67"/>
      <c r="K430" s="67"/>
      <c r="L430" s="67"/>
      <c r="M430" s="67"/>
      <c r="N430" s="67"/>
      <c r="O430" s="67"/>
      <c r="P430" s="67"/>
      <c r="Q430" s="360"/>
      <c r="R430" s="102"/>
      <c r="S430" s="102"/>
      <c r="T430" s="102"/>
      <c r="U430" s="102"/>
      <c r="V430" s="102"/>
      <c r="W430" s="102"/>
      <c r="X430" s="102"/>
      <c r="Y430" s="102"/>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185"/>
      <c r="BJ430" s="185"/>
      <c r="BK430" s="185"/>
      <c r="BL430" s="185"/>
      <c r="BM430" s="185"/>
      <c r="BN430" s="185"/>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hidden="1" customHeight="1" outlineLevel="2">
      <c r="A431" s="9"/>
      <c r="B431" s="9"/>
      <c r="C431" s="25"/>
      <c r="D431" s="385"/>
      <c r="E431" s="85">
        <v>1</v>
      </c>
      <c r="F431" s="203"/>
      <c r="G431" s="206">
        <f>IF(A28taxstdlife="n/a","n/a",IF(G$3&gt;(A28taxstdlife+$E431),(Input!$G$68-Input!$G$102)-SUM($F431:F431),(Input!$G$68-Input!$G$102)/A28taxstdlife))</f>
        <v>0</v>
      </c>
      <c r="H431" s="67">
        <f>IF(A28taxstdlife="n/a","n/a",IF(H$3&gt;(A28taxstdlife+$E431),(Input!$G$68-Input!$G$102)-SUM($F431:G431),(Input!$G$68-Input!$G$102)/A28taxstdlife))</f>
        <v>0</v>
      </c>
      <c r="I431" s="67">
        <f>IF(A28taxstdlife="n/a","n/a",IF(I$3&gt;(A28taxstdlife+$E431),(Input!$G$68-Input!$G$102)-SUM($F431:H431),(Input!$G$68-Input!$G$102)/A28taxstdlife))</f>
        <v>0</v>
      </c>
      <c r="J431" s="67">
        <f>IF(A28taxstdlife="n/a","n/a",IF(J$3&gt;(A28taxstdlife+$E431),(Input!$G$68-Input!$G$102)-SUM($F431:I431),(Input!$G$68-Input!$G$102)/A28taxstdlife))</f>
        <v>0</v>
      </c>
      <c r="K431" s="67">
        <f>IF(A28taxstdlife="n/a","n/a",IF(K$3&gt;(A28taxstdlife+$E431),(Input!$G$68-Input!$G$102)-SUM($F431:J431),(Input!$G$68-Input!$G$102)/A28taxstdlife))</f>
        <v>0</v>
      </c>
      <c r="L431" s="67"/>
      <c r="M431" s="67">
        <f>IF(A28taxstdlife="n/a","n/a",IF(M$3&gt;(A28taxstdlife+$E431),(Input!$G$68-Input!$G$102)-SUM($F431:L431),(Input!$G$68-Input!$G$102)/A28taxstdlife))</f>
        <v>0</v>
      </c>
      <c r="N431" s="67">
        <f>IF(A28taxstdlife="n/a","n/a",IF(N$3&gt;(A28taxstdlife+$E431),(Input!$G$68-Input!$G$102)-SUM($F431:M431),(Input!$G$68-Input!$G$102)/A28taxstdlife))</f>
        <v>0</v>
      </c>
      <c r="O431" s="67">
        <f>IF(A28taxstdlife="n/a","n/a",IF(O$3&gt;(A28taxstdlife+$E431),(Input!$G$68-Input!$G$102)-SUM($F431:N431),(Input!$G$68-Input!$G$102)/A28taxstdlife))</f>
        <v>0</v>
      </c>
      <c r="P431" s="67">
        <f>IF(A28taxstdlife="n/a","n/a",IF(P$3&gt;(A28taxstdlife+$E431),(Input!$G$68-Input!$G$102)-SUM($F431:O431),(Input!$G$68-Input!$G$102)/A28taxstdlife))</f>
        <v>0</v>
      </c>
      <c r="Q431" s="360"/>
      <c r="R431" s="102"/>
      <c r="S431" s="102"/>
      <c r="T431" s="102"/>
      <c r="U431" s="102"/>
      <c r="V431" s="102"/>
      <c r="W431" s="102"/>
      <c r="X431" s="102"/>
      <c r="Y431" s="102"/>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185"/>
      <c r="BJ431" s="185"/>
      <c r="BK431" s="185"/>
      <c r="BL431" s="185"/>
      <c r="BM431" s="185"/>
      <c r="BN431" s="185"/>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hidden="1" customHeight="1" outlineLevel="2">
      <c r="A432" s="9"/>
      <c r="B432" s="9"/>
      <c r="C432" s="25"/>
      <c r="D432" s="385"/>
      <c r="E432" s="85">
        <v>2</v>
      </c>
      <c r="F432" s="203"/>
      <c r="G432" s="207"/>
      <c r="H432" s="147">
        <f>IF(A28taxstdlife="n/a","n/a",IF(H$3&gt;(A28taxstdlife+$E432),(Input!$H$68-Input!$H$102)-SUM($G432:G432),(Input!$H$68-Input!$H$102)/A28taxstdlife))</f>
        <v>0</v>
      </c>
      <c r="I432" s="67">
        <f>IF(A28taxstdlife="n/a","n/a",IF(I$3&gt;(A28taxstdlife+$E432),(Input!$H$68-Input!$H$102)-SUM($G432:H432),(Input!$H$68-Input!$H$102)/A28taxstdlife))</f>
        <v>0</v>
      </c>
      <c r="J432" s="67">
        <f>IF(A28taxstdlife="n/a","n/a",IF(J$3&gt;(A28taxstdlife+$E432),(Input!$H$68-Input!$H$102)-SUM($G432:I432),(Input!$H$68-Input!$H$102)/A28taxstdlife))</f>
        <v>0</v>
      </c>
      <c r="K432" s="67">
        <f>IF(A28taxstdlife="n/a","n/a",IF(K$3&gt;(A28taxstdlife+$E432),(Input!$H$68-Input!$H$102)-SUM($G432:J432),(Input!$H$68-Input!$H$102)/A28taxstdlife))</f>
        <v>0</v>
      </c>
      <c r="L432" s="67"/>
      <c r="M432" s="67">
        <f>IF(A28taxstdlife="n/a","n/a",IF(M$3&gt;(A28taxstdlife+$E432),(Input!$H$68-Input!$H$102)-SUM($G432:L432),(Input!$H$68-Input!$H$102)/A28taxstdlife))</f>
        <v>0</v>
      </c>
      <c r="N432" s="67">
        <f>IF(A28taxstdlife="n/a","n/a",IF(N$3&gt;(A28taxstdlife+$E432),(Input!$H$68-Input!$H$102)-SUM($G432:M432),(Input!$H$68-Input!$H$102)/A28taxstdlife))</f>
        <v>0</v>
      </c>
      <c r="O432" s="67">
        <f>IF(A28taxstdlife="n/a","n/a",IF(O$3&gt;(A28taxstdlife+$E432),(Input!$H$68-Input!$H$102)-SUM($G432:N432),(Input!$H$68-Input!$H$102)/A28taxstdlife))</f>
        <v>0</v>
      </c>
      <c r="P432" s="67">
        <f>IF(A28taxstdlife="n/a","n/a",IF(P$3&gt;(A28taxstdlife+$E432),(Input!$H$68-Input!$H$102)-SUM($G432:O432),(Input!$H$68-Input!$H$102)/A28taxstdlife))</f>
        <v>0</v>
      </c>
      <c r="Q432" s="360"/>
      <c r="R432" s="102"/>
      <c r="S432" s="102"/>
      <c r="T432" s="102"/>
      <c r="U432" s="102"/>
      <c r="V432" s="102"/>
      <c r="W432" s="102"/>
      <c r="X432" s="102"/>
      <c r="Y432" s="102"/>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185"/>
      <c r="BJ432" s="185"/>
      <c r="BK432" s="185"/>
      <c r="BL432" s="185"/>
      <c r="BM432" s="185"/>
      <c r="BN432" s="185"/>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hidden="1" customHeight="1" outlineLevel="2">
      <c r="A433" s="9"/>
      <c r="B433" s="9"/>
      <c r="C433" s="25"/>
      <c r="D433" s="385"/>
      <c r="E433" s="85">
        <v>3</v>
      </c>
      <c r="F433" s="203"/>
      <c r="G433" s="207"/>
      <c r="H433" s="148"/>
      <c r="I433" s="147">
        <f>IF(A28taxstdlife="n/a","n/a",IF(I$3&gt;(A28taxstdlife+$E433),(Input!$I$68-Input!$I$102)-SUM($H433:H433),(Input!$I$68-Input!$I$102)/A28taxstdlife))</f>
        <v>0</v>
      </c>
      <c r="J433" s="67">
        <f>IF(A28taxstdlife="n/a","n/a",IF(J$3&gt;(A28taxstdlife+$E433),(Input!$I$68-Input!$I$102)-SUM($H433:I433),(Input!$I$68-Input!$I$102)/A28taxstdlife))</f>
        <v>0</v>
      </c>
      <c r="K433" s="67">
        <f>IF(A28taxstdlife="n/a","n/a",IF(K$3&gt;(A28taxstdlife+$E433),(Input!$I$68-Input!$I$102)-SUM($H433:J433),(Input!$I$68-Input!$I$102)/A28taxstdlife))</f>
        <v>0</v>
      </c>
      <c r="L433" s="67"/>
      <c r="M433" s="67">
        <f>IF(A28taxstdlife="n/a","n/a",IF(M$3&gt;(A28taxstdlife+$E433),(Input!$I$68-Input!$I$102)-SUM($H433:L433),(Input!$I$68-Input!$I$102)/A28taxstdlife))</f>
        <v>0</v>
      </c>
      <c r="N433" s="67">
        <f>IF(A28taxstdlife="n/a","n/a",IF(N$3&gt;(A28taxstdlife+$E433),(Input!$I$68-Input!$I$102)-SUM($H433:M433),(Input!$I$68-Input!$I$102)/A28taxstdlife))</f>
        <v>0</v>
      </c>
      <c r="O433" s="67">
        <f>IF(A28taxstdlife="n/a","n/a",IF(O$3&gt;(A28taxstdlife+$E433),(Input!$I$68-Input!$I$102)-SUM($H433:N433),(Input!$I$68-Input!$I$102)/A28taxstdlife))</f>
        <v>0</v>
      </c>
      <c r="P433" s="67">
        <f>IF(A28taxstdlife="n/a","n/a",IF(P$3&gt;(A28taxstdlife+$E433),(Input!$I$68-Input!$I$102)-SUM($H433:O433),(Input!$I$68-Input!$I$102)/A28taxstdlife))</f>
        <v>0</v>
      </c>
      <c r="Q433" s="360"/>
      <c r="R433" s="102"/>
      <c r="S433" s="102"/>
      <c r="T433" s="102"/>
      <c r="U433" s="102"/>
      <c r="V433" s="102"/>
      <c r="W433" s="102"/>
      <c r="X433" s="102"/>
      <c r="Y433" s="102"/>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7"/>
      <c r="BJ433" s="185"/>
      <c r="BK433" s="185"/>
      <c r="BL433" s="185"/>
      <c r="BM433" s="185"/>
      <c r="BN433" s="185"/>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hidden="1" customHeight="1" outlineLevel="2">
      <c r="A434" s="9"/>
      <c r="B434" s="9"/>
      <c r="C434" s="25"/>
      <c r="D434" s="385"/>
      <c r="E434" s="85">
        <v>4</v>
      </c>
      <c r="F434" s="203"/>
      <c r="G434" s="207"/>
      <c r="H434" s="148"/>
      <c r="I434" s="148"/>
      <c r="J434" s="147">
        <f>IF(A28taxstdlife="n/a","n/a",IF(J$3&gt;(A28taxstdlife+$E434),(Input!$J$68-Input!$J$102)-SUM($I434:I434),(Input!$J$68-Input!$J$102)/A28taxstdlife))</f>
        <v>0</v>
      </c>
      <c r="K434" s="67">
        <f>IF(A28taxstdlife="n/a","n/a",IF(K$3&gt;(A28taxstdlife+$E434),(Input!$J$68-Input!$J$102)-SUM($I434:J434),(Input!$J$68-Input!$J$102)/A28taxstdlife))</f>
        <v>0</v>
      </c>
      <c r="L434" s="67"/>
      <c r="M434" s="67">
        <f>IF(A28taxstdlife="n/a","n/a",IF(M$3&gt;(A28taxstdlife+$E434),(Input!$J$68-Input!$J$102)-SUM($I434:L434),(Input!$J$68-Input!$J$102)/A28taxstdlife))</f>
        <v>0</v>
      </c>
      <c r="N434" s="67">
        <f>IF(A28taxstdlife="n/a","n/a",IF(N$3&gt;(A28taxstdlife+$E434),(Input!$J$68-Input!$J$102)-SUM($I434:M434),(Input!$J$68-Input!$J$102)/A28taxstdlife))</f>
        <v>0</v>
      </c>
      <c r="O434" s="67">
        <f>IF(A28taxstdlife="n/a","n/a",IF(O$3&gt;(A28taxstdlife+$E434),(Input!$J$68-Input!$J$102)-SUM($I434:N434),(Input!$J$68-Input!$J$102)/A28taxstdlife))</f>
        <v>0</v>
      </c>
      <c r="P434" s="67">
        <f>IF(A28taxstdlife="n/a","n/a",IF(P$3&gt;(A28taxstdlife+$E434),(Input!$J$68-Input!$J$102)-SUM($I434:O434),(Input!$J$68-Input!$J$102)/A28taxstdlife))</f>
        <v>0</v>
      </c>
      <c r="Q434" s="360"/>
      <c r="R434" s="102"/>
      <c r="S434" s="102"/>
      <c r="T434" s="102"/>
      <c r="U434" s="102"/>
      <c r="V434" s="102"/>
      <c r="W434" s="102"/>
      <c r="X434" s="102"/>
      <c r="Y434" s="102"/>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185"/>
      <c r="BJ434" s="185"/>
      <c r="BK434" s="185"/>
      <c r="BL434" s="185"/>
      <c r="BM434" s="185"/>
      <c r="BN434" s="185"/>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hidden="1" customHeight="1" outlineLevel="2">
      <c r="A435" s="9"/>
      <c r="B435" s="9"/>
      <c r="C435" s="25"/>
      <c r="D435" s="385"/>
      <c r="E435" s="85">
        <v>5</v>
      </c>
      <c r="F435" s="203"/>
      <c r="G435" s="207"/>
      <c r="H435" s="148"/>
      <c r="I435" s="148"/>
      <c r="J435" s="148"/>
      <c r="K435" s="147">
        <f>IF(A28taxstdlife="n/a","n/a",IF(K$3&gt;(A28taxstdlife+$E435),(Input!$K$68-Input!$K$102)-SUM($J435:J435),(Input!$K$68-Input!$K$102)/A28taxstdlife))</f>
        <v>0</v>
      </c>
      <c r="L435" s="67"/>
      <c r="M435" s="67">
        <f>IF(A28taxstdlife="n/a","n/a",IF(M$3&gt;(A28taxstdlife+$E435),(Input!$K$68-Input!$K$102)-SUM($J435:L435),(Input!$K$68-Input!$K$102)/A28taxstdlife))</f>
        <v>0</v>
      </c>
      <c r="N435" s="67">
        <f>IF(A28taxstdlife="n/a","n/a",IF(N$3&gt;(A28taxstdlife+$E435),(Input!$K$68-Input!$K$102)-SUM($J435:M435),(Input!$K$68-Input!$K$102)/A28taxstdlife))</f>
        <v>0</v>
      </c>
      <c r="O435" s="67">
        <f>IF(A28taxstdlife="n/a","n/a",IF(O$3&gt;(A28taxstdlife+$E435),(Input!$K$68-Input!$K$102)-SUM($J435:N435),(Input!$K$68-Input!$K$102)/A28taxstdlife))</f>
        <v>0</v>
      </c>
      <c r="P435" s="67">
        <f>IF(A28taxstdlife="n/a","n/a",IF(P$3&gt;(A28taxstdlife+$E435),(Input!$K$68-Input!$K$102)-SUM($J435:O435),(Input!$K$68-Input!$K$102)/A28taxstdlife))</f>
        <v>0</v>
      </c>
      <c r="Q435" s="360"/>
      <c r="R435" s="102"/>
      <c r="S435" s="102"/>
      <c r="T435" s="102"/>
      <c r="U435" s="102"/>
      <c r="V435" s="102"/>
      <c r="W435" s="102"/>
      <c r="X435" s="102"/>
      <c r="Y435" s="102"/>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185"/>
      <c r="BJ435" s="185"/>
      <c r="BK435" s="185"/>
      <c r="BL435" s="185"/>
      <c r="BM435" s="185"/>
      <c r="BN435" s="18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hidden="1" customHeight="1" outlineLevel="2">
      <c r="A436" s="9"/>
      <c r="B436" s="9"/>
      <c r="C436" s="25"/>
      <c r="D436" s="385"/>
      <c r="E436" s="85">
        <v>6</v>
      </c>
      <c r="F436" s="203"/>
      <c r="G436" s="207"/>
      <c r="H436" s="148"/>
      <c r="I436" s="148"/>
      <c r="J436" s="148"/>
      <c r="K436" s="148"/>
      <c r="L436" s="147"/>
      <c r="M436" s="67">
        <f>IF(A28taxstdlife="n/a","n/a",IF(M$3&gt;(A28taxstdlife+$E436),(Input!$L$68-Input!$L$102)-SUM($K436:L436),(Input!$L$68-Input!$L$102)/A28taxstdlife))</f>
        <v>0</v>
      </c>
      <c r="N436" s="67">
        <f>IF(A28taxstdlife="n/a","n/a",IF(N$3&gt;(A28taxstdlife+$E436),(Input!$L$68-Input!$L$102)-SUM($K436:M436),(Input!$L$68-Input!$L$102)/A28taxstdlife))</f>
        <v>0</v>
      </c>
      <c r="O436" s="67">
        <f>IF(A28taxstdlife="n/a","n/a",IF(O$3&gt;(A28taxstdlife+$E436),(Input!$L$68-Input!$L$102)-SUM($K436:N436),(Input!$L$68-Input!$L$102)/A28taxstdlife))</f>
        <v>0</v>
      </c>
      <c r="P436" s="67">
        <f>IF(A28taxstdlife="n/a","n/a",IF(P$3&gt;(A28taxstdlife+$E436),(Input!$L$68-Input!$L$102)-SUM($K436:O436),(Input!$L$68-Input!$L$102)/A28taxstdlife))</f>
        <v>0</v>
      </c>
      <c r="Q436" s="360"/>
      <c r="R436" s="102"/>
      <c r="S436" s="102"/>
      <c r="T436" s="102"/>
      <c r="U436" s="102"/>
      <c r="V436" s="102"/>
      <c r="W436" s="102"/>
      <c r="X436" s="102"/>
      <c r="Y436" s="102"/>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185"/>
      <c r="BJ436" s="185"/>
      <c r="BK436" s="185"/>
      <c r="BL436" s="185"/>
      <c r="BM436" s="185"/>
      <c r="BN436" s="185"/>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hidden="1" customHeight="1" outlineLevel="2">
      <c r="A437" s="9"/>
      <c r="B437" s="9"/>
      <c r="C437" s="25"/>
      <c r="D437" s="385"/>
      <c r="E437" s="85">
        <v>7</v>
      </c>
      <c r="F437" s="203"/>
      <c r="G437" s="207"/>
      <c r="H437" s="148"/>
      <c r="I437" s="148"/>
      <c r="J437" s="148"/>
      <c r="K437" s="148"/>
      <c r="L437" s="148"/>
      <c r="M437" s="147">
        <f>IF(A28taxstdlife="n/a","n/a",IF(M$3&gt;(A28taxstdlife+$E437),(Input!$M$68-Input!$M$102)-SUM($L437:L437),(Input!$M$68-Input!$M$102)/A28taxstdlife))</f>
        <v>0</v>
      </c>
      <c r="N437" s="67">
        <f>IF(A28taxstdlife="n/a","n/a",IF(N$3&gt;(A28taxstdlife+$E437),(Input!$M$68-Input!$M$102)-SUM($L437:M437),(Input!$M$68-Input!$M$102)/A28taxstdlife))</f>
        <v>0</v>
      </c>
      <c r="O437" s="67">
        <f>IF(A28taxstdlife="n/a","n/a",IF(O$3&gt;(A28taxstdlife+$E437),(Input!$M$68-Input!$M$102)-SUM($L437:N437),(Input!$M$68-Input!$M$102)/A28taxstdlife))</f>
        <v>0</v>
      </c>
      <c r="P437" s="67">
        <f>IF(A28taxstdlife="n/a","n/a",IF(P$3&gt;(A28taxstdlife+$E437),(Input!$M$68-Input!$M$102)-SUM($L437:O437),(Input!$M$68-Input!$M$102)/A28taxstdlife))</f>
        <v>0</v>
      </c>
      <c r="Q437" s="360"/>
      <c r="R437" s="102"/>
      <c r="S437" s="102"/>
      <c r="T437" s="102"/>
      <c r="U437" s="102"/>
      <c r="V437" s="102"/>
      <c r="W437" s="102"/>
      <c r="X437" s="102"/>
      <c r="Y437" s="102"/>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185"/>
      <c r="BJ437" s="185"/>
      <c r="BK437" s="185"/>
      <c r="BL437" s="185"/>
      <c r="BM437" s="185"/>
      <c r="BN437" s="185"/>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hidden="1" customHeight="1" outlineLevel="2">
      <c r="A438" s="9"/>
      <c r="B438" s="9"/>
      <c r="C438" s="25"/>
      <c r="D438" s="385"/>
      <c r="E438" s="85">
        <v>8</v>
      </c>
      <c r="F438" s="203"/>
      <c r="G438" s="207"/>
      <c r="H438" s="148"/>
      <c r="I438" s="148"/>
      <c r="J438" s="148"/>
      <c r="K438" s="148"/>
      <c r="L438" s="148"/>
      <c r="M438" s="148"/>
      <c r="N438" s="147">
        <f>IF(A28taxstdlife="n/a","n/a",IF(N$3&gt;(A28taxstdlife+$E438),(Input!$N$68-Input!$N$102)-SUM($M438:M438),(Input!$N$68-Input!$N$102)/A28taxstdlife))</f>
        <v>0</v>
      </c>
      <c r="O438" s="67">
        <f>IF(A28taxstdlife="n/a","n/a",IF(O$3&gt;(A28taxstdlife+$E438),(Input!$N$68-Input!$N$102)-SUM($M438:N438),(Input!$N$68-Input!$N$102)/A28taxstdlife))</f>
        <v>0</v>
      </c>
      <c r="P438" s="67">
        <f>IF(A28taxstdlife="n/a","n/a",IF(P$3&gt;(A28taxstdlife+$E438),(Input!$N$68-Input!$N$102)-SUM($M438:O438),(Input!$N$68-Input!$N$102)/A28taxstdlife))</f>
        <v>0</v>
      </c>
      <c r="Q438" s="360"/>
      <c r="R438" s="102"/>
      <c r="S438" s="102"/>
      <c r="T438" s="102"/>
      <c r="U438" s="102"/>
      <c r="V438" s="102"/>
      <c r="W438" s="102"/>
      <c r="X438" s="102"/>
      <c r="Y438" s="102"/>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185"/>
      <c r="BJ438" s="185"/>
      <c r="BK438" s="185"/>
      <c r="BL438" s="185"/>
      <c r="BM438" s="185"/>
      <c r="BN438" s="185"/>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hidden="1" customHeight="1" outlineLevel="2">
      <c r="A439" s="9"/>
      <c r="B439" s="9"/>
      <c r="C439" s="25"/>
      <c r="D439" s="385"/>
      <c r="E439" s="85">
        <v>9</v>
      </c>
      <c r="F439" s="203"/>
      <c r="G439" s="207"/>
      <c r="H439" s="148"/>
      <c r="I439" s="148"/>
      <c r="J439" s="148"/>
      <c r="K439" s="148"/>
      <c r="L439" s="148"/>
      <c r="M439" s="148"/>
      <c r="N439" s="148"/>
      <c r="O439" s="147">
        <f>IF(A28taxstdlife="n/a","n/a",IF(O$3&gt;(A28taxstdlife+$E439),(Input!$O$68-Input!$O$102)-SUM($N439:N439),(Input!$O$68-Input!$O$102)/A28taxstdlife))</f>
        <v>0</v>
      </c>
      <c r="P439" s="67">
        <f>IF(A28taxstdlife="n/a","n/a",IF(P$3&gt;(A28taxstdlife+$E439),(Input!$O$68-Input!$O$102)-SUM($N439:O439),(Input!$O$68-Input!$O$102)/A28taxstdlife))</f>
        <v>0</v>
      </c>
      <c r="Q439" s="360"/>
      <c r="R439" s="102"/>
      <c r="S439" s="102"/>
      <c r="T439" s="102"/>
      <c r="U439" s="102"/>
      <c r="V439" s="102"/>
      <c r="W439" s="102"/>
      <c r="X439" s="102"/>
      <c r="Y439" s="102"/>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185"/>
      <c r="BJ439" s="185"/>
      <c r="BK439" s="185"/>
      <c r="BL439" s="185"/>
      <c r="BM439" s="185"/>
      <c r="BN439" s="185"/>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hidden="1" customHeight="1" outlineLevel="2">
      <c r="A440" s="9"/>
      <c r="B440" s="9"/>
      <c r="C440" s="25"/>
      <c r="D440" s="385"/>
      <c r="E440" s="85">
        <v>10</v>
      </c>
      <c r="F440" s="203"/>
      <c r="G440" s="207"/>
      <c r="H440" s="148"/>
      <c r="I440" s="148"/>
      <c r="J440" s="148"/>
      <c r="K440" s="148"/>
      <c r="L440" s="148"/>
      <c r="M440" s="148"/>
      <c r="N440" s="148"/>
      <c r="O440" s="148"/>
      <c r="P440" s="147">
        <f>IF(A28taxstdlife="n/a","n/a",IF(P$3&gt;(A28taxstdlife+$E440),(Input!$P$68-Input!$P$102)-SUM($O440:O440),(Input!$P$68-Input!$P$102)/A28taxstdlife))</f>
        <v>0</v>
      </c>
      <c r="Q440" s="360"/>
      <c r="R440" s="102"/>
      <c r="S440" s="102"/>
      <c r="T440" s="102"/>
      <c r="U440" s="102"/>
      <c r="V440" s="102"/>
      <c r="W440" s="102"/>
      <c r="X440" s="102"/>
      <c r="Y440" s="102"/>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185"/>
      <c r="BJ440" s="185"/>
      <c r="BK440" s="185"/>
      <c r="BL440" s="185"/>
      <c r="BM440" s="185"/>
      <c r="BN440" s="185"/>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hidden="1" customHeight="1" outlineLevel="2">
      <c r="A441" s="9"/>
      <c r="B441" s="9"/>
      <c r="C441" s="25"/>
      <c r="D441" s="385"/>
      <c r="E441" s="86">
        <v>11</v>
      </c>
      <c r="F441" s="351"/>
      <c r="G441" s="207"/>
      <c r="H441" s="148"/>
      <c r="I441" s="148"/>
      <c r="J441" s="148"/>
      <c r="K441" s="148"/>
      <c r="L441" s="148"/>
      <c r="M441" s="148"/>
      <c r="N441" s="148"/>
      <c r="O441" s="148"/>
      <c r="P441" s="187"/>
      <c r="Q441" s="350"/>
      <c r="R441" s="102"/>
      <c r="S441" s="102"/>
      <c r="T441" s="102"/>
      <c r="U441" s="102"/>
      <c r="V441" s="102"/>
      <c r="W441" s="102"/>
      <c r="X441" s="102"/>
      <c r="Y441" s="102"/>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185"/>
      <c r="BJ441" s="185"/>
      <c r="BK441" s="185"/>
      <c r="BL441" s="185"/>
      <c r="BM441" s="185"/>
      <c r="BN441" s="185"/>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hidden="1" customHeight="1" outlineLevel="1">
      <c r="A442" s="9"/>
      <c r="B442" s="9"/>
      <c r="C442" s="25">
        <f>Asset28</f>
        <v>0</v>
      </c>
      <c r="D442" s="9"/>
      <c r="E442" s="9"/>
      <c r="F442" s="358">
        <f t="shared" ref="F442:K442" si="16">-SUM(F429:F441)</f>
        <v>0</v>
      </c>
      <c r="G442" s="208">
        <f t="shared" si="16"/>
        <v>0</v>
      </c>
      <c r="H442" s="164">
        <f t="shared" si="16"/>
        <v>0</v>
      </c>
      <c r="I442" s="164">
        <f t="shared" si="16"/>
        <v>0</v>
      </c>
      <c r="J442" s="164">
        <f t="shared" si="16"/>
        <v>0</v>
      </c>
      <c r="K442" s="164">
        <f t="shared" si="16"/>
        <v>0</v>
      </c>
      <c r="L442" s="164"/>
      <c r="M442" s="164">
        <f>IF(Input!N173&gt;0, -SUM(M429:M441), 0)</f>
        <v>0</v>
      </c>
      <c r="N442" s="164">
        <f>IF(Input!O173&gt;0, -SUM(N429:N441), 0)</f>
        <v>0</v>
      </c>
      <c r="O442" s="164">
        <f>IF(Input!P173&gt;0, -SUM(O429:O441), 0)</f>
        <v>0</v>
      </c>
      <c r="P442" s="164">
        <f>IF(Input!Q173&gt;0, -SUM(P429:P441), 0)</f>
        <v>0</v>
      </c>
      <c r="Q442" s="357"/>
      <c r="R442" s="101"/>
      <c r="S442" s="101"/>
      <c r="T442" s="101"/>
      <c r="U442" s="101"/>
      <c r="V442" s="101"/>
      <c r="W442" s="101"/>
      <c r="X442" s="101"/>
      <c r="Y442" s="101"/>
      <c r="Z442" s="21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185"/>
      <c r="BJ442" s="185"/>
      <c r="BK442" s="185"/>
      <c r="BL442" s="185"/>
      <c r="BM442" s="185"/>
      <c r="BN442" s="185"/>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hidden="1" customHeight="1" outlineLevel="2">
      <c r="A443" s="9"/>
      <c r="B443" s="186">
        <f>Asset29</f>
        <v>0</v>
      </c>
      <c r="C443" s="32"/>
      <c r="D443" s="33" t="s">
        <v>67</v>
      </c>
      <c r="E443" s="32"/>
      <c r="F443" s="359"/>
      <c r="G443" s="204">
        <f>IF(G$3&gt;A29taxremlife,A29taxvalue-SUM($F443:F443),IF(A29taxremlife="N/A","n/a",A29taxvalue/A29taxremlife))</f>
        <v>0</v>
      </c>
      <c r="H443" s="66">
        <f>IF(H$3&gt;A29taxremlife,A29taxvalue-SUM($F443:G443),IF(A29taxremlife="N/A","n/a",A29taxvalue/A29taxremlife))</f>
        <v>0</v>
      </c>
      <c r="I443" s="66">
        <f>IF(I$3&gt;A29taxremlife,A29taxvalue-SUM($F443:H443),IF(A29taxremlife="N/A","n/a",A29taxvalue/A29taxremlife))</f>
        <v>0</v>
      </c>
      <c r="J443" s="66">
        <f>IF(J$3&gt;A29taxremlife,A29taxvalue-SUM($F443:I443),IF(A29taxremlife="N/A","n/a",A29taxvalue/A29taxremlife))</f>
        <v>0</v>
      </c>
      <c r="K443" s="66">
        <f>IF(K$3&gt;A29taxremlife,A29taxvalue-SUM($F443:J443),IF(A29taxremlife="N/A","n/a",A29taxvalue/A29taxremlife))</f>
        <v>0</v>
      </c>
      <c r="L443" s="66"/>
      <c r="M443" s="66">
        <f>IF(M$3&gt;A29taxremlife,A29taxvalue-SUM($F443:L443),IF(A29taxremlife="N/A","n/a",A29taxvalue/A29taxremlife))</f>
        <v>0</v>
      </c>
      <c r="N443" s="66">
        <f>IF(N$3&gt;A29taxremlife,A29taxvalue-SUM($F443:M443),IF(A29taxremlife="N/A","n/a",A29taxvalue/A29taxremlife))</f>
        <v>0</v>
      </c>
      <c r="O443" s="66">
        <f>IF(O$3&gt;A29taxremlife,A29taxvalue-SUM($F443:N443),IF(A29taxremlife="N/A","n/a",A29taxvalue/A29taxremlife))</f>
        <v>0</v>
      </c>
      <c r="P443" s="66">
        <f>IF(P$3&gt;A29taxremlife,A29taxvalue-SUM($F443:O443),IF(A29taxremlife="N/A","n/a",A29taxvalue/A29taxremlife))</f>
        <v>0</v>
      </c>
      <c r="Q443" s="356"/>
      <c r="R443" s="102"/>
      <c r="S443" s="102"/>
      <c r="T443" s="102"/>
      <c r="U443" s="102"/>
      <c r="V443" s="102"/>
      <c r="W443" s="102"/>
      <c r="X443" s="102"/>
      <c r="Y443" s="102"/>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185"/>
      <c r="BJ443" s="185"/>
      <c r="BK443" s="185"/>
      <c r="BL443" s="185"/>
      <c r="BM443" s="185"/>
      <c r="BN443" s="185"/>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hidden="1" customHeight="1" outlineLevel="2">
      <c r="A444" s="9"/>
      <c r="B444" s="9"/>
      <c r="C444" s="25"/>
      <c r="D444" s="384" t="s">
        <v>85</v>
      </c>
      <c r="E444" s="85">
        <v>0</v>
      </c>
      <c r="F444" s="310"/>
      <c r="G444" s="205"/>
      <c r="H444" s="67"/>
      <c r="I444" s="67"/>
      <c r="J444" s="67"/>
      <c r="K444" s="67"/>
      <c r="L444" s="67"/>
      <c r="M444" s="67"/>
      <c r="N444" s="67"/>
      <c r="O444" s="67"/>
      <c r="P444" s="67"/>
      <c r="Q444" s="360"/>
      <c r="R444" s="102"/>
      <c r="S444" s="102"/>
      <c r="T444" s="102"/>
      <c r="U444" s="102"/>
      <c r="V444" s="102"/>
      <c r="W444" s="102"/>
      <c r="X444" s="102"/>
      <c r="Y444" s="102"/>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185"/>
      <c r="BJ444" s="185"/>
      <c r="BK444" s="185"/>
      <c r="BL444" s="185"/>
      <c r="BM444" s="185"/>
      <c r="BN444" s="185"/>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hidden="1" customHeight="1" outlineLevel="2">
      <c r="A445" s="9"/>
      <c r="B445" s="9"/>
      <c r="C445" s="25"/>
      <c r="D445" s="385"/>
      <c r="E445" s="85">
        <v>1</v>
      </c>
      <c r="F445" s="203"/>
      <c r="G445" s="206">
        <f>IF(A29taxstdlife="n/a","n/a",IF(G$3&gt;(A29taxstdlife+$E445),(Input!$G$69-Input!$G$103)-SUM($F445:F445),(Input!$G$69-Input!$G$103)/A29taxstdlife))</f>
        <v>0</v>
      </c>
      <c r="H445" s="67">
        <f>IF(A29taxstdlife="n/a","n/a",IF(H$3&gt;(A29taxstdlife+$E445),(Input!$G$69-Input!$G$103)-SUM($F445:G445),(Input!$G$69-Input!$G$103)/A29taxstdlife))</f>
        <v>0</v>
      </c>
      <c r="I445" s="67">
        <f>IF(A29taxstdlife="n/a","n/a",IF(I$3&gt;(A29taxstdlife+$E445),(Input!$G$69-Input!$G$103)-SUM($F445:H445),(Input!$G$69-Input!$G$103)/A29taxstdlife))</f>
        <v>0</v>
      </c>
      <c r="J445" s="67">
        <f>IF(A29taxstdlife="n/a","n/a",IF(J$3&gt;(A29taxstdlife+$E445),(Input!$G$69-Input!$G$103)-SUM($F445:I445),(Input!$G$69-Input!$G$103)/A29taxstdlife))</f>
        <v>0</v>
      </c>
      <c r="K445" s="67">
        <f>IF(A29taxstdlife="n/a","n/a",IF(K$3&gt;(A29taxstdlife+$E445),(Input!$G$69-Input!$G$103)-SUM($F445:J445),(Input!$G$69-Input!$G$103)/A29taxstdlife))</f>
        <v>0</v>
      </c>
      <c r="L445" s="67"/>
      <c r="M445" s="67">
        <f>IF(A29taxstdlife="n/a","n/a",IF(M$3&gt;(A29taxstdlife+$E445),(Input!$G$69-Input!$G$103)-SUM($F445:L445),(Input!$G$69-Input!$G$103)/A29taxstdlife))</f>
        <v>0</v>
      </c>
      <c r="N445" s="67">
        <f>IF(A29taxstdlife="n/a","n/a",IF(N$3&gt;(A29taxstdlife+$E445),(Input!$G$69-Input!$G$103)-SUM($F445:M445),(Input!$G$69-Input!$G$103)/A29taxstdlife))</f>
        <v>0</v>
      </c>
      <c r="O445" s="67">
        <f>IF(A29taxstdlife="n/a","n/a",IF(O$3&gt;(A29taxstdlife+$E445),(Input!$G$69-Input!$G$103)-SUM($F445:N445),(Input!$G$69-Input!$G$103)/A29taxstdlife))</f>
        <v>0</v>
      </c>
      <c r="P445" s="67">
        <f>IF(A29taxstdlife="n/a","n/a",IF(P$3&gt;(A29taxstdlife+$E445),(Input!$G$69-Input!$G$103)-SUM($F445:O445),(Input!$G$69-Input!$G$103)/A29taxstdlife))</f>
        <v>0</v>
      </c>
      <c r="Q445" s="360"/>
      <c r="R445" s="102"/>
      <c r="S445" s="102"/>
      <c r="T445" s="102"/>
      <c r="U445" s="102"/>
      <c r="V445" s="102"/>
      <c r="W445" s="102"/>
      <c r="X445" s="102"/>
      <c r="Y445" s="102"/>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185"/>
      <c r="BJ445" s="185"/>
      <c r="BK445" s="185"/>
      <c r="BL445" s="185"/>
      <c r="BM445" s="185"/>
      <c r="BN445" s="18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hidden="1" customHeight="1" outlineLevel="2">
      <c r="A446" s="9"/>
      <c r="B446" s="9"/>
      <c r="C446" s="25"/>
      <c r="D446" s="385"/>
      <c r="E446" s="85">
        <v>2</v>
      </c>
      <c r="F446" s="203"/>
      <c r="G446" s="207"/>
      <c r="H446" s="147">
        <f>IF(A29taxstdlife="n/a","n/a",IF(H$3&gt;(A29taxstdlife+$E446),(Input!$H$69-Input!$H$103)-SUM($G446:G446),(Input!$H$69-Input!$H$103)/A29taxstdlife))</f>
        <v>0</v>
      </c>
      <c r="I446" s="67">
        <f>IF(A29taxstdlife="n/a","n/a",IF(I$3&gt;(A29taxstdlife+$E446),(Input!$H$69-Input!$H$103)-SUM($G446:H446),(Input!$H$69-Input!$H$103)/A29taxstdlife))</f>
        <v>0</v>
      </c>
      <c r="J446" s="67">
        <f>IF(A29taxstdlife="n/a","n/a",IF(J$3&gt;(A29taxstdlife+$E446),(Input!$H$69-Input!$H$103)-SUM($G446:I446),(Input!$H$69-Input!$H$103)/A29taxstdlife))</f>
        <v>0</v>
      </c>
      <c r="K446" s="67">
        <f>IF(A29taxstdlife="n/a","n/a",IF(K$3&gt;(A29taxstdlife+$E446),(Input!$H$69-Input!$H$103)-SUM($G446:J446),(Input!$H$69-Input!$H$103)/A29taxstdlife))</f>
        <v>0</v>
      </c>
      <c r="L446" s="67"/>
      <c r="M446" s="67">
        <f>IF(A29taxstdlife="n/a","n/a",IF(M$3&gt;(A29taxstdlife+$E446),(Input!$H$69-Input!$H$103)-SUM($G446:L446),(Input!$H$69-Input!$H$103)/A29taxstdlife))</f>
        <v>0</v>
      </c>
      <c r="N446" s="67">
        <f>IF(A29taxstdlife="n/a","n/a",IF(N$3&gt;(A29taxstdlife+$E446),(Input!$H$69-Input!$H$103)-SUM($G446:M446),(Input!$H$69-Input!$H$103)/A29taxstdlife))</f>
        <v>0</v>
      </c>
      <c r="O446" s="67">
        <f>IF(A29taxstdlife="n/a","n/a",IF(O$3&gt;(A29taxstdlife+$E446),(Input!$H$69-Input!$H$103)-SUM($G446:N446),(Input!$H$69-Input!$H$103)/A29taxstdlife))</f>
        <v>0</v>
      </c>
      <c r="P446" s="67">
        <f>IF(A29taxstdlife="n/a","n/a",IF(P$3&gt;(A29taxstdlife+$E446),(Input!$H$69-Input!$H$103)-SUM($G446:O446),(Input!$H$69-Input!$H$103)/A29taxstdlife))</f>
        <v>0</v>
      </c>
      <c r="Q446" s="360"/>
      <c r="R446" s="102"/>
      <c r="S446" s="102"/>
      <c r="T446" s="102"/>
      <c r="U446" s="102"/>
      <c r="V446" s="102"/>
      <c r="W446" s="102"/>
      <c r="X446" s="102"/>
      <c r="Y446" s="102"/>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185"/>
      <c r="BJ446" s="185"/>
      <c r="BK446" s="185"/>
      <c r="BL446" s="185"/>
      <c r="BM446" s="185"/>
      <c r="BN446" s="185"/>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hidden="1" customHeight="1" outlineLevel="2">
      <c r="A447" s="9"/>
      <c r="B447" s="9"/>
      <c r="C447" s="25"/>
      <c r="D447" s="385"/>
      <c r="E447" s="85">
        <v>3</v>
      </c>
      <c r="F447" s="203"/>
      <c r="G447" s="207"/>
      <c r="H447" s="148"/>
      <c r="I447" s="147">
        <f>IF(A29taxstdlife="n/a","n/a",IF(I$3&gt;(A29taxstdlife+$E447),(Input!$I$69-Input!$I$103)-SUM($H447:H447),(Input!$I$69-Input!$I$103)/A29taxstdlife))</f>
        <v>0</v>
      </c>
      <c r="J447" s="67">
        <f>IF(A29taxstdlife="n/a","n/a",IF(J$3&gt;(A29taxstdlife+$E447),(Input!$I$69-Input!$I$103)-SUM($H447:I447),(Input!$I$69-Input!$I$103)/A29taxstdlife))</f>
        <v>0</v>
      </c>
      <c r="K447" s="67">
        <f>IF(A29taxstdlife="n/a","n/a",IF(K$3&gt;(A29taxstdlife+$E447),(Input!$I$69-Input!$I$103)-SUM($H447:J447),(Input!$I$69-Input!$I$103)/A29taxstdlife))</f>
        <v>0</v>
      </c>
      <c r="L447" s="67"/>
      <c r="M447" s="67">
        <f>IF(A29taxstdlife="n/a","n/a",IF(M$3&gt;(A29taxstdlife+$E447),(Input!$I$69-Input!$I$103)-SUM($H447:L447),(Input!$I$69-Input!$I$103)/A29taxstdlife))</f>
        <v>0</v>
      </c>
      <c r="N447" s="67">
        <f>IF(A29taxstdlife="n/a","n/a",IF(N$3&gt;(A29taxstdlife+$E447),(Input!$I$69-Input!$I$103)-SUM($H447:M447),(Input!$I$69-Input!$I$103)/A29taxstdlife))</f>
        <v>0</v>
      </c>
      <c r="O447" s="67">
        <f>IF(A29taxstdlife="n/a","n/a",IF(O$3&gt;(A29taxstdlife+$E447),(Input!$I$69-Input!$I$103)-SUM($H447:N447),(Input!$I$69-Input!$I$103)/A29taxstdlife))</f>
        <v>0</v>
      </c>
      <c r="P447" s="67">
        <f>IF(A29taxstdlife="n/a","n/a",IF(P$3&gt;(A29taxstdlife+$E447),(Input!$I$69-Input!$I$103)-SUM($H447:O447),(Input!$I$69-Input!$I$103)/A29taxstdlife))</f>
        <v>0</v>
      </c>
      <c r="Q447" s="360"/>
      <c r="R447" s="102"/>
      <c r="S447" s="102"/>
      <c r="T447" s="102"/>
      <c r="U447" s="102"/>
      <c r="V447" s="102"/>
      <c r="W447" s="102"/>
      <c r="X447" s="102"/>
      <c r="Y447" s="102"/>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7"/>
      <c r="BJ447" s="185"/>
      <c r="BK447" s="185"/>
      <c r="BL447" s="185"/>
      <c r="BM447" s="185"/>
      <c r="BN447" s="185"/>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hidden="1" customHeight="1" outlineLevel="2">
      <c r="A448" s="9"/>
      <c r="B448" s="9"/>
      <c r="C448" s="25"/>
      <c r="D448" s="385"/>
      <c r="E448" s="85">
        <v>4</v>
      </c>
      <c r="F448" s="203"/>
      <c r="G448" s="207"/>
      <c r="H448" s="148"/>
      <c r="I448" s="148"/>
      <c r="J448" s="147">
        <f>IF(A29taxstdlife="n/a","n/a",IF(J$3&gt;(A29taxstdlife+$E448),(Input!$J$69-Input!$J$103)-SUM($I448:I448),(Input!$J$69-Input!$J$103)/A29taxstdlife))</f>
        <v>0</v>
      </c>
      <c r="K448" s="67">
        <f>IF(A29taxstdlife="n/a","n/a",IF(K$3&gt;(A29taxstdlife+$E448),(Input!$J$69-Input!$J$103)-SUM($I448:J448),(Input!$J$69-Input!$J$103)/A29taxstdlife))</f>
        <v>0</v>
      </c>
      <c r="L448" s="67"/>
      <c r="M448" s="67">
        <f>IF(A29taxstdlife="n/a","n/a",IF(M$3&gt;(A29taxstdlife+$E448),(Input!$J$69-Input!$J$103)-SUM($I448:L448),(Input!$J$69-Input!$J$103)/A29taxstdlife))</f>
        <v>0</v>
      </c>
      <c r="N448" s="67">
        <f>IF(A29taxstdlife="n/a","n/a",IF(N$3&gt;(A29taxstdlife+$E448),(Input!$J$69-Input!$J$103)-SUM($I448:M448),(Input!$J$69-Input!$J$103)/A29taxstdlife))</f>
        <v>0</v>
      </c>
      <c r="O448" s="67">
        <f>IF(A29taxstdlife="n/a","n/a",IF(O$3&gt;(A29taxstdlife+$E448),(Input!$J$69-Input!$J$103)-SUM($I448:N448),(Input!$J$69-Input!$J$103)/A29taxstdlife))</f>
        <v>0</v>
      </c>
      <c r="P448" s="67">
        <f>IF(A29taxstdlife="n/a","n/a",IF(P$3&gt;(A29taxstdlife+$E448),(Input!$J$69-Input!$J$103)-SUM($I448:O448),(Input!$J$69-Input!$J$103)/A29taxstdlife))</f>
        <v>0</v>
      </c>
      <c r="Q448" s="360"/>
      <c r="R448" s="102"/>
      <c r="S448" s="102"/>
      <c r="T448" s="102"/>
      <c r="U448" s="102"/>
      <c r="V448" s="102"/>
      <c r="W448" s="102"/>
      <c r="X448" s="102"/>
      <c r="Y448" s="102"/>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185"/>
      <c r="BJ448" s="185"/>
      <c r="BK448" s="185"/>
      <c r="BL448" s="185"/>
      <c r="BM448" s="185"/>
      <c r="BN448" s="185"/>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hidden="1" customHeight="1" outlineLevel="2">
      <c r="A449" s="9"/>
      <c r="B449" s="9"/>
      <c r="C449" s="25"/>
      <c r="D449" s="385"/>
      <c r="E449" s="85">
        <v>5</v>
      </c>
      <c r="F449" s="203"/>
      <c r="G449" s="207"/>
      <c r="H449" s="148"/>
      <c r="I449" s="148"/>
      <c r="J449" s="148"/>
      <c r="K449" s="147">
        <f>IF(A29taxstdlife="n/a","n/a",IF(K$3&gt;(A29taxstdlife+$E449),(Input!$K$69-Input!$K$103)-SUM($J449:J449),(Input!$K$69-Input!$K$103)/A29taxstdlife))</f>
        <v>0</v>
      </c>
      <c r="L449" s="67"/>
      <c r="M449" s="67">
        <f>IF(A29taxstdlife="n/a","n/a",IF(M$3&gt;(A29taxstdlife+$E449),(Input!$K$69-Input!$K$103)-SUM($J449:L449),(Input!$K$69-Input!$K$103)/A29taxstdlife))</f>
        <v>0</v>
      </c>
      <c r="N449" s="67">
        <f>IF(A29taxstdlife="n/a","n/a",IF(N$3&gt;(A29taxstdlife+$E449),(Input!$K$69-Input!$K$103)-SUM($J449:M449),(Input!$K$69-Input!$K$103)/A29taxstdlife))</f>
        <v>0</v>
      </c>
      <c r="O449" s="67">
        <f>IF(A29taxstdlife="n/a","n/a",IF(O$3&gt;(A29taxstdlife+$E449),(Input!$K$69-Input!$K$103)-SUM($J449:N449),(Input!$K$69-Input!$K$103)/A29taxstdlife))</f>
        <v>0</v>
      </c>
      <c r="P449" s="67">
        <f>IF(A29taxstdlife="n/a","n/a",IF(P$3&gt;(A29taxstdlife+$E449),(Input!$K$69-Input!$K$103)-SUM($J449:O449),(Input!$K$69-Input!$K$103)/A29taxstdlife))</f>
        <v>0</v>
      </c>
      <c r="Q449" s="360"/>
      <c r="R449" s="102"/>
      <c r="S449" s="102"/>
      <c r="T449" s="102"/>
      <c r="U449" s="102"/>
      <c r="V449" s="102"/>
      <c r="W449" s="102"/>
      <c r="X449" s="102"/>
      <c r="Y449" s="102"/>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185"/>
      <c r="BJ449" s="185"/>
      <c r="BK449" s="185"/>
      <c r="BL449" s="185"/>
      <c r="BM449" s="185"/>
      <c r="BN449" s="185"/>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hidden="1" customHeight="1" outlineLevel="2">
      <c r="A450" s="9"/>
      <c r="B450" s="9"/>
      <c r="C450" s="25"/>
      <c r="D450" s="385"/>
      <c r="E450" s="85">
        <v>6</v>
      </c>
      <c r="F450" s="203"/>
      <c r="G450" s="207"/>
      <c r="H450" s="148"/>
      <c r="I450" s="148"/>
      <c r="J450" s="148"/>
      <c r="K450" s="148"/>
      <c r="L450" s="147"/>
      <c r="M450" s="67">
        <f>IF(A29taxstdlife="n/a","n/a",IF(M$3&gt;(A29taxstdlife+$E450),(Input!$L$69-Input!$L$103)-SUM($K450:L450),(Input!$L$69-Input!$L$103)/A29taxstdlife))</f>
        <v>0</v>
      </c>
      <c r="N450" s="67">
        <f>IF(A29taxstdlife="n/a","n/a",IF(N$3&gt;(A29taxstdlife+$E450),(Input!$L$69-Input!$L$103)-SUM($K450:M450),(Input!$L$69-Input!$L$103)/A29taxstdlife))</f>
        <v>0</v>
      </c>
      <c r="O450" s="67">
        <f>IF(A29taxstdlife="n/a","n/a",IF(O$3&gt;(A29taxstdlife+$E450),(Input!$L$69-Input!$L$103)-SUM($K450:N450),(Input!$L$69-Input!$L$103)/A29taxstdlife))</f>
        <v>0</v>
      </c>
      <c r="P450" s="67">
        <f>IF(A29taxstdlife="n/a","n/a",IF(P$3&gt;(A29taxstdlife+$E450),(Input!$L$69-Input!$L$103)-SUM($K450:O450),(Input!$L$69-Input!$L$103)/A29taxstdlife))</f>
        <v>0</v>
      </c>
      <c r="Q450" s="360"/>
      <c r="R450" s="102"/>
      <c r="S450" s="102"/>
      <c r="T450" s="102"/>
      <c r="U450" s="102"/>
      <c r="V450" s="102"/>
      <c r="W450" s="102"/>
      <c r="X450" s="102"/>
      <c r="Y450" s="102"/>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185"/>
      <c r="BJ450" s="185"/>
      <c r="BK450" s="185"/>
      <c r="BL450" s="185"/>
      <c r="BM450" s="185"/>
      <c r="BN450" s="185"/>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hidden="1" customHeight="1" outlineLevel="2">
      <c r="A451" s="9"/>
      <c r="B451" s="9"/>
      <c r="C451" s="25"/>
      <c r="D451" s="385"/>
      <c r="E451" s="85">
        <v>7</v>
      </c>
      <c r="F451" s="203"/>
      <c r="G451" s="207"/>
      <c r="H451" s="148"/>
      <c r="I451" s="148"/>
      <c r="J451" s="148"/>
      <c r="K451" s="148"/>
      <c r="L451" s="148"/>
      <c r="M451" s="147">
        <f>IF(A29taxstdlife="n/a","n/a",IF(M$3&gt;(A29taxstdlife+$E451),(Input!$M$69-Input!$M$103)-SUM($L451:L451),(Input!$M$69-Input!$M$103)/A29taxstdlife))</f>
        <v>0</v>
      </c>
      <c r="N451" s="67">
        <f>IF(A29taxstdlife="n/a","n/a",IF(N$3&gt;(A29taxstdlife+$E451),(Input!$M$69-Input!$M$103)-SUM($L451:M451),(Input!$M$69-Input!$M$103)/A29taxstdlife))</f>
        <v>0</v>
      </c>
      <c r="O451" s="67">
        <f>IF(A29taxstdlife="n/a","n/a",IF(O$3&gt;(A29taxstdlife+$E451),(Input!$M$69-Input!$M$103)-SUM($L451:N451),(Input!$M$69-Input!$M$103)/A29taxstdlife))</f>
        <v>0</v>
      </c>
      <c r="P451" s="67">
        <f>IF(A29taxstdlife="n/a","n/a",IF(P$3&gt;(A29taxstdlife+$E451),(Input!$M$69-Input!$M$103)-SUM($L451:O451),(Input!$M$69-Input!$M$103)/A29taxstdlife))</f>
        <v>0</v>
      </c>
      <c r="Q451" s="360"/>
      <c r="R451" s="102"/>
      <c r="S451" s="102"/>
      <c r="T451" s="102"/>
      <c r="U451" s="102"/>
      <c r="V451" s="102"/>
      <c r="W451" s="102"/>
      <c r="X451" s="102"/>
      <c r="Y451" s="102"/>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185"/>
      <c r="BJ451" s="185"/>
      <c r="BK451" s="185"/>
      <c r="BL451" s="185"/>
      <c r="BM451" s="185"/>
      <c r="BN451" s="185"/>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hidden="1" customHeight="1" outlineLevel="2">
      <c r="A452" s="9"/>
      <c r="B452" s="9"/>
      <c r="C452" s="25"/>
      <c r="D452" s="385"/>
      <c r="E452" s="85">
        <v>8</v>
      </c>
      <c r="F452" s="203"/>
      <c r="G452" s="207"/>
      <c r="H452" s="148"/>
      <c r="I452" s="148"/>
      <c r="J452" s="148"/>
      <c r="K452" s="148"/>
      <c r="L452" s="148"/>
      <c r="M452" s="148"/>
      <c r="N452" s="147">
        <f>IF(A29taxstdlife="n/a","n/a",IF(N$3&gt;(A29taxstdlife+$E452),(Input!$N$69-Input!$N$103)-SUM($M452:M452),(Input!$N$69-Input!$N$103)/A29taxstdlife))</f>
        <v>0</v>
      </c>
      <c r="O452" s="67">
        <f>IF(A29taxstdlife="n/a","n/a",IF(O$3&gt;(A29taxstdlife+$E452),(Input!$N$69-Input!$N$103)-SUM($M452:N452),(Input!$N$69-Input!$N$103)/A29taxstdlife))</f>
        <v>0</v>
      </c>
      <c r="P452" s="67">
        <f>IF(A29taxstdlife="n/a","n/a",IF(P$3&gt;(A29taxstdlife+$E452),(Input!$N$69-Input!$N$103)-SUM($M452:O452),(Input!$N$69-Input!$N$103)/A29taxstdlife))</f>
        <v>0</v>
      </c>
      <c r="Q452" s="360"/>
      <c r="R452" s="102"/>
      <c r="S452" s="102"/>
      <c r="T452" s="102"/>
      <c r="U452" s="102"/>
      <c r="V452" s="102"/>
      <c r="W452" s="102"/>
      <c r="X452" s="102"/>
      <c r="Y452" s="102"/>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185"/>
      <c r="BJ452" s="185"/>
      <c r="BK452" s="185"/>
      <c r="BL452" s="185"/>
      <c r="BM452" s="185"/>
      <c r="BN452" s="185"/>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hidden="1" customHeight="1" outlineLevel="2">
      <c r="A453" s="9"/>
      <c r="B453" s="9"/>
      <c r="C453" s="25"/>
      <c r="D453" s="385"/>
      <c r="E453" s="85">
        <v>9</v>
      </c>
      <c r="F453" s="203"/>
      <c r="G453" s="207"/>
      <c r="H453" s="148"/>
      <c r="I453" s="148"/>
      <c r="J453" s="148"/>
      <c r="K453" s="148"/>
      <c r="L453" s="148"/>
      <c r="M453" s="148"/>
      <c r="N453" s="148"/>
      <c r="O453" s="147">
        <f>IF(A29taxstdlife="n/a","n/a",IF(O$3&gt;(A29taxstdlife+$E453),(Input!$O$69-Input!$O$103)-SUM($N453:N453),(Input!$O$69-Input!$O$103)/A29taxstdlife))</f>
        <v>0</v>
      </c>
      <c r="P453" s="67">
        <f>IF(A29taxstdlife="n/a","n/a",IF(P$3&gt;(A29taxstdlife+$E453),(Input!$O$69-Input!$O$103)-SUM($N453:O453),(Input!$O$69-Input!$O$103)/A29taxstdlife))</f>
        <v>0</v>
      </c>
      <c r="Q453" s="360"/>
      <c r="R453" s="102"/>
      <c r="S453" s="102"/>
      <c r="T453" s="102"/>
      <c r="U453" s="102"/>
      <c r="V453" s="102"/>
      <c r="W453" s="102"/>
      <c r="X453" s="102"/>
      <c r="Y453" s="102"/>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185"/>
      <c r="BJ453" s="185"/>
      <c r="BK453" s="185"/>
      <c r="BL453" s="185"/>
      <c r="BM453" s="185"/>
      <c r="BN453" s="185"/>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hidden="1" customHeight="1" outlineLevel="2">
      <c r="A454" s="9"/>
      <c r="B454" s="9"/>
      <c r="C454" s="25"/>
      <c r="D454" s="385"/>
      <c r="E454" s="85">
        <v>10</v>
      </c>
      <c r="F454" s="203"/>
      <c r="G454" s="207"/>
      <c r="H454" s="148"/>
      <c r="I454" s="148"/>
      <c r="J454" s="148"/>
      <c r="K454" s="148"/>
      <c r="L454" s="148"/>
      <c r="M454" s="148"/>
      <c r="N454" s="148"/>
      <c r="O454" s="148"/>
      <c r="P454" s="147">
        <f>IF(A29taxstdlife="n/a","n/a",IF(P$3&gt;(A29taxstdlife+$E454),(Input!$P$69-Input!$P$103)-SUM($O454:O454),(Input!$P$69-Input!$P$103)/A29taxstdlife))</f>
        <v>0</v>
      </c>
      <c r="Q454" s="360"/>
      <c r="R454" s="102"/>
      <c r="S454" s="102"/>
      <c r="T454" s="102"/>
      <c r="U454" s="102"/>
      <c r="V454" s="102"/>
      <c r="W454" s="102"/>
      <c r="X454" s="102"/>
      <c r="Y454" s="102"/>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185"/>
      <c r="BJ454" s="185"/>
      <c r="BK454" s="185"/>
      <c r="BL454" s="185"/>
      <c r="BM454" s="185"/>
      <c r="BN454" s="185"/>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hidden="1" customHeight="1" outlineLevel="2">
      <c r="A455" s="9"/>
      <c r="B455" s="9"/>
      <c r="C455" s="25"/>
      <c r="D455" s="385"/>
      <c r="E455" s="86">
        <v>11</v>
      </c>
      <c r="F455" s="351"/>
      <c r="G455" s="207"/>
      <c r="H455" s="148"/>
      <c r="I455" s="148"/>
      <c r="J455" s="148"/>
      <c r="K455" s="148"/>
      <c r="L455" s="148"/>
      <c r="M455" s="148"/>
      <c r="N455" s="148"/>
      <c r="O455" s="148"/>
      <c r="P455" s="187"/>
      <c r="Q455" s="350"/>
      <c r="R455" s="102"/>
      <c r="S455" s="102"/>
      <c r="T455" s="102"/>
      <c r="U455" s="102"/>
      <c r="V455" s="102"/>
      <c r="W455" s="102"/>
      <c r="X455" s="102"/>
      <c r="Y455" s="102"/>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185"/>
      <c r="BJ455" s="185"/>
      <c r="BK455" s="185"/>
      <c r="BL455" s="185"/>
      <c r="BM455" s="185"/>
      <c r="BN455" s="18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hidden="1" customHeight="1" outlineLevel="1">
      <c r="A456" s="9"/>
      <c r="B456" s="9"/>
      <c r="C456" s="25">
        <f>Asset29</f>
        <v>0</v>
      </c>
      <c r="D456" s="9"/>
      <c r="E456" s="9"/>
      <c r="F456" s="358">
        <f t="shared" ref="F456:K456" si="17">-SUM(F443:F455)</f>
        <v>0</v>
      </c>
      <c r="G456" s="208">
        <f t="shared" si="17"/>
        <v>0</v>
      </c>
      <c r="H456" s="164">
        <f t="shared" si="17"/>
        <v>0</v>
      </c>
      <c r="I456" s="164">
        <f t="shared" si="17"/>
        <v>0</v>
      </c>
      <c r="J456" s="164">
        <f t="shared" si="17"/>
        <v>0</v>
      </c>
      <c r="K456" s="164">
        <f t="shared" si="17"/>
        <v>0</v>
      </c>
      <c r="L456" s="164"/>
      <c r="M456" s="164">
        <f>IF(Input!N173&gt;0, -SUM(M443:M455), 0)</f>
        <v>0</v>
      </c>
      <c r="N456" s="164">
        <f>IF(Input!O173&gt;0, -SUM(N443:N455), 0)</f>
        <v>0</v>
      </c>
      <c r="O456" s="164">
        <f>IF(Input!P173&gt;0, -SUM(O443:O455), 0)</f>
        <v>0</v>
      </c>
      <c r="P456" s="164">
        <f>IF(Input!Q173&gt;0, -SUM(P443:P455), 0)</f>
        <v>0</v>
      </c>
      <c r="Q456" s="357"/>
      <c r="R456" s="101"/>
      <c r="S456" s="101"/>
      <c r="T456" s="101"/>
      <c r="U456" s="101"/>
      <c r="V456" s="101"/>
      <c r="W456" s="101"/>
      <c r="X456" s="101"/>
      <c r="Y456" s="101"/>
      <c r="Z456" s="216"/>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185"/>
      <c r="BJ456" s="185"/>
      <c r="BK456" s="185"/>
      <c r="BL456" s="185"/>
      <c r="BM456" s="185"/>
      <c r="BN456" s="185"/>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hidden="1" customHeight="1" outlineLevel="2">
      <c r="A457" s="9"/>
      <c r="B457" s="186">
        <f>Asset30</f>
        <v>0</v>
      </c>
      <c r="C457" s="32"/>
      <c r="D457" s="33" t="s">
        <v>67</v>
      </c>
      <c r="E457" s="32"/>
      <c r="F457" s="359"/>
      <c r="G457" s="204">
        <f>IF(G$3&gt;A30taxremlife,A30taxvalue-SUM($F457:F457),IF(A30taxremlife="N/A","n/a",A30taxvalue/A30taxremlife))</f>
        <v>0</v>
      </c>
      <c r="H457" s="66">
        <f>IF(H$3&gt;A30taxremlife,A30taxvalue-SUM($F457:G457),IF(A30taxremlife="N/A","n/a",A30taxvalue/A30taxremlife))</f>
        <v>0</v>
      </c>
      <c r="I457" s="66">
        <f>IF(I$3&gt;A30taxremlife,A30taxvalue-SUM($F457:H457),IF(A30taxremlife="N/A","n/a",A30taxvalue/A30taxremlife))</f>
        <v>0</v>
      </c>
      <c r="J457" s="66">
        <f>IF(J$3&gt;A30taxremlife,A30taxvalue-SUM($F457:I457),IF(A30taxremlife="N/A","n/a",A30taxvalue/A30taxremlife))</f>
        <v>0</v>
      </c>
      <c r="K457" s="66">
        <f>IF(K$3&gt;A30taxremlife,A30taxvalue-SUM($F457:J457),IF(A30taxremlife="N/A","n/a",A30taxvalue/A30taxremlife))</f>
        <v>0</v>
      </c>
      <c r="L457" s="66"/>
      <c r="M457" s="66">
        <f>IF(M$3&gt;A30taxremlife,A30taxvalue-SUM($F457:L457),IF(A30taxremlife="N/A","n/a",A30taxvalue/A30taxremlife))</f>
        <v>0</v>
      </c>
      <c r="N457" s="66">
        <f>IF(N$3&gt;A30taxremlife,A30taxvalue-SUM($F457:M457),IF(A30taxremlife="N/A","n/a",A30taxvalue/A30taxremlife))</f>
        <v>0</v>
      </c>
      <c r="O457" s="66">
        <f>IF(O$3&gt;A30taxremlife,A30taxvalue-SUM($F457:N457),IF(A30taxremlife="N/A","n/a",A30taxvalue/A30taxremlife))</f>
        <v>0</v>
      </c>
      <c r="P457" s="66">
        <f>IF(P$3&gt;A30taxremlife,A30taxvalue-SUM($F457:O457),IF(A30taxremlife="N/A","n/a",A30taxvalue/A30taxremlife))</f>
        <v>0</v>
      </c>
      <c r="Q457" s="356"/>
      <c r="R457" s="102"/>
      <c r="S457" s="102"/>
      <c r="T457" s="102"/>
      <c r="U457" s="102"/>
      <c r="V457" s="102"/>
      <c r="W457" s="102"/>
      <c r="X457" s="102"/>
      <c r="Y457" s="102"/>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185"/>
      <c r="BJ457" s="185"/>
      <c r="BK457" s="185"/>
      <c r="BL457" s="185"/>
      <c r="BM457" s="185"/>
      <c r="BN457" s="185"/>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hidden="1" customHeight="1" outlineLevel="2">
      <c r="A458" s="9"/>
      <c r="B458" s="9"/>
      <c r="C458" s="25"/>
      <c r="D458" s="384" t="s">
        <v>85</v>
      </c>
      <c r="E458" s="85">
        <v>0</v>
      </c>
      <c r="F458" s="310"/>
      <c r="G458" s="205"/>
      <c r="H458" s="67"/>
      <c r="I458" s="67"/>
      <c r="J458" s="67"/>
      <c r="K458" s="67"/>
      <c r="L458" s="67"/>
      <c r="M458" s="67"/>
      <c r="N458" s="67"/>
      <c r="O458" s="67"/>
      <c r="P458" s="67"/>
      <c r="Q458" s="360"/>
      <c r="R458" s="102"/>
      <c r="S458" s="102"/>
      <c r="T458" s="102"/>
      <c r="U458" s="102"/>
      <c r="V458" s="102"/>
      <c r="W458" s="102"/>
      <c r="X458" s="102"/>
      <c r="Y458" s="102"/>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185"/>
      <c r="BJ458" s="185"/>
      <c r="BK458" s="185"/>
      <c r="BL458" s="185"/>
      <c r="BM458" s="185"/>
      <c r="BN458" s="185"/>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hidden="1" customHeight="1" outlineLevel="2">
      <c r="A459" s="9"/>
      <c r="B459" s="9"/>
      <c r="C459" s="25"/>
      <c r="D459" s="385"/>
      <c r="E459" s="85">
        <v>1</v>
      </c>
      <c r="F459" s="203"/>
      <c r="G459" s="206">
        <f>IF(A30taxstdlife="n/a","n/a",IF(G$3&gt;(A30taxstdlife+$E459),(Input!$G$70-Input!$G$104)-SUM($F459:F459),(Input!$G$70-Input!$G$104)/A30taxstdlife))</f>
        <v>0</v>
      </c>
      <c r="H459" s="67">
        <f>IF(A30taxstdlife="n/a","n/a",IF(H$3&gt;(A30taxstdlife+$E459),(Input!$G$70-Input!$G$104)-SUM($F459:G459),(Input!$G$70-Input!$G$104)/A30taxstdlife))</f>
        <v>0</v>
      </c>
      <c r="I459" s="67">
        <f>IF(A30taxstdlife="n/a","n/a",IF(I$3&gt;(A30taxstdlife+$E459),(Input!$G$70-Input!$G$104)-SUM($F459:H459),(Input!$G$70-Input!$G$104)/A30taxstdlife))</f>
        <v>0</v>
      </c>
      <c r="J459" s="67">
        <f>IF(A30taxstdlife="n/a","n/a",IF(J$3&gt;(A30taxstdlife+$E459),(Input!$G$70-Input!$G$104)-SUM($F459:I459),(Input!$G$70-Input!$G$104)/A30taxstdlife))</f>
        <v>0</v>
      </c>
      <c r="K459" s="67">
        <f>IF(A30taxstdlife="n/a","n/a",IF(K$3&gt;(A30taxstdlife+$E459),(Input!$G$70-Input!$G$104)-SUM($F459:J459),(Input!$G$70-Input!$G$104)/A30taxstdlife))</f>
        <v>0</v>
      </c>
      <c r="L459" s="67"/>
      <c r="M459" s="67">
        <f>IF(A30taxstdlife="n/a","n/a",IF(M$3&gt;(A30taxstdlife+$E459),(Input!$G$70-Input!$G$104)-SUM($F459:L459),(Input!$G$70-Input!$G$104)/A30taxstdlife))</f>
        <v>0</v>
      </c>
      <c r="N459" s="67">
        <f>IF(A30taxstdlife="n/a","n/a",IF(N$3&gt;(A30taxstdlife+$E459),(Input!$G$70-Input!$G$104)-SUM($F459:M459),(Input!$G$70-Input!$G$104)/A30taxstdlife))</f>
        <v>0</v>
      </c>
      <c r="O459" s="67">
        <f>IF(A30taxstdlife="n/a","n/a",IF(O$3&gt;(A30taxstdlife+$E459),(Input!$G$70-Input!$G$104)-SUM($F459:N459),(Input!$G$70-Input!$G$104)/A30taxstdlife))</f>
        <v>0</v>
      </c>
      <c r="P459" s="67">
        <f>IF(A30taxstdlife="n/a","n/a",IF(P$3&gt;(A30taxstdlife+$E459),(Input!$G$70-Input!$G$104)-SUM($F459:O459),(Input!$G$70-Input!$G$104)/A30taxstdlife))</f>
        <v>0</v>
      </c>
      <c r="Q459" s="360"/>
      <c r="R459" s="102"/>
      <c r="S459" s="102"/>
      <c r="T459" s="102"/>
      <c r="U459" s="102"/>
      <c r="V459" s="102"/>
      <c r="W459" s="102"/>
      <c r="X459" s="102"/>
      <c r="Y459" s="102"/>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185"/>
      <c r="BJ459" s="185"/>
      <c r="BK459" s="185"/>
      <c r="BL459" s="185"/>
      <c r="BM459" s="185"/>
      <c r="BN459" s="185"/>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hidden="1" customHeight="1" outlineLevel="2">
      <c r="A460" s="9"/>
      <c r="B460" s="9"/>
      <c r="C460" s="25"/>
      <c r="D460" s="385"/>
      <c r="E460" s="85">
        <v>2</v>
      </c>
      <c r="F460" s="203"/>
      <c r="G460" s="207"/>
      <c r="H460" s="147">
        <f>IF(A30taxstdlife="n/a","n/a",IF(H$3&gt;(A30taxstdlife+$E460),(Input!$H$70-Input!$H$104)-SUM($G460:G460),(Input!$H$70-Input!$H$104)/A30taxstdlife))</f>
        <v>0</v>
      </c>
      <c r="I460" s="67">
        <f>IF(A30taxstdlife="n/a","n/a",IF(I$3&gt;(A30taxstdlife+$E460),(Input!$H$70-Input!$H$104)-SUM($G460:H460),(Input!$H$70-Input!$H$104)/A30taxstdlife))</f>
        <v>0</v>
      </c>
      <c r="J460" s="67">
        <f>IF(A30taxstdlife="n/a","n/a",IF(J$3&gt;(A30taxstdlife+$E460),(Input!$H$70-Input!$H$104)-SUM($G460:I460),(Input!$H$70-Input!$H$104)/A30taxstdlife))</f>
        <v>0</v>
      </c>
      <c r="K460" s="67">
        <f>IF(A30taxstdlife="n/a","n/a",IF(K$3&gt;(A30taxstdlife+$E460),(Input!$H$70-Input!$H$104)-SUM($G460:J460),(Input!$H$70-Input!$H$104)/A30taxstdlife))</f>
        <v>0</v>
      </c>
      <c r="L460" s="67"/>
      <c r="M460" s="67">
        <f>IF(A30taxstdlife="n/a","n/a",IF(M$3&gt;(A30taxstdlife+$E460),(Input!$H$70-Input!$H$104)-SUM($G460:L460),(Input!$H$70-Input!$H$104)/A30taxstdlife))</f>
        <v>0</v>
      </c>
      <c r="N460" s="67">
        <f>IF(A30taxstdlife="n/a","n/a",IF(N$3&gt;(A30taxstdlife+$E460),(Input!$H$70-Input!$H$104)-SUM($G460:M460),(Input!$H$70-Input!$H$104)/A30taxstdlife))</f>
        <v>0</v>
      </c>
      <c r="O460" s="67">
        <f>IF(A30taxstdlife="n/a","n/a",IF(O$3&gt;(A30taxstdlife+$E460),(Input!$H$70-Input!$H$104)-SUM($G460:N460),(Input!$H$70-Input!$H$104)/A30taxstdlife))</f>
        <v>0</v>
      </c>
      <c r="P460" s="67">
        <f>IF(A30taxstdlife="n/a","n/a",IF(P$3&gt;(A30taxstdlife+$E460),(Input!$H$70-Input!$H$104)-SUM($G460:O460),(Input!$H$70-Input!$H$104)/A30taxstdlife))</f>
        <v>0</v>
      </c>
      <c r="Q460" s="360"/>
      <c r="R460" s="102"/>
      <c r="S460" s="102"/>
      <c r="T460" s="102"/>
      <c r="U460" s="102"/>
      <c r="V460" s="102"/>
      <c r="W460" s="102"/>
      <c r="X460" s="102"/>
      <c r="Y460" s="102"/>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185"/>
      <c r="BJ460" s="185"/>
      <c r="BK460" s="185"/>
      <c r="BL460" s="185"/>
      <c r="BM460" s="185"/>
      <c r="BN460" s="185"/>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hidden="1" customHeight="1" outlineLevel="2">
      <c r="A461" s="9"/>
      <c r="B461" s="9"/>
      <c r="C461" s="25"/>
      <c r="D461" s="385"/>
      <c r="E461" s="85">
        <v>3</v>
      </c>
      <c r="F461" s="203"/>
      <c r="G461" s="207"/>
      <c r="H461" s="148"/>
      <c r="I461" s="147">
        <f>IF(A30taxstdlife="n/a","n/a",IF(I$3&gt;(A30taxstdlife+$E461),(Input!$I$70-Input!$I$104)-SUM($H461:H461),(Input!$I$70-Input!$I$104)/A30taxstdlife))</f>
        <v>0</v>
      </c>
      <c r="J461" s="67">
        <f>IF(A30taxstdlife="n/a","n/a",IF(J$3&gt;(A30taxstdlife+$E461),(Input!$I$70-Input!$I$104)-SUM($H461:I461),(Input!$I$70-Input!$I$104)/A30taxstdlife))</f>
        <v>0</v>
      </c>
      <c r="K461" s="67">
        <f>IF(A30taxstdlife="n/a","n/a",IF(K$3&gt;(A30taxstdlife+$E461),(Input!$I$70-Input!$I$104)-SUM($H461:J461),(Input!$I$70-Input!$I$104)/A30taxstdlife))</f>
        <v>0</v>
      </c>
      <c r="L461" s="67"/>
      <c r="M461" s="67">
        <f>IF(A30taxstdlife="n/a","n/a",IF(M$3&gt;(A30taxstdlife+$E461),(Input!$I$70-Input!$I$104)-SUM($H461:L461),(Input!$I$70-Input!$I$104)/A30taxstdlife))</f>
        <v>0</v>
      </c>
      <c r="N461" s="67">
        <f>IF(A30taxstdlife="n/a","n/a",IF(N$3&gt;(A30taxstdlife+$E461),(Input!$I$70-Input!$I$104)-SUM($H461:M461),(Input!$I$70-Input!$I$104)/A30taxstdlife))</f>
        <v>0</v>
      </c>
      <c r="O461" s="67">
        <f>IF(A30taxstdlife="n/a","n/a",IF(O$3&gt;(A30taxstdlife+$E461),(Input!$I$70-Input!$I$104)-SUM($H461:N461),(Input!$I$70-Input!$I$104)/A30taxstdlife))</f>
        <v>0</v>
      </c>
      <c r="P461" s="67">
        <f>IF(A30taxstdlife="n/a","n/a",IF(P$3&gt;(A30taxstdlife+$E461),(Input!$I$70-Input!$I$104)-SUM($H461:O461),(Input!$I$70-Input!$I$104)/A30taxstdlife))</f>
        <v>0</v>
      </c>
      <c r="Q461" s="360"/>
      <c r="R461" s="102"/>
      <c r="S461" s="102"/>
      <c r="T461" s="102"/>
      <c r="U461" s="102"/>
      <c r="V461" s="102"/>
      <c r="W461" s="102"/>
      <c r="X461" s="102"/>
      <c r="Y461" s="102"/>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7"/>
      <c r="BJ461" s="185"/>
      <c r="BK461" s="185"/>
      <c r="BL461" s="185"/>
      <c r="BM461" s="185"/>
      <c r="BN461" s="185"/>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hidden="1" customHeight="1" outlineLevel="2">
      <c r="A462" s="9"/>
      <c r="B462" s="9"/>
      <c r="C462" s="25"/>
      <c r="D462" s="385"/>
      <c r="E462" s="85">
        <v>4</v>
      </c>
      <c r="F462" s="203"/>
      <c r="G462" s="207"/>
      <c r="H462" s="148"/>
      <c r="I462" s="148"/>
      <c r="J462" s="147">
        <f>IF(A30taxstdlife="n/a","n/a",IF(J$3&gt;(A30taxstdlife+$E462),(Input!$J$70-Input!$J$104)-SUM($I462:I462),(Input!$J$70-Input!$J$104)/A30taxstdlife))</f>
        <v>0</v>
      </c>
      <c r="K462" s="67">
        <f>IF(A30taxstdlife="n/a","n/a",IF(K$3&gt;(A30taxstdlife+$E462),(Input!$J$70-Input!$J$104)-SUM($I462:J462),(Input!$J$70-Input!$J$104)/A30taxstdlife))</f>
        <v>0</v>
      </c>
      <c r="L462" s="67"/>
      <c r="M462" s="67">
        <f>IF(A30taxstdlife="n/a","n/a",IF(M$3&gt;(A30taxstdlife+$E462),(Input!$J$70-Input!$J$104)-SUM($I462:L462),(Input!$J$70-Input!$J$104)/A30taxstdlife))</f>
        <v>0</v>
      </c>
      <c r="N462" s="67">
        <f>IF(A30taxstdlife="n/a","n/a",IF(N$3&gt;(A30taxstdlife+$E462),(Input!$J$70-Input!$J$104)-SUM($I462:M462),(Input!$J$70-Input!$J$104)/A30taxstdlife))</f>
        <v>0</v>
      </c>
      <c r="O462" s="67">
        <f>IF(A30taxstdlife="n/a","n/a",IF(O$3&gt;(A30taxstdlife+$E462),(Input!$J$70-Input!$J$104)-SUM($I462:N462),(Input!$J$70-Input!$J$104)/A30taxstdlife))</f>
        <v>0</v>
      </c>
      <c r="P462" s="67">
        <f>IF(A30taxstdlife="n/a","n/a",IF(P$3&gt;(A30taxstdlife+$E462),(Input!$J$70-Input!$J$104)-SUM($I462:O462),(Input!$J$70-Input!$J$104)/A30taxstdlife))</f>
        <v>0</v>
      </c>
      <c r="Q462" s="360"/>
      <c r="R462" s="102"/>
      <c r="S462" s="102"/>
      <c r="T462" s="102"/>
      <c r="U462" s="102"/>
      <c r="V462" s="102"/>
      <c r="W462" s="102"/>
      <c r="X462" s="102"/>
      <c r="Y462" s="102"/>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185"/>
      <c r="BJ462" s="185"/>
      <c r="BK462" s="185"/>
      <c r="BL462" s="185"/>
      <c r="BM462" s="185"/>
      <c r="BN462" s="185"/>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hidden="1" customHeight="1" outlineLevel="2">
      <c r="A463" s="9"/>
      <c r="B463" s="9"/>
      <c r="C463" s="25"/>
      <c r="D463" s="385"/>
      <c r="E463" s="85">
        <v>5</v>
      </c>
      <c r="F463" s="203"/>
      <c r="G463" s="207"/>
      <c r="H463" s="148"/>
      <c r="I463" s="148"/>
      <c r="J463" s="148"/>
      <c r="K463" s="147">
        <f>IF(A30taxstdlife="n/a","n/a",IF(K$3&gt;(A30taxstdlife+$E463),(Input!$K$70-Input!$K$104)-SUM($J463:J463),(Input!$K$70-Input!$K$104)/A30taxstdlife))</f>
        <v>0</v>
      </c>
      <c r="L463" s="67"/>
      <c r="M463" s="67">
        <f>IF(A30taxstdlife="n/a","n/a",IF(M$3&gt;(A30taxstdlife+$E463),(Input!$K$70-Input!$K$104)-SUM($J463:L463),(Input!$K$70-Input!$K$104)/A30taxstdlife))</f>
        <v>0</v>
      </c>
      <c r="N463" s="67">
        <f>IF(A30taxstdlife="n/a","n/a",IF(N$3&gt;(A30taxstdlife+$E463),(Input!$K$70-Input!$K$104)-SUM($J463:M463),(Input!$K$70-Input!$K$104)/A30taxstdlife))</f>
        <v>0</v>
      </c>
      <c r="O463" s="67">
        <f>IF(A30taxstdlife="n/a","n/a",IF(O$3&gt;(A30taxstdlife+$E463),(Input!$K$70-Input!$K$104)-SUM($J463:N463),(Input!$K$70-Input!$K$104)/A30taxstdlife))</f>
        <v>0</v>
      </c>
      <c r="P463" s="67">
        <f>IF(A30taxstdlife="n/a","n/a",IF(P$3&gt;(A30taxstdlife+$E463),(Input!$K$70-Input!$K$104)-SUM($J463:O463),(Input!$K$70-Input!$K$104)/A30taxstdlife))</f>
        <v>0</v>
      </c>
      <c r="Q463" s="360"/>
      <c r="R463" s="102"/>
      <c r="S463" s="102"/>
      <c r="T463" s="102"/>
      <c r="U463" s="102"/>
      <c r="V463" s="102"/>
      <c r="W463" s="102"/>
      <c r="X463" s="102"/>
      <c r="Y463" s="102"/>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185"/>
      <c r="BJ463" s="185"/>
      <c r="BK463" s="185"/>
      <c r="BL463" s="185"/>
      <c r="BM463" s="185"/>
      <c r="BN463" s="185"/>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hidden="1" customHeight="1" outlineLevel="2">
      <c r="A464" s="9"/>
      <c r="B464" s="9"/>
      <c r="C464" s="25"/>
      <c r="D464" s="385"/>
      <c r="E464" s="85">
        <v>6</v>
      </c>
      <c r="F464" s="203"/>
      <c r="G464" s="207"/>
      <c r="H464" s="148"/>
      <c r="I464" s="148"/>
      <c r="J464" s="148"/>
      <c r="K464" s="148"/>
      <c r="L464" s="147"/>
      <c r="M464" s="67">
        <f>IF(A30taxstdlife="n/a","n/a",IF(M$3&gt;(A30taxstdlife+$E464),(Input!$L$70-Input!$L$104)-SUM($K464:L464),(Input!$L$70-Input!$L$104)/A30taxstdlife))</f>
        <v>0</v>
      </c>
      <c r="N464" s="67">
        <f>IF(A30taxstdlife="n/a","n/a",IF(N$3&gt;(A30taxstdlife+$E464),(Input!$L$70-Input!$L$104)-SUM($K464:M464),(Input!$L$70-Input!$L$104)/A30taxstdlife))</f>
        <v>0</v>
      </c>
      <c r="O464" s="67">
        <f>IF(A30taxstdlife="n/a","n/a",IF(O$3&gt;(A30taxstdlife+$E464),(Input!$L$70-Input!$L$104)-SUM($K464:N464),(Input!$L$70-Input!$L$104)/A30taxstdlife))</f>
        <v>0</v>
      </c>
      <c r="P464" s="67">
        <f>IF(A30taxstdlife="n/a","n/a",IF(P$3&gt;(A30taxstdlife+$E464),(Input!$L$70-Input!$L$104)-SUM($K464:O464),(Input!$L$70-Input!$L$104)/A30taxstdlife))</f>
        <v>0</v>
      </c>
      <c r="Q464" s="360"/>
      <c r="R464" s="102"/>
      <c r="S464" s="102"/>
      <c r="T464" s="102"/>
      <c r="U464" s="102"/>
      <c r="V464" s="102"/>
      <c r="W464" s="102"/>
      <c r="X464" s="102"/>
      <c r="Y464" s="102"/>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185"/>
      <c r="BJ464" s="185"/>
      <c r="BK464" s="185"/>
      <c r="BL464" s="185"/>
      <c r="BM464" s="185"/>
      <c r="BN464" s="185"/>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hidden="1" customHeight="1" outlineLevel="2">
      <c r="A465" s="9"/>
      <c r="B465" s="9"/>
      <c r="C465" s="25"/>
      <c r="D465" s="385"/>
      <c r="E465" s="85">
        <v>7</v>
      </c>
      <c r="F465" s="203"/>
      <c r="G465" s="207"/>
      <c r="H465" s="148"/>
      <c r="I465" s="148"/>
      <c r="J465" s="148"/>
      <c r="K465" s="148"/>
      <c r="L465" s="148"/>
      <c r="M465" s="147">
        <f>IF(A30taxstdlife="n/a","n/a",IF(M$3&gt;(A30taxstdlife+$E465),(Input!$M$70-Input!$M$104)-SUM($L465:L465),(Input!$M$70-Input!$M$104)/A30taxstdlife))</f>
        <v>0</v>
      </c>
      <c r="N465" s="67">
        <f>IF(A30taxstdlife="n/a","n/a",IF(N$3&gt;(A30taxstdlife+$E465),(Input!$M$70-Input!$M$104)-SUM($L465:M465),(Input!$M$70-Input!$M$104)/A30taxstdlife))</f>
        <v>0</v>
      </c>
      <c r="O465" s="67">
        <f>IF(A30taxstdlife="n/a","n/a",IF(O$3&gt;(A30taxstdlife+$E465),(Input!$M$70-Input!$M$104)-SUM($L465:N465),(Input!$M$70-Input!$M$104)/A30taxstdlife))</f>
        <v>0</v>
      </c>
      <c r="P465" s="67">
        <f>IF(A30taxstdlife="n/a","n/a",IF(P$3&gt;(A30taxstdlife+$E465),(Input!$M$70-Input!$M$104)-SUM($L465:O465),(Input!$M$70-Input!$M$104)/A30taxstdlife))</f>
        <v>0</v>
      </c>
      <c r="Q465" s="360"/>
      <c r="R465" s="102"/>
      <c r="S465" s="102"/>
      <c r="T465" s="102"/>
      <c r="U465" s="102"/>
      <c r="V465" s="102"/>
      <c r="W465" s="102"/>
      <c r="X465" s="102"/>
      <c r="Y465" s="102"/>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185"/>
      <c r="BJ465" s="185"/>
      <c r="BK465" s="185"/>
      <c r="BL465" s="185"/>
      <c r="BM465" s="185"/>
      <c r="BN465" s="18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hidden="1" customHeight="1" outlineLevel="2">
      <c r="A466" s="9"/>
      <c r="B466" s="9"/>
      <c r="C466" s="25"/>
      <c r="D466" s="385"/>
      <c r="E466" s="85">
        <v>8</v>
      </c>
      <c r="F466" s="203"/>
      <c r="G466" s="207"/>
      <c r="H466" s="148"/>
      <c r="I466" s="148"/>
      <c r="J466" s="148"/>
      <c r="K466" s="148"/>
      <c r="L466" s="148"/>
      <c r="M466" s="148"/>
      <c r="N466" s="147">
        <f>IF(A30taxstdlife="n/a","n/a",IF(N$3&gt;(A30taxstdlife+$E466),(Input!$N$70-Input!$N$104)-SUM($M466:M466),(Input!$N$70-Input!$N$104)/A30taxstdlife))</f>
        <v>0</v>
      </c>
      <c r="O466" s="67">
        <f>IF(A30taxstdlife="n/a","n/a",IF(O$3&gt;(A30taxstdlife+$E466),(Input!$N$70-Input!$N$104)-SUM($M466:N466),(Input!$N$70-Input!$N$104)/A30taxstdlife))</f>
        <v>0</v>
      </c>
      <c r="P466" s="67">
        <f>IF(A30taxstdlife="n/a","n/a",IF(P$3&gt;(A30taxstdlife+$E466),(Input!$N$70-Input!$N$104)-SUM($M466:O466),(Input!$N$70-Input!$N$104)/A30taxstdlife))</f>
        <v>0</v>
      </c>
      <c r="Q466" s="360"/>
      <c r="R466" s="102"/>
      <c r="S466" s="102"/>
      <c r="T466" s="102"/>
      <c r="U466" s="102"/>
      <c r="V466" s="102"/>
      <c r="W466" s="102"/>
      <c r="X466" s="102"/>
      <c r="Y466" s="102"/>
      <c r="Z466" s="215"/>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185"/>
      <c r="BJ466" s="185"/>
      <c r="BK466" s="185"/>
      <c r="BL466" s="185"/>
      <c r="BM466" s="185"/>
      <c r="BN466" s="185"/>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hidden="1" customHeight="1" outlineLevel="2">
      <c r="A467" s="9"/>
      <c r="B467" s="9"/>
      <c r="C467" s="25"/>
      <c r="D467" s="385"/>
      <c r="E467" s="85">
        <v>9</v>
      </c>
      <c r="F467" s="203"/>
      <c r="G467" s="207"/>
      <c r="H467" s="148"/>
      <c r="I467" s="148"/>
      <c r="J467" s="148"/>
      <c r="K467" s="148"/>
      <c r="L467" s="148"/>
      <c r="M467" s="148"/>
      <c r="N467" s="148"/>
      <c r="O467" s="147">
        <f>IF(A30taxstdlife="n/a","n/a",IF(O$3&gt;(A30taxstdlife+$E467),(Input!$O$70-Input!$O$104)-SUM($N467:N467),(Input!$O$70-Input!$O$104)/A30taxstdlife))</f>
        <v>0</v>
      </c>
      <c r="P467" s="67">
        <f>IF(A30taxstdlife="n/a","n/a",IF(P$3&gt;(A30taxstdlife+$E467),(Input!$O$70-Input!$O$104)-SUM($N467:O467),(Input!$O$70-Input!$O$104)/A30taxstdlife))</f>
        <v>0</v>
      </c>
      <c r="Q467" s="360"/>
      <c r="R467" s="102"/>
      <c r="S467" s="102"/>
      <c r="T467" s="102"/>
      <c r="U467" s="102"/>
      <c r="V467" s="102"/>
      <c r="W467" s="102"/>
      <c r="X467" s="102"/>
      <c r="Y467" s="102"/>
      <c r="Z467" s="215"/>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185"/>
      <c r="BJ467" s="185"/>
      <c r="BK467" s="185"/>
      <c r="BL467" s="185"/>
      <c r="BM467" s="185"/>
      <c r="BN467" s="185"/>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hidden="1" customHeight="1" outlineLevel="2">
      <c r="A468" s="9"/>
      <c r="B468" s="9"/>
      <c r="C468" s="25"/>
      <c r="D468" s="385"/>
      <c r="E468" s="85">
        <v>10</v>
      </c>
      <c r="F468" s="203"/>
      <c r="G468" s="207"/>
      <c r="H468" s="148"/>
      <c r="I468" s="148"/>
      <c r="J468" s="148"/>
      <c r="K468" s="148"/>
      <c r="L468" s="148"/>
      <c r="M468" s="148"/>
      <c r="N468" s="148"/>
      <c r="O468" s="148"/>
      <c r="P468" s="147">
        <f>IF(A30taxstdlife="n/a","n/a",IF(P$3&gt;(A30taxstdlife+$E468),(Input!$P$70-Input!$P$104)-SUM($O468:O468),(Input!$P$70-Input!$P$104)/A30taxstdlife))</f>
        <v>0</v>
      </c>
      <c r="Q468" s="360"/>
      <c r="R468" s="102"/>
      <c r="S468" s="102"/>
      <c r="T468" s="102"/>
      <c r="U468" s="102"/>
      <c r="V468" s="102"/>
      <c r="W468" s="102"/>
      <c r="X468" s="102"/>
      <c r="Y468" s="102"/>
      <c r="Z468" s="215"/>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185"/>
      <c r="BJ468" s="185"/>
      <c r="BK468" s="185"/>
      <c r="BL468" s="185"/>
      <c r="BM468" s="185"/>
      <c r="BN468" s="185"/>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hidden="1" customHeight="1" outlineLevel="2">
      <c r="A469" s="9"/>
      <c r="B469" s="9"/>
      <c r="C469" s="25"/>
      <c r="D469" s="385"/>
      <c r="E469" s="86">
        <v>11</v>
      </c>
      <c r="F469" s="351"/>
      <c r="G469" s="207"/>
      <c r="H469" s="148"/>
      <c r="I469" s="148"/>
      <c r="J469" s="148"/>
      <c r="K469" s="148"/>
      <c r="L469" s="148"/>
      <c r="M469" s="148"/>
      <c r="N469" s="148"/>
      <c r="O469" s="148"/>
      <c r="P469" s="187"/>
      <c r="Q469" s="350"/>
      <c r="R469" s="102"/>
      <c r="S469" s="102"/>
      <c r="T469" s="102"/>
      <c r="U469" s="102"/>
      <c r="V469" s="102"/>
      <c r="W469" s="102"/>
      <c r="X469" s="102"/>
      <c r="Y469" s="102"/>
      <c r="Z469" s="215"/>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185"/>
      <c r="BJ469" s="185"/>
      <c r="BK469" s="185"/>
      <c r="BL469" s="185"/>
      <c r="BM469" s="185"/>
      <c r="BN469" s="185"/>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hidden="1" customHeight="1" outlineLevel="1">
      <c r="A470" s="9"/>
      <c r="B470" s="9"/>
      <c r="C470" s="25">
        <f>Asset30</f>
        <v>0</v>
      </c>
      <c r="D470" s="9"/>
      <c r="E470" s="9"/>
      <c r="F470" s="208">
        <f t="shared" ref="F470:K470" si="18">-SUM(F457:F469)</f>
        <v>0</v>
      </c>
      <c r="G470" s="164">
        <f t="shared" si="18"/>
        <v>0</v>
      </c>
      <c r="H470" s="164">
        <f t="shared" si="18"/>
        <v>0</v>
      </c>
      <c r="I470" s="164">
        <f t="shared" si="18"/>
        <v>0</v>
      </c>
      <c r="J470" s="164">
        <f t="shared" si="18"/>
        <v>0</v>
      </c>
      <c r="K470" s="164">
        <f t="shared" si="18"/>
        <v>0</v>
      </c>
      <c r="L470" s="164">
        <f>IF(Input!M173&gt;0, -SUM(L457:L469), 0)</f>
        <v>0</v>
      </c>
      <c r="M470" s="164">
        <f>IF(Input!N173&gt;0, -SUM(M457:M469), 0)</f>
        <v>0</v>
      </c>
      <c r="N470" s="164">
        <f>IF(Input!O173&gt;0, -SUM(N457:N469), 0)</f>
        <v>0</v>
      </c>
      <c r="O470" s="164">
        <f>IF(Input!P173&gt;0, -SUM(O457:O469), 0)</f>
        <v>0</v>
      </c>
      <c r="P470" s="164">
        <f>IF(Input!Q173&gt;0, -SUM(P457:P469), 0)</f>
        <v>0</v>
      </c>
      <c r="Q470" s="361"/>
      <c r="R470" s="101"/>
      <c r="S470" s="101"/>
      <c r="T470" s="101"/>
      <c r="U470" s="101"/>
      <c r="V470" s="101"/>
      <c r="W470" s="101"/>
      <c r="X470" s="101"/>
      <c r="Y470" s="101"/>
      <c r="Z470" s="216"/>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185"/>
      <c r="BJ470" s="185"/>
      <c r="BK470" s="185"/>
      <c r="BL470" s="185"/>
      <c r="BM470" s="185"/>
      <c r="BN470" s="185"/>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5" customFormat="1" ht="13.5" customHeight="1" collapsed="1">
      <c r="A471" s="11"/>
      <c r="B471" s="16"/>
      <c r="C471" s="11"/>
      <c r="D471" s="11"/>
      <c r="E471" s="11"/>
      <c r="F471" s="105"/>
      <c r="G471" s="105"/>
      <c r="H471" s="105"/>
      <c r="I471" s="105"/>
      <c r="J471" s="105"/>
      <c r="K471" s="105"/>
      <c r="L471" s="105"/>
      <c r="M471" s="105"/>
      <c r="N471" s="105"/>
      <c r="O471" s="105"/>
      <c r="P471" s="105"/>
      <c r="Q471" s="362"/>
      <c r="R471" s="105"/>
      <c r="S471" s="105"/>
      <c r="T471" s="105"/>
      <c r="U471" s="105"/>
      <c r="V471" s="105"/>
      <c r="W471" s="105"/>
      <c r="X471" s="105"/>
      <c r="Y471" s="105"/>
      <c r="Z471" s="213"/>
      <c r="AA471" s="213"/>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255" s="185" customFormat="1">
      <c r="A472" s="11"/>
      <c r="B472" s="16"/>
      <c r="C472" s="11"/>
      <c r="D472" s="11"/>
      <c r="E472" s="11"/>
      <c r="F472" s="105"/>
      <c r="G472" s="105"/>
      <c r="H472" s="105"/>
      <c r="I472" s="105"/>
      <c r="J472" s="105"/>
      <c r="K472" s="105"/>
      <c r="L472" s="105"/>
      <c r="M472" s="105"/>
      <c r="N472" s="105"/>
      <c r="O472" s="105"/>
      <c r="P472" s="105"/>
      <c r="Q472" s="362"/>
      <c r="R472" s="105"/>
      <c r="S472" s="105"/>
      <c r="T472" s="105"/>
      <c r="U472" s="105"/>
      <c r="V472" s="105"/>
      <c r="W472" s="105"/>
      <c r="X472" s="105"/>
      <c r="Y472" s="105"/>
      <c r="Z472" s="213"/>
      <c r="AA472" s="213"/>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255" s="185" customFormat="1">
      <c r="A473" s="11"/>
      <c r="B473" s="16"/>
      <c r="C473" s="11"/>
      <c r="D473" s="11"/>
      <c r="E473" s="11"/>
      <c r="F473" s="105"/>
      <c r="G473" s="105"/>
      <c r="H473" s="105"/>
      <c r="I473" s="105"/>
      <c r="J473" s="105"/>
      <c r="K473" s="105"/>
      <c r="L473" s="105"/>
      <c r="M473" s="105"/>
      <c r="N473" s="105"/>
      <c r="O473" s="105"/>
      <c r="P473" s="105"/>
      <c r="Q473" s="362"/>
      <c r="R473" s="105"/>
      <c r="S473" s="105"/>
      <c r="T473" s="105"/>
      <c r="U473" s="105"/>
      <c r="V473" s="105"/>
      <c r="W473" s="105"/>
      <c r="X473" s="105"/>
      <c r="Y473" s="105"/>
      <c r="Z473" s="213"/>
      <c r="AA473" s="213"/>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255" s="185" customFormat="1">
      <c r="A474" s="11"/>
      <c r="B474" s="16"/>
      <c r="C474" s="11"/>
      <c r="D474" s="11"/>
      <c r="E474" s="11"/>
      <c r="F474" s="105"/>
      <c r="G474" s="105"/>
      <c r="H474" s="105"/>
      <c r="I474" s="105"/>
      <c r="J474" s="105"/>
      <c r="K474" s="105"/>
      <c r="L474" s="105"/>
      <c r="M474" s="105"/>
      <c r="N474" s="105"/>
      <c r="O474" s="105"/>
      <c r="P474" s="105"/>
      <c r="Q474" s="362"/>
      <c r="R474" s="105"/>
      <c r="S474" s="105"/>
      <c r="T474" s="105"/>
      <c r="U474" s="105"/>
      <c r="V474" s="105"/>
      <c r="W474" s="105"/>
      <c r="X474" s="105"/>
      <c r="Y474" s="105"/>
      <c r="Z474" s="213"/>
      <c r="AA474" s="213"/>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255" s="185" customFormat="1">
      <c r="A475" s="11"/>
      <c r="B475" s="16"/>
      <c r="C475" s="11"/>
      <c r="D475" s="11"/>
      <c r="E475" s="11"/>
      <c r="F475" s="105"/>
      <c r="G475" s="105"/>
      <c r="H475" s="105"/>
      <c r="I475" s="105"/>
      <c r="J475" s="105"/>
      <c r="K475" s="105"/>
      <c r="L475" s="105"/>
      <c r="M475" s="105"/>
      <c r="N475" s="105"/>
      <c r="O475" s="105"/>
      <c r="P475" s="105"/>
      <c r="Q475" s="362"/>
      <c r="R475" s="105"/>
      <c r="S475" s="105"/>
      <c r="T475" s="105"/>
      <c r="U475" s="105"/>
      <c r="V475" s="105"/>
      <c r="W475" s="105"/>
      <c r="X475" s="105"/>
      <c r="Y475" s="105"/>
      <c r="Z475" s="213"/>
      <c r="AA475" s="213"/>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255" s="185" customFormat="1">
      <c r="A476" s="11"/>
      <c r="B476" s="16"/>
      <c r="C476" s="11"/>
      <c r="D476" s="11"/>
      <c r="E476" s="11"/>
      <c r="F476" s="105"/>
      <c r="G476" s="105"/>
      <c r="H476" s="105"/>
      <c r="I476" s="105"/>
      <c r="J476" s="105"/>
      <c r="K476" s="105"/>
      <c r="L476" s="105"/>
      <c r="M476" s="105"/>
      <c r="N476" s="105"/>
      <c r="O476" s="105"/>
      <c r="P476" s="105"/>
      <c r="Q476" s="362"/>
      <c r="R476" s="105"/>
      <c r="S476" s="105"/>
      <c r="T476" s="105"/>
      <c r="U476" s="105"/>
      <c r="V476" s="105"/>
      <c r="W476" s="105"/>
      <c r="X476" s="105"/>
      <c r="Y476" s="105"/>
      <c r="Z476" s="213"/>
      <c r="AA476" s="213"/>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255" s="185" customFormat="1">
      <c r="A477" s="11"/>
      <c r="B477" s="16"/>
      <c r="C477" s="11"/>
      <c r="D477" s="11"/>
      <c r="E477" s="11"/>
      <c r="F477" s="105"/>
      <c r="G477" s="105"/>
      <c r="H477" s="105"/>
      <c r="I477" s="105"/>
      <c r="J477" s="105"/>
      <c r="K477" s="105"/>
      <c r="L477" s="105"/>
      <c r="M477" s="105"/>
      <c r="N477" s="105"/>
      <c r="O477" s="105"/>
      <c r="P477" s="105"/>
      <c r="Q477" s="105"/>
      <c r="R477" s="105"/>
      <c r="S477" s="105"/>
      <c r="T477" s="105"/>
      <c r="U477" s="105"/>
      <c r="V477" s="105"/>
      <c r="W477" s="105"/>
      <c r="X477" s="105"/>
      <c r="Y477" s="105"/>
      <c r="Z477" s="213"/>
      <c r="AA477" s="213"/>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255" s="185" customFormat="1">
      <c r="A478" s="11"/>
      <c r="B478" s="16"/>
      <c r="C478" s="11"/>
      <c r="D478" s="11"/>
      <c r="E478" s="11"/>
      <c r="F478" s="105"/>
      <c r="G478" s="105"/>
      <c r="H478" s="105"/>
      <c r="I478" s="105"/>
      <c r="J478" s="105"/>
      <c r="K478" s="105"/>
      <c r="L478" s="105"/>
      <c r="M478" s="105"/>
      <c r="N478" s="105"/>
      <c r="O478" s="105"/>
      <c r="P478" s="105"/>
      <c r="Q478" s="105"/>
      <c r="R478" s="105"/>
      <c r="S478" s="105"/>
      <c r="T478" s="105"/>
      <c r="U478" s="105"/>
      <c r="V478" s="105"/>
      <c r="W478" s="105"/>
      <c r="X478" s="105"/>
      <c r="Y478" s="105"/>
      <c r="Z478" s="213"/>
      <c r="AA478" s="213"/>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255" s="185" customFormat="1">
      <c r="A479" s="11"/>
      <c r="B479" s="16"/>
      <c r="C479" s="11"/>
      <c r="D479" s="11"/>
      <c r="E479" s="11"/>
      <c r="F479" s="105"/>
      <c r="G479" s="105"/>
      <c r="H479" s="105"/>
      <c r="I479" s="105"/>
      <c r="J479" s="105"/>
      <c r="K479" s="105"/>
      <c r="L479" s="105"/>
      <c r="M479" s="105"/>
      <c r="N479" s="105"/>
      <c r="O479" s="105"/>
      <c r="P479" s="105"/>
      <c r="Q479" s="105"/>
      <c r="R479" s="105"/>
      <c r="S479" s="105"/>
      <c r="T479" s="105"/>
      <c r="U479" s="105"/>
      <c r="V479" s="105"/>
      <c r="W479" s="105"/>
      <c r="X479" s="105"/>
      <c r="Y479" s="105"/>
      <c r="Z479" s="213"/>
      <c r="AA479" s="213"/>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255" s="185" customFormat="1">
      <c r="A480" s="11"/>
      <c r="B480" s="16"/>
      <c r="C480" s="11"/>
      <c r="D480" s="11"/>
      <c r="E480" s="11"/>
      <c r="F480" s="105"/>
      <c r="G480" s="105"/>
      <c r="H480" s="105"/>
      <c r="I480" s="105"/>
      <c r="J480" s="105"/>
      <c r="K480" s="105"/>
      <c r="L480" s="105"/>
      <c r="M480" s="105"/>
      <c r="N480" s="105"/>
      <c r="O480" s="105"/>
      <c r="P480" s="105"/>
      <c r="Q480" s="105"/>
      <c r="R480" s="105"/>
      <c r="S480" s="105"/>
      <c r="T480" s="105"/>
      <c r="U480" s="105"/>
      <c r="V480" s="105"/>
      <c r="W480" s="105"/>
      <c r="X480" s="105"/>
      <c r="Y480" s="105"/>
      <c r="Z480" s="213"/>
      <c r="AA480" s="213"/>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sheetData>
  <mergeCells count="30">
    <mergeCell ref="D151:D161"/>
    <mergeCell ref="D164:D174"/>
    <mergeCell ref="D177:D187"/>
    <mergeCell ref="D73:D83"/>
    <mergeCell ref="D86:D96"/>
    <mergeCell ref="D99:D109"/>
    <mergeCell ref="D112:D122"/>
    <mergeCell ref="D125:D135"/>
    <mergeCell ref="D138:D148"/>
    <mergeCell ref="D190:D200"/>
    <mergeCell ref="D203:D213"/>
    <mergeCell ref="D216:D226"/>
    <mergeCell ref="D229:D239"/>
    <mergeCell ref="D242:D252"/>
    <mergeCell ref="D255:D265"/>
    <mergeCell ref="D268:D278"/>
    <mergeCell ref="D281:D291"/>
    <mergeCell ref="D294:D304"/>
    <mergeCell ref="D307:D317"/>
    <mergeCell ref="D320:D330"/>
    <mergeCell ref="D333:D343"/>
    <mergeCell ref="D346:D357"/>
    <mergeCell ref="D360:D371"/>
    <mergeCell ref="D374:D385"/>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223</vt:i4>
      </vt:variant>
    </vt:vector>
  </HeadingPairs>
  <TitlesOfParts>
    <vt:vector size="231"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t44450</cp:lastModifiedBy>
  <cp:lastPrinted>2007-07-24T06:51:35Z</cp:lastPrinted>
  <dcterms:created xsi:type="dcterms:W3CDTF">2000-02-13T23:07:37Z</dcterms:created>
  <dcterms:modified xsi:type="dcterms:W3CDTF">2014-05-30T01:26:23Z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