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5480" windowHeight="11640"/>
  </bookViews>
  <sheets>
    <sheet name="Cover" sheetId="5" r:id="rId1"/>
    <sheet name="DMIA Spend Summary" sheetId="1" r:id="rId2"/>
    <sheet name="DMIA Carryover calculation" sheetId="4" r:id="rId3"/>
    <sheet name="D-factor 2009-14 carryovers" sheetId="3" r:id="rId4"/>
  </sheets>
  <calcPr calcId="145621"/>
</workbook>
</file>

<file path=xl/calcChain.xml><?xml version="1.0" encoding="utf-8"?>
<calcChain xmlns="http://schemas.openxmlformats.org/spreadsheetml/2006/main">
  <c r="D12" i="4" l="1"/>
  <c r="D11" i="4"/>
  <c r="D10" i="4"/>
  <c r="D9" i="4"/>
  <c r="D8" i="4"/>
  <c r="F26" i="1" l="1"/>
  <c r="E26" i="1"/>
  <c r="D26" i="1"/>
  <c r="C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1" i="1"/>
  <c r="D32" i="4"/>
  <c r="C32" i="4"/>
  <c r="I31" i="4"/>
  <c r="J31" i="4" s="1"/>
  <c r="H31" i="4"/>
  <c r="G31" i="4"/>
  <c r="N31" i="4" s="1"/>
  <c r="F31" i="4"/>
  <c r="I30" i="4"/>
  <c r="J30" i="4" s="1"/>
  <c r="H30" i="4"/>
  <c r="G30" i="4"/>
  <c r="F30" i="4"/>
  <c r="I29" i="4"/>
  <c r="J29" i="4" s="1"/>
  <c r="H29" i="4"/>
  <c r="G29" i="4"/>
  <c r="F29" i="4"/>
  <c r="N29" i="4" s="1"/>
  <c r="I28" i="4"/>
  <c r="J28" i="4" s="1"/>
  <c r="N28" i="4" s="1"/>
  <c r="H28" i="4"/>
  <c r="G28" i="4"/>
  <c r="F28" i="4"/>
  <c r="I27" i="4"/>
  <c r="J27" i="4" s="1"/>
  <c r="N27" i="4" s="1"/>
  <c r="L27" i="4" s="1"/>
  <c r="H27" i="4"/>
  <c r="G27" i="4"/>
  <c r="F27" i="4"/>
  <c r="K17" i="4"/>
  <c r="J17" i="4"/>
  <c r="H17" i="4"/>
  <c r="G17" i="4"/>
  <c r="C13" i="4"/>
  <c r="I12" i="4"/>
  <c r="H12" i="4"/>
  <c r="G12" i="4"/>
  <c r="F12" i="4"/>
  <c r="I11" i="4"/>
  <c r="H11" i="4"/>
  <c r="G11" i="4"/>
  <c r="F11" i="4"/>
  <c r="I10" i="4"/>
  <c r="H10" i="4"/>
  <c r="G10" i="4"/>
  <c r="I17" i="4" s="1"/>
  <c r="I9" i="4"/>
  <c r="H9" i="4"/>
  <c r="G9" i="4"/>
  <c r="F9" i="4"/>
  <c r="I8" i="4"/>
  <c r="H8" i="4"/>
  <c r="G8" i="4"/>
  <c r="C23" i="3"/>
  <c r="B23" i="3"/>
  <c r="J11" i="4" l="1"/>
  <c r="J8" i="4"/>
  <c r="J9" i="4"/>
  <c r="N9" i="4" s="1"/>
  <c r="J10" i="4"/>
  <c r="J12" i="4"/>
  <c r="G26" i="1"/>
  <c r="K16" i="4"/>
  <c r="N12" i="4"/>
  <c r="H16" i="4"/>
  <c r="N11" i="4"/>
  <c r="J16" i="4"/>
  <c r="L28" i="4"/>
  <c r="L29" i="4" s="1"/>
  <c r="N30" i="4"/>
  <c r="F8" i="4"/>
  <c r="N8" i="4" l="1"/>
  <c r="L8" i="4" s="1"/>
  <c r="L9" i="4" s="1"/>
  <c r="G16" i="4"/>
  <c r="L30" i="4"/>
  <c r="L31" i="4" s="1"/>
  <c r="F10" i="4" l="1"/>
  <c r="D13" i="4"/>
  <c r="N10" i="4" l="1"/>
  <c r="L10" i="4" s="1"/>
  <c r="L11" i="4" s="1"/>
  <c r="L12" i="4" s="1"/>
  <c r="G18" i="4" s="1"/>
  <c r="I16" i="4"/>
  <c r="H14" i="4" l="1"/>
</calcChain>
</file>

<file path=xl/comments1.xml><?xml version="1.0" encoding="utf-8"?>
<comments xmlns="http://schemas.openxmlformats.org/spreadsheetml/2006/main">
  <authors>
    <author>t45324</author>
  </authors>
  <commentList>
    <comment ref="C13" authorId="0">
      <text>
        <r>
          <rPr>
            <b/>
            <sz val="8"/>
            <color indexed="81"/>
            <rFont val="Tahoma"/>
            <family val="2"/>
          </rPr>
          <t>t45324:</t>
        </r>
        <r>
          <rPr>
            <sz val="8"/>
            <color indexed="81"/>
            <rFont val="Tahoma"/>
            <family val="2"/>
          </rPr>
          <t xml:space="preserve">
Claim submitted to AER. Includes two year escalation at nominal WACC of 10.02%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t45324:</t>
        </r>
        <r>
          <rPr>
            <sz val="8"/>
            <color indexed="81"/>
            <rFont val="Tahoma"/>
            <family val="2"/>
          </rPr>
          <t xml:space="preserve">
Claim submitted to AER. Includes two year escalation at nominal WACC of 8.06%</t>
        </r>
      </text>
    </comment>
  </commentList>
</comments>
</file>

<file path=xl/sharedStrings.xml><?xml version="1.0" encoding="utf-8"?>
<sst xmlns="http://schemas.openxmlformats.org/spreadsheetml/2006/main" count="129" uniqueCount="87">
  <si>
    <t>Reliability Improvements of Large Embedded Generators</t>
  </si>
  <si>
    <t>Dynamic Load Control of Small Hot Water Cylinders</t>
  </si>
  <si>
    <t>Subsidised Off Peak Hot Water Connections</t>
  </si>
  <si>
    <t>Market research for residential A/C &amp; pool pump control options</t>
  </si>
  <si>
    <t>DPR for medium to large non-residential customers</t>
  </si>
  <si>
    <t>Total</t>
  </si>
  <si>
    <t>DMIA Project Summary</t>
  </si>
  <si>
    <t>DMIA projected (based on latest information on project progress)</t>
  </si>
  <si>
    <t>Total 2009-14</t>
  </si>
  <si>
    <t>AS4755 Control Trials (HW, AC, pool pumps)</t>
  </si>
  <si>
    <t>2010/11      (Actual)</t>
  </si>
  <si>
    <t>2009/10  (Actual)</t>
  </si>
  <si>
    <t>2011/12      (Actual)</t>
  </si>
  <si>
    <t>Status</t>
  </si>
  <si>
    <t>In progress</t>
  </si>
  <si>
    <t>Complete</t>
  </si>
  <si>
    <t>Year</t>
  </si>
  <si>
    <t>Allowance</t>
  </si>
  <si>
    <t>Expenditure</t>
  </si>
  <si>
    <t xml:space="preserve">Carry over amount 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</si>
  <si>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</si>
  <si>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</si>
  <si>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 xml:space="preserve">t - </t>
    </r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</si>
  <si>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  (1+i)</t>
    </r>
    <r>
      <rPr>
        <b/>
        <vertAlign val="superscript"/>
        <sz val="11"/>
        <color theme="1"/>
        <rFont val="Calibri"/>
        <family val="2"/>
        <scheme val="minor"/>
      </rPr>
      <t>t</t>
    </r>
  </si>
  <si>
    <r>
      <t xml:space="preserve">  (1+i*)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</si>
  <si>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</si>
  <si>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Annual</t>
  </si>
  <si>
    <t xml:space="preserve">Indicative numbers </t>
  </si>
  <si>
    <t>Real</t>
  </si>
  <si>
    <t>Nominal</t>
  </si>
  <si>
    <t>Wacc</t>
  </si>
  <si>
    <t>Inflation</t>
  </si>
  <si>
    <t>Dynamic Load Control of Small Hot Water Cylinders (Transgrid contribution)</t>
  </si>
  <si>
    <t>Total Ausgrid DMIA projected expenditure</t>
  </si>
  <si>
    <t>Subsidised Off Peak Hot Water Connections (Transgrid contribution)</t>
  </si>
  <si>
    <t>Newington Battery Project Extension</t>
  </si>
  <si>
    <t>Small customer PFC</t>
  </si>
  <si>
    <t>Comments</t>
  </si>
  <si>
    <t>OP2 summer scheduling</t>
  </si>
  <si>
    <t>OEH Data Analysis Projects</t>
  </si>
  <si>
    <t>Transgrid triage database</t>
  </si>
  <si>
    <t>Large customer PFC</t>
  </si>
  <si>
    <t>Irrigation Load Control</t>
  </si>
  <si>
    <t>2012/13 (Actual)</t>
  </si>
  <si>
    <t>CBD Embedded Generator Connection Trial (Stage 1)</t>
  </si>
  <si>
    <t>CBD Embedded Generator Connection Trial (Stage 2)</t>
  </si>
  <si>
    <t>Co-managing household energy demand</t>
  </si>
  <si>
    <t>BASIX Multi-Unit peak load analysis</t>
  </si>
  <si>
    <t>Completed</t>
  </si>
  <si>
    <t>In development</t>
  </si>
  <si>
    <t>Completed, not progressed to Stage 3</t>
  </si>
  <si>
    <t>Economic Benckmarking RIN</t>
  </si>
  <si>
    <t>D-Factor Incentive Scheme summary</t>
  </si>
  <si>
    <t>Submission Year</t>
  </si>
  <si>
    <t>Index for converting nominal to $real 2013-14</t>
  </si>
  <si>
    <t>Claim ($m)</t>
  </si>
  <si>
    <t>D-Factor</t>
  </si>
  <si>
    <t>Revenue adjustment year</t>
  </si>
  <si>
    <t>2005/06</t>
  </si>
  <si>
    <t>2007/08</t>
  </si>
  <si>
    <t>2006/07</t>
  </si>
  <si>
    <t>2008/09</t>
  </si>
  <si>
    <t>2009/10</t>
  </si>
  <si>
    <t>2010/11</t>
  </si>
  <si>
    <t>2011/12</t>
  </si>
  <si>
    <t>2012/13</t>
  </si>
  <si>
    <t>2013/14</t>
  </si>
  <si>
    <t>Not yet advised by AER</t>
  </si>
  <si>
    <t>2014/15</t>
  </si>
  <si>
    <t>2015/16</t>
  </si>
  <si>
    <t>D-factor carryovers for 2014-19 PTRM ($2013-14, millions)</t>
  </si>
  <si>
    <t>2014-15</t>
  </si>
  <si>
    <t>2015-16</t>
  </si>
  <si>
    <t>Expenditure Profile - Actual</t>
  </si>
  <si>
    <r>
      <t xml:space="preserve">  (1+i)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</si>
  <si>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 xml:space="preserve"> (1+i*)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* (1+i*)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</si>
  <si>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Check</t>
  </si>
  <si>
    <t>NPV=</t>
  </si>
  <si>
    <t>t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</si>
  <si>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</si>
  <si>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Expenditure Profile - $1M pa</t>
  </si>
  <si>
    <r>
      <t xml:space="preserve">  (1+i*)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</si>
  <si>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 (1+i*)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* (1+i*)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</si>
  <si>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2013/14 (Actual)</t>
  </si>
  <si>
    <t>Pool pump demand</t>
  </si>
  <si>
    <t>Automatic Demand Response</t>
  </si>
  <si>
    <t>Proposed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</si>
</sst>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0.0%"/>
    <numFmt numFmtId="167" formatCode="_(&quot;$&quot;* #,##0_);_(&quot;$&quot;* \(#,##0\);_(&quot;$&quot;* &quot;-&quot;??_);_(@_)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165" fontId="0" fillId="3" borderId="1" xfId="1" applyNumberFormat="1" applyFont="1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6" fillId="0" borderId="6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 applyBorder="1"/>
    <xf numFmtId="2" fontId="0" fillId="0" borderId="6" xfId="0" applyNumberFormat="1" applyBorder="1"/>
    <xf numFmtId="0" fontId="6" fillId="0" borderId="7" xfId="0" applyFont="1" applyBorder="1"/>
    <xf numFmtId="0" fontId="6" fillId="0" borderId="2" xfId="0" applyFont="1" applyBorder="1"/>
    <xf numFmtId="166" fontId="0" fillId="0" borderId="0" xfId="2" applyNumberFormat="1" applyFont="1" applyBorder="1"/>
    <xf numFmtId="0" fontId="0" fillId="0" borderId="8" xfId="0" applyBorder="1"/>
    <xf numFmtId="166" fontId="0" fillId="0" borderId="9" xfId="0" applyNumberFormat="1" applyBorder="1"/>
    <xf numFmtId="166" fontId="0" fillId="0" borderId="10" xfId="2" applyNumberFormat="1" applyFont="1" applyBorder="1"/>
    <xf numFmtId="0" fontId="0" fillId="0" borderId="9" xfId="0" applyBorder="1"/>
    <xf numFmtId="0" fontId="0" fillId="0" borderId="10" xfId="0" applyBorder="1"/>
    <xf numFmtId="0" fontId="9" fillId="0" borderId="0" xfId="0" applyFont="1" applyBorder="1"/>
    <xf numFmtId="0" fontId="10" fillId="0" borderId="1" xfId="0" applyFont="1" applyBorder="1"/>
    <xf numFmtId="165" fontId="10" fillId="0" borderId="1" xfId="1" applyNumberFormat="1" applyFont="1" applyBorder="1"/>
    <xf numFmtId="167" fontId="0" fillId="0" borderId="1" xfId="1" applyNumberFormat="1" applyFont="1" applyBorder="1"/>
    <xf numFmtId="167" fontId="0" fillId="3" borderId="1" xfId="1" applyNumberFormat="1" applyFont="1" applyFill="1" applyBorder="1"/>
    <xf numFmtId="165" fontId="0" fillId="5" borderId="1" xfId="1" applyNumberFormat="1" applyFont="1" applyFill="1" applyBorder="1"/>
    <xf numFmtId="0" fontId="0" fillId="3" borderId="1" xfId="0" applyFill="1" applyBorder="1"/>
    <xf numFmtId="22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2" fillId="0" borderId="0" xfId="0" applyFont="1"/>
    <xf numFmtId="0" fontId="6" fillId="0" borderId="1" xfId="0" applyFont="1" applyBorder="1" applyAlignment="1">
      <alignment wrapText="1"/>
    </xf>
    <xf numFmtId="168" fontId="0" fillId="0" borderId="1" xfId="2" applyNumberFormat="1" applyFon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44" fontId="0" fillId="0" borderId="16" xfId="0" applyNumberFormat="1" applyBorder="1"/>
    <xf numFmtId="44" fontId="0" fillId="0" borderId="17" xfId="0" applyNumberForma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5" fillId="0" borderId="0" xfId="0" applyFont="1" applyBorder="1"/>
    <xf numFmtId="2" fontId="15" fillId="0" borderId="0" xfId="0" applyNumberFormat="1" applyFont="1" applyBorder="1"/>
    <xf numFmtId="0" fontId="15" fillId="0" borderId="7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0" fontId="10" fillId="0" borderId="6" xfId="0" applyNumberFormat="1" applyFont="1" applyBorder="1"/>
    <xf numFmtId="2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167" fontId="11" fillId="3" borderId="1" xfId="1" applyNumberFormat="1" applyFont="1" applyFill="1" applyBorder="1"/>
    <xf numFmtId="2" fontId="17" fillId="0" borderId="0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275581</xdr:colOff>
      <xdr:row>38</xdr:row>
      <xdr:rowOff>103881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152381" cy="7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18</xdr:row>
      <xdr:rowOff>0</xdr:rowOff>
    </xdr:from>
    <xdr:to>
      <xdr:col>30</xdr:col>
      <xdr:colOff>438150</xdr:colOff>
      <xdr:row>72</xdr:row>
      <xdr:rowOff>164015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68050" y="3514725"/>
          <a:ext cx="8334375" cy="105307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260892</xdr:colOff>
      <xdr:row>0</xdr:row>
      <xdr:rowOff>0</xdr:rowOff>
    </xdr:from>
    <xdr:to>
      <xdr:col>30</xdr:col>
      <xdr:colOff>66442</xdr:colOff>
      <xdr:row>53</xdr:row>
      <xdr:rowOff>71089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90767" y="0"/>
          <a:ext cx="8339950" cy="1050932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205136</xdr:colOff>
      <xdr:row>38</xdr:row>
      <xdr:rowOff>95250</xdr:rowOff>
    </xdr:from>
    <xdr:to>
      <xdr:col>13</xdr:col>
      <xdr:colOff>440009</xdr:colOff>
      <xdr:row>48</xdr:row>
      <xdr:rowOff>8828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4736" y="7629525"/>
          <a:ext cx="8226348" cy="179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8" sqref="M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112" zoomScaleNormal="112" workbookViewId="0">
      <selection activeCell="A30" sqref="A30"/>
    </sheetView>
  </sheetViews>
  <sheetFormatPr defaultRowHeight="15" x14ac:dyDescent="0.25"/>
  <cols>
    <col min="1" max="1" width="68.140625" customWidth="1"/>
    <col min="2" max="2" width="17" customWidth="1"/>
    <col min="3" max="3" width="11" customWidth="1"/>
    <col min="4" max="4" width="11.140625" customWidth="1"/>
    <col min="5" max="5" width="10.7109375" customWidth="1"/>
    <col min="6" max="6" width="13.5703125" customWidth="1"/>
    <col min="7" max="7" width="15.85546875" customWidth="1"/>
    <col min="8" max="8" width="48" style="44" customWidth="1"/>
    <col min="9" max="9" width="58" customWidth="1"/>
  </cols>
  <sheetData>
    <row r="1" spans="1:9" ht="21" x14ac:dyDescent="0.35">
      <c r="A1" s="1" t="s">
        <v>6</v>
      </c>
      <c r="B1" s="1"/>
      <c r="H1" s="38">
        <f ca="1">NOW()</f>
        <v>42023.490024652776</v>
      </c>
    </row>
    <row r="2" spans="1:9" x14ac:dyDescent="0.25">
      <c r="A2" s="4"/>
      <c r="B2" s="8"/>
      <c r="C2" s="8"/>
      <c r="D2" s="8"/>
      <c r="E2" s="8"/>
      <c r="F2" s="8"/>
      <c r="G2" s="8"/>
      <c r="H2" s="39"/>
    </row>
    <row r="4" spans="1:9" ht="30" x14ac:dyDescent="0.25">
      <c r="A4" s="4" t="s">
        <v>7</v>
      </c>
      <c r="B4" s="39" t="s">
        <v>11</v>
      </c>
      <c r="C4" s="39" t="s">
        <v>10</v>
      </c>
      <c r="D4" s="39" t="s">
        <v>12</v>
      </c>
      <c r="E4" s="39" t="s">
        <v>43</v>
      </c>
      <c r="F4" s="39" t="s">
        <v>83</v>
      </c>
      <c r="G4" s="39" t="s">
        <v>8</v>
      </c>
      <c r="H4" s="39" t="s">
        <v>13</v>
      </c>
      <c r="I4" s="45" t="s">
        <v>37</v>
      </c>
    </row>
    <row r="5" spans="1:9" x14ac:dyDescent="0.25">
      <c r="A5" s="2" t="s">
        <v>1</v>
      </c>
      <c r="B5" s="2"/>
      <c r="C5" s="3">
        <v>15296</v>
      </c>
      <c r="D5" s="3">
        <v>118102</v>
      </c>
      <c r="E5" s="34">
        <v>120463.45</v>
      </c>
      <c r="F5" s="34">
        <v>20642.469999999998</v>
      </c>
      <c r="G5" s="71">
        <f t="shared" ref="G5:G25" si="0">SUM(B5:F5)</f>
        <v>274503.92</v>
      </c>
      <c r="H5" s="40" t="s">
        <v>14</v>
      </c>
    </row>
    <row r="6" spans="1:9" x14ac:dyDescent="0.25">
      <c r="A6" s="32" t="s">
        <v>32</v>
      </c>
      <c r="B6" s="32"/>
      <c r="C6" s="33"/>
      <c r="D6" s="71">
        <v>-27000</v>
      </c>
      <c r="E6" s="35"/>
      <c r="F6" s="35"/>
      <c r="G6" s="71">
        <f t="shared" si="0"/>
        <v>-27000</v>
      </c>
      <c r="H6" s="41"/>
    </row>
    <row r="7" spans="1:9" x14ac:dyDescent="0.25">
      <c r="A7" s="2" t="s">
        <v>0</v>
      </c>
      <c r="B7" s="2"/>
      <c r="C7" s="3">
        <v>37667</v>
      </c>
      <c r="D7" s="3">
        <v>434863</v>
      </c>
      <c r="E7" s="35"/>
      <c r="F7" s="35"/>
      <c r="G7" s="71">
        <f t="shared" si="0"/>
        <v>472530</v>
      </c>
      <c r="H7" s="40" t="s">
        <v>15</v>
      </c>
    </row>
    <row r="8" spans="1:9" x14ac:dyDescent="0.25">
      <c r="A8" s="2" t="s">
        <v>44</v>
      </c>
      <c r="B8" s="2"/>
      <c r="C8" s="3"/>
      <c r="D8" s="3">
        <v>39251</v>
      </c>
      <c r="E8" s="34">
        <v>6440.2480055862588</v>
      </c>
      <c r="F8" s="35">
        <v>548.09</v>
      </c>
      <c r="G8" s="71">
        <f t="shared" si="0"/>
        <v>46239.338005586258</v>
      </c>
      <c r="H8" s="42" t="s">
        <v>15</v>
      </c>
    </row>
    <row r="9" spans="1:9" x14ac:dyDescent="0.25">
      <c r="A9" s="2" t="s">
        <v>45</v>
      </c>
      <c r="B9" s="2"/>
      <c r="C9" s="3"/>
      <c r="D9" s="3"/>
      <c r="E9" s="34"/>
      <c r="F9" s="35">
        <v>101087.74131858571</v>
      </c>
      <c r="G9" s="71">
        <f t="shared" si="0"/>
        <v>101087.74131858571</v>
      </c>
      <c r="H9" s="40" t="s">
        <v>14</v>
      </c>
    </row>
    <row r="10" spans="1:9" x14ac:dyDescent="0.25">
      <c r="A10" s="2" t="s">
        <v>2</v>
      </c>
      <c r="B10" s="2"/>
      <c r="C10" s="3"/>
      <c r="D10" s="3">
        <v>91007</v>
      </c>
      <c r="E10" s="34">
        <v>35818.321873980123</v>
      </c>
      <c r="F10" s="35">
        <v>10601.73</v>
      </c>
      <c r="G10" s="71">
        <f t="shared" si="0"/>
        <v>137427.05187398012</v>
      </c>
      <c r="H10" s="40" t="s">
        <v>14</v>
      </c>
    </row>
    <row r="11" spans="1:9" x14ac:dyDescent="0.25">
      <c r="A11" s="32" t="s">
        <v>34</v>
      </c>
      <c r="B11" s="32"/>
      <c r="C11" s="33"/>
      <c r="D11" s="71">
        <v>-12000</v>
      </c>
      <c r="E11" s="71">
        <v>-113500</v>
      </c>
      <c r="F11" s="35"/>
      <c r="G11" s="71">
        <f t="shared" si="0"/>
        <v>-125500</v>
      </c>
      <c r="H11" s="41"/>
    </row>
    <row r="12" spans="1:9" x14ac:dyDescent="0.25">
      <c r="A12" s="2" t="s">
        <v>4</v>
      </c>
      <c r="B12" s="2"/>
      <c r="C12" s="3"/>
      <c r="D12" s="3">
        <v>16248</v>
      </c>
      <c r="E12" s="34">
        <v>382106.79000000004</v>
      </c>
      <c r="F12" s="35">
        <v>1269685.94</v>
      </c>
      <c r="G12" s="71">
        <f t="shared" si="0"/>
        <v>1668040.73</v>
      </c>
      <c r="H12" s="40" t="s">
        <v>14</v>
      </c>
    </row>
    <row r="13" spans="1:9" x14ac:dyDescent="0.25">
      <c r="A13" s="2" t="s">
        <v>3</v>
      </c>
      <c r="B13" s="2"/>
      <c r="C13" s="3"/>
      <c r="D13" s="3">
        <v>863</v>
      </c>
      <c r="E13" s="34">
        <v>65123.56</v>
      </c>
      <c r="F13" s="35"/>
      <c r="G13" s="71">
        <f t="shared" si="0"/>
        <v>65986.559999999998</v>
      </c>
      <c r="H13" s="40" t="s">
        <v>14</v>
      </c>
    </row>
    <row r="14" spans="1:9" x14ac:dyDescent="0.25">
      <c r="A14" s="2" t="s">
        <v>9</v>
      </c>
      <c r="B14" s="2"/>
      <c r="C14" s="3"/>
      <c r="D14" s="3"/>
      <c r="E14" s="34">
        <v>175007.91270894866</v>
      </c>
      <c r="F14" s="35">
        <v>585714.63000000012</v>
      </c>
      <c r="G14" s="71">
        <f t="shared" si="0"/>
        <v>760722.54270894872</v>
      </c>
      <c r="H14" s="40" t="s">
        <v>14</v>
      </c>
    </row>
    <row r="15" spans="1:9" x14ac:dyDescent="0.25">
      <c r="A15" s="2" t="s">
        <v>35</v>
      </c>
      <c r="B15" s="2"/>
      <c r="C15" s="3"/>
      <c r="D15" s="3"/>
      <c r="E15" s="34">
        <v>7115.2697836226753</v>
      </c>
      <c r="F15" s="35">
        <v>259025.57793148275</v>
      </c>
      <c r="G15" s="71">
        <f t="shared" si="0"/>
        <v>266140.84771510545</v>
      </c>
      <c r="H15" s="40" t="s">
        <v>14</v>
      </c>
    </row>
    <row r="16" spans="1:9" x14ac:dyDescent="0.25">
      <c r="A16" s="2" t="s">
        <v>36</v>
      </c>
      <c r="B16" s="2"/>
      <c r="C16" s="3"/>
      <c r="D16" s="3"/>
      <c r="E16" s="34">
        <v>21940.055340738967</v>
      </c>
      <c r="F16" s="35"/>
      <c r="G16" s="71">
        <f t="shared" si="0"/>
        <v>21940.055340738967</v>
      </c>
      <c r="H16" s="40" t="s">
        <v>50</v>
      </c>
    </row>
    <row r="17" spans="1:8" x14ac:dyDescent="0.25">
      <c r="A17" s="2" t="s">
        <v>38</v>
      </c>
      <c r="B17" s="2"/>
      <c r="C17" s="3"/>
      <c r="D17" s="3"/>
      <c r="E17" s="34">
        <v>1342.9680006882736</v>
      </c>
      <c r="F17" s="35">
        <v>100530.86448872651</v>
      </c>
      <c r="G17" s="71">
        <f t="shared" si="0"/>
        <v>101873.83248941478</v>
      </c>
      <c r="H17" s="40" t="s">
        <v>14</v>
      </c>
    </row>
    <row r="18" spans="1:8" x14ac:dyDescent="0.25">
      <c r="A18" s="2" t="s">
        <v>39</v>
      </c>
      <c r="B18" s="2"/>
      <c r="C18" s="3"/>
      <c r="D18" s="3"/>
      <c r="E18" s="34">
        <v>37562.46</v>
      </c>
      <c r="F18" s="35">
        <v>3889</v>
      </c>
      <c r="G18" s="71">
        <f t="shared" si="0"/>
        <v>41451.46</v>
      </c>
      <c r="H18" s="40" t="s">
        <v>14</v>
      </c>
    </row>
    <row r="19" spans="1:8" x14ac:dyDescent="0.25">
      <c r="A19" s="2" t="s">
        <v>47</v>
      </c>
      <c r="B19" s="2"/>
      <c r="C19" s="3"/>
      <c r="D19" s="3"/>
      <c r="E19" s="34"/>
      <c r="F19" s="35"/>
      <c r="G19" s="71">
        <f t="shared" si="0"/>
        <v>0</v>
      </c>
      <c r="H19" s="40" t="s">
        <v>14</v>
      </c>
    </row>
    <row r="20" spans="1:8" x14ac:dyDescent="0.25">
      <c r="A20" s="2" t="s">
        <v>46</v>
      </c>
      <c r="B20" s="2"/>
      <c r="C20" s="3"/>
      <c r="D20" s="3"/>
      <c r="E20" s="34">
        <v>8486.2281881136496</v>
      </c>
      <c r="F20" s="35">
        <v>12536.713526197265</v>
      </c>
      <c r="G20" s="71">
        <f t="shared" si="0"/>
        <v>21022.941714310917</v>
      </c>
      <c r="H20" s="40" t="s">
        <v>48</v>
      </c>
    </row>
    <row r="21" spans="1:8" x14ac:dyDescent="0.25">
      <c r="A21" s="2" t="s">
        <v>40</v>
      </c>
      <c r="B21" s="2"/>
      <c r="C21" s="3"/>
      <c r="D21" s="3"/>
      <c r="E21" s="34">
        <v>14239.553689805965</v>
      </c>
      <c r="F21" s="35"/>
      <c r="G21" s="71">
        <f t="shared" si="0"/>
        <v>14239.553689805965</v>
      </c>
      <c r="H21" s="40" t="s">
        <v>48</v>
      </c>
    </row>
    <row r="22" spans="1:8" x14ac:dyDescent="0.25">
      <c r="A22" s="2" t="s">
        <v>41</v>
      </c>
      <c r="B22" s="2"/>
      <c r="C22" s="3"/>
      <c r="D22" s="3"/>
      <c r="E22" s="34">
        <v>18859.380998762023</v>
      </c>
      <c r="F22" s="35">
        <v>75506.200740524902</v>
      </c>
      <c r="G22" s="71">
        <f t="shared" si="0"/>
        <v>94365.581739286921</v>
      </c>
      <c r="H22" s="40" t="s">
        <v>14</v>
      </c>
    </row>
    <row r="23" spans="1:8" x14ac:dyDescent="0.25">
      <c r="A23" s="2" t="s">
        <v>42</v>
      </c>
      <c r="B23" s="2"/>
      <c r="C23" s="3"/>
      <c r="D23" s="3"/>
      <c r="E23" s="34">
        <v>39565.011409753446</v>
      </c>
      <c r="F23" s="35"/>
      <c r="G23" s="71">
        <f t="shared" si="0"/>
        <v>39565.011409753446</v>
      </c>
      <c r="H23" s="40" t="s">
        <v>50</v>
      </c>
    </row>
    <row r="24" spans="1:8" x14ac:dyDescent="0.25">
      <c r="A24" s="37" t="s">
        <v>84</v>
      </c>
      <c r="B24" s="37"/>
      <c r="C24" s="6"/>
      <c r="D24" s="6"/>
      <c r="E24" s="35"/>
      <c r="F24" s="35">
        <v>8450.2872757013392</v>
      </c>
      <c r="G24" s="71">
        <f t="shared" si="0"/>
        <v>8450.2872757013392</v>
      </c>
      <c r="H24" s="42" t="s">
        <v>49</v>
      </c>
    </row>
    <row r="25" spans="1:8" x14ac:dyDescent="0.25">
      <c r="A25" s="37" t="s">
        <v>85</v>
      </c>
      <c r="B25" s="37"/>
      <c r="C25" s="6"/>
      <c r="D25" s="6"/>
      <c r="E25" s="35"/>
      <c r="F25" s="35">
        <v>24930.974718781479</v>
      </c>
      <c r="G25" s="71">
        <f t="shared" si="0"/>
        <v>24930.974718781479</v>
      </c>
      <c r="H25" s="42" t="s">
        <v>49</v>
      </c>
    </row>
    <row r="26" spans="1:8" x14ac:dyDescent="0.25">
      <c r="A26" s="4" t="s">
        <v>33</v>
      </c>
      <c r="B26" s="7"/>
      <c r="C26" s="5">
        <f>SUM(C5:C25)</f>
        <v>52963</v>
      </c>
      <c r="D26" s="5">
        <f>SUM(D5:D25)</f>
        <v>661334</v>
      </c>
      <c r="E26" s="5">
        <f>SUM(E5:E25)</f>
        <v>820571.21000000008</v>
      </c>
      <c r="F26" s="5">
        <f>SUM(F5:F25)</f>
        <v>2473150.2200000002</v>
      </c>
      <c r="G26" s="5">
        <f>SUM(G5:G25)</f>
        <v>4008018.4299999997</v>
      </c>
      <c r="H26" s="43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2" zoomScaleNormal="82" workbookViewId="0">
      <selection activeCell="D37" sqref="D37"/>
    </sheetView>
  </sheetViews>
  <sheetFormatPr defaultRowHeight="15" x14ac:dyDescent="0.25"/>
  <cols>
    <col min="3" max="3" width="11.7109375" customWidth="1"/>
    <col min="4" max="4" width="13.7109375" customWidth="1"/>
    <col min="5" max="5" width="6.28515625" customWidth="1"/>
    <col min="10" max="10" width="15" customWidth="1"/>
  </cols>
  <sheetData>
    <row r="1" spans="1:15" ht="15.75" thickBot="1" x14ac:dyDescent="0.3"/>
    <row r="2" spans="1:15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1:15" x14ac:dyDescent="0.25">
      <c r="A4" s="12"/>
      <c r="B4" s="13"/>
      <c r="C4" s="15" t="s">
        <v>73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1:15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x14ac:dyDescent="0.25">
      <c r="A6" s="12"/>
      <c r="B6" s="15" t="s">
        <v>16</v>
      </c>
      <c r="C6" s="15" t="s">
        <v>17</v>
      </c>
      <c r="D6" s="15" t="s">
        <v>18</v>
      </c>
      <c r="E6" s="15"/>
      <c r="F6" s="15"/>
      <c r="G6" s="15"/>
      <c r="H6" s="15"/>
      <c r="I6" s="15"/>
      <c r="J6" s="15"/>
      <c r="K6" s="15"/>
      <c r="L6" s="15" t="s">
        <v>19</v>
      </c>
      <c r="M6" s="15"/>
      <c r="N6" s="15"/>
      <c r="O6" s="16"/>
    </row>
    <row r="7" spans="1:15" ht="18.75" x14ac:dyDescent="0.35">
      <c r="A7" s="12"/>
      <c r="B7" s="17"/>
      <c r="C7" s="18" t="s">
        <v>20</v>
      </c>
      <c r="D7" s="19" t="s">
        <v>21</v>
      </c>
      <c r="E7" s="18"/>
      <c r="F7" s="18" t="s">
        <v>22</v>
      </c>
      <c r="G7" s="18" t="s">
        <v>23</v>
      </c>
      <c r="H7" s="18" t="s">
        <v>74</v>
      </c>
      <c r="I7" s="18" t="s">
        <v>24</v>
      </c>
      <c r="J7" s="18" t="s">
        <v>75</v>
      </c>
      <c r="K7" s="18"/>
      <c r="L7" s="18" t="s">
        <v>25</v>
      </c>
      <c r="M7" s="18"/>
      <c r="N7" s="18" t="s">
        <v>26</v>
      </c>
      <c r="O7" s="20"/>
    </row>
    <row r="8" spans="1:15" x14ac:dyDescent="0.25">
      <c r="A8" s="12"/>
      <c r="B8" s="15">
        <v>1</v>
      </c>
      <c r="C8" s="60">
        <v>1</v>
      </c>
      <c r="D8" s="61">
        <f>'DMIA Spend Summary'!B26/10^6</f>
        <v>0</v>
      </c>
      <c r="E8" s="13"/>
      <c r="F8" s="62">
        <f>+C8-D8</f>
        <v>1</v>
      </c>
      <c r="G8" s="63">
        <f>+(1+$D$17)^B8</f>
        <v>1.1002000000000001</v>
      </c>
      <c r="H8" s="63">
        <f>(1+$D$17)^5</f>
        <v>1.6119746324968094</v>
      </c>
      <c r="I8" s="63">
        <f>(1+$D$18)^2</f>
        <v>1.1848322500000001</v>
      </c>
      <c r="J8" s="63">
        <f>H8*I8</f>
        <v>1.9099195307641179</v>
      </c>
      <c r="K8" s="21"/>
      <c r="L8" s="63">
        <f>0-N8</f>
        <v>-1.735974850721794</v>
      </c>
      <c r="M8" s="21"/>
      <c r="N8" s="63">
        <f>(F8/G8)*J8</f>
        <v>1.735974850721794</v>
      </c>
      <c r="O8" s="22"/>
    </row>
    <row r="9" spans="1:15" x14ac:dyDescent="0.25">
      <c r="A9" s="12"/>
      <c r="B9" s="15">
        <v>2</v>
      </c>
      <c r="C9" s="60">
        <v>1</v>
      </c>
      <c r="D9" s="61">
        <f>'DMIA Spend Summary'!C26/10^6</f>
        <v>5.2963000000000003E-2</v>
      </c>
      <c r="E9" s="13"/>
      <c r="F9" s="62">
        <f t="shared" ref="F9:F12" si="0">+C9-D9</f>
        <v>0.94703700000000002</v>
      </c>
      <c r="G9" s="63">
        <f t="shared" ref="G9:G12" si="1">+(1+$D$17)^B9</f>
        <v>1.2104400400000002</v>
      </c>
      <c r="H9" s="63">
        <f>(1+$D$17)^5</f>
        <v>1.6119746324968094</v>
      </c>
      <c r="I9" s="63">
        <f t="shared" ref="I9:I12" si="2">(1+$D$18)^2</f>
        <v>1.1848322500000001</v>
      </c>
      <c r="J9" s="63">
        <f>H9*I9</f>
        <v>1.9099195307641179</v>
      </c>
      <c r="K9" s="21"/>
      <c r="L9" s="63">
        <f>L8-N9</f>
        <v>-3.2302780816825427</v>
      </c>
      <c r="M9" s="21"/>
      <c r="N9" s="63">
        <f>(F9/G9)*J9</f>
        <v>1.4943032309607485</v>
      </c>
      <c r="O9" s="22"/>
    </row>
    <row r="10" spans="1:15" x14ac:dyDescent="0.25">
      <c r="A10" s="12"/>
      <c r="B10" s="15">
        <v>3</v>
      </c>
      <c r="C10" s="60">
        <v>1</v>
      </c>
      <c r="D10" s="61">
        <f>'DMIA Spend Summary'!D26/10^6</f>
        <v>0.66133399999999998</v>
      </c>
      <c r="E10" s="13"/>
      <c r="F10" s="62">
        <f t="shared" si="0"/>
        <v>0.33866600000000002</v>
      </c>
      <c r="G10" s="63">
        <f t="shared" si="1"/>
        <v>1.3317261320080003</v>
      </c>
      <c r="H10" s="63">
        <f>(1+$D$17)^5</f>
        <v>1.6119746324968094</v>
      </c>
      <c r="I10" s="63">
        <f t="shared" si="2"/>
        <v>1.1848322500000001</v>
      </c>
      <c r="J10" s="63">
        <f>H10*I10</f>
        <v>1.9099195307641179</v>
      </c>
      <c r="K10" s="21"/>
      <c r="L10" s="63">
        <f>L9-N10</f>
        <v>-3.7159821557104862</v>
      </c>
      <c r="M10" s="21"/>
      <c r="N10" s="63">
        <f>(F10/G10)*J10</f>
        <v>0.48570407402794363</v>
      </c>
      <c r="O10" s="22"/>
    </row>
    <row r="11" spans="1:15" x14ac:dyDescent="0.25">
      <c r="A11" s="12"/>
      <c r="B11" s="15">
        <v>4</v>
      </c>
      <c r="C11" s="60">
        <v>1</v>
      </c>
      <c r="D11" s="61">
        <f>'DMIA Spend Summary'!E26/10^6</f>
        <v>0.82057121000000011</v>
      </c>
      <c r="E11" s="13"/>
      <c r="F11" s="62">
        <f t="shared" si="0"/>
        <v>0.17942878999999989</v>
      </c>
      <c r="G11" s="63">
        <f t="shared" si="1"/>
        <v>1.465165090435202</v>
      </c>
      <c r="H11" s="63">
        <f>(1+$D$17)^5</f>
        <v>1.6119746324968094</v>
      </c>
      <c r="I11" s="63">
        <f t="shared" si="2"/>
        <v>1.1848322500000001</v>
      </c>
      <c r="J11" s="63">
        <f>H11*I11</f>
        <v>1.9099195307641179</v>
      </c>
      <c r="K11" s="21"/>
      <c r="L11" s="63">
        <f>L10-N11</f>
        <v>-3.9498769929814053</v>
      </c>
      <c r="M11" s="21"/>
      <c r="N11" s="63">
        <f>(F11/G11)*J11</f>
        <v>0.23389483727091923</v>
      </c>
      <c r="O11" s="22"/>
    </row>
    <row r="12" spans="1:15" x14ac:dyDescent="0.25">
      <c r="A12" s="12"/>
      <c r="B12" s="15">
        <v>5</v>
      </c>
      <c r="C12" s="60">
        <v>1</v>
      </c>
      <c r="D12" s="61">
        <f>'DMIA Spend Summary'!F26/10^6</f>
        <v>2.4731502200000004</v>
      </c>
      <c r="E12" s="13"/>
      <c r="F12" s="62">
        <f t="shared" si="0"/>
        <v>-1.4731502200000004</v>
      </c>
      <c r="G12" s="63">
        <f t="shared" si="1"/>
        <v>1.6119746324968094</v>
      </c>
      <c r="H12" s="63">
        <f>(1+$D$17)^5</f>
        <v>1.6119746324968094</v>
      </c>
      <c r="I12" s="63">
        <f t="shared" si="2"/>
        <v>1.1848322500000001</v>
      </c>
      <c r="J12" s="63">
        <f>H12*I12</f>
        <v>1.9099195307641179</v>
      </c>
      <c r="K12" s="21"/>
      <c r="L12" s="72">
        <f>L11-N12</f>
        <v>-2.2044411032308098</v>
      </c>
      <c r="M12" s="21"/>
      <c r="N12" s="63">
        <f>(F12/G12)*J12</f>
        <v>-1.7454358897505957</v>
      </c>
      <c r="O12" s="22"/>
    </row>
    <row r="13" spans="1:15" ht="15.75" thickBot="1" x14ac:dyDescent="0.3">
      <c r="A13" s="12"/>
      <c r="B13" s="23" t="s">
        <v>5</v>
      </c>
      <c r="C13" s="64">
        <f>SUM(C8:C12)</f>
        <v>5</v>
      </c>
      <c r="D13" s="64">
        <f>SUM(D8:D12)</f>
        <v>4.0080184299999999</v>
      </c>
      <c r="E13" s="13"/>
      <c r="F13" s="13"/>
      <c r="G13" s="21"/>
      <c r="H13" s="21"/>
      <c r="I13" s="21"/>
      <c r="J13" s="21"/>
      <c r="K13" s="21"/>
      <c r="L13" s="13"/>
      <c r="M13" s="21"/>
      <c r="N13" s="21"/>
      <c r="O13" s="22"/>
    </row>
    <row r="14" spans="1:15" ht="16.5" thickTop="1" thickBot="1" x14ac:dyDescent="0.3">
      <c r="A14" s="12"/>
      <c r="B14" s="13"/>
      <c r="C14" s="13"/>
      <c r="D14" s="13"/>
      <c r="E14" s="13"/>
      <c r="F14" s="13" t="s">
        <v>76</v>
      </c>
      <c r="G14" s="18" t="s">
        <v>77</v>
      </c>
      <c r="H14" s="65">
        <f>G16/G17+H16/H17+I16/I17+J16/J17+K16/K17+G18/J12</f>
        <v>0</v>
      </c>
      <c r="I14" s="21"/>
      <c r="J14" s="21"/>
      <c r="K14" s="21"/>
      <c r="L14" s="21"/>
      <c r="M14" s="21"/>
      <c r="N14" s="21"/>
      <c r="O14" s="22"/>
    </row>
    <row r="15" spans="1:15" x14ac:dyDescent="0.25">
      <c r="A15" s="12"/>
      <c r="B15" s="24" t="s">
        <v>27</v>
      </c>
      <c r="C15" s="10"/>
      <c r="D15" s="11"/>
      <c r="E15" s="13"/>
      <c r="F15" s="17" t="s">
        <v>78</v>
      </c>
      <c r="G15" s="60">
        <v>1</v>
      </c>
      <c r="H15" s="60">
        <v>2</v>
      </c>
      <c r="I15" s="60">
        <v>3</v>
      </c>
      <c r="J15" s="60">
        <v>4</v>
      </c>
      <c r="K15" s="60">
        <v>5</v>
      </c>
      <c r="L15" s="13"/>
      <c r="M15" s="13"/>
      <c r="N15" s="13"/>
      <c r="O15" s="14"/>
    </row>
    <row r="16" spans="1:15" ht="18" x14ac:dyDescent="0.35">
      <c r="A16" s="12"/>
      <c r="B16" s="12"/>
      <c r="C16" s="13" t="s">
        <v>28</v>
      </c>
      <c r="D16" s="14" t="s">
        <v>29</v>
      </c>
      <c r="E16" s="13"/>
      <c r="F16" s="18" t="s">
        <v>22</v>
      </c>
      <c r="G16" s="66">
        <f>F8</f>
        <v>1</v>
      </c>
      <c r="H16" s="66">
        <f>F9</f>
        <v>0.94703700000000002</v>
      </c>
      <c r="I16" s="66">
        <f>F10</f>
        <v>0.33866600000000002</v>
      </c>
      <c r="J16" s="66">
        <f>F11</f>
        <v>0.17942878999999989</v>
      </c>
      <c r="K16" s="66">
        <f>F12</f>
        <v>-1.4731502200000004</v>
      </c>
      <c r="L16" s="13"/>
      <c r="M16" s="13"/>
      <c r="N16" s="13"/>
      <c r="O16" s="14"/>
    </row>
    <row r="17" spans="1:15" ht="17.25" x14ac:dyDescent="0.25">
      <c r="A17" s="12"/>
      <c r="B17" s="12" t="s">
        <v>30</v>
      </c>
      <c r="C17" s="25"/>
      <c r="D17" s="67">
        <v>0.1002</v>
      </c>
      <c r="E17" s="13"/>
      <c r="F17" s="18" t="s">
        <v>23</v>
      </c>
      <c r="G17" s="68">
        <f>G8</f>
        <v>1.1002000000000001</v>
      </c>
      <c r="H17" s="68">
        <f>G9</f>
        <v>1.2104400400000002</v>
      </c>
      <c r="I17" s="68">
        <f>G10</f>
        <v>1.3317261320080003</v>
      </c>
      <c r="J17" s="68">
        <f>G11</f>
        <v>1.465165090435202</v>
      </c>
      <c r="K17" s="68">
        <f>G12</f>
        <v>1.6119746324968094</v>
      </c>
      <c r="L17" s="13"/>
      <c r="M17" s="13"/>
      <c r="N17" s="13"/>
      <c r="O17" s="14"/>
    </row>
    <row r="18" spans="1:15" ht="18" x14ac:dyDescent="0.35">
      <c r="A18" s="12"/>
      <c r="B18" s="12" t="s">
        <v>86</v>
      </c>
      <c r="C18" s="25"/>
      <c r="D18" s="67">
        <v>8.8499999999999995E-2</v>
      </c>
      <c r="E18" s="13"/>
      <c r="F18" s="18" t="s">
        <v>79</v>
      </c>
      <c r="G18" s="68">
        <f>L12</f>
        <v>-2.2044411032308098</v>
      </c>
      <c r="H18" s="13"/>
      <c r="I18" s="13"/>
      <c r="J18" s="13"/>
      <c r="K18" s="13"/>
      <c r="L18" s="13"/>
      <c r="M18" s="13"/>
      <c r="N18" s="13"/>
      <c r="O18" s="14"/>
    </row>
    <row r="19" spans="1:15" ht="15.75" thickBot="1" x14ac:dyDescent="0.3">
      <c r="A19" s="26"/>
      <c r="B19" s="26" t="s">
        <v>31</v>
      </c>
      <c r="C19" s="27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</row>
    <row r="21" spans="1:15" ht="15.75" thickBot="1" x14ac:dyDescent="0.3"/>
    <row r="22" spans="1:15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</row>
    <row r="23" spans="1:15" x14ac:dyDescent="0.25">
      <c r="A23" s="12"/>
      <c r="B23" s="31"/>
      <c r="C23" s="69" t="s">
        <v>80</v>
      </c>
      <c r="D23" s="31"/>
      <c r="E23" s="31"/>
      <c r="F23" s="31"/>
      <c r="G23" s="31"/>
      <c r="H23" s="31"/>
      <c r="I23" s="31"/>
      <c r="J23" s="13"/>
      <c r="K23" s="13"/>
      <c r="L23" s="13"/>
      <c r="M23" s="13"/>
      <c r="N23" s="13"/>
      <c r="O23" s="14"/>
    </row>
    <row r="24" spans="1:15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1:15" x14ac:dyDescent="0.25">
      <c r="A25" s="12"/>
      <c r="B25" s="15" t="s">
        <v>16</v>
      </c>
      <c r="C25" s="15" t="s">
        <v>17</v>
      </c>
      <c r="D25" s="15" t="s">
        <v>18</v>
      </c>
      <c r="E25" s="15"/>
      <c r="F25" s="15"/>
      <c r="G25" s="15"/>
      <c r="H25" s="15"/>
      <c r="I25" s="15"/>
      <c r="J25" s="15"/>
      <c r="K25" s="15"/>
      <c r="L25" s="15" t="s">
        <v>19</v>
      </c>
      <c r="M25" s="15"/>
      <c r="N25" s="15"/>
      <c r="O25" s="14"/>
    </row>
    <row r="26" spans="1:15" ht="18.75" x14ac:dyDescent="0.35">
      <c r="A26" s="12"/>
      <c r="B26" s="17"/>
      <c r="C26" s="18" t="s">
        <v>20</v>
      </c>
      <c r="D26" s="19" t="s">
        <v>21</v>
      </c>
      <c r="E26" s="18"/>
      <c r="F26" s="18" t="s">
        <v>22</v>
      </c>
      <c r="G26" s="18" t="s">
        <v>23</v>
      </c>
      <c r="H26" s="18" t="s">
        <v>81</v>
      </c>
      <c r="I26" s="18" t="s">
        <v>24</v>
      </c>
      <c r="J26" s="18" t="s">
        <v>82</v>
      </c>
      <c r="K26" s="18"/>
      <c r="L26" s="18" t="s">
        <v>25</v>
      </c>
      <c r="M26" s="18"/>
      <c r="N26" s="18" t="s">
        <v>26</v>
      </c>
      <c r="O26" s="14"/>
    </row>
    <row r="27" spans="1:15" x14ac:dyDescent="0.25">
      <c r="A27" s="12"/>
      <c r="B27" s="15">
        <v>1</v>
      </c>
      <c r="C27" s="66">
        <v>1</v>
      </c>
      <c r="D27" s="70">
        <v>1</v>
      </c>
      <c r="E27" s="13"/>
      <c r="F27" s="62">
        <f>+C27-D27</f>
        <v>0</v>
      </c>
      <c r="G27" s="63">
        <f>+(1+$D$36)^B27</f>
        <v>1.1002000000000001</v>
      </c>
      <c r="H27" s="63">
        <f>+(1+$D$36)^5</f>
        <v>1.6119746324968094</v>
      </c>
      <c r="I27" s="63">
        <f>+(1+$D$37)^2</f>
        <v>1.1848322500000001</v>
      </c>
      <c r="J27" s="63">
        <f>+I27*H27</f>
        <v>1.9099195307641179</v>
      </c>
      <c r="K27" s="21"/>
      <c r="L27" s="63">
        <f>0-N27</f>
        <v>0</v>
      </c>
      <c r="M27" s="21"/>
      <c r="N27" s="63">
        <f>(F27/G27)*J27</f>
        <v>0</v>
      </c>
      <c r="O27" s="14"/>
    </row>
    <row r="28" spans="1:15" x14ac:dyDescent="0.25">
      <c r="A28" s="12"/>
      <c r="B28" s="15">
        <v>2</v>
      </c>
      <c r="C28" s="66">
        <v>1</v>
      </c>
      <c r="D28" s="70">
        <v>1</v>
      </c>
      <c r="E28" s="13"/>
      <c r="F28" s="62">
        <f t="shared" ref="F28:F31" si="3">+C28-D28</f>
        <v>0</v>
      </c>
      <c r="G28" s="63">
        <f t="shared" ref="G28:G31" si="4">+(1+$D$36)^B28</f>
        <v>1.2104400400000002</v>
      </c>
      <c r="H28" s="63">
        <f t="shared" ref="H28:H31" si="5">+(1+$D$36)^5</f>
        <v>1.6119746324968094</v>
      </c>
      <c r="I28" s="63">
        <f t="shared" ref="I28:I31" si="6">+(1+$D$37)^2</f>
        <v>1.1848322500000001</v>
      </c>
      <c r="J28" s="63">
        <f t="shared" ref="J28:J31" si="7">+I28*H28</f>
        <v>1.9099195307641179</v>
      </c>
      <c r="K28" s="21"/>
      <c r="L28" s="63">
        <f>L27-N28</f>
        <v>0</v>
      </c>
      <c r="M28" s="21"/>
      <c r="N28" s="63">
        <f>(F28/G28)*J28</f>
        <v>0</v>
      </c>
      <c r="O28" s="14"/>
    </row>
    <row r="29" spans="1:15" x14ac:dyDescent="0.25">
      <c r="A29" s="12"/>
      <c r="B29" s="15">
        <v>3</v>
      </c>
      <c r="C29" s="66">
        <v>1</v>
      </c>
      <c r="D29" s="70">
        <v>1</v>
      </c>
      <c r="E29" s="13"/>
      <c r="F29" s="62">
        <f t="shared" si="3"/>
        <v>0</v>
      </c>
      <c r="G29" s="63">
        <f t="shared" si="4"/>
        <v>1.3317261320080003</v>
      </c>
      <c r="H29" s="63">
        <f t="shared" si="5"/>
        <v>1.6119746324968094</v>
      </c>
      <c r="I29" s="63">
        <f t="shared" si="6"/>
        <v>1.1848322500000001</v>
      </c>
      <c r="J29" s="63">
        <f t="shared" si="7"/>
        <v>1.9099195307641179</v>
      </c>
      <c r="K29" s="21"/>
      <c r="L29" s="63">
        <f>L28-N29</f>
        <v>0</v>
      </c>
      <c r="M29" s="21"/>
      <c r="N29" s="63">
        <f>(F29/G29)*J29</f>
        <v>0</v>
      </c>
      <c r="O29" s="14"/>
    </row>
    <row r="30" spans="1:15" x14ac:dyDescent="0.25">
      <c r="A30" s="12"/>
      <c r="B30" s="15">
        <v>4</v>
      </c>
      <c r="C30" s="66">
        <v>1</v>
      </c>
      <c r="D30" s="70">
        <v>1</v>
      </c>
      <c r="E30" s="13"/>
      <c r="F30" s="62">
        <f t="shared" si="3"/>
        <v>0</v>
      </c>
      <c r="G30" s="63">
        <f t="shared" si="4"/>
        <v>1.465165090435202</v>
      </c>
      <c r="H30" s="63">
        <f t="shared" si="5"/>
        <v>1.6119746324968094</v>
      </c>
      <c r="I30" s="63">
        <f t="shared" si="6"/>
        <v>1.1848322500000001</v>
      </c>
      <c r="J30" s="63">
        <f t="shared" si="7"/>
        <v>1.9099195307641179</v>
      </c>
      <c r="K30" s="21"/>
      <c r="L30" s="63">
        <f>L29-N30</f>
        <v>0</v>
      </c>
      <c r="M30" s="21"/>
      <c r="N30" s="63">
        <f>(F30/G30)*J30</f>
        <v>0</v>
      </c>
      <c r="O30" s="14"/>
    </row>
    <row r="31" spans="1:15" x14ac:dyDescent="0.25">
      <c r="A31" s="12"/>
      <c r="B31" s="15">
        <v>5</v>
      </c>
      <c r="C31" s="66">
        <v>1</v>
      </c>
      <c r="D31" s="70">
        <v>1</v>
      </c>
      <c r="E31" s="31"/>
      <c r="F31" s="62">
        <f t="shared" si="3"/>
        <v>0</v>
      </c>
      <c r="G31" s="63">
        <f t="shared" si="4"/>
        <v>1.6119746324968094</v>
      </c>
      <c r="H31" s="63">
        <f t="shared" si="5"/>
        <v>1.6119746324968094</v>
      </c>
      <c r="I31" s="63">
        <f t="shared" si="6"/>
        <v>1.1848322500000001</v>
      </c>
      <c r="J31" s="63">
        <f t="shared" si="7"/>
        <v>1.9099195307641179</v>
      </c>
      <c r="K31" s="21"/>
      <c r="L31" s="63">
        <f>L30-N31</f>
        <v>0</v>
      </c>
      <c r="M31" s="21"/>
      <c r="N31" s="63">
        <f>(F31/G31)*J31</f>
        <v>0</v>
      </c>
      <c r="O31" s="14"/>
    </row>
    <row r="32" spans="1:15" ht="15.75" thickBot="1" x14ac:dyDescent="0.3">
      <c r="A32" s="12"/>
      <c r="B32" s="23" t="s">
        <v>5</v>
      </c>
      <c r="C32" s="64">
        <f>SUM(C27:C31)</f>
        <v>5</v>
      </c>
      <c r="D32" s="64">
        <f>SUM(D27:D31)</f>
        <v>5</v>
      </c>
      <c r="E32" s="13"/>
      <c r="F32" s="13"/>
      <c r="G32" s="21"/>
      <c r="H32" s="21"/>
      <c r="I32" s="21"/>
      <c r="J32" s="21"/>
      <c r="K32" s="21"/>
      <c r="L32" s="13"/>
      <c r="M32" s="21"/>
      <c r="N32" s="21"/>
      <c r="O32" s="14"/>
    </row>
    <row r="33" spans="1:15" ht="16.5" thickTop="1" thickBot="1" x14ac:dyDescent="0.3">
      <c r="A33" s="12"/>
      <c r="B33" s="13"/>
      <c r="C33" s="13"/>
      <c r="D33" s="13"/>
      <c r="E33" s="13"/>
      <c r="F33" s="13"/>
      <c r="G33" s="21"/>
      <c r="H33" s="21"/>
      <c r="I33" s="21"/>
      <c r="J33" s="21"/>
      <c r="K33" s="21"/>
      <c r="L33" s="21"/>
      <c r="M33" s="21"/>
      <c r="N33" s="21"/>
      <c r="O33" s="14"/>
    </row>
    <row r="34" spans="1:15" x14ac:dyDescent="0.25">
      <c r="A34" s="12"/>
      <c r="B34" s="24" t="s">
        <v>27</v>
      </c>
      <c r="C34" s="10"/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</row>
    <row r="35" spans="1:15" x14ac:dyDescent="0.25">
      <c r="A35" s="12"/>
      <c r="B35" s="12"/>
      <c r="C35" s="13" t="s">
        <v>28</v>
      </c>
      <c r="D35" s="14" t="s">
        <v>29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</row>
    <row r="36" spans="1:15" x14ac:dyDescent="0.25">
      <c r="A36" s="12"/>
      <c r="B36" s="12" t="s">
        <v>30</v>
      </c>
      <c r="C36" s="25"/>
      <c r="D36" s="67">
        <v>0.1002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</row>
    <row r="37" spans="1:15" x14ac:dyDescent="0.25">
      <c r="A37" s="12"/>
      <c r="B37" s="12" t="s">
        <v>86</v>
      </c>
      <c r="C37" s="25"/>
      <c r="D37" s="67">
        <v>8.8499999999999995E-2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</row>
    <row r="38" spans="1:15" ht="15.75" thickBot="1" x14ac:dyDescent="0.3">
      <c r="A38" s="26"/>
      <c r="B38" s="26" t="s">
        <v>31</v>
      </c>
      <c r="C38" s="27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I16" sqref="I16"/>
    </sheetView>
  </sheetViews>
  <sheetFormatPr defaultRowHeight="15" x14ac:dyDescent="0.25"/>
  <cols>
    <col min="1" max="1" width="26.28515625" customWidth="1"/>
    <col min="2" max="2" width="18.42578125" customWidth="1"/>
    <col min="3" max="3" width="21.85546875" customWidth="1"/>
    <col min="4" max="4" width="27" customWidth="1"/>
    <col min="5" max="5" width="32.5703125" customWidth="1"/>
  </cols>
  <sheetData>
    <row r="1" spans="1:5" ht="21" x14ac:dyDescent="0.35">
      <c r="A1" s="46" t="s">
        <v>51</v>
      </c>
    </row>
    <row r="2" spans="1:5" x14ac:dyDescent="0.25">
      <c r="A2" t="s">
        <v>52</v>
      </c>
    </row>
    <row r="5" spans="1:5" ht="45" x14ac:dyDescent="0.25">
      <c r="A5" s="47" t="s">
        <v>53</v>
      </c>
      <c r="B5" s="47" t="s">
        <v>54</v>
      </c>
      <c r="C5" s="47" t="s">
        <v>55</v>
      </c>
      <c r="D5" s="47" t="s">
        <v>56</v>
      </c>
      <c r="E5" s="47" t="s">
        <v>57</v>
      </c>
    </row>
    <row r="6" spans="1:5" x14ac:dyDescent="0.25">
      <c r="A6" s="2" t="s">
        <v>58</v>
      </c>
      <c r="B6" s="3"/>
      <c r="C6" s="3">
        <v>3348660</v>
      </c>
      <c r="D6" s="2">
        <v>-1E-3</v>
      </c>
      <c r="E6" s="2" t="s">
        <v>59</v>
      </c>
    </row>
    <row r="7" spans="1:5" x14ac:dyDescent="0.25">
      <c r="A7" s="2" t="s">
        <v>60</v>
      </c>
      <c r="B7" s="3"/>
      <c r="C7" s="3">
        <v>2778644</v>
      </c>
      <c r="D7" s="2">
        <v>-1E-3</v>
      </c>
      <c r="E7" s="2" t="s">
        <v>61</v>
      </c>
    </row>
    <row r="8" spans="1:5" x14ac:dyDescent="0.25">
      <c r="A8" s="2" t="s">
        <v>59</v>
      </c>
      <c r="B8" s="48"/>
      <c r="C8" s="3">
        <v>2798944</v>
      </c>
      <c r="D8" s="2">
        <v>0</v>
      </c>
      <c r="E8" s="2" t="s">
        <v>62</v>
      </c>
    </row>
    <row r="9" spans="1:5" x14ac:dyDescent="0.25">
      <c r="A9" s="2" t="s">
        <v>61</v>
      </c>
      <c r="B9" s="48"/>
      <c r="C9" s="3">
        <v>4672765</v>
      </c>
      <c r="D9" s="2">
        <v>1E-3</v>
      </c>
      <c r="E9" s="2" t="s">
        <v>63</v>
      </c>
    </row>
    <row r="10" spans="1:5" x14ac:dyDescent="0.25">
      <c r="A10" s="2" t="s">
        <v>62</v>
      </c>
      <c r="B10" s="48">
        <v>1.1254706095213343</v>
      </c>
      <c r="C10" s="3">
        <v>4284929</v>
      </c>
      <c r="D10" s="2">
        <v>-1E-3</v>
      </c>
      <c r="E10" s="2" t="s">
        <v>64</v>
      </c>
    </row>
    <row r="11" spans="1:5" x14ac:dyDescent="0.25">
      <c r="A11" s="2" t="s">
        <v>63</v>
      </c>
      <c r="B11" s="48">
        <v>1.0918567053128068</v>
      </c>
      <c r="C11" s="3">
        <v>1008396</v>
      </c>
      <c r="D11" s="2">
        <v>-2E-3</v>
      </c>
      <c r="E11" s="2" t="s">
        <v>65</v>
      </c>
    </row>
    <row r="12" spans="1:5" x14ac:dyDescent="0.25">
      <c r="A12" s="2" t="s">
        <v>64</v>
      </c>
      <c r="B12" s="48">
        <v>1.0669812607921487</v>
      </c>
      <c r="C12" s="3">
        <v>2671707</v>
      </c>
      <c r="D12" s="2">
        <v>1E-3</v>
      </c>
      <c r="E12" s="2" t="s">
        <v>66</v>
      </c>
    </row>
    <row r="13" spans="1:5" x14ac:dyDescent="0.25">
      <c r="A13" s="2" t="s">
        <v>65</v>
      </c>
      <c r="B13" s="48">
        <v>1.0669812607921487</v>
      </c>
      <c r="C13" s="36">
        <v>1475817</v>
      </c>
      <c r="D13" s="49" t="s">
        <v>67</v>
      </c>
      <c r="E13" s="2" t="s">
        <v>68</v>
      </c>
    </row>
    <row r="14" spans="1:5" x14ac:dyDescent="0.25">
      <c r="A14" s="50" t="s">
        <v>66</v>
      </c>
      <c r="B14" s="48">
        <v>1.0347295307199531</v>
      </c>
      <c r="C14" s="36">
        <v>1066194</v>
      </c>
      <c r="D14" s="49" t="s">
        <v>67</v>
      </c>
      <c r="E14" s="50" t="s">
        <v>69</v>
      </c>
    </row>
    <row r="21" spans="1:3" x14ac:dyDescent="0.25">
      <c r="A21" s="51" t="s">
        <v>70</v>
      </c>
      <c r="B21" s="52"/>
      <c r="C21" s="53"/>
    </row>
    <row r="22" spans="1:3" x14ac:dyDescent="0.25">
      <c r="A22" s="54"/>
      <c r="B22" s="55" t="s">
        <v>71</v>
      </c>
      <c r="C22" s="56" t="s">
        <v>72</v>
      </c>
    </row>
    <row r="23" spans="1:3" ht="30" customHeight="1" x14ac:dyDescent="0.25">
      <c r="A23" s="57"/>
      <c r="B23" s="58">
        <f>C13*B13*10^-6</f>
        <v>1.5746690833584867</v>
      </c>
      <c r="C23" s="59">
        <f>C14*B14*10^-6</f>
        <v>1.1032224172764296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DMIA Spend Summary</vt:lpstr>
      <vt:lpstr>DMIA Carryover calculation</vt:lpstr>
      <vt:lpstr>D-factor 2009-14 carryovers</vt:lpstr>
    </vt:vector>
  </TitlesOfParts>
  <Company>Ausgrid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t45324</dc:creator>
  <cp:keywords>Set 2</cp:keywords>
  <cp:lastModifiedBy>Viriya Chittasy</cp:lastModifiedBy>
  <cp:lastPrinted>2012-10-30T23:54:03Z</cp:lastPrinted>
  <dcterms:created xsi:type="dcterms:W3CDTF">2011-10-05T06:18:25Z</dcterms:created>
  <dcterms:modified xsi:type="dcterms:W3CDTF">2015-01-19T00:45:38Z</dcterms:modified>
</cp:coreProperties>
</file>